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trlProps/ctrlProp3.xml" ContentType="application/vnd.ms-excel.controlpropertie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4.xml" ContentType="application/vnd.ms-excel.controlproperties+xml"/>
  <Override PartName="/xl/drawings/drawing11.xml" ContentType="application/vnd.openxmlformats-officedocument.drawing+xml"/>
  <Override PartName="/xl/comments3.xml" ContentType="application/vnd.openxmlformats-officedocument.spreadsheetml.comments+xml"/>
  <Override PartName="/xl/drawings/drawing12.xml" ContentType="application/vnd.openxmlformats-officedocument.drawing+xml"/>
  <Override PartName="/xl/ctrlProps/ctrlProp5.xml" ContentType="application/vnd.ms-excel.controlproperties+xml"/>
  <Override PartName="/xl/drawings/drawing13.xml" ContentType="application/vnd.openxmlformats-officedocument.drawing+xml"/>
  <Override PartName="/xl/comments4.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activeX/activeX1.xml" ContentType="application/vnd.ms-office.activeX+xml"/>
  <Override PartName="/xl/activeX/activeX1.bin" ContentType="application/vnd.ms-office.activeX"/>
  <Override PartName="/xl/comments5.xml" ContentType="application/vnd.openxmlformats-officedocument.spreadsheetml.comments+xml"/>
  <Override PartName="/xl/drawings/drawing16.xml" ContentType="application/vnd.openxmlformats-officedocument.drawing+xml"/>
  <Override PartName="/xl/comments6.xml" ContentType="application/vnd.openxmlformats-officedocument.spreadsheetml.comments+xml"/>
  <Override PartName="/xl/drawings/drawing17.xml" ContentType="application/vnd.openxmlformats-officedocument.drawing+xml"/>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drawings/drawing18.xml" ContentType="application/vnd.openxmlformats-officedocument.drawing+xml"/>
  <Override PartName="/xl/comments7.xml" ContentType="application/vnd.openxmlformats-officedocument.spreadsheetml.comments+xml"/>
  <Override PartName="/xl/drawings/drawing19.xml" ContentType="application/vnd.openxmlformats-officedocument.drawing+xml"/>
  <Override PartName="/xl/comments8.xml" ContentType="application/vnd.openxmlformats-officedocument.spreadsheetml.comments+xml"/>
  <Override PartName="/xl/drawings/drawing20.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1.xml" ContentType="application/vnd.openxmlformats-officedocument.drawing+xml"/>
  <Override PartName="/xl/comments9.xml" ContentType="application/vnd.openxmlformats-officedocument.spreadsheetml.comments+xml"/>
  <Override PartName="/xl/drawings/drawing22.xml" ContentType="application/vnd.openxmlformats-officedocument.drawing+xml"/>
  <Override PartName="/xl/comments10.xml" ContentType="application/vnd.openxmlformats-officedocument.spreadsheetml.comments+xml"/>
  <Override PartName="/xl/drawings/drawing2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7.xml" ContentType="application/vnd.openxmlformats-officedocument.drawing+xml"/>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comments11.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comments12.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flore\Desktop\"/>
    </mc:Choice>
  </mc:AlternateContent>
  <xr:revisionPtr revIDLastSave="0" documentId="13_ncr:1_{BD1CA004-EB27-4AD8-B2EE-382C67F89DC0}" xr6:coauthVersionLast="47" xr6:coauthVersionMax="47" xr10:uidLastSave="{00000000-0000-0000-0000-000000000000}"/>
  <bookViews>
    <workbookView xWindow="-108" yWindow="-108" windowWidth="23256" windowHeight="12456" tabRatio="909" firstSheet="20" activeTab="21" xr2:uid="{9933205D-0A94-4E7A-99DA-FFA154260656}"/>
  </bookViews>
  <sheets>
    <sheet name="Login" sheetId="11" r:id="rId1"/>
    <sheet name="Home" sheetId="30" r:id="rId2"/>
    <sheet name="Données" sheetId="39" r:id="rId3"/>
    <sheet name="Placement" sheetId="40" r:id="rId4"/>
    <sheet name="Crédit" sheetId="41" r:id="rId5"/>
    <sheet name="IR" sheetId="44" r:id="rId6"/>
    <sheet name="Impr (1)" sheetId="50" r:id="rId7"/>
    <sheet name="Pot ER Mode" sheetId="45" r:id="rId8"/>
    <sheet name="Avis IR N-2" sheetId="48" r:id="rId9"/>
    <sheet name="Décla N-1" sheetId="52" r:id="rId10"/>
    <sheet name="Synthèse décla" sheetId="53" r:id="rId11"/>
    <sheet name="Estimation N" sheetId="54" r:id="rId12"/>
    <sheet name="Synthèse" sheetId="55" r:id="rId13"/>
    <sheet name="Impr (2)" sheetId="56" r:id="rId14"/>
    <sheet name="CT à Transf" sheetId="57" r:id="rId15"/>
    <sheet name="BASECG" sheetId="60" r:id="rId16"/>
    <sheet name="NewPER" sheetId="61" r:id="rId17"/>
    <sheet name="SynthèsePER" sheetId="62" r:id="rId18"/>
    <sheet name="Sit 1" sheetId="64" r:id="rId19"/>
    <sheet name="Sit 2" sheetId="65" r:id="rId20"/>
    <sheet name="Impr (3)" sheetId="66" r:id="rId21"/>
    <sheet name="MEPPER" sheetId="69" r:id="rId22"/>
    <sheet name="MEPPER2" sheetId="71" r:id="rId23"/>
    <sheet name="MEPPER3" sheetId="70" r:id="rId24"/>
    <sheet name="Sit 1(2)" sheetId="72" r:id="rId25"/>
    <sheet name="Sit 2(2)" sheetId="73" r:id="rId26"/>
    <sheet name="TGF05" sheetId="63" r:id="rId27"/>
    <sheet name="Treso IS" sheetId="74" r:id="rId28"/>
    <sheet name="Param treso" sheetId="79" r:id="rId29"/>
    <sheet name="Crédit (IR)" sheetId="76" r:id="rId30"/>
    <sheet name="Résultat tréso" sheetId="78" r:id="rId31"/>
    <sheet name="Crédit (IS)" sheetId="80" r:id="rId32"/>
    <sheet name="Prévoyance" sheetId="81" r:id="rId33"/>
    <sheet name="BASE RO" sheetId="82" r:id="rId34"/>
  </sheets>
  <definedNames>
    <definedName name="ABEILLE">'CT à Transf'!$AA$16:$BI$16</definedName>
    <definedName name="AFER">'CT à Transf'!$AA$17:$BI$17</definedName>
    <definedName name="AG2R_LA_MONDIALE">'CT à Transf'!$AA$18:$BI$18</definedName>
    <definedName name="AGEAS">'CT à Transf'!$AA$19:$BI$19</definedName>
    <definedName name="AGIPI">'CT à Transf'!$AA$20:$BI$20</definedName>
    <definedName name="ALLIANZ">'CT à Transf'!$AA$21:$BI$21</definedName>
    <definedName name="ALPTIS">'CT à Transf'!$AA$22:$BI$22</definedName>
    <definedName name="APICIL">'CT à Transf'!$AA$23:$BI$23</definedName>
    <definedName name="APRIL">'CT à Transf'!$AA$24:$BI$24</definedName>
    <definedName name="AREAS">'CT à Transf'!$AA$25:$BI$25</definedName>
    <definedName name="AXA">'CT à Transf'!$AA$26:$BI$26</definedName>
    <definedName name="BANQUE_POPULAIRE">'CT à Transf'!$AA$27:$BI$27</definedName>
    <definedName name="BNP">'CT à Transf'!$AA$28:$BI$28</definedName>
    <definedName name="CAISSE_D_EPARGNE">'CT à Transf'!$AA$29:$BI$29</definedName>
    <definedName name="CARDIF">'CT à Transf'!$AA$30:$BI$30</definedName>
    <definedName name="Celibataire_Veuf_Divorce">MEPPER2!$E$32</definedName>
    <definedName name="Compagnies">'CT à Transf'!$Z$16:$Z$68</definedName>
    <definedName name="CREDIT_AGRICOLE">'CT à Transf'!$AA$31:$BI$31</definedName>
    <definedName name="CREDIT_DU_NORD">'CT à Transf'!$AA$32:$BI$32</definedName>
    <definedName name="CREDIT_MUTUEL">'CT à Transf'!$AA$33:$BI$33</definedName>
    <definedName name="EPSENS">'CT à Transf'!$AA$34:$BI$34</definedName>
    <definedName name="EPSOR">'CT à Transf'!$AA$35:$BI$35</definedName>
    <definedName name="ERES">'CT à Transf'!$AA$36:$BI$36</definedName>
    <definedName name="GAN">'CT à Transf'!$AA$37:$BI$37</definedName>
    <definedName name="GARANCE">'CT à Transf'!$AA$38:$BI$38</definedName>
    <definedName name="GENERALI">'CT à Transf'!$AA$39:$BI$39</definedName>
    <definedName name="GO_EPARGNE">'CT à Transf'!$AA$40:$BI$40</definedName>
    <definedName name="GROUPAMA">'CT à Transf'!$AA$41:$BI$41</definedName>
    <definedName name="HARMONIE_MUTUELLE">'CT à Transf'!$AA$42:$BI$42</definedName>
    <definedName name="HSBC">'CT à Transf'!$AA$43:$BI$43</definedName>
    <definedName name="LA_BANQUE_POSTALE">'CT à Transf'!$AA$44:$BI$44</definedName>
    <definedName name="LA_MEDICALE">'CT à Transf'!$AA$45:$BI$45</definedName>
    <definedName name="LCL">'CT à Transf'!$AA$46:$BI$46</definedName>
    <definedName name="LPA">'CT à Transf'!$AA$47:$BI$47</definedName>
    <definedName name="MAAF">'CT à Transf'!$AA$48:$BI$48</definedName>
    <definedName name="MACIF">'CT à Transf'!$AA$49:$BI$49</definedName>
    <definedName name="MACSF">'CT à Transf'!$AA$50:$BI$50</definedName>
    <definedName name="MAIF">'CT à Transf'!$AA$51:$BI$51</definedName>
    <definedName name="MALAKOFF_HUMANIS">'CT à Transf'!$AA$52:$BI$52</definedName>
    <definedName name="MAPA">'CT à Transf'!$AA$53:$BI$53</definedName>
    <definedName name="Marie_Pacse">MEPPER2!$E$31:$F$31</definedName>
    <definedName name="MATMUT">'CT à Transf'!$AA$54:$BI$54</definedName>
    <definedName name="MEDICIS">'CT à Transf'!$AA$55:$BI$55</definedName>
    <definedName name="MMA">'CT à Transf'!$AA$56:$BI$56</definedName>
    <definedName name="MNRA">'CT à Transf'!$AA$57:$BI$57</definedName>
    <definedName name="NORTIA">'CT à Transf'!$AA$58:$BI$58</definedName>
    <definedName name="OK">TRUE</definedName>
    <definedName name="ORADEA">'CT à Transf'!$AA$59:$BI$59</definedName>
    <definedName name="PREFON">'CT à Transf'!$AA$60:$BI$60</definedName>
    <definedName name="PREVOIR">'CT à Transf'!$AA$61:$BI$61</definedName>
    <definedName name="PRIMONIAL">'CT à Transf'!$AA$62:$BI$62</definedName>
    <definedName name="PRO_BTP">'CT à Transf'!$AA$63:$BI$63</definedName>
    <definedName name="Situation">MEPPER2!$D$31:$D$32</definedName>
    <definedName name="SMA">'CT à Transf'!$AA$64:$BI$64</definedName>
    <definedName name="SOCIETE_GENERALE">'CT à Transf'!$AA$65:$BI$65</definedName>
    <definedName name="SWISSLIFE">'CT à Transf'!$AA$66:$BI$66</definedName>
    <definedName name="UFF">'CT à Transf'!$AA$67:$BI$67</definedName>
    <definedName name="UMR">'CT à Transf'!$AA$68:$BI$68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78" l="1"/>
  <c r="G13" i="80" l="1"/>
  <c r="O9" i="73"/>
  <c r="B5" i="81"/>
  <c r="G15" i="44"/>
  <c r="AM16" i="78"/>
  <c r="AM14" i="78"/>
  <c r="I34" i="79"/>
  <c r="J34" i="79" s="1"/>
  <c r="L18" i="80" s="1"/>
  <c r="K18" i="80" s="1"/>
  <c r="G13" i="76"/>
  <c r="K13" i="76" s="1"/>
  <c r="K17" i="76" s="1"/>
  <c r="AD23" i="78" l="1"/>
  <c r="AD141" i="78"/>
  <c r="AD125" i="78"/>
  <c r="AD101" i="78"/>
  <c r="AD69" i="78"/>
  <c r="AD61" i="78"/>
  <c r="AD37" i="78"/>
  <c r="AD148" i="78"/>
  <c r="AD132" i="78"/>
  <c r="AD124" i="78"/>
  <c r="AD116" i="78"/>
  <c r="AD108" i="78"/>
  <c r="AD100" i="78"/>
  <c r="AD92" i="78"/>
  <c r="AD84" i="78"/>
  <c r="AD76" i="78"/>
  <c r="AD68" i="78"/>
  <c r="AD60" i="78"/>
  <c r="AD52" i="78"/>
  <c r="AD44" i="78"/>
  <c r="AD36" i="78"/>
  <c r="AD28" i="78"/>
  <c r="AD147" i="78"/>
  <c r="AD139" i="78"/>
  <c r="AD131" i="78"/>
  <c r="AD123" i="78"/>
  <c r="AD115" i="78"/>
  <c r="AD107" i="78"/>
  <c r="AD99" i="78"/>
  <c r="AD91" i="78"/>
  <c r="AD83" i="78"/>
  <c r="AD75" i="78"/>
  <c r="AD67" i="78"/>
  <c r="AD59" i="78"/>
  <c r="AD51" i="78"/>
  <c r="AD43" i="78"/>
  <c r="AD35" i="78"/>
  <c r="AD27" i="78"/>
  <c r="AD150" i="78"/>
  <c r="AD142" i="78"/>
  <c r="AD134" i="78"/>
  <c r="AD126" i="78"/>
  <c r="AD118" i="78"/>
  <c r="AD110" i="78"/>
  <c r="AD102" i="78"/>
  <c r="AD94" i="78"/>
  <c r="AD86" i="78"/>
  <c r="AD78" i="78"/>
  <c r="AD70" i="78"/>
  <c r="AD54" i="78"/>
  <c r="AD38" i="78"/>
  <c r="AD149" i="78"/>
  <c r="AD117" i="78"/>
  <c r="AD85" i="78"/>
  <c r="AD45" i="78"/>
  <c r="AD146" i="78"/>
  <c r="AD122" i="78"/>
  <c r="AD98" i="78"/>
  <c r="AD74" i="78"/>
  <c r="AD58" i="78"/>
  <c r="AD50" i="78"/>
  <c r="AD26" i="78"/>
  <c r="AD145" i="78"/>
  <c r="AD137" i="78"/>
  <c r="AD129" i="78"/>
  <c r="AD121" i="78"/>
  <c r="AD113" i="78"/>
  <c r="AD105" i="78"/>
  <c r="AD97" i="78"/>
  <c r="AD89" i="78"/>
  <c r="AD81" i="78"/>
  <c r="AD73" i="78"/>
  <c r="AD65" i="78"/>
  <c r="AD57" i="78"/>
  <c r="AD49" i="78"/>
  <c r="AD41" i="78"/>
  <c r="AD33" i="78"/>
  <c r="AD25" i="78"/>
  <c r="AD140" i="78"/>
  <c r="AD138" i="78"/>
  <c r="AD114" i="78"/>
  <c r="AD82" i="78"/>
  <c r="AD34" i="78"/>
  <c r="AD21" i="78"/>
  <c r="AD144" i="78"/>
  <c r="AD136" i="78"/>
  <c r="AD128" i="78"/>
  <c r="AD120" i="78"/>
  <c r="AD112" i="78"/>
  <c r="AD104" i="78"/>
  <c r="AD96" i="78"/>
  <c r="AD88" i="78"/>
  <c r="AD80" i="78"/>
  <c r="AD72" i="78"/>
  <c r="AD64" i="78"/>
  <c r="AD56" i="78"/>
  <c r="AD48" i="78"/>
  <c r="AD40" i="78"/>
  <c r="AD32" i="78"/>
  <c r="AD24" i="78"/>
  <c r="AD62" i="78"/>
  <c r="AD46" i="78"/>
  <c r="AD30" i="78"/>
  <c r="AD133" i="78"/>
  <c r="AD109" i="78"/>
  <c r="AD93" i="78"/>
  <c r="AD77" i="78"/>
  <c r="AD53" i="78"/>
  <c r="AD29" i="78"/>
  <c r="AD130" i="78"/>
  <c r="AD106" i="78"/>
  <c r="AD90" i="78"/>
  <c r="AD66" i="78"/>
  <c r="AD42" i="78"/>
  <c r="AD22" i="78"/>
  <c r="AD143" i="78"/>
  <c r="AD135" i="78"/>
  <c r="AD127" i="78"/>
  <c r="AD119" i="78"/>
  <c r="AD111" i="78"/>
  <c r="AD103" i="78"/>
  <c r="AD95" i="78"/>
  <c r="AD87" i="78"/>
  <c r="AD79" i="78"/>
  <c r="AD71" i="78"/>
  <c r="AD63" i="78"/>
  <c r="AD55" i="78"/>
  <c r="AD47" i="78"/>
  <c r="AD39" i="78"/>
  <c r="AD31" i="78"/>
  <c r="Q18" i="79"/>
  <c r="F24" i="80"/>
  <c r="F25" i="80" s="1"/>
  <c r="G20" i="80"/>
  <c r="O8" i="80" s="1"/>
  <c r="B5" i="80"/>
  <c r="F26" i="80" l="1"/>
  <c r="O9" i="80"/>
  <c r="E24" i="80"/>
  <c r="F23" i="76"/>
  <c r="F24" i="76" s="1"/>
  <c r="F25" i="76" s="1"/>
  <c r="F26" i="76" s="1"/>
  <c r="F27" i="76" s="1"/>
  <c r="F28" i="76" s="1"/>
  <c r="F29" i="76" s="1"/>
  <c r="F30" i="76" s="1"/>
  <c r="F31" i="76" s="1"/>
  <c r="F32" i="76" s="1"/>
  <c r="F33" i="76" s="1"/>
  <c r="F34" i="76" s="1"/>
  <c r="F35" i="76" s="1"/>
  <c r="F36" i="76" s="1"/>
  <c r="F37" i="76" s="1"/>
  <c r="F38" i="76" s="1"/>
  <c r="F39" i="76" s="1"/>
  <c r="F40" i="76" s="1"/>
  <c r="F41" i="76" s="1"/>
  <c r="F42" i="76" s="1"/>
  <c r="F43" i="76" s="1"/>
  <c r="F44" i="76" s="1"/>
  <c r="F45" i="76" s="1"/>
  <c r="F46" i="76" s="1"/>
  <c r="F47" i="76" s="1"/>
  <c r="F48" i="76" s="1"/>
  <c r="F49" i="76" s="1"/>
  <c r="F50" i="76" s="1"/>
  <c r="F51" i="76" s="1"/>
  <c r="F52" i="76" s="1"/>
  <c r="F53" i="76" s="1"/>
  <c r="F54" i="76" s="1"/>
  <c r="F55" i="76" s="1"/>
  <c r="F56" i="76" s="1"/>
  <c r="F57" i="76" s="1"/>
  <c r="F58" i="76" s="1"/>
  <c r="F59" i="76" s="1"/>
  <c r="F60" i="76" s="1"/>
  <c r="F61" i="76" s="1"/>
  <c r="F62" i="76" s="1"/>
  <c r="F63" i="76" s="1"/>
  <c r="F64" i="76" s="1"/>
  <c r="F65" i="76" s="1"/>
  <c r="F66" i="76" s="1"/>
  <c r="F67" i="76" s="1"/>
  <c r="F68" i="76" s="1"/>
  <c r="F69" i="76" s="1"/>
  <c r="F70" i="76" s="1"/>
  <c r="F71" i="76" s="1"/>
  <c r="F72" i="76" s="1"/>
  <c r="F73" i="76" s="1"/>
  <c r="F74" i="76" s="1"/>
  <c r="F75" i="76" s="1"/>
  <c r="F76" i="76" s="1"/>
  <c r="F77" i="76" s="1"/>
  <c r="F78" i="76" s="1"/>
  <c r="F79" i="76" s="1"/>
  <c r="F80" i="76" s="1"/>
  <c r="F81" i="76" s="1"/>
  <c r="F82" i="76" s="1"/>
  <c r="F83" i="76" s="1"/>
  <c r="F84" i="76" s="1"/>
  <c r="F85" i="76" s="1"/>
  <c r="F86" i="76" s="1"/>
  <c r="F87" i="76" s="1"/>
  <c r="F88" i="76" s="1"/>
  <c r="F89" i="76" s="1"/>
  <c r="F90" i="76" s="1"/>
  <c r="F91" i="76" s="1"/>
  <c r="F92" i="76" s="1"/>
  <c r="F93" i="76" s="1"/>
  <c r="F94" i="76" s="1"/>
  <c r="F95" i="76" s="1"/>
  <c r="F96" i="76" s="1"/>
  <c r="F97" i="76" s="1"/>
  <c r="F98" i="76" s="1"/>
  <c r="F99" i="76" s="1"/>
  <c r="F100" i="76" s="1"/>
  <c r="F101" i="76" s="1"/>
  <c r="F102" i="76" s="1"/>
  <c r="F103" i="76" s="1"/>
  <c r="F104" i="76" s="1"/>
  <c r="F105" i="76" s="1"/>
  <c r="F106" i="76" s="1"/>
  <c r="F107" i="76" s="1"/>
  <c r="F108" i="76" s="1"/>
  <c r="F109" i="76" s="1"/>
  <c r="F110" i="76" s="1"/>
  <c r="F111" i="76" s="1"/>
  <c r="F112" i="76" s="1"/>
  <c r="F113" i="76" s="1"/>
  <c r="F114" i="76" s="1"/>
  <c r="F115" i="76" s="1"/>
  <c r="F116" i="76" s="1"/>
  <c r="F117" i="76" s="1"/>
  <c r="F118" i="76" s="1"/>
  <c r="F119" i="76" s="1"/>
  <c r="F120" i="76" s="1"/>
  <c r="F121" i="76" s="1"/>
  <c r="F122" i="76" s="1"/>
  <c r="F123" i="76" s="1"/>
  <c r="F124" i="76" s="1"/>
  <c r="F125" i="76" s="1"/>
  <c r="F126" i="76" s="1"/>
  <c r="F127" i="76" s="1"/>
  <c r="F128" i="76" s="1"/>
  <c r="F129" i="76" s="1"/>
  <c r="F130" i="76" s="1"/>
  <c r="F131" i="76" s="1"/>
  <c r="F132" i="76" s="1"/>
  <c r="F133" i="76" s="1"/>
  <c r="F134" i="76" s="1"/>
  <c r="F135" i="76" s="1"/>
  <c r="F136" i="76" s="1"/>
  <c r="F137" i="76" s="1"/>
  <c r="F138" i="76" s="1"/>
  <c r="F139" i="76" s="1"/>
  <c r="F140" i="76" s="1"/>
  <c r="F141" i="76" s="1"/>
  <c r="F142" i="76" s="1"/>
  <c r="F21" i="41"/>
  <c r="E21" i="41" s="1"/>
  <c r="F27" i="80" l="1"/>
  <c r="E25" i="80"/>
  <c r="D24" i="80"/>
  <c r="O10" i="80"/>
  <c r="G21" i="41"/>
  <c r="F143" i="76"/>
  <c r="L32" i="79"/>
  <c r="L41" i="79"/>
  <c r="D25" i="80" l="1"/>
  <c r="E26" i="80"/>
  <c r="M24" i="80"/>
  <c r="L24" i="80"/>
  <c r="K24" i="80"/>
  <c r="F28" i="80"/>
  <c r="O11" i="80"/>
  <c r="F144" i="76"/>
  <c r="H143" i="76"/>
  <c r="G143" i="76"/>
  <c r="D20" i="79"/>
  <c r="H18" i="79"/>
  <c r="Z3" i="74"/>
  <c r="AM10" i="78" s="1"/>
  <c r="AD6" i="74"/>
  <c r="AE6" i="74"/>
  <c r="AG13" i="74"/>
  <c r="AF13" i="74"/>
  <c r="AG12" i="74"/>
  <c r="AF12" i="74"/>
  <c r="AG11" i="74"/>
  <c r="AF11" i="74"/>
  <c r="AG10" i="74"/>
  <c r="AF10" i="74"/>
  <c r="AG9" i="74"/>
  <c r="AF9" i="74"/>
  <c r="U29" i="44"/>
  <c r="U28" i="44"/>
  <c r="U27" i="44"/>
  <c r="U26" i="44"/>
  <c r="U25" i="44"/>
  <c r="T29" i="44"/>
  <c r="T28" i="44"/>
  <c r="T27" i="44"/>
  <c r="T26" i="44"/>
  <c r="T25" i="44"/>
  <c r="AF7" i="74"/>
  <c r="L26" i="74"/>
  <c r="W2" i="74"/>
  <c r="V2" i="74" s="1"/>
  <c r="B5" i="79"/>
  <c r="K34" i="79" l="1"/>
  <c r="Q16" i="79"/>
  <c r="H24" i="79" s="1"/>
  <c r="F29" i="80"/>
  <c r="O12" i="80"/>
  <c r="D26" i="80"/>
  <c r="E27" i="80"/>
  <c r="M25" i="80"/>
  <c r="L25" i="80"/>
  <c r="K25" i="80"/>
  <c r="F145" i="76"/>
  <c r="H144" i="76"/>
  <c r="G144" i="76"/>
  <c r="AH10" i="74"/>
  <c r="AI7" i="74"/>
  <c r="AJ17" i="74"/>
  <c r="M26" i="80" l="1"/>
  <c r="L26" i="80"/>
  <c r="K26" i="80"/>
  <c r="F30" i="80"/>
  <c r="O13" i="80"/>
  <c r="D27" i="80"/>
  <c r="E28" i="80"/>
  <c r="F146" i="76"/>
  <c r="H145" i="76"/>
  <c r="G145" i="76"/>
  <c r="P14" i="78"/>
  <c r="D28" i="80" l="1"/>
  <c r="E29" i="80"/>
  <c r="M27" i="80"/>
  <c r="L27" i="80"/>
  <c r="K27" i="80"/>
  <c r="F31" i="80"/>
  <c r="O14" i="80"/>
  <c r="F147" i="76"/>
  <c r="H146" i="76"/>
  <c r="G146" i="76"/>
  <c r="K19" i="78"/>
  <c r="C21" i="78"/>
  <c r="E21" i="78"/>
  <c r="B5" i="78"/>
  <c r="G19" i="76"/>
  <c r="O8" i="76" s="1"/>
  <c r="B5" i="76"/>
  <c r="B5" i="74"/>
  <c r="C9" i="73"/>
  <c r="H30" i="69"/>
  <c r="C10" i="72"/>
  <c r="A2" i="60"/>
  <c r="L9" i="57" s="1"/>
  <c r="H10" i="71"/>
  <c r="H10" i="69"/>
  <c r="Q23" i="71"/>
  <c r="AH21" i="78" l="1"/>
  <c r="AC21" i="78"/>
  <c r="O16" i="80"/>
  <c r="F32" i="80"/>
  <c r="D29" i="80"/>
  <c r="E30" i="80"/>
  <c r="M28" i="80"/>
  <c r="L28" i="80"/>
  <c r="K28" i="80"/>
  <c r="K21" i="78"/>
  <c r="O9" i="76"/>
  <c r="F148" i="76"/>
  <c r="H147" i="76"/>
  <c r="G147" i="76"/>
  <c r="E22" i="78"/>
  <c r="A21" i="78"/>
  <c r="B21" i="78"/>
  <c r="C22" i="78"/>
  <c r="C7" i="73"/>
  <c r="K16" i="73" s="1"/>
  <c r="J109" i="73"/>
  <c r="I109" i="73"/>
  <c r="H10" i="73"/>
  <c r="H6" i="73"/>
  <c r="C6" i="73"/>
  <c r="K20" i="73" s="1"/>
  <c r="O5" i="73"/>
  <c r="C5" i="73"/>
  <c r="W20" i="70"/>
  <c r="W33" i="70" s="1"/>
  <c r="AC22" i="78" l="1"/>
  <c r="D30" i="80"/>
  <c r="E31" i="80"/>
  <c r="F33" i="80"/>
  <c r="M29" i="80"/>
  <c r="L29" i="80"/>
  <c r="K29" i="80"/>
  <c r="O17" i="80"/>
  <c r="O10" i="76"/>
  <c r="F149" i="76"/>
  <c r="H148" i="76"/>
  <c r="G148" i="76"/>
  <c r="E23" i="76"/>
  <c r="D23" i="76" s="1"/>
  <c r="M23" i="76" s="1"/>
  <c r="L21" i="78"/>
  <c r="M21" i="78" s="1"/>
  <c r="E23" i="78"/>
  <c r="B22" i="78"/>
  <c r="K22" i="78" s="1"/>
  <c r="A22" i="78"/>
  <c r="C23" i="78"/>
  <c r="O6" i="73"/>
  <c r="M20" i="73" s="1"/>
  <c r="O7" i="73"/>
  <c r="K18" i="73" s="1"/>
  <c r="A20" i="73"/>
  <c r="A21" i="73" s="1"/>
  <c r="K21" i="73"/>
  <c r="AH22" i="78" l="1"/>
  <c r="AC23" i="78"/>
  <c r="O18" i="80"/>
  <c r="D31" i="80"/>
  <c r="E32" i="80"/>
  <c r="F34" i="80"/>
  <c r="L30" i="80"/>
  <c r="K30" i="80"/>
  <c r="M30" i="80"/>
  <c r="O11" i="76"/>
  <c r="K23" i="76"/>
  <c r="L23" i="76"/>
  <c r="F150" i="76"/>
  <c r="G149" i="76"/>
  <c r="H149" i="76"/>
  <c r="E24" i="76"/>
  <c r="D24" i="76" s="1"/>
  <c r="M24" i="76" s="1"/>
  <c r="L22" i="78"/>
  <c r="M22" i="78" s="1"/>
  <c r="E24" i="78"/>
  <c r="B23" i="78"/>
  <c r="K23" i="78" s="1"/>
  <c r="A23" i="78"/>
  <c r="C24" i="78"/>
  <c r="P7" i="73"/>
  <c r="Q13" i="73"/>
  <c r="A22" i="73"/>
  <c r="A23" i="73" s="1"/>
  <c r="K22" i="73"/>
  <c r="AH23" i="78" l="1"/>
  <c r="AC24" i="78"/>
  <c r="M31" i="80"/>
  <c r="L31" i="80"/>
  <c r="K31" i="80"/>
  <c r="F35" i="80"/>
  <c r="O19" i="80"/>
  <c r="D32" i="80"/>
  <c r="E33" i="80"/>
  <c r="O12" i="76"/>
  <c r="K24" i="76"/>
  <c r="L24" i="76"/>
  <c r="E25" i="76"/>
  <c r="D25" i="76" s="1"/>
  <c r="M25" i="76" s="1"/>
  <c r="F151" i="76"/>
  <c r="H150" i="76"/>
  <c r="G150" i="76"/>
  <c r="L23" i="78"/>
  <c r="M23" i="78" s="1"/>
  <c r="E25" i="78"/>
  <c r="B24" i="78"/>
  <c r="A24" i="78"/>
  <c r="C25" i="78"/>
  <c r="K23" i="73"/>
  <c r="A24" i="73"/>
  <c r="AH24" i="78" l="1"/>
  <c r="AC25" i="78"/>
  <c r="F36" i="80"/>
  <c r="O20" i="80"/>
  <c r="Q19" i="80"/>
  <c r="P19" i="80"/>
  <c r="D33" i="80"/>
  <c r="E34" i="80"/>
  <c r="M32" i="80"/>
  <c r="L32" i="80"/>
  <c r="K32" i="80"/>
  <c r="O13" i="76"/>
  <c r="K25" i="76"/>
  <c r="L25" i="76"/>
  <c r="E26" i="76"/>
  <c r="D26" i="76" s="1"/>
  <c r="M26" i="76" s="1"/>
  <c r="F152" i="76"/>
  <c r="H151" i="76"/>
  <c r="G151" i="76"/>
  <c r="K24" i="78"/>
  <c r="E26" i="78"/>
  <c r="B25" i="78"/>
  <c r="A25" i="78"/>
  <c r="C26" i="78"/>
  <c r="K24" i="73"/>
  <c r="A25" i="73"/>
  <c r="AH25" i="78" l="1"/>
  <c r="AC26" i="78"/>
  <c r="F37" i="80"/>
  <c r="M33" i="80"/>
  <c r="L33" i="80"/>
  <c r="K33" i="80"/>
  <c r="D34" i="80"/>
  <c r="E35" i="80"/>
  <c r="Q20" i="80"/>
  <c r="P20" i="80"/>
  <c r="O21" i="80"/>
  <c r="O14" i="76"/>
  <c r="K26" i="76"/>
  <c r="L26" i="76"/>
  <c r="E27" i="76"/>
  <c r="D27" i="76" s="1"/>
  <c r="M27" i="76" s="1"/>
  <c r="F153" i="76"/>
  <c r="H152" i="76"/>
  <c r="G152" i="76"/>
  <c r="K25" i="78"/>
  <c r="L24" i="78"/>
  <c r="M24" i="78" s="1"/>
  <c r="E27" i="78"/>
  <c r="B26" i="78"/>
  <c r="A26" i="78"/>
  <c r="C27" i="78"/>
  <c r="K25" i="73"/>
  <c r="A26" i="73"/>
  <c r="AH26" i="78" l="1"/>
  <c r="AC27" i="78"/>
  <c r="Q21" i="80"/>
  <c r="O22" i="80"/>
  <c r="P21" i="80"/>
  <c r="F38" i="80"/>
  <c r="D35" i="80"/>
  <c r="E36" i="80"/>
  <c r="M34" i="80"/>
  <c r="L34" i="80"/>
  <c r="K34" i="80"/>
  <c r="O15" i="76"/>
  <c r="K27" i="76"/>
  <c r="L27" i="76"/>
  <c r="E28" i="76"/>
  <c r="D28" i="76" s="1"/>
  <c r="M28" i="76" s="1"/>
  <c r="F154" i="76"/>
  <c r="H153" i="76"/>
  <c r="G153" i="76"/>
  <c r="L25" i="78"/>
  <c r="M25" i="78" s="1"/>
  <c r="K26" i="78"/>
  <c r="E28" i="78"/>
  <c r="B27" i="78"/>
  <c r="A27" i="78"/>
  <c r="C28" i="78"/>
  <c r="A27" i="73"/>
  <c r="K26" i="73"/>
  <c r="AH27" i="78" l="1"/>
  <c r="AC28" i="78"/>
  <c r="O23" i="80"/>
  <c r="Q22" i="80"/>
  <c r="P22" i="80"/>
  <c r="L35" i="80"/>
  <c r="D36" i="80"/>
  <c r="E37" i="80"/>
  <c r="F39" i="80"/>
  <c r="O16" i="76"/>
  <c r="K28" i="76"/>
  <c r="L28" i="76"/>
  <c r="E29" i="76"/>
  <c r="D29" i="76" s="1"/>
  <c r="M29" i="76" s="1"/>
  <c r="F155" i="76"/>
  <c r="H154" i="76"/>
  <c r="G154" i="76"/>
  <c r="L26" i="78"/>
  <c r="M26" i="78" s="1"/>
  <c r="K27" i="78"/>
  <c r="E29" i="78"/>
  <c r="A28" i="78"/>
  <c r="B28" i="78"/>
  <c r="AH28" i="78" s="1"/>
  <c r="C29" i="78"/>
  <c r="K27" i="73"/>
  <c r="A28" i="73"/>
  <c r="AC29" i="78" l="1"/>
  <c r="L36" i="80"/>
  <c r="K36" i="80"/>
  <c r="M36" i="80"/>
  <c r="F40" i="80"/>
  <c r="D37" i="80"/>
  <c r="E38" i="80"/>
  <c r="O24" i="80"/>
  <c r="Q23" i="80"/>
  <c r="P23" i="80"/>
  <c r="O17" i="76"/>
  <c r="K29" i="76"/>
  <c r="L29" i="76"/>
  <c r="E30" i="76"/>
  <c r="D30" i="76" s="1"/>
  <c r="M30" i="76" s="1"/>
  <c r="F156" i="76"/>
  <c r="H155" i="76"/>
  <c r="G155" i="76"/>
  <c r="L27" i="78"/>
  <c r="M27" i="78" s="1"/>
  <c r="K28" i="78"/>
  <c r="E30" i="78"/>
  <c r="B29" i="78"/>
  <c r="AH29" i="78" s="1"/>
  <c r="A29" i="78"/>
  <c r="C30" i="78"/>
  <c r="K28" i="73"/>
  <c r="A29" i="73"/>
  <c r="AC30" i="78" l="1"/>
  <c r="M37" i="80"/>
  <c r="L37" i="80"/>
  <c r="K37" i="80"/>
  <c r="F41" i="80"/>
  <c r="O25" i="80"/>
  <c r="Q24" i="80"/>
  <c r="P24" i="80"/>
  <c r="D38" i="80"/>
  <c r="E39" i="80"/>
  <c r="O18" i="76"/>
  <c r="K30" i="76"/>
  <c r="L30" i="76"/>
  <c r="E31" i="76"/>
  <c r="D31" i="76" s="1"/>
  <c r="M31" i="76" s="1"/>
  <c r="F157" i="76"/>
  <c r="G156" i="76"/>
  <c r="H156" i="76"/>
  <c r="K29" i="78"/>
  <c r="L28" i="78"/>
  <c r="E31" i="78"/>
  <c r="B30" i="78"/>
  <c r="A30" i="78"/>
  <c r="C31" i="78"/>
  <c r="K29" i="73"/>
  <c r="A30" i="73"/>
  <c r="AH30" i="78" l="1"/>
  <c r="AC31" i="78"/>
  <c r="L29" i="78"/>
  <c r="M29" i="78" s="1"/>
  <c r="F42" i="80"/>
  <c r="O26" i="80"/>
  <c r="Q25" i="80"/>
  <c r="P25" i="80"/>
  <c r="D39" i="80"/>
  <c r="E40" i="80"/>
  <c r="L38" i="80"/>
  <c r="K38" i="80"/>
  <c r="M38" i="80"/>
  <c r="O19" i="76"/>
  <c r="K31" i="76"/>
  <c r="L31" i="76"/>
  <c r="E32" i="76"/>
  <c r="D32" i="76" s="1"/>
  <c r="M32" i="76" s="1"/>
  <c r="F158" i="76"/>
  <c r="G157" i="76"/>
  <c r="H157" i="76"/>
  <c r="K30" i="78"/>
  <c r="E32" i="78"/>
  <c r="B31" i="78"/>
  <c r="AH31" i="78" s="1"/>
  <c r="A31" i="78"/>
  <c r="C32" i="78"/>
  <c r="K30" i="73"/>
  <c r="A31" i="73"/>
  <c r="AC32" i="78" l="1"/>
  <c r="L30" i="78"/>
  <c r="M30" i="78" s="1"/>
  <c r="M39" i="80"/>
  <c r="L39" i="80"/>
  <c r="K39" i="80"/>
  <c r="O27" i="80"/>
  <c r="Q26" i="80"/>
  <c r="P26" i="80"/>
  <c r="F43" i="80"/>
  <c r="D40" i="80"/>
  <c r="E41" i="80"/>
  <c r="O20" i="76"/>
  <c r="K32" i="76"/>
  <c r="L32" i="76"/>
  <c r="E33" i="76"/>
  <c r="D33" i="76" s="1"/>
  <c r="M33" i="76" s="1"/>
  <c r="F159" i="76"/>
  <c r="H158" i="76"/>
  <c r="G158" i="76"/>
  <c r="K31" i="78"/>
  <c r="L31" i="78" s="1"/>
  <c r="M31" i="78" s="1"/>
  <c r="E33" i="78"/>
  <c r="B32" i="78"/>
  <c r="A32" i="78"/>
  <c r="C33" i="78"/>
  <c r="K31" i="73"/>
  <c r="A32" i="73"/>
  <c r="AH32" i="78" l="1"/>
  <c r="AC33" i="78"/>
  <c r="D41" i="80"/>
  <c r="E42" i="80"/>
  <c r="M40" i="80"/>
  <c r="L40" i="80"/>
  <c r="K40" i="80"/>
  <c r="O28" i="80"/>
  <c r="P27" i="80"/>
  <c r="Q27" i="80"/>
  <c r="F44" i="80"/>
  <c r="O21" i="76"/>
  <c r="K33" i="76"/>
  <c r="L33" i="76"/>
  <c r="E34" i="76"/>
  <c r="D34" i="76" s="1"/>
  <c r="F160" i="76"/>
  <c r="H159" i="76"/>
  <c r="G159" i="76"/>
  <c r="K32" i="78"/>
  <c r="E34" i="78"/>
  <c r="B33" i="78"/>
  <c r="A33" i="78"/>
  <c r="C34" i="78"/>
  <c r="A33" i="73"/>
  <c r="K32" i="73"/>
  <c r="AH33" i="78" l="1"/>
  <c r="AC34" i="78"/>
  <c r="O29" i="80"/>
  <c r="Q28" i="80"/>
  <c r="P28" i="80"/>
  <c r="M41" i="80"/>
  <c r="L41" i="80"/>
  <c r="K41" i="80"/>
  <c r="F45" i="80"/>
  <c r="D42" i="80"/>
  <c r="E43" i="80"/>
  <c r="L34" i="76"/>
  <c r="O22" i="76"/>
  <c r="E35" i="76"/>
  <c r="D35" i="76" s="1"/>
  <c r="M35" i="76" s="1"/>
  <c r="F161" i="76"/>
  <c r="H160" i="76"/>
  <c r="G160" i="76"/>
  <c r="K33" i="78"/>
  <c r="L32" i="78"/>
  <c r="M32" i="78" s="1"/>
  <c r="E35" i="78"/>
  <c r="B34" i="78"/>
  <c r="A34" i="78"/>
  <c r="C35" i="78"/>
  <c r="A34" i="73"/>
  <c r="K33" i="73"/>
  <c r="AH34" i="78" l="1"/>
  <c r="AC35" i="78"/>
  <c r="O30" i="80"/>
  <c r="Q29" i="80"/>
  <c r="P29" i="80"/>
  <c r="D43" i="80"/>
  <c r="E44" i="80"/>
  <c r="M42" i="80"/>
  <c r="L42" i="80"/>
  <c r="K42" i="80"/>
  <c r="F46" i="80"/>
  <c r="O23" i="76"/>
  <c r="K35" i="76"/>
  <c r="L35" i="76"/>
  <c r="E36" i="76"/>
  <c r="D36" i="76" s="1"/>
  <c r="M36" i="76" s="1"/>
  <c r="F162" i="76"/>
  <c r="H161" i="76"/>
  <c r="G161" i="76"/>
  <c r="L33" i="78"/>
  <c r="M33" i="78" s="1"/>
  <c r="K34" i="78"/>
  <c r="E36" i="78"/>
  <c r="B35" i="78"/>
  <c r="A35" i="78"/>
  <c r="C36" i="78"/>
  <c r="K34" i="73"/>
  <c r="A35" i="73"/>
  <c r="AH35" i="78" l="1"/>
  <c r="AC36" i="78"/>
  <c r="O31" i="80"/>
  <c r="Q30" i="80"/>
  <c r="P30" i="80"/>
  <c r="D44" i="80"/>
  <c r="E45" i="80"/>
  <c r="M43" i="80"/>
  <c r="L43" i="80"/>
  <c r="K43" i="80"/>
  <c r="F47" i="80"/>
  <c r="O24" i="76"/>
  <c r="K36" i="76"/>
  <c r="L36" i="76"/>
  <c r="E37" i="76"/>
  <c r="D37" i="76" s="1"/>
  <c r="M37" i="76" s="1"/>
  <c r="F163" i="76"/>
  <c r="H162" i="76"/>
  <c r="G162" i="76"/>
  <c r="K35" i="78"/>
  <c r="L34" i="78"/>
  <c r="M34" i="78" s="1"/>
  <c r="E37" i="78"/>
  <c r="B36" i="78"/>
  <c r="AH36" i="78" s="1"/>
  <c r="A36" i="78"/>
  <c r="C37" i="78"/>
  <c r="K35" i="73"/>
  <c r="B35" i="73"/>
  <c r="A36" i="73"/>
  <c r="AC37" i="78" l="1"/>
  <c r="F48" i="80"/>
  <c r="D45" i="80"/>
  <c r="E46" i="80"/>
  <c r="M44" i="80"/>
  <c r="L44" i="80"/>
  <c r="K44" i="80"/>
  <c r="O32" i="80"/>
  <c r="Q31" i="80"/>
  <c r="P31" i="80"/>
  <c r="O25" i="76"/>
  <c r="K37" i="76"/>
  <c r="L37" i="76"/>
  <c r="E38" i="76"/>
  <c r="D38" i="76" s="1"/>
  <c r="M38" i="76" s="1"/>
  <c r="F164" i="76"/>
  <c r="H163" i="76"/>
  <c r="G163" i="76"/>
  <c r="L35" i="78"/>
  <c r="M35" i="78" s="1"/>
  <c r="K36" i="78"/>
  <c r="E38" i="78"/>
  <c r="B37" i="78"/>
  <c r="AH37" i="78" s="1"/>
  <c r="A37" i="78"/>
  <c r="C38" i="78"/>
  <c r="A37" i="73"/>
  <c r="B36" i="73"/>
  <c r="K36" i="73"/>
  <c r="AC38" i="78" l="1"/>
  <c r="D46" i="80"/>
  <c r="E47" i="80"/>
  <c r="M45" i="80"/>
  <c r="L45" i="80"/>
  <c r="K45" i="80"/>
  <c r="O33" i="80"/>
  <c r="Q32" i="80"/>
  <c r="P32" i="80"/>
  <c r="F49" i="80"/>
  <c r="O26" i="76"/>
  <c r="K38" i="76"/>
  <c r="L38" i="76"/>
  <c r="E39" i="76"/>
  <c r="D39" i="76" s="1"/>
  <c r="M39" i="76" s="1"/>
  <c r="F165" i="76"/>
  <c r="H164" i="76"/>
  <c r="G164" i="76"/>
  <c r="K37" i="78"/>
  <c r="L36" i="78"/>
  <c r="E39" i="78"/>
  <c r="B38" i="78"/>
  <c r="AH38" i="78" s="1"/>
  <c r="A38" i="78"/>
  <c r="C39" i="78"/>
  <c r="K37" i="73"/>
  <c r="A38" i="73"/>
  <c r="B37" i="73"/>
  <c r="AC39" i="78" l="1"/>
  <c r="L37" i="78"/>
  <c r="M37" i="78" s="1"/>
  <c r="D47" i="80"/>
  <c r="E48" i="80"/>
  <c r="F50" i="80"/>
  <c r="K46" i="80"/>
  <c r="M46" i="80"/>
  <c r="L46" i="80"/>
  <c r="O34" i="80"/>
  <c r="Q33" i="80"/>
  <c r="P33" i="80"/>
  <c r="O27" i="76"/>
  <c r="K39" i="76"/>
  <c r="L39" i="76"/>
  <c r="E40" i="76"/>
  <c r="D40" i="76" s="1"/>
  <c r="M40" i="76" s="1"/>
  <c r="F166" i="76"/>
  <c r="G165" i="76"/>
  <c r="H165" i="76"/>
  <c r="K38" i="78"/>
  <c r="E40" i="78"/>
  <c r="B39" i="78"/>
  <c r="AH39" i="78" s="1"/>
  <c r="A39" i="78"/>
  <c r="C40" i="78"/>
  <c r="K38" i="73"/>
  <c r="B38" i="73"/>
  <c r="A39" i="73"/>
  <c r="L38" i="78" l="1"/>
  <c r="M38" i="78" s="1"/>
  <c r="AC40" i="78"/>
  <c r="F51" i="80"/>
  <c r="O35" i="80"/>
  <c r="Q34" i="80"/>
  <c r="P34" i="80"/>
  <c r="D48" i="80"/>
  <c r="E49" i="80"/>
  <c r="L47" i="80"/>
  <c r="O28" i="76"/>
  <c r="Q28" i="76" s="1"/>
  <c r="K40" i="76"/>
  <c r="L40" i="76"/>
  <c r="E41" i="76"/>
  <c r="D41" i="76" s="1"/>
  <c r="M41" i="76" s="1"/>
  <c r="F167" i="76"/>
  <c r="H166" i="76"/>
  <c r="G166" i="76"/>
  <c r="K39" i="78"/>
  <c r="E41" i="78"/>
  <c r="B40" i="78"/>
  <c r="AH40" i="78" s="1"/>
  <c r="A40" i="78"/>
  <c r="C41" i="78"/>
  <c r="A40" i="73"/>
  <c r="B39" i="73"/>
  <c r="K39" i="73"/>
  <c r="L39" i="78" l="1"/>
  <c r="M39" i="78" s="1"/>
  <c r="AC41" i="78"/>
  <c r="M48" i="80"/>
  <c r="L48" i="80"/>
  <c r="K48" i="80"/>
  <c r="O36" i="80"/>
  <c r="Q35" i="80"/>
  <c r="P35" i="80"/>
  <c r="D49" i="80"/>
  <c r="E50" i="80"/>
  <c r="F52" i="80"/>
  <c r="O29" i="76"/>
  <c r="P28" i="76"/>
  <c r="K41" i="76"/>
  <c r="L41" i="76"/>
  <c r="E42" i="76"/>
  <c r="D42" i="76" s="1"/>
  <c r="M42" i="76" s="1"/>
  <c r="F168" i="76"/>
  <c r="H167" i="76"/>
  <c r="G167" i="76"/>
  <c r="K40" i="78"/>
  <c r="E42" i="78"/>
  <c r="B41" i="78"/>
  <c r="A41" i="78"/>
  <c r="C42" i="78"/>
  <c r="B40" i="73"/>
  <c r="A41" i="73"/>
  <c r="K40" i="73"/>
  <c r="AH41" i="78" l="1"/>
  <c r="AC42" i="78"/>
  <c r="D50" i="80"/>
  <c r="E51" i="80"/>
  <c r="M49" i="80"/>
  <c r="L49" i="80"/>
  <c r="K49" i="80"/>
  <c r="O37" i="80"/>
  <c r="Q36" i="80"/>
  <c r="P36" i="80"/>
  <c r="F53" i="80"/>
  <c r="Q29" i="76"/>
  <c r="O30" i="76"/>
  <c r="P29" i="76"/>
  <c r="K42" i="76"/>
  <c r="L42" i="76"/>
  <c r="E43" i="76"/>
  <c r="D43" i="76" s="1"/>
  <c r="M43" i="76" s="1"/>
  <c r="F169" i="76"/>
  <c r="H168" i="76"/>
  <c r="G168" i="76"/>
  <c r="K41" i="78"/>
  <c r="L40" i="78"/>
  <c r="M40" i="78" s="1"/>
  <c r="E43" i="78"/>
  <c r="B42" i="78"/>
  <c r="A42" i="78"/>
  <c r="C43" i="78"/>
  <c r="B41" i="73"/>
  <c r="A42" i="73"/>
  <c r="K41" i="73"/>
  <c r="AH42" i="78" l="1"/>
  <c r="AC43" i="78"/>
  <c r="F54" i="80"/>
  <c r="O38" i="80"/>
  <c r="Q37" i="80"/>
  <c r="P37" i="80"/>
  <c r="D51" i="80"/>
  <c r="E52" i="80"/>
  <c r="M50" i="80"/>
  <c r="L50" i="80"/>
  <c r="K50" i="80"/>
  <c r="Q30" i="76"/>
  <c r="O31" i="76"/>
  <c r="Q31" i="76" s="1"/>
  <c r="P30" i="76"/>
  <c r="K43" i="76"/>
  <c r="L43" i="76"/>
  <c r="E44" i="76"/>
  <c r="D44" i="76" s="1"/>
  <c r="M44" i="76" s="1"/>
  <c r="F170" i="76"/>
  <c r="H169" i="76"/>
  <c r="G169" i="76"/>
  <c r="L41" i="78"/>
  <c r="M41" i="78" s="1"/>
  <c r="K42" i="78"/>
  <c r="E44" i="78"/>
  <c r="B43" i="78"/>
  <c r="A43" i="78"/>
  <c r="C44" i="78"/>
  <c r="K42" i="73"/>
  <c r="A43" i="73"/>
  <c r="B42" i="73"/>
  <c r="AH43" i="78" l="1"/>
  <c r="AC44" i="78"/>
  <c r="M51" i="80"/>
  <c r="L51" i="80"/>
  <c r="K51" i="80"/>
  <c r="O39" i="80"/>
  <c r="Q38" i="80"/>
  <c r="P38" i="80"/>
  <c r="F55" i="80"/>
  <c r="D52" i="80"/>
  <c r="E53" i="80"/>
  <c r="O32" i="76"/>
  <c r="P31" i="76"/>
  <c r="K44" i="76"/>
  <c r="L44" i="76"/>
  <c r="E45" i="76"/>
  <c r="D45" i="76" s="1"/>
  <c r="M45" i="76" s="1"/>
  <c r="F171" i="76"/>
  <c r="H170" i="76"/>
  <c r="G170" i="76"/>
  <c r="K43" i="78"/>
  <c r="L42" i="78"/>
  <c r="M42" i="78" s="1"/>
  <c r="E45" i="78"/>
  <c r="B44" i="78"/>
  <c r="AH44" i="78" s="1"/>
  <c r="A44" i="78"/>
  <c r="C45" i="78"/>
  <c r="B43" i="73"/>
  <c r="A44" i="73"/>
  <c r="K43" i="73"/>
  <c r="AC45" i="78" l="1"/>
  <c r="F56" i="80"/>
  <c r="D53" i="80"/>
  <c r="E54" i="80"/>
  <c r="O40" i="80"/>
  <c r="Q39" i="80"/>
  <c r="P39" i="80"/>
  <c r="M52" i="80"/>
  <c r="K52" i="80"/>
  <c r="L52" i="80"/>
  <c r="Q32" i="76"/>
  <c r="O33" i="76"/>
  <c r="Q33" i="76" s="1"/>
  <c r="P32" i="76"/>
  <c r="K45" i="76"/>
  <c r="L45" i="76"/>
  <c r="E46" i="76"/>
  <c r="D46" i="76" s="1"/>
  <c r="F172" i="76"/>
  <c r="H171" i="76"/>
  <c r="G171" i="76"/>
  <c r="K44" i="78"/>
  <c r="L43" i="78"/>
  <c r="M43" i="78" s="1"/>
  <c r="E46" i="78"/>
  <c r="B45" i="78"/>
  <c r="AH45" i="78" s="1"/>
  <c r="A45" i="78"/>
  <c r="C46" i="78"/>
  <c r="A45" i="73"/>
  <c r="B44" i="73"/>
  <c r="K44" i="73"/>
  <c r="AC46" i="78" l="1"/>
  <c r="K45" i="78"/>
  <c r="D54" i="80"/>
  <c r="E55" i="80"/>
  <c r="F57" i="80"/>
  <c r="K53" i="80"/>
  <c r="M53" i="80"/>
  <c r="L53" i="80"/>
  <c r="O41" i="80"/>
  <c r="Q40" i="80"/>
  <c r="P40" i="80"/>
  <c r="L46" i="76"/>
  <c r="O34" i="76"/>
  <c r="P33" i="76"/>
  <c r="E47" i="76"/>
  <c r="D47" i="76" s="1"/>
  <c r="M47" i="76" s="1"/>
  <c r="F173" i="76"/>
  <c r="G172" i="76"/>
  <c r="H172" i="76"/>
  <c r="L44" i="78"/>
  <c r="E47" i="78"/>
  <c r="B46" i="78"/>
  <c r="AH46" i="78" s="1"/>
  <c r="A46" i="78"/>
  <c r="C47" i="78"/>
  <c r="K45" i="73"/>
  <c r="A46" i="73"/>
  <c r="B45" i="73"/>
  <c r="AC47" i="78" l="1"/>
  <c r="L45" i="78"/>
  <c r="M45" i="78" s="1"/>
  <c r="K46" i="78"/>
  <c r="L46" i="78" s="1"/>
  <c r="F58" i="80"/>
  <c r="O42" i="80"/>
  <c r="Q41" i="80"/>
  <c r="P41" i="80"/>
  <c r="D55" i="80"/>
  <c r="E56" i="80"/>
  <c r="M54" i="80"/>
  <c r="L54" i="80"/>
  <c r="K54" i="80"/>
  <c r="Q34" i="76"/>
  <c r="O35" i="76"/>
  <c r="Q35" i="76" s="1"/>
  <c r="P34" i="76"/>
  <c r="K47" i="76"/>
  <c r="L47" i="76"/>
  <c r="E48" i="76"/>
  <c r="D48" i="76" s="1"/>
  <c r="M48" i="76" s="1"/>
  <c r="F174" i="76"/>
  <c r="G173" i="76"/>
  <c r="H173" i="76"/>
  <c r="M46" i="78"/>
  <c r="E48" i="78"/>
  <c r="B47" i="78"/>
  <c r="AH47" i="78" s="1"/>
  <c r="A47" i="78"/>
  <c r="C48" i="78"/>
  <c r="K46" i="73"/>
  <c r="B46" i="73"/>
  <c r="A47" i="73"/>
  <c r="AC48" i="78" l="1"/>
  <c r="K47" i="78"/>
  <c r="L47" i="78" s="1"/>
  <c r="M55" i="80"/>
  <c r="L55" i="80"/>
  <c r="K55" i="80"/>
  <c r="O43" i="80"/>
  <c r="Q42" i="80"/>
  <c r="P42" i="80"/>
  <c r="F59" i="80"/>
  <c r="D56" i="80"/>
  <c r="E57" i="80"/>
  <c r="O36" i="76"/>
  <c r="Q36" i="76" s="1"/>
  <c r="P35" i="76"/>
  <c r="K48" i="76"/>
  <c r="L48" i="76"/>
  <c r="E49" i="76"/>
  <c r="D49" i="76" s="1"/>
  <c r="M49" i="76" s="1"/>
  <c r="F175" i="76"/>
  <c r="H174" i="76"/>
  <c r="G174" i="76"/>
  <c r="M47" i="78"/>
  <c r="E49" i="78"/>
  <c r="B48" i="78"/>
  <c r="A48" i="78"/>
  <c r="C49" i="78"/>
  <c r="A48" i="73"/>
  <c r="B47" i="73"/>
  <c r="K47" i="73"/>
  <c r="AH48" i="78" l="1"/>
  <c r="AC49" i="78"/>
  <c r="F60" i="80"/>
  <c r="D57" i="80"/>
  <c r="E58" i="80"/>
  <c r="M56" i="80"/>
  <c r="K56" i="80"/>
  <c r="L56" i="80"/>
  <c r="O44" i="80"/>
  <c r="P43" i="80"/>
  <c r="Q43" i="80"/>
  <c r="O37" i="76"/>
  <c r="Q37" i="76" s="1"/>
  <c r="P36" i="76"/>
  <c r="K49" i="76"/>
  <c r="L49" i="76"/>
  <c r="E50" i="76"/>
  <c r="D50" i="76" s="1"/>
  <c r="M50" i="76" s="1"/>
  <c r="F176" i="76"/>
  <c r="H175" i="76"/>
  <c r="G175" i="76"/>
  <c r="K48" i="78"/>
  <c r="E50" i="78"/>
  <c r="B49" i="78"/>
  <c r="A49" i="78"/>
  <c r="C50" i="78"/>
  <c r="K48" i="73"/>
  <c r="B48" i="73"/>
  <c r="A49" i="73"/>
  <c r="AH49" i="78" l="1"/>
  <c r="AC50" i="78"/>
  <c r="D58" i="80"/>
  <c r="E59" i="80"/>
  <c r="F61" i="80"/>
  <c r="O45" i="80"/>
  <c r="Q44" i="80"/>
  <c r="P44" i="80"/>
  <c r="K57" i="80"/>
  <c r="M57" i="80"/>
  <c r="L57" i="80"/>
  <c r="O38" i="76"/>
  <c r="Q38" i="76" s="1"/>
  <c r="P37" i="76"/>
  <c r="K50" i="76"/>
  <c r="L50" i="76"/>
  <c r="E51" i="76"/>
  <c r="D51" i="76" s="1"/>
  <c r="M51" i="76" s="1"/>
  <c r="F177" i="76"/>
  <c r="H176" i="76"/>
  <c r="G176" i="76"/>
  <c r="K49" i="78"/>
  <c r="L48" i="78"/>
  <c r="M48" i="78" s="1"/>
  <c r="E51" i="78"/>
  <c r="B50" i="78"/>
  <c r="AH50" i="78" s="1"/>
  <c r="A50" i="78"/>
  <c r="C51" i="78"/>
  <c r="B49" i="73"/>
  <c r="A50" i="73"/>
  <c r="K49" i="73"/>
  <c r="AC51" i="78" l="1"/>
  <c r="M58" i="80"/>
  <c r="L58" i="80"/>
  <c r="K58" i="80"/>
  <c r="O46" i="80"/>
  <c r="P45" i="80"/>
  <c r="Q45" i="80"/>
  <c r="F62" i="80"/>
  <c r="D59" i="80"/>
  <c r="E60" i="80"/>
  <c r="O39" i="76"/>
  <c r="Q39" i="76" s="1"/>
  <c r="P38" i="76"/>
  <c r="K51" i="76"/>
  <c r="L51" i="76"/>
  <c r="E52" i="76"/>
  <c r="D52" i="76" s="1"/>
  <c r="M52" i="76" s="1"/>
  <c r="F178" i="76"/>
  <c r="H177" i="76"/>
  <c r="G177" i="76"/>
  <c r="L49" i="78"/>
  <c r="M49" i="78" s="1"/>
  <c r="K50" i="78"/>
  <c r="E52" i="78"/>
  <c r="B51" i="78"/>
  <c r="A51" i="78"/>
  <c r="C52" i="78"/>
  <c r="G50" i="73"/>
  <c r="A51" i="73"/>
  <c r="B50" i="73"/>
  <c r="K50" i="73"/>
  <c r="AH51" i="78" l="1"/>
  <c r="AC52" i="78"/>
  <c r="D60" i="80"/>
  <c r="E61" i="80"/>
  <c r="L59" i="80"/>
  <c r="O47" i="80"/>
  <c r="Q46" i="80"/>
  <c r="P46" i="80"/>
  <c r="F63" i="80"/>
  <c r="O40" i="76"/>
  <c r="P39" i="76"/>
  <c r="K52" i="76"/>
  <c r="L52" i="76"/>
  <c r="E53" i="76"/>
  <c r="D53" i="76" s="1"/>
  <c r="M53" i="76" s="1"/>
  <c r="F179" i="76"/>
  <c r="H178" i="76"/>
  <c r="G178" i="76"/>
  <c r="L50" i="78"/>
  <c r="M50" i="78" s="1"/>
  <c r="K51" i="78"/>
  <c r="E53" i="78"/>
  <c r="B52" i="78"/>
  <c r="AH52" i="78" s="1"/>
  <c r="A52" i="78"/>
  <c r="C53" i="78"/>
  <c r="K51" i="73"/>
  <c r="A52" i="73"/>
  <c r="B51" i="73"/>
  <c r="G51" i="73"/>
  <c r="H50" i="73" s="1"/>
  <c r="AC53" i="78" l="1"/>
  <c r="L51" i="78"/>
  <c r="M51" i="78" s="1"/>
  <c r="O48" i="80"/>
  <c r="Q47" i="80"/>
  <c r="P47" i="80"/>
  <c r="F64" i="80"/>
  <c r="D61" i="80"/>
  <c r="E62" i="80"/>
  <c r="M60" i="80"/>
  <c r="K60" i="80"/>
  <c r="L60" i="80"/>
  <c r="Q40" i="76"/>
  <c r="O41" i="76"/>
  <c r="P40" i="76"/>
  <c r="K53" i="76"/>
  <c r="L53" i="76"/>
  <c r="E54" i="76"/>
  <c r="D54" i="76" s="1"/>
  <c r="M54" i="76" s="1"/>
  <c r="F180" i="76"/>
  <c r="H179" i="76"/>
  <c r="G179" i="76"/>
  <c r="K52" i="78"/>
  <c r="L52" i="78" s="1"/>
  <c r="E54" i="78"/>
  <c r="B53" i="78"/>
  <c r="AH53" i="78" s="1"/>
  <c r="A53" i="78"/>
  <c r="C54" i="78"/>
  <c r="K52" i="73"/>
  <c r="G52" i="73"/>
  <c r="H51" i="73" s="1"/>
  <c r="B52" i="73"/>
  <c r="A53" i="73"/>
  <c r="AC54" i="78" l="1"/>
  <c r="K53" i="78"/>
  <c r="L53" i="78" s="1"/>
  <c r="F65" i="80"/>
  <c r="D62" i="80"/>
  <c r="E63" i="80"/>
  <c r="K61" i="80"/>
  <c r="M61" i="80"/>
  <c r="L61" i="80"/>
  <c r="O49" i="80"/>
  <c r="Q48" i="80"/>
  <c r="P48" i="80"/>
  <c r="Q41" i="76"/>
  <c r="O42" i="76"/>
  <c r="Q42" i="76" s="1"/>
  <c r="P41" i="76"/>
  <c r="K54" i="76"/>
  <c r="L54" i="76"/>
  <c r="E55" i="76"/>
  <c r="D55" i="76" s="1"/>
  <c r="M55" i="76" s="1"/>
  <c r="F181" i="76"/>
  <c r="H180" i="76"/>
  <c r="G180" i="76"/>
  <c r="M53" i="78"/>
  <c r="E55" i="78"/>
  <c r="B54" i="78"/>
  <c r="AH54" i="78" s="1"/>
  <c r="A54" i="78"/>
  <c r="C55" i="78"/>
  <c r="K53" i="73"/>
  <c r="G53" i="73"/>
  <c r="H52" i="73" s="1"/>
  <c r="A54" i="73"/>
  <c r="B53" i="73"/>
  <c r="AC55" i="78" l="1"/>
  <c r="K54" i="78"/>
  <c r="L54" i="78" s="1"/>
  <c r="D63" i="80"/>
  <c r="E64" i="80"/>
  <c r="M62" i="80"/>
  <c r="L62" i="80"/>
  <c r="K62" i="80"/>
  <c r="O50" i="80"/>
  <c r="Q49" i="80"/>
  <c r="P49" i="80"/>
  <c r="F66" i="80"/>
  <c r="O43" i="76"/>
  <c r="Q43" i="76" s="1"/>
  <c r="P42" i="76"/>
  <c r="K55" i="76"/>
  <c r="L55" i="76"/>
  <c r="E56" i="76"/>
  <c r="D56" i="76" s="1"/>
  <c r="M56" i="76" s="1"/>
  <c r="F182" i="76"/>
  <c r="G181" i="76"/>
  <c r="H181" i="76"/>
  <c r="M54" i="78"/>
  <c r="E56" i="78"/>
  <c r="B55" i="78"/>
  <c r="AH55" i="78" s="1"/>
  <c r="A55" i="78"/>
  <c r="C56" i="78"/>
  <c r="K54" i="73"/>
  <c r="B54" i="73"/>
  <c r="G54" i="73"/>
  <c r="H53" i="73" s="1"/>
  <c r="A55" i="73"/>
  <c r="AC56" i="78" l="1"/>
  <c r="K55" i="78"/>
  <c r="P50" i="80"/>
  <c r="O51" i="80"/>
  <c r="Q50" i="80"/>
  <c r="F67" i="80"/>
  <c r="D64" i="80"/>
  <c r="E65" i="80"/>
  <c r="M63" i="80"/>
  <c r="L63" i="80"/>
  <c r="K63" i="80"/>
  <c r="O44" i="76"/>
  <c r="Q44" i="76" s="1"/>
  <c r="P43" i="76"/>
  <c r="K56" i="76"/>
  <c r="L56" i="76"/>
  <c r="E57" i="76"/>
  <c r="D57" i="76" s="1"/>
  <c r="M57" i="76" s="1"/>
  <c r="F183" i="76"/>
  <c r="H182" i="76"/>
  <c r="G182" i="76"/>
  <c r="L55" i="78"/>
  <c r="M55" i="78" s="1"/>
  <c r="E57" i="78"/>
  <c r="B56" i="78"/>
  <c r="A56" i="78"/>
  <c r="C57" i="78"/>
  <c r="K55" i="73"/>
  <c r="B55" i="73"/>
  <c r="G55" i="73"/>
  <c r="H54" i="73" s="1"/>
  <c r="A56" i="73"/>
  <c r="AH56" i="78" l="1"/>
  <c r="AC57" i="78"/>
  <c r="F68" i="80"/>
  <c r="D65" i="80"/>
  <c r="E66" i="80"/>
  <c r="O52" i="80"/>
  <c r="Q51" i="80"/>
  <c r="P51" i="80"/>
  <c r="M64" i="80"/>
  <c r="K64" i="80"/>
  <c r="L64" i="80"/>
  <c r="O45" i="76"/>
  <c r="Q45" i="76" s="1"/>
  <c r="P44" i="76"/>
  <c r="K57" i="76"/>
  <c r="L57" i="76"/>
  <c r="E58" i="76"/>
  <c r="D58" i="76" s="1"/>
  <c r="F184" i="76"/>
  <c r="H183" i="76"/>
  <c r="G183" i="76"/>
  <c r="K56" i="78"/>
  <c r="E58" i="78"/>
  <c r="B57" i="78"/>
  <c r="A57" i="78"/>
  <c r="C58" i="78"/>
  <c r="A57" i="73"/>
  <c r="G56" i="73"/>
  <c r="H55" i="73" s="1"/>
  <c r="B56" i="73"/>
  <c r="K56" i="73"/>
  <c r="AH57" i="78" l="1"/>
  <c r="AC58" i="78"/>
  <c r="D66" i="80"/>
  <c r="E67" i="80"/>
  <c r="K65" i="80"/>
  <c r="L65" i="80"/>
  <c r="M65" i="80"/>
  <c r="O53" i="80"/>
  <c r="Q52" i="80"/>
  <c r="P52" i="80"/>
  <c r="F69" i="80"/>
  <c r="L58" i="76"/>
  <c r="O46" i="76"/>
  <c r="Q46" i="76" s="1"/>
  <c r="P45" i="76"/>
  <c r="E59" i="76"/>
  <c r="D59" i="76" s="1"/>
  <c r="M59" i="76" s="1"/>
  <c r="F185" i="76"/>
  <c r="H184" i="76"/>
  <c r="G184" i="76"/>
  <c r="K57" i="78"/>
  <c r="L56" i="78"/>
  <c r="M56" i="78" s="1"/>
  <c r="E59" i="78"/>
  <c r="B58" i="78"/>
  <c r="A58" i="78"/>
  <c r="C59" i="78"/>
  <c r="A58" i="73"/>
  <c r="B57" i="73"/>
  <c r="G57" i="73"/>
  <c r="H56" i="73" s="1"/>
  <c r="K57" i="73"/>
  <c r="AH58" i="78" l="1"/>
  <c r="AC59" i="78"/>
  <c r="O54" i="80"/>
  <c r="P53" i="80"/>
  <c r="Q53" i="80"/>
  <c r="D67" i="80"/>
  <c r="E68" i="80"/>
  <c r="F70" i="80"/>
  <c r="M66" i="80"/>
  <c r="L66" i="80"/>
  <c r="K66" i="80"/>
  <c r="O47" i="76"/>
  <c r="Q47" i="76" s="1"/>
  <c r="P46" i="76"/>
  <c r="K59" i="76"/>
  <c r="L59" i="76"/>
  <c r="E60" i="76"/>
  <c r="D60" i="76" s="1"/>
  <c r="M60" i="76" s="1"/>
  <c r="F186" i="76"/>
  <c r="H185" i="76"/>
  <c r="G185" i="76"/>
  <c r="L57" i="78"/>
  <c r="M57" i="78" s="1"/>
  <c r="K58" i="78"/>
  <c r="E60" i="78"/>
  <c r="B59" i="78"/>
  <c r="A59" i="78"/>
  <c r="C60" i="78"/>
  <c r="K58" i="73"/>
  <c r="A59" i="73"/>
  <c r="G58" i="73"/>
  <c r="H57" i="73" s="1"/>
  <c r="B58" i="73"/>
  <c r="AH59" i="78" l="1"/>
  <c r="AC60" i="78"/>
  <c r="D68" i="80"/>
  <c r="E69" i="80"/>
  <c r="M67" i="80"/>
  <c r="K67" i="80"/>
  <c r="L67" i="80"/>
  <c r="F71" i="80"/>
  <c r="P54" i="80"/>
  <c r="O55" i="80"/>
  <c r="Q54" i="80"/>
  <c r="O48" i="76"/>
  <c r="P47" i="76"/>
  <c r="K60" i="76"/>
  <c r="L60" i="76"/>
  <c r="E61" i="76"/>
  <c r="D61" i="76" s="1"/>
  <c r="M61" i="76" s="1"/>
  <c r="F187" i="76"/>
  <c r="H186" i="76"/>
  <c r="G186" i="76"/>
  <c r="L58" i="78"/>
  <c r="M58" i="78" s="1"/>
  <c r="K59" i="78"/>
  <c r="E61" i="78"/>
  <c r="B60" i="78"/>
  <c r="AH60" i="78" s="1"/>
  <c r="A60" i="78"/>
  <c r="C61" i="78"/>
  <c r="K59" i="73"/>
  <c r="A60" i="73"/>
  <c r="B59" i="73"/>
  <c r="G59" i="73"/>
  <c r="H58" i="73" s="1"/>
  <c r="AC61" i="78" l="1"/>
  <c r="L59" i="78"/>
  <c r="M59" i="78" s="1"/>
  <c r="F72" i="80"/>
  <c r="O56" i="80"/>
  <c r="Q55" i="80"/>
  <c r="P55" i="80"/>
  <c r="D69" i="80"/>
  <c r="E70" i="80"/>
  <c r="M68" i="80"/>
  <c r="L68" i="80"/>
  <c r="K68" i="80"/>
  <c r="Q48" i="76"/>
  <c r="O49" i="76"/>
  <c r="Q49" i="76" s="1"/>
  <c r="P48" i="76"/>
  <c r="K61" i="76"/>
  <c r="L61" i="76"/>
  <c r="E62" i="76"/>
  <c r="D62" i="76" s="1"/>
  <c r="M62" i="76" s="1"/>
  <c r="F188" i="76"/>
  <c r="H187" i="76"/>
  <c r="G187" i="76"/>
  <c r="K60" i="78"/>
  <c r="L60" i="78" s="1"/>
  <c r="E62" i="78"/>
  <c r="B61" i="78"/>
  <c r="AH61" i="78" s="1"/>
  <c r="A61" i="78"/>
  <c r="C62" i="78"/>
  <c r="K60" i="73"/>
  <c r="G60" i="73"/>
  <c r="H59" i="73" s="1"/>
  <c r="B60" i="73"/>
  <c r="A61" i="73"/>
  <c r="AC62" i="78" l="1"/>
  <c r="O57" i="80"/>
  <c r="Q56" i="80"/>
  <c r="P56" i="80"/>
  <c r="F73" i="80"/>
  <c r="D70" i="80"/>
  <c r="E71" i="80"/>
  <c r="M69" i="80"/>
  <c r="K69" i="80"/>
  <c r="L69" i="80"/>
  <c r="O50" i="76"/>
  <c r="P49" i="76"/>
  <c r="K62" i="76"/>
  <c r="L62" i="76"/>
  <c r="E63" i="76"/>
  <c r="D63" i="76" s="1"/>
  <c r="M63" i="76" s="1"/>
  <c r="F189" i="76"/>
  <c r="H188" i="76"/>
  <c r="G188" i="76"/>
  <c r="K61" i="78"/>
  <c r="L61" i="78" s="1"/>
  <c r="M61" i="78" s="1"/>
  <c r="E63" i="78"/>
  <c r="A62" i="78"/>
  <c r="B62" i="78"/>
  <c r="AH62" i="78" s="1"/>
  <c r="C63" i="78"/>
  <c r="K61" i="73"/>
  <c r="B61" i="73"/>
  <c r="G61" i="73"/>
  <c r="H60" i="73" s="1"/>
  <c r="A62" i="73"/>
  <c r="AC63" i="78" l="1"/>
  <c r="F74" i="80"/>
  <c r="M70" i="80"/>
  <c r="L70" i="80"/>
  <c r="K70" i="80"/>
  <c r="D71" i="80"/>
  <c r="E72" i="80"/>
  <c r="O58" i="80"/>
  <c r="P57" i="80"/>
  <c r="Q57" i="80"/>
  <c r="Q50" i="76"/>
  <c r="O51" i="76"/>
  <c r="Q51" i="76" s="1"/>
  <c r="P50" i="76"/>
  <c r="K63" i="76"/>
  <c r="L63" i="76"/>
  <c r="E64" i="76"/>
  <c r="D64" i="76" s="1"/>
  <c r="M64" i="76" s="1"/>
  <c r="F190" i="76"/>
  <c r="G189" i="76"/>
  <c r="H189" i="76"/>
  <c r="K62" i="78"/>
  <c r="L62" i="78" s="1"/>
  <c r="M62" i="78" s="1"/>
  <c r="E64" i="78"/>
  <c r="B63" i="78"/>
  <c r="AH63" i="78" s="1"/>
  <c r="A63" i="78"/>
  <c r="C64" i="78"/>
  <c r="K62" i="73"/>
  <c r="B62" i="73"/>
  <c r="G62" i="73"/>
  <c r="H61" i="73" s="1"/>
  <c r="A63" i="73"/>
  <c r="AC64" i="78" l="1"/>
  <c r="F75" i="80"/>
  <c r="P58" i="80"/>
  <c r="O59" i="80"/>
  <c r="Q58" i="80"/>
  <c r="D72" i="80"/>
  <c r="E73" i="80"/>
  <c r="L71" i="80"/>
  <c r="O52" i="76"/>
  <c r="Q52" i="76" s="1"/>
  <c r="P51" i="76"/>
  <c r="K64" i="76"/>
  <c r="L64" i="76"/>
  <c r="E65" i="76"/>
  <c r="D65" i="76" s="1"/>
  <c r="M65" i="76" s="1"/>
  <c r="F191" i="76"/>
  <c r="H190" i="76"/>
  <c r="G190" i="76"/>
  <c r="K63" i="78"/>
  <c r="L63" i="78" s="1"/>
  <c r="M63" i="78" s="1"/>
  <c r="E65" i="78"/>
  <c r="B64" i="78"/>
  <c r="A64" i="78"/>
  <c r="C65" i="78"/>
  <c r="B63" i="73"/>
  <c r="A64" i="73"/>
  <c r="G63" i="73"/>
  <c r="H62" i="73" s="1"/>
  <c r="K63" i="73"/>
  <c r="AH64" i="78" l="1"/>
  <c r="AC65" i="78"/>
  <c r="O60" i="80"/>
  <c r="Q59" i="80"/>
  <c r="P59" i="80"/>
  <c r="D73" i="80"/>
  <c r="E74" i="80"/>
  <c r="M72" i="80"/>
  <c r="K72" i="80"/>
  <c r="L72" i="80"/>
  <c r="F76" i="80"/>
  <c r="O53" i="76"/>
  <c r="P52" i="76"/>
  <c r="K65" i="76"/>
  <c r="L65" i="76"/>
  <c r="E66" i="76"/>
  <c r="D66" i="76" s="1"/>
  <c r="M66" i="76" s="1"/>
  <c r="F192" i="76"/>
  <c r="H191" i="76"/>
  <c r="G191" i="76"/>
  <c r="K64" i="78"/>
  <c r="E66" i="78"/>
  <c r="B65" i="78"/>
  <c r="A65" i="78"/>
  <c r="C66" i="78"/>
  <c r="K64" i="73"/>
  <c r="A65" i="73"/>
  <c r="G64" i="73"/>
  <c r="H63" i="73" s="1"/>
  <c r="B64" i="73"/>
  <c r="AH65" i="78" l="1"/>
  <c r="AC66" i="78"/>
  <c r="D74" i="80"/>
  <c r="E75" i="80"/>
  <c r="F77" i="80"/>
  <c r="K73" i="80"/>
  <c r="M73" i="80"/>
  <c r="L73" i="80"/>
  <c r="O61" i="80"/>
  <c r="Q60" i="80"/>
  <c r="P60" i="80"/>
  <c r="Q53" i="76"/>
  <c r="O54" i="76"/>
  <c r="P53" i="76"/>
  <c r="K66" i="76"/>
  <c r="L66" i="76"/>
  <c r="E67" i="76"/>
  <c r="D67" i="76" s="1"/>
  <c r="M67" i="76" s="1"/>
  <c r="F193" i="76"/>
  <c r="H192" i="76"/>
  <c r="G192" i="76"/>
  <c r="K65" i="78"/>
  <c r="L64" i="78"/>
  <c r="M64" i="78" s="1"/>
  <c r="E67" i="78"/>
  <c r="A66" i="78"/>
  <c r="B66" i="78"/>
  <c r="C67" i="78"/>
  <c r="K65" i="73"/>
  <c r="B65" i="73"/>
  <c r="G65" i="73"/>
  <c r="H64" i="73" s="1"/>
  <c r="A66" i="73"/>
  <c r="AH66" i="78" l="1"/>
  <c r="AC67" i="78"/>
  <c r="O62" i="80"/>
  <c r="P61" i="80"/>
  <c r="Q61" i="80"/>
  <c r="D75" i="80"/>
  <c r="E76" i="80"/>
  <c r="F78" i="80"/>
  <c r="M74" i="80"/>
  <c r="K74" i="80"/>
  <c r="L74" i="80"/>
  <c r="Q54" i="76"/>
  <c r="O55" i="76"/>
  <c r="P54" i="76"/>
  <c r="K67" i="76"/>
  <c r="L67" i="76"/>
  <c r="E68" i="76"/>
  <c r="D68" i="76" s="1"/>
  <c r="M68" i="76" s="1"/>
  <c r="F194" i="76"/>
  <c r="H193" i="76"/>
  <c r="G193" i="76"/>
  <c r="L65" i="78"/>
  <c r="M65" i="78" s="1"/>
  <c r="K66" i="78"/>
  <c r="E68" i="78"/>
  <c r="B67" i="78"/>
  <c r="A67" i="78"/>
  <c r="C68" i="78"/>
  <c r="A67" i="73"/>
  <c r="G66" i="73"/>
  <c r="H65" i="73" s="1"/>
  <c r="B66" i="73"/>
  <c r="K66" i="73"/>
  <c r="AH67" i="78" l="1"/>
  <c r="AC68" i="78"/>
  <c r="D76" i="80"/>
  <c r="E77" i="80"/>
  <c r="M75" i="80"/>
  <c r="L75" i="80"/>
  <c r="K75" i="80"/>
  <c r="F79" i="80"/>
  <c r="P62" i="80"/>
  <c r="Q62" i="80"/>
  <c r="O63" i="80"/>
  <c r="Q55" i="76"/>
  <c r="O56" i="76"/>
  <c r="P55" i="76"/>
  <c r="K68" i="76"/>
  <c r="L68" i="76"/>
  <c r="E69" i="76"/>
  <c r="D69" i="76" s="1"/>
  <c r="M69" i="76" s="1"/>
  <c r="F195" i="76"/>
  <c r="H194" i="76"/>
  <c r="G194" i="76"/>
  <c r="K67" i="78"/>
  <c r="L66" i="78"/>
  <c r="M66" i="78" s="1"/>
  <c r="E69" i="78"/>
  <c r="A68" i="78"/>
  <c r="B68" i="78"/>
  <c r="AH68" i="78" s="1"/>
  <c r="C69" i="78"/>
  <c r="K67" i="73"/>
  <c r="A68" i="73"/>
  <c r="G67" i="73"/>
  <c r="H66" i="73" s="1"/>
  <c r="B67" i="73"/>
  <c r="AC69" i="78" l="1"/>
  <c r="F80" i="80"/>
  <c r="O64" i="80"/>
  <c r="Q63" i="80"/>
  <c r="P63" i="80"/>
  <c r="D77" i="80"/>
  <c r="E78" i="80"/>
  <c r="M76" i="80"/>
  <c r="K76" i="80"/>
  <c r="L76" i="80"/>
  <c r="Q56" i="76"/>
  <c r="O57" i="76"/>
  <c r="Q57" i="76" s="1"/>
  <c r="P56" i="76"/>
  <c r="K69" i="76"/>
  <c r="L69" i="76"/>
  <c r="E70" i="76"/>
  <c r="D70" i="76" s="1"/>
  <c r="F196" i="76"/>
  <c r="H195" i="76"/>
  <c r="G195" i="76"/>
  <c r="L67" i="78"/>
  <c r="M67" i="78" s="1"/>
  <c r="K68" i="78"/>
  <c r="E70" i="78"/>
  <c r="B69" i="78"/>
  <c r="AH69" i="78" s="1"/>
  <c r="A69" i="78"/>
  <c r="C70" i="78"/>
  <c r="A69" i="73"/>
  <c r="G68" i="73"/>
  <c r="H67" i="73" s="1"/>
  <c r="B68" i="73"/>
  <c r="K68" i="73"/>
  <c r="AC70" i="78" l="1"/>
  <c r="Q64" i="80"/>
  <c r="P64" i="80"/>
  <c r="O65" i="80"/>
  <c r="D78" i="80"/>
  <c r="E79" i="80"/>
  <c r="K77" i="80"/>
  <c r="M77" i="80"/>
  <c r="L77" i="80"/>
  <c r="F81" i="80"/>
  <c r="L70" i="76"/>
  <c r="O58" i="76"/>
  <c r="P57" i="76"/>
  <c r="E71" i="76"/>
  <c r="D71" i="76" s="1"/>
  <c r="M71" i="76" s="1"/>
  <c r="F197" i="76"/>
  <c r="G196" i="76"/>
  <c r="H196" i="76"/>
  <c r="K69" i="78"/>
  <c r="L68" i="78"/>
  <c r="E71" i="78"/>
  <c r="A70" i="78"/>
  <c r="B70" i="78"/>
  <c r="AH70" i="78" s="1"/>
  <c r="C71" i="78"/>
  <c r="G69" i="73"/>
  <c r="H68" i="73" s="1"/>
  <c r="A70" i="73"/>
  <c r="B69" i="73"/>
  <c r="K69" i="73"/>
  <c r="AC71" i="78" l="1"/>
  <c r="L69" i="78"/>
  <c r="M69" i="78" s="1"/>
  <c r="D79" i="80"/>
  <c r="E80" i="80"/>
  <c r="M78" i="80"/>
  <c r="L78" i="80"/>
  <c r="K78" i="80"/>
  <c r="O66" i="80"/>
  <c r="P65" i="80"/>
  <c r="Q65" i="80"/>
  <c r="F82" i="80"/>
  <c r="Q58" i="76"/>
  <c r="O59" i="76"/>
  <c r="Q59" i="76" s="1"/>
  <c r="P58" i="76"/>
  <c r="K71" i="76"/>
  <c r="L71" i="76"/>
  <c r="E72" i="76"/>
  <c r="D72" i="76" s="1"/>
  <c r="M72" i="76" s="1"/>
  <c r="F198" i="76"/>
  <c r="G197" i="76"/>
  <c r="H197" i="76"/>
  <c r="K70" i="78"/>
  <c r="L70" i="78" s="1"/>
  <c r="M70" i="78" s="1"/>
  <c r="E72" i="78"/>
  <c r="B71" i="78"/>
  <c r="AH71" i="78" s="1"/>
  <c r="A71" i="78"/>
  <c r="C72" i="78"/>
  <c r="B70" i="73"/>
  <c r="G70" i="73"/>
  <c r="H69" i="73" s="1"/>
  <c r="A71" i="73"/>
  <c r="K70" i="73"/>
  <c r="AC72" i="78" l="1"/>
  <c r="P66" i="80"/>
  <c r="O67" i="80"/>
  <c r="Q66" i="80"/>
  <c r="D80" i="80"/>
  <c r="E81" i="80"/>
  <c r="F83" i="80"/>
  <c r="L79" i="80"/>
  <c r="K79" i="80"/>
  <c r="M79" i="80"/>
  <c r="O60" i="76"/>
  <c r="Q60" i="76" s="1"/>
  <c r="P59" i="76"/>
  <c r="K72" i="76"/>
  <c r="L72" i="76"/>
  <c r="E73" i="76"/>
  <c r="D73" i="76" s="1"/>
  <c r="M73" i="76" s="1"/>
  <c r="F199" i="76"/>
  <c r="H198" i="76"/>
  <c r="G198" i="76"/>
  <c r="K71" i="78"/>
  <c r="L71" i="78" s="1"/>
  <c r="M71" i="78" s="1"/>
  <c r="E73" i="78"/>
  <c r="B72" i="78"/>
  <c r="A72" i="78"/>
  <c r="C73" i="78"/>
  <c r="B71" i="73"/>
  <c r="A72" i="73"/>
  <c r="G71" i="73"/>
  <c r="H70" i="73" s="1"/>
  <c r="K71" i="73"/>
  <c r="AH72" i="78" l="1"/>
  <c r="AC73" i="78"/>
  <c r="D81" i="80"/>
  <c r="E82" i="80"/>
  <c r="M80" i="80"/>
  <c r="L80" i="80"/>
  <c r="K80" i="80"/>
  <c r="F84" i="80"/>
  <c r="O68" i="80"/>
  <c r="Q67" i="80"/>
  <c r="P67" i="80"/>
  <c r="O61" i="76"/>
  <c r="Q61" i="76" s="1"/>
  <c r="P60" i="76"/>
  <c r="K73" i="76"/>
  <c r="L73" i="76"/>
  <c r="E74" i="76"/>
  <c r="D74" i="76" s="1"/>
  <c r="M74" i="76" s="1"/>
  <c r="F200" i="76"/>
  <c r="H199" i="76"/>
  <c r="G199" i="76"/>
  <c r="K72" i="78"/>
  <c r="E74" i="78"/>
  <c r="A73" i="78"/>
  <c r="B73" i="78"/>
  <c r="C74" i="78"/>
  <c r="G72" i="73"/>
  <c r="H71" i="73" s="1"/>
  <c r="B72" i="73"/>
  <c r="A73" i="73"/>
  <c r="K72" i="73"/>
  <c r="AH73" i="78" l="1"/>
  <c r="AC74" i="78"/>
  <c r="F85" i="80"/>
  <c r="O69" i="80"/>
  <c r="Q68" i="80"/>
  <c r="P68" i="80"/>
  <c r="D82" i="80"/>
  <c r="E83" i="80"/>
  <c r="L81" i="80"/>
  <c r="K81" i="80"/>
  <c r="M81" i="80"/>
  <c r="O62" i="76"/>
  <c r="P61" i="76"/>
  <c r="K74" i="76"/>
  <c r="L74" i="76"/>
  <c r="E75" i="76"/>
  <c r="D75" i="76" s="1"/>
  <c r="M75" i="76" s="1"/>
  <c r="F201" i="76"/>
  <c r="H200" i="76"/>
  <c r="G200" i="76"/>
  <c r="K73" i="78"/>
  <c r="L72" i="78"/>
  <c r="M72" i="78" s="1"/>
  <c r="E75" i="78"/>
  <c r="B74" i="78"/>
  <c r="A74" i="78"/>
  <c r="C75" i="78"/>
  <c r="B73" i="73"/>
  <c r="A74" i="73"/>
  <c r="G73" i="73"/>
  <c r="H72" i="73" s="1"/>
  <c r="K73" i="73"/>
  <c r="AH74" i="78" l="1"/>
  <c r="AC75" i="78"/>
  <c r="O70" i="80"/>
  <c r="P69" i="80"/>
  <c r="Q69" i="80"/>
  <c r="D83" i="80"/>
  <c r="E84" i="80"/>
  <c r="F86" i="80"/>
  <c r="M82" i="80"/>
  <c r="L82" i="80"/>
  <c r="K82" i="80"/>
  <c r="Q62" i="76"/>
  <c r="O63" i="76"/>
  <c r="P62" i="76"/>
  <c r="K75" i="76"/>
  <c r="L75" i="76"/>
  <c r="E76" i="76"/>
  <c r="D76" i="76" s="1"/>
  <c r="M76" i="76" s="1"/>
  <c r="F202" i="76"/>
  <c r="H201" i="76"/>
  <c r="G201" i="76"/>
  <c r="L73" i="78"/>
  <c r="M73" i="78" s="1"/>
  <c r="K74" i="78"/>
  <c r="L74" i="78" s="1"/>
  <c r="M74" i="78" s="1"/>
  <c r="E76" i="78"/>
  <c r="A75" i="78"/>
  <c r="B75" i="78"/>
  <c r="C76" i="78"/>
  <c r="A75" i="73"/>
  <c r="B74" i="73"/>
  <c r="G74" i="73"/>
  <c r="H73" i="73" s="1"/>
  <c r="K74" i="73"/>
  <c r="AH75" i="78" l="1"/>
  <c r="AC76" i="78"/>
  <c r="F87" i="80"/>
  <c r="D84" i="80"/>
  <c r="E85" i="80"/>
  <c r="L83" i="80"/>
  <c r="P70" i="80"/>
  <c r="O71" i="80"/>
  <c r="Q70" i="80"/>
  <c r="Q63" i="76"/>
  <c r="O64" i="76"/>
  <c r="P63" i="76"/>
  <c r="K76" i="76"/>
  <c r="L76" i="76"/>
  <c r="E77" i="76"/>
  <c r="D77" i="76" s="1"/>
  <c r="M77" i="76" s="1"/>
  <c r="F203" i="76"/>
  <c r="H202" i="76"/>
  <c r="G202" i="76"/>
  <c r="K75" i="78"/>
  <c r="L75" i="78" s="1"/>
  <c r="M75" i="78" s="1"/>
  <c r="E77" i="78"/>
  <c r="B76" i="78"/>
  <c r="AH76" i="78" s="1"/>
  <c r="A76" i="78"/>
  <c r="C77" i="78"/>
  <c r="K75" i="73"/>
  <c r="A76" i="73"/>
  <c r="G75" i="73"/>
  <c r="H74" i="73" s="1"/>
  <c r="B75" i="73"/>
  <c r="AC77" i="78" l="1"/>
  <c r="D85" i="80"/>
  <c r="E86" i="80"/>
  <c r="M84" i="80"/>
  <c r="L84" i="80"/>
  <c r="K84" i="80"/>
  <c r="O72" i="80"/>
  <c r="Q71" i="80"/>
  <c r="P71" i="80"/>
  <c r="F88" i="80"/>
  <c r="Q64" i="76"/>
  <c r="O65" i="76"/>
  <c r="P64" i="76"/>
  <c r="K77" i="76"/>
  <c r="L77" i="76"/>
  <c r="E78" i="76"/>
  <c r="D78" i="76" s="1"/>
  <c r="M78" i="76" s="1"/>
  <c r="F204" i="76"/>
  <c r="H203" i="76"/>
  <c r="G203" i="76"/>
  <c r="K76" i="78"/>
  <c r="E78" i="78"/>
  <c r="A77" i="78"/>
  <c r="B77" i="78"/>
  <c r="AH77" i="78" s="1"/>
  <c r="C78" i="78"/>
  <c r="A77" i="73"/>
  <c r="G76" i="73"/>
  <c r="H75" i="73" s="1"/>
  <c r="B76" i="73"/>
  <c r="K76" i="73"/>
  <c r="AC78" i="78" l="1"/>
  <c r="O73" i="80"/>
  <c r="Q72" i="80"/>
  <c r="P72" i="80"/>
  <c r="D86" i="80"/>
  <c r="E87" i="80"/>
  <c r="F89" i="80"/>
  <c r="L85" i="80"/>
  <c r="K85" i="80"/>
  <c r="M85" i="80"/>
  <c r="Q65" i="76"/>
  <c r="O66" i="76"/>
  <c r="P65" i="76"/>
  <c r="K78" i="76"/>
  <c r="L78" i="76"/>
  <c r="E79" i="76"/>
  <c r="D79" i="76" s="1"/>
  <c r="M79" i="76" s="1"/>
  <c r="F205" i="76"/>
  <c r="G204" i="76"/>
  <c r="H204" i="76"/>
  <c r="K77" i="78"/>
  <c r="L76" i="78"/>
  <c r="E79" i="78"/>
  <c r="B78" i="78"/>
  <c r="AH78" i="78" s="1"/>
  <c r="A78" i="78"/>
  <c r="C79" i="78"/>
  <c r="K77" i="73"/>
  <c r="B77" i="73"/>
  <c r="A78" i="73"/>
  <c r="G77" i="73"/>
  <c r="H76" i="73" s="1"/>
  <c r="AC79" i="78" l="1"/>
  <c r="L77" i="78"/>
  <c r="M77" i="78" s="1"/>
  <c r="F90" i="80"/>
  <c r="D87" i="80"/>
  <c r="E88" i="80"/>
  <c r="M86" i="80"/>
  <c r="L86" i="80"/>
  <c r="K86" i="80"/>
  <c r="O74" i="80"/>
  <c r="Q73" i="80"/>
  <c r="P73" i="80"/>
  <c r="Q66" i="76"/>
  <c r="O67" i="76"/>
  <c r="Q67" i="76" s="1"/>
  <c r="P66" i="76"/>
  <c r="K79" i="76"/>
  <c r="L79" i="76"/>
  <c r="E80" i="76"/>
  <c r="D80" i="76" s="1"/>
  <c r="M80" i="76" s="1"/>
  <c r="F206" i="76"/>
  <c r="G205" i="76"/>
  <c r="H205" i="76"/>
  <c r="K78" i="78"/>
  <c r="L78" i="78" s="1"/>
  <c r="M78" i="78" s="1"/>
  <c r="E80" i="78"/>
  <c r="A79" i="78"/>
  <c r="B79" i="78"/>
  <c r="AH79" i="78" s="1"/>
  <c r="C80" i="78"/>
  <c r="K78" i="73"/>
  <c r="G78" i="73"/>
  <c r="H77" i="73" s="1"/>
  <c r="B78" i="73"/>
  <c r="A79" i="73"/>
  <c r="AC80" i="78" l="1"/>
  <c r="D88" i="80"/>
  <c r="E89" i="80"/>
  <c r="L87" i="80"/>
  <c r="K87" i="80"/>
  <c r="M87" i="80"/>
  <c r="P74" i="80"/>
  <c r="O75" i="80"/>
  <c r="Q74" i="80"/>
  <c r="F91" i="80"/>
  <c r="O68" i="76"/>
  <c r="Q68" i="76" s="1"/>
  <c r="P67" i="76"/>
  <c r="K80" i="76"/>
  <c r="L80" i="76"/>
  <c r="E81" i="76"/>
  <c r="D81" i="76" s="1"/>
  <c r="M81" i="76" s="1"/>
  <c r="F207" i="76"/>
  <c r="H206" i="76"/>
  <c r="G206" i="76"/>
  <c r="K79" i="78"/>
  <c r="L79" i="78" s="1"/>
  <c r="M79" i="78" s="1"/>
  <c r="E81" i="78"/>
  <c r="A80" i="78"/>
  <c r="B80" i="78"/>
  <c r="AH80" i="78" s="1"/>
  <c r="C81" i="78"/>
  <c r="B79" i="73"/>
  <c r="A80" i="73"/>
  <c r="G79" i="73"/>
  <c r="H78" i="73" s="1"/>
  <c r="K79" i="73"/>
  <c r="AC81" i="78" l="1"/>
  <c r="O76" i="80"/>
  <c r="Q75" i="80"/>
  <c r="P75" i="80"/>
  <c r="F92" i="80"/>
  <c r="D89" i="80"/>
  <c r="E90" i="80"/>
  <c r="M88" i="80"/>
  <c r="L88" i="80"/>
  <c r="K88" i="80"/>
  <c r="O69" i="76"/>
  <c r="Q69" i="76" s="1"/>
  <c r="P68" i="76"/>
  <c r="K81" i="76"/>
  <c r="L81" i="76"/>
  <c r="E82" i="76"/>
  <c r="D82" i="76" s="1"/>
  <c r="F208" i="76"/>
  <c r="H207" i="76"/>
  <c r="G207" i="76"/>
  <c r="K80" i="78"/>
  <c r="E82" i="78"/>
  <c r="B81" i="78"/>
  <c r="A81" i="78"/>
  <c r="C82" i="78"/>
  <c r="A81" i="73"/>
  <c r="G80" i="73"/>
  <c r="H79" i="73" s="1"/>
  <c r="B80" i="73"/>
  <c r="K80" i="73"/>
  <c r="AH81" i="78" l="1"/>
  <c r="AC82" i="78"/>
  <c r="F93" i="80"/>
  <c r="D90" i="80"/>
  <c r="E91" i="80"/>
  <c r="L89" i="80"/>
  <c r="K89" i="80"/>
  <c r="M89" i="80"/>
  <c r="O77" i="80"/>
  <c r="Q76" i="80"/>
  <c r="P76" i="80"/>
  <c r="L82" i="76"/>
  <c r="O70" i="76"/>
  <c r="Q70" i="76" s="1"/>
  <c r="P69" i="76"/>
  <c r="E83" i="76"/>
  <c r="D83" i="76" s="1"/>
  <c r="M83" i="76" s="1"/>
  <c r="F209" i="76"/>
  <c r="H208" i="76"/>
  <c r="G208" i="76"/>
  <c r="K81" i="78"/>
  <c r="L80" i="78"/>
  <c r="M80" i="78" s="1"/>
  <c r="E83" i="78"/>
  <c r="B82" i="78"/>
  <c r="A82" i="78"/>
  <c r="C83" i="78"/>
  <c r="A82" i="73"/>
  <c r="B81" i="73"/>
  <c r="G81" i="73"/>
  <c r="H80" i="73" s="1"/>
  <c r="K81" i="73"/>
  <c r="AH82" i="78" l="1"/>
  <c r="AC83" i="78"/>
  <c r="D91" i="80"/>
  <c r="E92" i="80"/>
  <c r="M90" i="80"/>
  <c r="L90" i="80"/>
  <c r="K90" i="80"/>
  <c r="F94" i="80"/>
  <c r="O78" i="80"/>
  <c r="P77" i="80"/>
  <c r="Q77" i="80"/>
  <c r="O71" i="76"/>
  <c r="Q71" i="76" s="1"/>
  <c r="P70" i="76"/>
  <c r="K83" i="76"/>
  <c r="L83" i="76"/>
  <c r="E84" i="76"/>
  <c r="D84" i="76" s="1"/>
  <c r="M84" i="76" s="1"/>
  <c r="F210" i="76"/>
  <c r="H209" i="76"/>
  <c r="G209" i="76"/>
  <c r="L81" i="78"/>
  <c r="M81" i="78" s="1"/>
  <c r="K82" i="78"/>
  <c r="E84" i="78"/>
  <c r="A83" i="78"/>
  <c r="B83" i="78"/>
  <c r="C84" i="78"/>
  <c r="K82" i="73"/>
  <c r="G82" i="73"/>
  <c r="H81" i="73" s="1"/>
  <c r="B82" i="73"/>
  <c r="A83" i="73"/>
  <c r="AH83" i="78" l="1"/>
  <c r="AC84" i="78"/>
  <c r="Q78" i="80"/>
  <c r="P78" i="80"/>
  <c r="O79" i="80"/>
  <c r="D92" i="80"/>
  <c r="E93" i="80"/>
  <c r="F95" i="80"/>
  <c r="L91" i="80"/>
  <c r="M91" i="80"/>
  <c r="K91" i="80"/>
  <c r="O72" i="76"/>
  <c r="Q72" i="76" s="1"/>
  <c r="P71" i="76"/>
  <c r="K84" i="76"/>
  <c r="L84" i="76"/>
  <c r="E85" i="76"/>
  <c r="D85" i="76" s="1"/>
  <c r="M85" i="76" s="1"/>
  <c r="F211" i="76"/>
  <c r="H210" i="76"/>
  <c r="G210" i="76"/>
  <c r="K83" i="78"/>
  <c r="L82" i="78"/>
  <c r="M82" i="78" s="1"/>
  <c r="E85" i="78"/>
  <c r="B84" i="78"/>
  <c r="AH84" i="78" s="1"/>
  <c r="A84" i="78"/>
  <c r="C85" i="78"/>
  <c r="K83" i="73"/>
  <c r="G83" i="73"/>
  <c r="H82" i="73" s="1"/>
  <c r="A84" i="73"/>
  <c r="B83" i="73"/>
  <c r="AC85" i="78" l="1"/>
  <c r="M92" i="80"/>
  <c r="L92" i="80"/>
  <c r="K92" i="80"/>
  <c r="D93" i="80"/>
  <c r="E94" i="80"/>
  <c r="O80" i="80"/>
  <c r="Q79" i="80"/>
  <c r="P79" i="80"/>
  <c r="F96" i="80"/>
  <c r="O73" i="76"/>
  <c r="P72" i="76"/>
  <c r="K85" i="76"/>
  <c r="L85" i="76"/>
  <c r="E86" i="76"/>
  <c r="D86" i="76" s="1"/>
  <c r="M86" i="76" s="1"/>
  <c r="F212" i="76"/>
  <c r="H211" i="76"/>
  <c r="G211" i="76"/>
  <c r="L83" i="78"/>
  <c r="M83" i="78" s="1"/>
  <c r="K84" i="78"/>
  <c r="E86" i="78"/>
  <c r="A85" i="78"/>
  <c r="B85" i="78"/>
  <c r="AH85" i="78" s="1"/>
  <c r="C86" i="78"/>
  <c r="K84" i="73"/>
  <c r="B84" i="73"/>
  <c r="G84" i="73"/>
  <c r="H83" i="73" s="1"/>
  <c r="A85" i="73"/>
  <c r="AC86" i="78" l="1"/>
  <c r="Q80" i="80"/>
  <c r="P80" i="80"/>
  <c r="O81" i="80"/>
  <c r="D94" i="80"/>
  <c r="E95" i="80"/>
  <c r="L93" i="80"/>
  <c r="M93" i="80"/>
  <c r="K93" i="80"/>
  <c r="F97" i="80"/>
  <c r="Q73" i="76"/>
  <c r="O74" i="76"/>
  <c r="P73" i="76"/>
  <c r="K86" i="76"/>
  <c r="L86" i="76"/>
  <c r="E87" i="76"/>
  <c r="D87" i="76" s="1"/>
  <c r="M87" i="76" s="1"/>
  <c r="F213" i="76"/>
  <c r="H212" i="76"/>
  <c r="G212" i="76"/>
  <c r="K85" i="78"/>
  <c r="L84" i="78"/>
  <c r="E87" i="78"/>
  <c r="A86" i="78"/>
  <c r="B86" i="78"/>
  <c r="AH86" i="78" s="1"/>
  <c r="C87" i="78"/>
  <c r="B85" i="73"/>
  <c r="A86" i="73"/>
  <c r="G85" i="73"/>
  <c r="H84" i="73" s="1"/>
  <c r="K85" i="73"/>
  <c r="L85" i="78" l="1"/>
  <c r="M85" i="78" s="1"/>
  <c r="AC87" i="78"/>
  <c r="F98" i="80"/>
  <c r="D95" i="80"/>
  <c r="E96" i="80"/>
  <c r="M94" i="80"/>
  <c r="L94" i="80"/>
  <c r="K94" i="80"/>
  <c r="O82" i="80"/>
  <c r="Q81" i="80"/>
  <c r="P81" i="80"/>
  <c r="Q74" i="76"/>
  <c r="O75" i="76"/>
  <c r="P74" i="76"/>
  <c r="K87" i="76"/>
  <c r="L87" i="76"/>
  <c r="E88" i="76"/>
  <c r="D88" i="76" s="1"/>
  <c r="M88" i="76" s="1"/>
  <c r="F214" i="76"/>
  <c r="G213" i="76"/>
  <c r="H213" i="76"/>
  <c r="K86" i="78"/>
  <c r="E88" i="78"/>
  <c r="B87" i="78"/>
  <c r="AH87" i="78" s="1"/>
  <c r="A87" i="78"/>
  <c r="C88" i="78"/>
  <c r="G86" i="73"/>
  <c r="H85" i="73" s="1"/>
  <c r="B86" i="73"/>
  <c r="A87" i="73"/>
  <c r="K86" i="73"/>
  <c r="L86" i="78" l="1"/>
  <c r="M86" i="78" s="1"/>
  <c r="AC88" i="78"/>
  <c r="D96" i="80"/>
  <c r="E97" i="80"/>
  <c r="L95" i="80"/>
  <c r="Q82" i="80"/>
  <c r="P82" i="80"/>
  <c r="O83" i="80"/>
  <c r="F99" i="80"/>
  <c r="Q75" i="76"/>
  <c r="O76" i="76"/>
  <c r="Q76" i="76" s="1"/>
  <c r="P75" i="76"/>
  <c r="K88" i="76"/>
  <c r="L88" i="76"/>
  <c r="E89" i="76"/>
  <c r="D89" i="76" s="1"/>
  <c r="M89" i="76" s="1"/>
  <c r="K87" i="78"/>
  <c r="L87" i="78" s="1"/>
  <c r="M87" i="78" s="1"/>
  <c r="F215" i="76"/>
  <c r="H214" i="76"/>
  <c r="G214" i="76"/>
  <c r="E89" i="78"/>
  <c r="A88" i="78"/>
  <c r="B88" i="78"/>
  <c r="C89" i="78"/>
  <c r="B87" i="73"/>
  <c r="G87" i="73"/>
  <c r="H86" i="73" s="1"/>
  <c r="A88" i="73"/>
  <c r="K87" i="73"/>
  <c r="AH88" i="78" l="1"/>
  <c r="AC89" i="78"/>
  <c r="O84" i="80"/>
  <c r="Q83" i="80"/>
  <c r="P83" i="80"/>
  <c r="F100" i="80"/>
  <c r="D97" i="80"/>
  <c r="E98" i="80"/>
  <c r="L96" i="80"/>
  <c r="K96" i="80"/>
  <c r="M96" i="80"/>
  <c r="O77" i="76"/>
  <c r="Q77" i="76" s="1"/>
  <c r="P76" i="76"/>
  <c r="K89" i="76"/>
  <c r="L89" i="76"/>
  <c r="E90" i="76"/>
  <c r="D90" i="76" s="1"/>
  <c r="M90" i="76" s="1"/>
  <c r="F216" i="76"/>
  <c r="H215" i="76"/>
  <c r="G215" i="76"/>
  <c r="K88" i="78"/>
  <c r="E90" i="78"/>
  <c r="B89" i="78"/>
  <c r="A89" i="78"/>
  <c r="C90" i="78"/>
  <c r="K88" i="73"/>
  <c r="A89" i="73"/>
  <c r="B88" i="73"/>
  <c r="G88" i="73"/>
  <c r="H87" i="73" s="1"/>
  <c r="AH89" i="78" l="1"/>
  <c r="AC90" i="78"/>
  <c r="F101" i="80"/>
  <c r="D98" i="80"/>
  <c r="E99" i="80"/>
  <c r="L97" i="80"/>
  <c r="M97" i="80"/>
  <c r="K97" i="80"/>
  <c r="Q84" i="80"/>
  <c r="P84" i="80"/>
  <c r="O85" i="80"/>
  <c r="O78" i="76"/>
  <c r="P77" i="76"/>
  <c r="K90" i="76"/>
  <c r="L90" i="76"/>
  <c r="E91" i="76"/>
  <c r="D91" i="76" s="1"/>
  <c r="M91" i="76" s="1"/>
  <c r="F217" i="76"/>
  <c r="H216" i="76"/>
  <c r="G216" i="76"/>
  <c r="K89" i="78"/>
  <c r="L88" i="78"/>
  <c r="M88" i="78" s="1"/>
  <c r="E91" i="78"/>
  <c r="A90" i="78"/>
  <c r="B90" i="78"/>
  <c r="AH90" i="78" s="1"/>
  <c r="C91" i="78"/>
  <c r="K89" i="73"/>
  <c r="A90" i="73"/>
  <c r="B89" i="73"/>
  <c r="G89" i="73"/>
  <c r="H88" i="73" s="1"/>
  <c r="AC91" i="78" l="1"/>
  <c r="D99" i="80"/>
  <c r="E100" i="80"/>
  <c r="M98" i="80"/>
  <c r="L98" i="80"/>
  <c r="K98" i="80"/>
  <c r="O86" i="80"/>
  <c r="Q85" i="80"/>
  <c r="P85" i="80"/>
  <c r="F102" i="80"/>
  <c r="Q78" i="76"/>
  <c r="O79" i="76"/>
  <c r="P78" i="76"/>
  <c r="K91" i="76"/>
  <c r="L91" i="76"/>
  <c r="E92" i="76"/>
  <c r="D92" i="76" s="1"/>
  <c r="M92" i="76" s="1"/>
  <c r="F218" i="76"/>
  <c r="H217" i="76"/>
  <c r="G217" i="76"/>
  <c r="L89" i="78"/>
  <c r="M89" i="78" s="1"/>
  <c r="K90" i="78"/>
  <c r="E92" i="78"/>
  <c r="B91" i="78"/>
  <c r="A91" i="78"/>
  <c r="C92" i="78"/>
  <c r="B90" i="73"/>
  <c r="G90" i="73"/>
  <c r="H89" i="73" s="1"/>
  <c r="A91" i="73"/>
  <c r="K90" i="73"/>
  <c r="AH91" i="78" l="1"/>
  <c r="AC92" i="78"/>
  <c r="Q86" i="80"/>
  <c r="P86" i="80"/>
  <c r="O87" i="80"/>
  <c r="F103" i="80"/>
  <c r="D100" i="80"/>
  <c r="E101" i="80"/>
  <c r="L99" i="80"/>
  <c r="M99" i="80"/>
  <c r="K99" i="80"/>
  <c r="Q79" i="76"/>
  <c r="O80" i="76"/>
  <c r="Q80" i="76" s="1"/>
  <c r="P79" i="76"/>
  <c r="K92" i="76"/>
  <c r="L92" i="76"/>
  <c r="E93" i="76"/>
  <c r="D93" i="76" s="1"/>
  <c r="M93" i="76" s="1"/>
  <c r="F219" i="76"/>
  <c r="H218" i="76"/>
  <c r="G218" i="76"/>
  <c r="L90" i="78"/>
  <c r="M90" i="78" s="1"/>
  <c r="K91" i="78"/>
  <c r="E93" i="78"/>
  <c r="A92" i="78"/>
  <c r="B92" i="78"/>
  <c r="AH92" i="78" s="1"/>
  <c r="C93" i="78"/>
  <c r="K91" i="73"/>
  <c r="G91" i="73"/>
  <c r="H90" i="73" s="1"/>
  <c r="A92" i="73"/>
  <c r="B91" i="73"/>
  <c r="AC93" i="78" l="1"/>
  <c r="L91" i="78"/>
  <c r="M91" i="78" s="1"/>
  <c r="F104" i="80"/>
  <c r="O88" i="80"/>
  <c r="Q87" i="80"/>
  <c r="P87" i="80"/>
  <c r="D101" i="80"/>
  <c r="E102" i="80"/>
  <c r="M100" i="80"/>
  <c r="L100" i="80"/>
  <c r="K100" i="80"/>
  <c r="O81" i="76"/>
  <c r="P80" i="76"/>
  <c r="K93" i="76"/>
  <c r="L93" i="76"/>
  <c r="E94" i="76"/>
  <c r="D94" i="76" s="1"/>
  <c r="F220" i="76"/>
  <c r="H219" i="76"/>
  <c r="G219" i="76"/>
  <c r="K92" i="78"/>
  <c r="E94" i="78"/>
  <c r="B93" i="78"/>
  <c r="AH93" i="78" s="1"/>
  <c r="A93" i="78"/>
  <c r="C94" i="78"/>
  <c r="B92" i="73"/>
  <c r="G92" i="73"/>
  <c r="H91" i="73" s="1"/>
  <c r="A93" i="73"/>
  <c r="K92" i="73"/>
  <c r="AC94" i="78" l="1"/>
  <c r="L92" i="78"/>
  <c r="Q88" i="80"/>
  <c r="P88" i="80"/>
  <c r="O89" i="80"/>
  <c r="D102" i="80"/>
  <c r="E103" i="80"/>
  <c r="F105" i="80"/>
  <c r="L101" i="80"/>
  <c r="M101" i="80"/>
  <c r="K101" i="80"/>
  <c r="Q81" i="76"/>
  <c r="L94" i="76"/>
  <c r="O82" i="76"/>
  <c r="P81" i="76"/>
  <c r="E95" i="76"/>
  <c r="D95" i="76" s="1"/>
  <c r="M95" i="76" s="1"/>
  <c r="F221" i="76"/>
  <c r="G220" i="76"/>
  <c r="H220" i="76"/>
  <c r="K93" i="78"/>
  <c r="L93" i="78" s="1"/>
  <c r="M93" i="78" s="1"/>
  <c r="E95" i="78"/>
  <c r="A94" i="78"/>
  <c r="B94" i="78"/>
  <c r="AH94" i="78" s="1"/>
  <c r="C95" i="78"/>
  <c r="K93" i="73"/>
  <c r="B93" i="73"/>
  <c r="G93" i="73"/>
  <c r="H92" i="73" s="1"/>
  <c r="A94" i="73"/>
  <c r="AC95" i="78" l="1"/>
  <c r="D103" i="80"/>
  <c r="E104" i="80"/>
  <c r="M102" i="80"/>
  <c r="L102" i="80"/>
  <c r="K102" i="80"/>
  <c r="O90" i="80"/>
  <c r="Q89" i="80"/>
  <c r="P89" i="80"/>
  <c r="F106" i="80"/>
  <c r="Q82" i="76"/>
  <c r="O83" i="76"/>
  <c r="P82" i="76"/>
  <c r="K95" i="76"/>
  <c r="L95" i="76"/>
  <c r="E96" i="76"/>
  <c r="D96" i="76" s="1"/>
  <c r="M96" i="76" s="1"/>
  <c r="F222" i="76"/>
  <c r="G221" i="76"/>
  <c r="H221" i="76"/>
  <c r="K94" i="78"/>
  <c r="L94" i="78" s="1"/>
  <c r="M94" i="78" s="1"/>
  <c r="E96" i="78"/>
  <c r="B95" i="78"/>
  <c r="AH95" i="78" s="1"/>
  <c r="A95" i="78"/>
  <c r="C96" i="78"/>
  <c r="K94" i="73"/>
  <c r="G94" i="73"/>
  <c r="H93" i="73" s="1"/>
  <c r="A95" i="73"/>
  <c r="B94" i="73"/>
  <c r="AC96" i="78" l="1"/>
  <c r="O91" i="80"/>
  <c r="Q90" i="80"/>
  <c r="P90" i="80"/>
  <c r="F107" i="80"/>
  <c r="D104" i="80"/>
  <c r="E105" i="80"/>
  <c r="L103" i="80"/>
  <c r="M103" i="80"/>
  <c r="K103" i="80"/>
  <c r="Q83" i="76"/>
  <c r="O84" i="76"/>
  <c r="P83" i="76"/>
  <c r="K96" i="76"/>
  <c r="L96" i="76"/>
  <c r="E97" i="76"/>
  <c r="D97" i="76" s="1"/>
  <c r="M97" i="76" s="1"/>
  <c r="F223" i="76"/>
  <c r="H222" i="76"/>
  <c r="G222" i="76"/>
  <c r="K95" i="78"/>
  <c r="L95" i="78" s="1"/>
  <c r="M95" i="78" s="1"/>
  <c r="E97" i="78"/>
  <c r="A96" i="78"/>
  <c r="B96" i="78"/>
  <c r="C97" i="78"/>
  <c r="B95" i="73"/>
  <c r="G95" i="73"/>
  <c r="H94" i="73" s="1"/>
  <c r="A96" i="73"/>
  <c r="K95" i="73"/>
  <c r="AH96" i="78" l="1"/>
  <c r="AC97" i="78"/>
  <c r="F108" i="80"/>
  <c r="D105" i="80"/>
  <c r="E106" i="80"/>
  <c r="L104" i="80"/>
  <c r="K104" i="80"/>
  <c r="M104" i="80"/>
  <c r="O92" i="80"/>
  <c r="Q91" i="80"/>
  <c r="P91" i="80"/>
  <c r="Q84" i="76"/>
  <c r="O85" i="76"/>
  <c r="P84" i="76"/>
  <c r="K97" i="76"/>
  <c r="L97" i="76"/>
  <c r="E98" i="76"/>
  <c r="D98" i="76" s="1"/>
  <c r="M98" i="76" s="1"/>
  <c r="F224" i="76"/>
  <c r="H223" i="76"/>
  <c r="G223" i="76"/>
  <c r="K96" i="78"/>
  <c r="E98" i="78"/>
  <c r="B97" i="78"/>
  <c r="A97" i="78"/>
  <c r="C98" i="78"/>
  <c r="A97" i="73"/>
  <c r="G96" i="73"/>
  <c r="H95" i="73" s="1"/>
  <c r="B96" i="73"/>
  <c r="K96" i="73"/>
  <c r="AH97" i="78" l="1"/>
  <c r="AC98" i="78"/>
  <c r="D106" i="80"/>
  <c r="E107" i="80"/>
  <c r="L105" i="80"/>
  <c r="M105" i="80"/>
  <c r="K105" i="80"/>
  <c r="O93" i="80"/>
  <c r="Q92" i="80"/>
  <c r="P92" i="80"/>
  <c r="F109" i="80"/>
  <c r="Q85" i="76"/>
  <c r="O86" i="76"/>
  <c r="P85" i="76"/>
  <c r="K98" i="76"/>
  <c r="L98" i="76"/>
  <c r="E99" i="76"/>
  <c r="D99" i="76" s="1"/>
  <c r="M99" i="76" s="1"/>
  <c r="F225" i="76"/>
  <c r="H224" i="76"/>
  <c r="G224" i="76"/>
  <c r="K97" i="78"/>
  <c r="L96" i="78"/>
  <c r="M96" i="78" s="1"/>
  <c r="E99" i="78"/>
  <c r="A98" i="78"/>
  <c r="B98" i="78"/>
  <c r="C99" i="78"/>
  <c r="A98" i="73"/>
  <c r="G97" i="73"/>
  <c r="H96" i="73" s="1"/>
  <c r="B97" i="73"/>
  <c r="K97" i="73"/>
  <c r="AH98" i="78" l="1"/>
  <c r="AC99" i="78"/>
  <c r="O94" i="80"/>
  <c r="Q93" i="80"/>
  <c r="P93" i="80"/>
  <c r="F110" i="80"/>
  <c r="D107" i="80"/>
  <c r="E108" i="80"/>
  <c r="M106" i="80"/>
  <c r="L106" i="80"/>
  <c r="K106" i="80"/>
  <c r="Q86" i="76"/>
  <c r="O87" i="76"/>
  <c r="P86" i="76"/>
  <c r="K99" i="76"/>
  <c r="L99" i="76"/>
  <c r="E100" i="76"/>
  <c r="D100" i="76" s="1"/>
  <c r="M100" i="76" s="1"/>
  <c r="F226" i="76"/>
  <c r="H225" i="76"/>
  <c r="G225" i="76"/>
  <c r="L97" i="78"/>
  <c r="M97" i="78" s="1"/>
  <c r="K98" i="78"/>
  <c r="E100" i="78"/>
  <c r="B99" i="78"/>
  <c r="A99" i="78"/>
  <c r="C100" i="78"/>
  <c r="B98" i="73"/>
  <c r="G98" i="73"/>
  <c r="H97" i="73" s="1"/>
  <c r="A99" i="73"/>
  <c r="K98" i="73"/>
  <c r="AH99" i="78" l="1"/>
  <c r="AC100" i="78"/>
  <c r="L98" i="78"/>
  <c r="M98" i="78" s="1"/>
  <c r="F111" i="80"/>
  <c r="D108" i="80"/>
  <c r="E109" i="80"/>
  <c r="L107" i="80"/>
  <c r="O95" i="80"/>
  <c r="Q94" i="80"/>
  <c r="P94" i="80"/>
  <c r="Q87" i="76"/>
  <c r="O88" i="76"/>
  <c r="P87" i="76"/>
  <c r="K100" i="76"/>
  <c r="L100" i="76"/>
  <c r="E101" i="76"/>
  <c r="D101" i="76" s="1"/>
  <c r="M101" i="76" s="1"/>
  <c r="F227" i="76"/>
  <c r="H226" i="76"/>
  <c r="G226" i="76"/>
  <c r="K99" i="78"/>
  <c r="E101" i="78"/>
  <c r="A100" i="78"/>
  <c r="B100" i="78"/>
  <c r="AH100" i="78" s="1"/>
  <c r="C101" i="78"/>
  <c r="G99" i="73"/>
  <c r="H98" i="73" s="1"/>
  <c r="A100" i="73"/>
  <c r="B99" i="73"/>
  <c r="K99" i="73"/>
  <c r="L99" i="78" l="1"/>
  <c r="M99" i="78" s="1"/>
  <c r="AC101" i="78"/>
  <c r="M108" i="80"/>
  <c r="L108" i="80"/>
  <c r="K108" i="80"/>
  <c r="F112" i="80"/>
  <c r="D109" i="80"/>
  <c r="E110" i="80"/>
  <c r="Q95" i="80"/>
  <c r="P95" i="80"/>
  <c r="O96" i="80"/>
  <c r="Q88" i="76"/>
  <c r="O89" i="76"/>
  <c r="P88" i="76"/>
  <c r="K101" i="76"/>
  <c r="L101" i="76"/>
  <c r="E102" i="76"/>
  <c r="D102" i="76" s="1"/>
  <c r="M102" i="76" s="1"/>
  <c r="F228" i="76"/>
  <c r="H227" i="76"/>
  <c r="G227" i="76"/>
  <c r="K100" i="78"/>
  <c r="E102" i="78"/>
  <c r="B101" i="78"/>
  <c r="AH101" i="78" s="1"/>
  <c r="A101" i="78"/>
  <c r="C102" i="78"/>
  <c r="B100" i="73"/>
  <c r="G100" i="73"/>
  <c r="H99" i="73" s="1"/>
  <c r="A101" i="73"/>
  <c r="K100" i="73"/>
  <c r="AC102" i="78" l="1"/>
  <c r="O97" i="80"/>
  <c r="Q96" i="80"/>
  <c r="P96" i="80"/>
  <c r="F113" i="80"/>
  <c r="D110" i="80"/>
  <c r="E111" i="80"/>
  <c r="L109" i="80"/>
  <c r="M109" i="80"/>
  <c r="K109" i="80"/>
  <c r="Q89" i="76"/>
  <c r="O90" i="76"/>
  <c r="P89" i="76"/>
  <c r="K102" i="76"/>
  <c r="L102" i="76"/>
  <c r="E103" i="76"/>
  <c r="D103" i="76" s="1"/>
  <c r="M103" i="76" s="1"/>
  <c r="F229" i="76"/>
  <c r="G228" i="76"/>
  <c r="H228" i="76"/>
  <c r="K101" i="78"/>
  <c r="L101" i="78" s="1"/>
  <c r="M101" i="78" s="1"/>
  <c r="L100" i="78"/>
  <c r="E103" i="78"/>
  <c r="A102" i="78"/>
  <c r="B102" i="78"/>
  <c r="AH102" i="78" s="1"/>
  <c r="C103" i="78"/>
  <c r="B101" i="73"/>
  <c r="G101" i="73"/>
  <c r="H100" i="73" s="1"/>
  <c r="A102" i="73"/>
  <c r="K101" i="73"/>
  <c r="AC103" i="78" l="1"/>
  <c r="F114" i="80"/>
  <c r="D111" i="80"/>
  <c r="E112" i="80"/>
  <c r="M110" i="80"/>
  <c r="L110" i="80"/>
  <c r="K110" i="80"/>
  <c r="Q97" i="80"/>
  <c r="P97" i="80"/>
  <c r="O98" i="80"/>
  <c r="Q90" i="76"/>
  <c r="O91" i="76"/>
  <c r="Q91" i="76" s="1"/>
  <c r="P90" i="76"/>
  <c r="K103" i="76"/>
  <c r="L103" i="76"/>
  <c r="E104" i="76"/>
  <c r="D104" i="76" s="1"/>
  <c r="M104" i="76" s="1"/>
  <c r="F230" i="76"/>
  <c r="G229" i="76"/>
  <c r="H229" i="76"/>
  <c r="K102" i="78"/>
  <c r="L102" i="78" s="1"/>
  <c r="M102" i="78" s="1"/>
  <c r="E104" i="78"/>
  <c r="B103" i="78"/>
  <c r="AH103" i="78" s="1"/>
  <c r="A103" i="78"/>
  <c r="C104" i="78"/>
  <c r="G102" i="73"/>
  <c r="H101" i="73" s="1"/>
  <c r="A103" i="73"/>
  <c r="B102" i="73"/>
  <c r="K102" i="73"/>
  <c r="AC104" i="78" l="1"/>
  <c r="D112" i="80"/>
  <c r="E113" i="80"/>
  <c r="L111" i="80"/>
  <c r="M111" i="80"/>
  <c r="K111" i="80"/>
  <c r="O99" i="80"/>
  <c r="Q98" i="80"/>
  <c r="P98" i="80"/>
  <c r="F115" i="80"/>
  <c r="O92" i="76"/>
  <c r="P91" i="76"/>
  <c r="K104" i="76"/>
  <c r="L104" i="76"/>
  <c r="E105" i="76"/>
  <c r="D105" i="76" s="1"/>
  <c r="M105" i="76" s="1"/>
  <c r="F231" i="76"/>
  <c r="H230" i="76"/>
  <c r="G230" i="76"/>
  <c r="K103" i="78"/>
  <c r="L103" i="78" s="1"/>
  <c r="M103" i="78" s="1"/>
  <c r="E105" i="78"/>
  <c r="A104" i="78"/>
  <c r="B104" i="78"/>
  <c r="C105" i="78"/>
  <c r="B103" i="73"/>
  <c r="A104" i="73"/>
  <c r="G103" i="73"/>
  <c r="H102" i="73" s="1"/>
  <c r="K103" i="73"/>
  <c r="AH104" i="78" l="1"/>
  <c r="AC105" i="78"/>
  <c r="O100" i="80"/>
  <c r="Q99" i="80"/>
  <c r="P99" i="80"/>
  <c r="F116" i="80"/>
  <c r="D113" i="80"/>
  <c r="E114" i="80"/>
  <c r="L112" i="80"/>
  <c r="K112" i="80"/>
  <c r="M112" i="80"/>
  <c r="Q92" i="76"/>
  <c r="O93" i="76"/>
  <c r="P92" i="76"/>
  <c r="K105" i="76"/>
  <c r="L105" i="76"/>
  <c r="E106" i="76"/>
  <c r="D106" i="76" s="1"/>
  <c r="F232" i="76"/>
  <c r="H231" i="76"/>
  <c r="G231" i="76"/>
  <c r="K104" i="78"/>
  <c r="E106" i="78"/>
  <c r="B105" i="78"/>
  <c r="A105" i="78"/>
  <c r="C106" i="78"/>
  <c r="A105" i="73"/>
  <c r="G104" i="73"/>
  <c r="H103" i="73" s="1"/>
  <c r="B104" i="73"/>
  <c r="K104" i="73"/>
  <c r="AH105" i="78" l="1"/>
  <c r="AC106" i="78"/>
  <c r="F117" i="80"/>
  <c r="D114" i="80"/>
  <c r="E115" i="80"/>
  <c r="L113" i="80"/>
  <c r="M113" i="80"/>
  <c r="K113" i="80"/>
  <c r="O101" i="80"/>
  <c r="Q100" i="80"/>
  <c r="P100" i="80"/>
  <c r="Q93" i="76"/>
  <c r="L106" i="76"/>
  <c r="O94" i="76"/>
  <c r="P93" i="76"/>
  <c r="E107" i="76"/>
  <c r="D107" i="76" s="1"/>
  <c r="M107" i="76" s="1"/>
  <c r="F233" i="76"/>
  <c r="H232" i="76"/>
  <c r="G232" i="76"/>
  <c r="K105" i="78"/>
  <c r="L104" i="78"/>
  <c r="M104" i="78" s="1"/>
  <c r="E107" i="78"/>
  <c r="A106" i="78"/>
  <c r="B106" i="78"/>
  <c r="C107" i="78"/>
  <c r="K105" i="73"/>
  <c r="A106" i="73"/>
  <c r="G105" i="73"/>
  <c r="H104" i="73" s="1"/>
  <c r="B105" i="73"/>
  <c r="AH106" i="78" l="1"/>
  <c r="AC107" i="78"/>
  <c r="D115" i="80"/>
  <c r="E116" i="80"/>
  <c r="K114" i="80"/>
  <c r="M114" i="80"/>
  <c r="L114" i="80"/>
  <c r="F118" i="80"/>
  <c r="O102" i="80"/>
  <c r="Q101" i="80"/>
  <c r="P101" i="80"/>
  <c r="Q94" i="76"/>
  <c r="O95" i="76"/>
  <c r="P94" i="76"/>
  <c r="K107" i="76"/>
  <c r="L107" i="76"/>
  <c r="E108" i="76"/>
  <c r="D108" i="76" s="1"/>
  <c r="M108" i="76" s="1"/>
  <c r="F234" i="76"/>
  <c r="H233" i="76"/>
  <c r="G233" i="76"/>
  <c r="K106" i="78"/>
  <c r="L105" i="78"/>
  <c r="M105" i="78" s="1"/>
  <c r="E108" i="78"/>
  <c r="B107" i="78"/>
  <c r="A107" i="78"/>
  <c r="C108" i="78"/>
  <c r="B106" i="73"/>
  <c r="G106" i="73"/>
  <c r="H105" i="73" s="1"/>
  <c r="A107" i="73"/>
  <c r="K106" i="73"/>
  <c r="AH107" i="78" l="1"/>
  <c r="AC108" i="78"/>
  <c r="O103" i="80"/>
  <c r="Q102" i="80"/>
  <c r="P102" i="80"/>
  <c r="D116" i="80"/>
  <c r="E117" i="80"/>
  <c r="F119" i="80"/>
  <c r="L115" i="80"/>
  <c r="M115" i="80"/>
  <c r="K115" i="80"/>
  <c r="Q95" i="76"/>
  <c r="O96" i="76"/>
  <c r="P95" i="76"/>
  <c r="K108" i="76"/>
  <c r="L108" i="76"/>
  <c r="E109" i="76"/>
  <c r="D109" i="76" s="1"/>
  <c r="M109" i="76" s="1"/>
  <c r="F235" i="76"/>
  <c r="H234" i="76"/>
  <c r="G234" i="76"/>
  <c r="L106" i="78"/>
  <c r="M106" i="78" s="1"/>
  <c r="K107" i="78"/>
  <c r="E109" i="78"/>
  <c r="A108" i="78"/>
  <c r="B108" i="78"/>
  <c r="AH108" i="78" s="1"/>
  <c r="C109" i="78"/>
  <c r="G107" i="73"/>
  <c r="H106" i="73" s="1"/>
  <c r="A108" i="73"/>
  <c r="B107" i="73"/>
  <c r="K107" i="73"/>
  <c r="AC109" i="78" l="1"/>
  <c r="D117" i="80"/>
  <c r="E118" i="80"/>
  <c r="M116" i="80"/>
  <c r="L116" i="80"/>
  <c r="K116" i="80"/>
  <c r="F120" i="80"/>
  <c r="O104" i="80"/>
  <c r="Q103" i="80"/>
  <c r="P103" i="80"/>
  <c r="Q96" i="76"/>
  <c r="O97" i="76"/>
  <c r="P96" i="76"/>
  <c r="K109" i="76"/>
  <c r="L109" i="76"/>
  <c r="E110" i="76"/>
  <c r="D110" i="76" s="1"/>
  <c r="M110" i="76" s="1"/>
  <c r="F236" i="76"/>
  <c r="H235" i="76"/>
  <c r="G235" i="76"/>
  <c r="L107" i="78"/>
  <c r="M107" i="78" s="1"/>
  <c r="K108" i="78"/>
  <c r="E110" i="78"/>
  <c r="B109" i="78"/>
  <c r="AH109" i="78" s="1"/>
  <c r="A109" i="78"/>
  <c r="C110" i="78"/>
  <c r="B108" i="73"/>
  <c r="G108" i="73"/>
  <c r="K108" i="73"/>
  <c r="AC110" i="78" l="1"/>
  <c r="F121" i="80"/>
  <c r="O105" i="80"/>
  <c r="Q104" i="80"/>
  <c r="P104" i="80"/>
  <c r="D118" i="80"/>
  <c r="E119" i="80"/>
  <c r="L117" i="80"/>
  <c r="M117" i="80"/>
  <c r="K117" i="80"/>
  <c r="Q97" i="76"/>
  <c r="O98" i="76"/>
  <c r="P97" i="76"/>
  <c r="K110" i="76"/>
  <c r="L110" i="76"/>
  <c r="E111" i="76"/>
  <c r="D111" i="76" s="1"/>
  <c r="M111" i="76" s="1"/>
  <c r="F237" i="76"/>
  <c r="G236" i="76"/>
  <c r="H236" i="76"/>
  <c r="K109" i="78"/>
  <c r="L108" i="78"/>
  <c r="E111" i="78"/>
  <c r="A110" i="78"/>
  <c r="B110" i="78"/>
  <c r="AH110" i="78" s="1"/>
  <c r="C111" i="78"/>
  <c r="H107" i="73"/>
  <c r="H108" i="73"/>
  <c r="C109" i="73"/>
  <c r="AC111" i="78" l="1"/>
  <c r="L109" i="78"/>
  <c r="M109" i="78" s="1"/>
  <c r="O106" i="80"/>
  <c r="Q105" i="80"/>
  <c r="P105" i="80"/>
  <c r="F122" i="80"/>
  <c r="D119" i="80"/>
  <c r="E120" i="80"/>
  <c r="M118" i="80"/>
  <c r="L118" i="80"/>
  <c r="K118" i="80"/>
  <c r="Q98" i="76"/>
  <c r="O99" i="76"/>
  <c r="Q99" i="76" s="1"/>
  <c r="P98" i="76"/>
  <c r="K111" i="76"/>
  <c r="L111" i="76"/>
  <c r="E112" i="76"/>
  <c r="D112" i="76" s="1"/>
  <c r="M112" i="76" s="1"/>
  <c r="F238" i="76"/>
  <c r="G237" i="76"/>
  <c r="H237" i="76"/>
  <c r="K110" i="78"/>
  <c r="E112" i="78"/>
  <c r="B111" i="78"/>
  <c r="AH111" i="78" s="1"/>
  <c r="A111" i="78"/>
  <c r="C112" i="78"/>
  <c r="O9" i="72"/>
  <c r="O5" i="72"/>
  <c r="H6" i="72"/>
  <c r="H10" i="72"/>
  <c r="C9" i="72"/>
  <c r="B20" i="72" s="1"/>
  <c r="C6" i="72"/>
  <c r="O7" i="72" s="1"/>
  <c r="K18" i="72" s="1"/>
  <c r="C5" i="72"/>
  <c r="A20" i="72" s="1"/>
  <c r="A21" i="72" s="1"/>
  <c r="J109" i="72"/>
  <c r="I109" i="72"/>
  <c r="Q14" i="70"/>
  <c r="Q27" i="70" s="1"/>
  <c r="AC112" i="78" l="1"/>
  <c r="L110" i="78"/>
  <c r="M110" i="78" s="1"/>
  <c r="F123" i="80"/>
  <c r="D120" i="80"/>
  <c r="E121" i="80"/>
  <c r="L119" i="80"/>
  <c r="O107" i="80"/>
  <c r="Q106" i="80"/>
  <c r="P106" i="80"/>
  <c r="O100" i="76"/>
  <c r="Q100" i="76" s="1"/>
  <c r="P99" i="76"/>
  <c r="K112" i="76"/>
  <c r="L112" i="76"/>
  <c r="E113" i="76"/>
  <c r="D113" i="76" s="1"/>
  <c r="M113" i="76" s="1"/>
  <c r="K111" i="78"/>
  <c r="L111" i="78" s="1"/>
  <c r="M111" i="78" s="1"/>
  <c r="F239" i="76"/>
  <c r="H238" i="76"/>
  <c r="G238" i="76"/>
  <c r="E113" i="78"/>
  <c r="A112" i="78"/>
  <c r="B112" i="78"/>
  <c r="C113" i="78"/>
  <c r="B31" i="73"/>
  <c r="B32" i="73"/>
  <c r="B33" i="73"/>
  <c r="B34" i="73"/>
  <c r="B20" i="73"/>
  <c r="B21" i="73"/>
  <c r="B22" i="73"/>
  <c r="B23" i="73"/>
  <c r="B24" i="73"/>
  <c r="B25" i="73"/>
  <c r="B26" i="73"/>
  <c r="B27" i="73"/>
  <c r="B28" i="73"/>
  <c r="B29" i="73"/>
  <c r="B30" i="73"/>
  <c r="B21" i="72"/>
  <c r="C21" i="72" s="1"/>
  <c r="A22" i="72"/>
  <c r="K20" i="72"/>
  <c r="C20" i="72"/>
  <c r="K16" i="72"/>
  <c r="B5" i="71"/>
  <c r="AH112" i="78" l="1"/>
  <c r="AC113" i="78"/>
  <c r="M120" i="80"/>
  <c r="L120" i="80"/>
  <c r="K120" i="80"/>
  <c r="F124" i="80"/>
  <c r="D121" i="80"/>
  <c r="E122" i="80"/>
  <c r="O108" i="80"/>
  <c r="Q107" i="80"/>
  <c r="P107" i="80"/>
  <c r="O101" i="76"/>
  <c r="P100" i="76"/>
  <c r="K113" i="76"/>
  <c r="L113" i="76"/>
  <c r="E114" i="76"/>
  <c r="D114" i="76" s="1"/>
  <c r="M114" i="76" s="1"/>
  <c r="F240" i="76"/>
  <c r="H239" i="76"/>
  <c r="G239" i="76"/>
  <c r="K112" i="78"/>
  <c r="E114" i="78"/>
  <c r="B113" i="78"/>
  <c r="A113" i="78"/>
  <c r="C114" i="78"/>
  <c r="B109" i="73"/>
  <c r="D13" i="73" s="1"/>
  <c r="Q13" i="72"/>
  <c r="P7" i="72"/>
  <c r="A23" i="72"/>
  <c r="B22" i="72"/>
  <c r="C22" i="72" s="1"/>
  <c r="K21" i="72"/>
  <c r="Q45" i="69"/>
  <c r="A51" i="69" s="1"/>
  <c r="Q46" i="69"/>
  <c r="B51" i="69" s="1"/>
  <c r="Q47" i="69"/>
  <c r="Q71" i="69" s="1"/>
  <c r="M47" i="69"/>
  <c r="M66" i="69" s="1"/>
  <c r="M45" i="69"/>
  <c r="A50" i="69" s="1"/>
  <c r="M46" i="69"/>
  <c r="B50" i="69" s="1"/>
  <c r="AH113" i="78" l="1"/>
  <c r="AC114" i="78"/>
  <c r="F125" i="80"/>
  <c r="O109" i="80"/>
  <c r="Q108" i="80"/>
  <c r="P108" i="80"/>
  <c r="D122" i="80"/>
  <c r="E123" i="80"/>
  <c r="L121" i="80"/>
  <c r="K121" i="80"/>
  <c r="M121" i="80"/>
  <c r="Q101" i="76"/>
  <c r="O102" i="76"/>
  <c r="P101" i="76"/>
  <c r="K114" i="76"/>
  <c r="L114" i="76"/>
  <c r="E115" i="76"/>
  <c r="D115" i="76" s="1"/>
  <c r="M115" i="76" s="1"/>
  <c r="F241" i="76"/>
  <c r="H240" i="76"/>
  <c r="G240" i="76"/>
  <c r="K113" i="78"/>
  <c r="L112" i="78"/>
  <c r="M112" i="78" s="1"/>
  <c r="E115" i="78"/>
  <c r="A114" i="78"/>
  <c r="B114" i="78"/>
  <c r="C115" i="78"/>
  <c r="D15" i="73"/>
  <c r="K33" i="70" s="1"/>
  <c r="K35" i="70" s="1"/>
  <c r="A24" i="72"/>
  <c r="B23" i="72"/>
  <c r="C23" i="72" s="1"/>
  <c r="K22" i="72"/>
  <c r="O20" i="69"/>
  <c r="Q56" i="69"/>
  <c r="Q64" i="69"/>
  <c r="Q72" i="69"/>
  <c r="Q57" i="69"/>
  <c r="Q65" i="69"/>
  <c r="Q58" i="69"/>
  <c r="Q66" i="69"/>
  <c r="Q60" i="69"/>
  <c r="Q68" i="69"/>
  <c r="Q50" i="69"/>
  <c r="Q61" i="69"/>
  <c r="Q69" i="69"/>
  <c r="Q59" i="69"/>
  <c r="Q67" i="69"/>
  <c r="Q53" i="69"/>
  <c r="Q62" i="69"/>
  <c r="Q70" i="69"/>
  <c r="Q55" i="69"/>
  <c r="Q63" i="69"/>
  <c r="M70" i="69"/>
  <c r="M69" i="69"/>
  <c r="M58" i="69"/>
  <c r="M59" i="69"/>
  <c r="M67" i="69"/>
  <c r="M50" i="69"/>
  <c r="M61" i="69"/>
  <c r="M53" i="69"/>
  <c r="M62" i="69"/>
  <c r="M55" i="69"/>
  <c r="M63" i="69"/>
  <c r="M71" i="69"/>
  <c r="M56" i="69"/>
  <c r="M64" i="69"/>
  <c r="M72" i="69"/>
  <c r="M57" i="69"/>
  <c r="M65" i="69"/>
  <c r="M60" i="69"/>
  <c r="M68" i="69"/>
  <c r="L47" i="69"/>
  <c r="L72" i="69" s="1"/>
  <c r="L46" i="69"/>
  <c r="B49" i="69" s="1"/>
  <c r="L45" i="69"/>
  <c r="A49" i="69" s="1"/>
  <c r="K45" i="69"/>
  <c r="A48" i="69" s="1"/>
  <c r="K46" i="69"/>
  <c r="B48" i="69" s="1"/>
  <c r="I45" i="69"/>
  <c r="A47" i="69" s="1"/>
  <c r="I46" i="69"/>
  <c r="B47" i="69" s="1"/>
  <c r="I47" i="69"/>
  <c r="I72" i="69" s="1"/>
  <c r="K47" i="69"/>
  <c r="K72" i="69" s="1"/>
  <c r="B5" i="70"/>
  <c r="B5" i="69"/>
  <c r="R6" i="39"/>
  <c r="AH114" i="78" l="1"/>
  <c r="AC115" i="78"/>
  <c r="O110" i="80"/>
  <c r="Q109" i="80"/>
  <c r="P109" i="80"/>
  <c r="F126" i="80"/>
  <c r="D123" i="80"/>
  <c r="E124" i="80"/>
  <c r="M122" i="80"/>
  <c r="L122" i="80"/>
  <c r="K122" i="80"/>
  <c r="Q102" i="76"/>
  <c r="O103" i="76"/>
  <c r="P102" i="76"/>
  <c r="K115" i="76"/>
  <c r="L115" i="76"/>
  <c r="E116" i="76"/>
  <c r="D116" i="76" s="1"/>
  <c r="M116" i="76" s="1"/>
  <c r="F242" i="76"/>
  <c r="H241" i="76"/>
  <c r="G241" i="76"/>
  <c r="K114" i="78"/>
  <c r="L113" i="78"/>
  <c r="M113" i="78" s="1"/>
  <c r="E116" i="78"/>
  <c r="B115" i="78"/>
  <c r="A115" i="78"/>
  <c r="C116" i="78"/>
  <c r="O22" i="69"/>
  <c r="Q22" i="69" s="1"/>
  <c r="I20" i="69"/>
  <c r="K23" i="72"/>
  <c r="A25" i="72"/>
  <c r="B24" i="72"/>
  <c r="C24" i="72" s="1"/>
  <c r="Q20" i="69"/>
  <c r="L58" i="69"/>
  <c r="L66" i="69"/>
  <c r="L60" i="69"/>
  <c r="L68" i="69"/>
  <c r="L57" i="69"/>
  <c r="L65" i="69"/>
  <c r="L67" i="69"/>
  <c r="L50" i="69"/>
  <c r="L61" i="69"/>
  <c r="L69" i="69"/>
  <c r="L53" i="69"/>
  <c r="L62" i="69"/>
  <c r="L70" i="69"/>
  <c r="L55" i="69"/>
  <c r="L63" i="69"/>
  <c r="L71" i="69"/>
  <c r="L59" i="69"/>
  <c r="L56" i="69"/>
  <c r="L64" i="69"/>
  <c r="I57" i="69"/>
  <c r="K60" i="69"/>
  <c r="K68" i="69"/>
  <c r="K65" i="69"/>
  <c r="K58" i="69"/>
  <c r="K59" i="69"/>
  <c r="K67" i="69"/>
  <c r="K50" i="69"/>
  <c r="K61" i="69"/>
  <c r="K69" i="69"/>
  <c r="K62" i="69"/>
  <c r="K55" i="69"/>
  <c r="K63" i="69"/>
  <c r="K71" i="69"/>
  <c r="K57" i="69"/>
  <c r="K66" i="69"/>
  <c r="K53" i="69"/>
  <c r="K70" i="69"/>
  <c r="K56" i="69"/>
  <c r="K64" i="69"/>
  <c r="I60" i="69"/>
  <c r="I68" i="69"/>
  <c r="I58" i="69"/>
  <c r="I59" i="69"/>
  <c r="I50" i="69"/>
  <c r="I61" i="69"/>
  <c r="I69" i="69"/>
  <c r="I65" i="69"/>
  <c r="I67" i="69"/>
  <c r="I53" i="69"/>
  <c r="I62" i="69"/>
  <c r="I70" i="69"/>
  <c r="I66" i="69"/>
  <c r="I55" i="69"/>
  <c r="I63" i="69"/>
  <c r="I71" i="69"/>
  <c r="I56" i="69"/>
  <c r="I64" i="69"/>
  <c r="G292" i="66"/>
  <c r="P401" i="66"/>
  <c r="P361" i="66"/>
  <c r="P281" i="66"/>
  <c r="P241" i="66"/>
  <c r="I410" i="66"/>
  <c r="G411" i="66"/>
  <c r="M423" i="66"/>
  <c r="I423" i="66"/>
  <c r="F423" i="66"/>
  <c r="G414" i="66"/>
  <c r="G374" i="66"/>
  <c r="H290" i="66"/>
  <c r="I290" i="66" s="1"/>
  <c r="M281" i="66"/>
  <c r="AH115" i="78" l="1"/>
  <c r="AC116" i="78"/>
  <c r="F127" i="80"/>
  <c r="D124" i="80"/>
  <c r="E125" i="80"/>
  <c r="L123" i="80"/>
  <c r="K123" i="80"/>
  <c r="M123" i="80"/>
  <c r="O111" i="80"/>
  <c r="Q110" i="80"/>
  <c r="P110" i="80"/>
  <c r="Q103" i="76"/>
  <c r="O104" i="76"/>
  <c r="Q104" i="76" s="1"/>
  <c r="P103" i="76"/>
  <c r="K116" i="76"/>
  <c r="L116" i="76"/>
  <c r="E117" i="76"/>
  <c r="D117" i="76" s="1"/>
  <c r="M117" i="76" s="1"/>
  <c r="F243" i="76"/>
  <c r="H242" i="76"/>
  <c r="G242" i="76"/>
  <c r="K115" i="78"/>
  <c r="L114" i="78"/>
  <c r="M114" i="78" s="1"/>
  <c r="E117" i="78"/>
  <c r="A116" i="78"/>
  <c r="B116" i="78"/>
  <c r="AH116" i="78" s="1"/>
  <c r="C117" i="78"/>
  <c r="Q24" i="69"/>
  <c r="H5" i="72" s="1"/>
  <c r="D20" i="72" s="1"/>
  <c r="B25" i="72"/>
  <c r="C25" i="72" s="1"/>
  <c r="A26" i="72"/>
  <c r="K24" i="72"/>
  <c r="N281" i="66"/>
  <c r="EG2" i="60"/>
  <c r="F303" i="66"/>
  <c r="I303" i="66"/>
  <c r="M303" i="66"/>
  <c r="G294" i="66"/>
  <c r="G293" i="66"/>
  <c r="G255" i="66"/>
  <c r="G254" i="66"/>
  <c r="L269" i="66"/>
  <c r="K265" i="66"/>
  <c r="G253" i="66"/>
  <c r="G250" i="66"/>
  <c r="I216" i="66"/>
  <c r="I217" i="66"/>
  <c r="I218" i="66"/>
  <c r="I219" i="66"/>
  <c r="I220" i="66"/>
  <c r="I221" i="66"/>
  <c r="I222" i="66"/>
  <c r="I223" i="66"/>
  <c r="I224" i="66"/>
  <c r="I225" i="66"/>
  <c r="I226" i="66"/>
  <c r="I215" i="66"/>
  <c r="H226" i="66"/>
  <c r="G226" i="66"/>
  <c r="G249" i="66" s="1"/>
  <c r="D216" i="66"/>
  <c r="D217" i="66"/>
  <c r="D218" i="66"/>
  <c r="D219" i="66"/>
  <c r="D220" i="66"/>
  <c r="D221" i="66"/>
  <c r="D222" i="66"/>
  <c r="D223" i="66"/>
  <c r="D224" i="66"/>
  <c r="D225" i="66"/>
  <c r="D226" i="66"/>
  <c r="D215" i="66"/>
  <c r="I188" i="66"/>
  <c r="I187" i="66"/>
  <c r="I186" i="66"/>
  <c r="I185" i="66"/>
  <c r="I184" i="66"/>
  <c r="I183" i="66"/>
  <c r="I182" i="66"/>
  <c r="I181" i="66"/>
  <c r="I180" i="66"/>
  <c r="I179" i="66"/>
  <c r="I178" i="66"/>
  <c r="I177" i="66"/>
  <c r="I176" i="66"/>
  <c r="I175" i="66"/>
  <c r="D177" i="66"/>
  <c r="D178" i="66"/>
  <c r="D179" i="66"/>
  <c r="D180" i="66"/>
  <c r="D181" i="66"/>
  <c r="D182" i="66"/>
  <c r="D183" i="66"/>
  <c r="D184" i="66"/>
  <c r="D185" i="66"/>
  <c r="D186" i="66"/>
  <c r="D187" i="66"/>
  <c r="D188" i="66"/>
  <c r="D176" i="66"/>
  <c r="D175" i="66"/>
  <c r="I169" i="66"/>
  <c r="I209" i="66" s="1"/>
  <c r="I170" i="66"/>
  <c r="I210" i="66" s="1"/>
  <c r="I168" i="66"/>
  <c r="I208" i="66" s="1"/>
  <c r="G95" i="66"/>
  <c r="A81" i="66"/>
  <c r="M81" i="66"/>
  <c r="K105" i="66"/>
  <c r="K104" i="66"/>
  <c r="C95" i="66"/>
  <c r="C104" i="66" s="1"/>
  <c r="B78" i="66"/>
  <c r="G34" i="66"/>
  <c r="AC117" i="78" l="1"/>
  <c r="L115" i="78"/>
  <c r="M115" i="78" s="1"/>
  <c r="D125" i="80"/>
  <c r="E126" i="80"/>
  <c r="M124" i="80"/>
  <c r="L124" i="80"/>
  <c r="K124" i="80"/>
  <c r="F128" i="80"/>
  <c r="Q111" i="80"/>
  <c r="P111" i="80"/>
  <c r="O112" i="80"/>
  <c r="O105" i="76"/>
  <c r="P104" i="76"/>
  <c r="K117" i="76"/>
  <c r="L117" i="76"/>
  <c r="E118" i="76"/>
  <c r="D118" i="76" s="1"/>
  <c r="F244" i="76"/>
  <c r="H243" i="76"/>
  <c r="G243" i="76"/>
  <c r="K116" i="78"/>
  <c r="E118" i="78"/>
  <c r="B117" i="78"/>
  <c r="AH117" i="78" s="1"/>
  <c r="A117" i="78"/>
  <c r="C118" i="78"/>
  <c r="G21" i="70"/>
  <c r="G34" i="70"/>
  <c r="G33" i="70" s="1"/>
  <c r="G35" i="70" s="1"/>
  <c r="E20" i="72"/>
  <c r="H5" i="73"/>
  <c r="D35" i="73" s="1"/>
  <c r="E35" i="73" s="1"/>
  <c r="F35" i="73" s="1"/>
  <c r="D24" i="72"/>
  <c r="E24" i="72" s="1"/>
  <c r="F24" i="72" s="1"/>
  <c r="D23" i="72"/>
  <c r="E23" i="72" s="1"/>
  <c r="F23" i="72" s="1"/>
  <c r="D22" i="72"/>
  <c r="E22" i="72" s="1"/>
  <c r="F22" i="72" s="1"/>
  <c r="D21" i="72"/>
  <c r="E21" i="72" s="1"/>
  <c r="F21" i="72" s="1"/>
  <c r="B26" i="72"/>
  <c r="C26" i="72" s="1"/>
  <c r="A27" i="72"/>
  <c r="D25" i="72"/>
  <c r="E25" i="72" s="1"/>
  <c r="F25" i="72" s="1"/>
  <c r="K25" i="72"/>
  <c r="G290" i="66"/>
  <c r="G289" i="66"/>
  <c r="C105" i="66"/>
  <c r="J13" i="45"/>
  <c r="D27" i="73" l="1"/>
  <c r="E27" i="73" s="1"/>
  <c r="F27" i="73" s="1"/>
  <c r="D105" i="73"/>
  <c r="E105" i="73" s="1"/>
  <c r="F105" i="73" s="1"/>
  <c r="D104" i="73"/>
  <c r="E104" i="73" s="1"/>
  <c r="F104" i="73" s="1"/>
  <c r="D102" i="73"/>
  <c r="E102" i="73" s="1"/>
  <c r="F102" i="73" s="1"/>
  <c r="D23" i="73"/>
  <c r="E23" i="73" s="1"/>
  <c r="F23" i="73" s="1"/>
  <c r="D98" i="73"/>
  <c r="E98" i="73" s="1"/>
  <c r="F98" i="73" s="1"/>
  <c r="D29" i="73"/>
  <c r="E29" i="73" s="1"/>
  <c r="F29" i="73" s="1"/>
  <c r="D92" i="73"/>
  <c r="E92" i="73" s="1"/>
  <c r="F92" i="73" s="1"/>
  <c r="D30" i="73"/>
  <c r="E30" i="73" s="1"/>
  <c r="F30" i="73" s="1"/>
  <c r="D84" i="73"/>
  <c r="E84" i="73" s="1"/>
  <c r="F84" i="73" s="1"/>
  <c r="D20" i="73"/>
  <c r="E20" i="73" s="1"/>
  <c r="D90" i="73"/>
  <c r="E90" i="73" s="1"/>
  <c r="F90" i="73" s="1"/>
  <c r="D106" i="73"/>
  <c r="E106" i="73" s="1"/>
  <c r="F106" i="73" s="1"/>
  <c r="D80" i="73"/>
  <c r="E80" i="73" s="1"/>
  <c r="F80" i="73" s="1"/>
  <c r="L116" i="78"/>
  <c r="AC118" i="78"/>
  <c r="K117" i="78"/>
  <c r="F129" i="80"/>
  <c r="O113" i="80"/>
  <c r="Q112" i="80"/>
  <c r="P112" i="80"/>
  <c r="D126" i="80"/>
  <c r="E127" i="80"/>
  <c r="L125" i="80"/>
  <c r="K125" i="80"/>
  <c r="M125" i="80"/>
  <c r="Q105" i="76"/>
  <c r="L118" i="76"/>
  <c r="O106" i="76"/>
  <c r="P105" i="76"/>
  <c r="E119" i="76"/>
  <c r="D119" i="76" s="1"/>
  <c r="M119" i="76" s="1"/>
  <c r="F245" i="76"/>
  <c r="H244" i="76"/>
  <c r="G244" i="76"/>
  <c r="D79" i="73"/>
  <c r="E79" i="73" s="1"/>
  <c r="F79" i="73" s="1"/>
  <c r="D73" i="73"/>
  <c r="E73" i="73" s="1"/>
  <c r="F73" i="73" s="1"/>
  <c r="D24" i="73"/>
  <c r="E24" i="73" s="1"/>
  <c r="F24" i="73" s="1"/>
  <c r="D26" i="73"/>
  <c r="E26" i="73" s="1"/>
  <c r="F26" i="73" s="1"/>
  <c r="D95" i="73"/>
  <c r="E95" i="73" s="1"/>
  <c r="F95" i="73" s="1"/>
  <c r="D72" i="73"/>
  <c r="E72" i="73" s="1"/>
  <c r="F72" i="73" s="1"/>
  <c r="D97" i="73"/>
  <c r="E97" i="73" s="1"/>
  <c r="F97" i="73" s="1"/>
  <c r="D28" i="73"/>
  <c r="E28" i="73" s="1"/>
  <c r="F28" i="73" s="1"/>
  <c r="D21" i="73"/>
  <c r="E21" i="73" s="1"/>
  <c r="F21" i="73" s="1"/>
  <c r="D108" i="73"/>
  <c r="E108" i="73" s="1"/>
  <c r="F108" i="73" s="1"/>
  <c r="D93" i="73"/>
  <c r="E93" i="73" s="1"/>
  <c r="F93" i="73" s="1"/>
  <c r="D68" i="73"/>
  <c r="E68" i="73" s="1"/>
  <c r="F68" i="73" s="1"/>
  <c r="D101" i="73"/>
  <c r="E101" i="73" s="1"/>
  <c r="F101" i="73" s="1"/>
  <c r="D89" i="73"/>
  <c r="E89" i="73" s="1"/>
  <c r="F89" i="73" s="1"/>
  <c r="D64" i="73"/>
  <c r="E64" i="73" s="1"/>
  <c r="F64" i="73" s="1"/>
  <c r="D100" i="73"/>
  <c r="E100" i="73" s="1"/>
  <c r="F100" i="73" s="1"/>
  <c r="D87" i="73"/>
  <c r="E87" i="73" s="1"/>
  <c r="F87" i="73" s="1"/>
  <c r="D57" i="73"/>
  <c r="E57" i="73" s="1"/>
  <c r="F57" i="73" s="1"/>
  <c r="E119" i="78"/>
  <c r="A118" i="78"/>
  <c r="B118" i="78"/>
  <c r="AH118" i="78" s="1"/>
  <c r="C119" i="78"/>
  <c r="D78" i="73"/>
  <c r="E78" i="73" s="1"/>
  <c r="F78" i="73" s="1"/>
  <c r="D62" i="73"/>
  <c r="E62" i="73" s="1"/>
  <c r="F62" i="73" s="1"/>
  <c r="D88" i="73"/>
  <c r="E88" i="73" s="1"/>
  <c r="F88" i="73" s="1"/>
  <c r="D77" i="73"/>
  <c r="E77" i="73" s="1"/>
  <c r="F77" i="73" s="1"/>
  <c r="D61" i="73"/>
  <c r="E61" i="73" s="1"/>
  <c r="F61" i="73" s="1"/>
  <c r="D55" i="73"/>
  <c r="E55" i="73" s="1"/>
  <c r="F55" i="73" s="1"/>
  <c r="D82" i="73"/>
  <c r="E82" i="73" s="1"/>
  <c r="F82" i="73" s="1"/>
  <c r="D71" i="73"/>
  <c r="E71" i="73" s="1"/>
  <c r="F71" i="73" s="1"/>
  <c r="D54" i="73"/>
  <c r="E54" i="73" s="1"/>
  <c r="F54" i="73" s="1"/>
  <c r="D81" i="73"/>
  <c r="E81" i="73" s="1"/>
  <c r="F81" i="73" s="1"/>
  <c r="D70" i="73"/>
  <c r="E70" i="73" s="1"/>
  <c r="F70" i="73" s="1"/>
  <c r="D52" i="73"/>
  <c r="E52" i="73" s="1"/>
  <c r="F52" i="73" s="1"/>
  <c r="D65" i="73"/>
  <c r="E65" i="73" s="1"/>
  <c r="F65" i="73" s="1"/>
  <c r="D53" i="73"/>
  <c r="E53" i="73" s="1"/>
  <c r="F53" i="73" s="1"/>
  <c r="D96" i="73"/>
  <c r="E96" i="73" s="1"/>
  <c r="F96" i="73" s="1"/>
  <c r="D86" i="73"/>
  <c r="E86" i="73" s="1"/>
  <c r="F86" i="73" s="1"/>
  <c r="D74" i="73"/>
  <c r="E74" i="73" s="1"/>
  <c r="F74" i="73" s="1"/>
  <c r="D63" i="73"/>
  <c r="E63" i="73" s="1"/>
  <c r="F63" i="73" s="1"/>
  <c r="D50" i="73"/>
  <c r="E50" i="73" s="1"/>
  <c r="F50" i="73" s="1"/>
  <c r="D46" i="73"/>
  <c r="E46" i="73" s="1"/>
  <c r="F46" i="73" s="1"/>
  <c r="D69" i="73"/>
  <c r="E69" i="73" s="1"/>
  <c r="F69" i="73" s="1"/>
  <c r="D60" i="73"/>
  <c r="E60" i="73" s="1"/>
  <c r="F60" i="73" s="1"/>
  <c r="D48" i="73"/>
  <c r="E48" i="73" s="1"/>
  <c r="F48" i="73" s="1"/>
  <c r="D25" i="73"/>
  <c r="E25" i="73" s="1"/>
  <c r="F25" i="73" s="1"/>
  <c r="D103" i="73"/>
  <c r="E103" i="73" s="1"/>
  <c r="F103" i="73" s="1"/>
  <c r="D94" i="73"/>
  <c r="E94" i="73" s="1"/>
  <c r="F94" i="73" s="1"/>
  <c r="D85" i="73"/>
  <c r="E85" i="73" s="1"/>
  <c r="F85" i="73" s="1"/>
  <c r="D76" i="73"/>
  <c r="E76" i="73" s="1"/>
  <c r="F76" i="73" s="1"/>
  <c r="D66" i="73"/>
  <c r="E66" i="73" s="1"/>
  <c r="F66" i="73" s="1"/>
  <c r="D56" i="73"/>
  <c r="E56" i="73" s="1"/>
  <c r="F56" i="73" s="1"/>
  <c r="D45" i="73"/>
  <c r="E45" i="73" s="1"/>
  <c r="F45" i="73" s="1"/>
  <c r="D42" i="73"/>
  <c r="E42" i="73" s="1"/>
  <c r="F42" i="73" s="1"/>
  <c r="D41" i="73"/>
  <c r="E41" i="73" s="1"/>
  <c r="F41" i="73" s="1"/>
  <c r="D40" i="73"/>
  <c r="E40" i="73" s="1"/>
  <c r="F40" i="73" s="1"/>
  <c r="D39" i="73"/>
  <c r="E39" i="73" s="1"/>
  <c r="F39" i="73" s="1"/>
  <c r="D58" i="73"/>
  <c r="E58" i="73" s="1"/>
  <c r="F58" i="73" s="1"/>
  <c r="D49" i="73"/>
  <c r="E49" i="73" s="1"/>
  <c r="F49" i="73" s="1"/>
  <c r="D38" i="73"/>
  <c r="E38" i="73" s="1"/>
  <c r="F38" i="73" s="1"/>
  <c r="D47" i="73"/>
  <c r="E47" i="73" s="1"/>
  <c r="F47" i="73" s="1"/>
  <c r="D34" i="73"/>
  <c r="E34" i="73" s="1"/>
  <c r="F34" i="73" s="1"/>
  <c r="D33" i="73"/>
  <c r="E33" i="73" s="1"/>
  <c r="F33" i="73" s="1"/>
  <c r="D32" i="73"/>
  <c r="E32" i="73" s="1"/>
  <c r="F32" i="73" s="1"/>
  <c r="D31" i="73"/>
  <c r="E31" i="73" s="1"/>
  <c r="F31" i="73" s="1"/>
  <c r="D37" i="73"/>
  <c r="E37" i="73" s="1"/>
  <c r="F37" i="73" s="1"/>
  <c r="D44" i="73"/>
  <c r="E44" i="73" s="1"/>
  <c r="F44" i="73" s="1"/>
  <c r="D36" i="73"/>
  <c r="E36" i="73" s="1"/>
  <c r="F36" i="73" s="1"/>
  <c r="D22" i="73"/>
  <c r="E22" i="73" s="1"/>
  <c r="F22" i="73" s="1"/>
  <c r="D107" i="73"/>
  <c r="E107" i="73" s="1"/>
  <c r="F107" i="73" s="1"/>
  <c r="D99" i="73"/>
  <c r="E99" i="73" s="1"/>
  <c r="F99" i="73" s="1"/>
  <c r="D91" i="73"/>
  <c r="E91" i="73" s="1"/>
  <c r="F91" i="73" s="1"/>
  <c r="D83" i="73"/>
  <c r="E83" i="73" s="1"/>
  <c r="F83" i="73" s="1"/>
  <c r="D75" i="73"/>
  <c r="E75" i="73" s="1"/>
  <c r="F75" i="73" s="1"/>
  <c r="D67" i="73"/>
  <c r="E67" i="73" s="1"/>
  <c r="F67" i="73" s="1"/>
  <c r="D59" i="73"/>
  <c r="E59" i="73" s="1"/>
  <c r="F59" i="73" s="1"/>
  <c r="D51" i="73"/>
  <c r="E51" i="73" s="1"/>
  <c r="F51" i="73" s="1"/>
  <c r="D43" i="73"/>
  <c r="E43" i="73" s="1"/>
  <c r="F43" i="73" s="1"/>
  <c r="G20" i="70"/>
  <c r="G22" i="70" s="1"/>
  <c r="F20" i="72"/>
  <c r="G20" i="72" s="1"/>
  <c r="G21" i="72" s="1"/>
  <c r="D26" i="72"/>
  <c r="B27" i="72"/>
  <c r="C27" i="72" s="1"/>
  <c r="A28" i="72"/>
  <c r="K26" i="72"/>
  <c r="L23" i="57"/>
  <c r="S31" i="57"/>
  <c r="O38" i="62"/>
  <c r="G37" i="62"/>
  <c r="AJ14" i="65"/>
  <c r="AC13" i="65" s="1"/>
  <c r="X5" i="65"/>
  <c r="G412" i="66" s="1"/>
  <c r="N6" i="65"/>
  <c r="G372" i="66" s="1"/>
  <c r="B20" i="65"/>
  <c r="D20" i="65" s="1"/>
  <c r="H8" i="65"/>
  <c r="H7" i="65"/>
  <c r="H6" i="65"/>
  <c r="C7" i="65"/>
  <c r="E7" i="65" s="1"/>
  <c r="J109" i="65"/>
  <c r="I109" i="65"/>
  <c r="AW14" i="65"/>
  <c r="H10" i="65"/>
  <c r="G370" i="66" s="1"/>
  <c r="G410" i="66" s="1"/>
  <c r="C5" i="65"/>
  <c r="A20" i="65" s="1"/>
  <c r="A21" i="65" s="1"/>
  <c r="AW14" i="64"/>
  <c r="AJ14" i="64"/>
  <c r="AC13" i="64" s="1"/>
  <c r="L117" i="78" l="1"/>
  <c r="M117" i="78" s="1"/>
  <c r="K118" i="78"/>
  <c r="L118" i="78" s="1"/>
  <c r="M118" i="78" s="1"/>
  <c r="AC119" i="78"/>
  <c r="Q113" i="80"/>
  <c r="P113" i="80"/>
  <c r="O114" i="80"/>
  <c r="F130" i="80"/>
  <c r="D127" i="80"/>
  <c r="E128" i="80"/>
  <c r="M126" i="80"/>
  <c r="L126" i="80"/>
  <c r="K126" i="80"/>
  <c r="Q106" i="76"/>
  <c r="O107" i="76"/>
  <c r="P106" i="76"/>
  <c r="K119" i="76"/>
  <c r="L119" i="76"/>
  <c r="E120" i="76"/>
  <c r="D120" i="76" s="1"/>
  <c r="M120" i="76" s="1"/>
  <c r="F246" i="76"/>
  <c r="G245" i="76"/>
  <c r="H245" i="76"/>
  <c r="E120" i="78"/>
  <c r="B119" i="78"/>
  <c r="K119" i="78" s="1"/>
  <c r="A119" i="78"/>
  <c r="C120" i="78"/>
  <c r="D109" i="73"/>
  <c r="F20" i="73"/>
  <c r="G20" i="73" s="1"/>
  <c r="G21" i="73" s="1"/>
  <c r="E109" i="73"/>
  <c r="H15" i="73" s="1"/>
  <c r="E26" i="72"/>
  <c r="F26" i="72" s="1"/>
  <c r="G22" i="72"/>
  <c r="H20" i="72"/>
  <c r="D27" i="72"/>
  <c r="K27" i="72"/>
  <c r="B28" i="72"/>
  <c r="C28" i="72" s="1"/>
  <c r="A29" i="72"/>
  <c r="G373" i="66"/>
  <c r="G413" i="66"/>
  <c r="K8" i="65"/>
  <c r="X7" i="65"/>
  <c r="O36" i="62" s="1"/>
  <c r="K9" i="65"/>
  <c r="T16" i="65"/>
  <c r="C20" i="65"/>
  <c r="N9" i="65"/>
  <c r="E20" i="65"/>
  <c r="A22" i="65"/>
  <c r="I109" i="64"/>
  <c r="J109" i="64"/>
  <c r="E7" i="64"/>
  <c r="C7" i="64"/>
  <c r="H10" i="64"/>
  <c r="X5" i="64"/>
  <c r="AH119" i="78" l="1"/>
  <c r="AC120" i="78"/>
  <c r="F131" i="80"/>
  <c r="O115" i="80"/>
  <c r="Q114" i="80"/>
  <c r="P114" i="80"/>
  <c r="D128" i="80"/>
  <c r="E129" i="80"/>
  <c r="L127" i="80"/>
  <c r="K127" i="80"/>
  <c r="M127" i="80"/>
  <c r="Q107" i="76"/>
  <c r="O108" i="76"/>
  <c r="P107" i="76"/>
  <c r="K120" i="76"/>
  <c r="L120" i="76"/>
  <c r="E121" i="76"/>
  <c r="D121" i="76" s="1"/>
  <c r="M121" i="76" s="1"/>
  <c r="F247" i="76"/>
  <c r="H246" i="76"/>
  <c r="G246" i="76"/>
  <c r="L119" i="78"/>
  <c r="M119" i="78" s="1"/>
  <c r="E121" i="78"/>
  <c r="A120" i="78"/>
  <c r="B120" i="78"/>
  <c r="AH120" i="78" s="1"/>
  <c r="C121" i="78"/>
  <c r="H20" i="73"/>
  <c r="G22" i="73"/>
  <c r="E27" i="72"/>
  <c r="F27" i="72" s="1"/>
  <c r="H21" i="72"/>
  <c r="G23" i="72"/>
  <c r="D28" i="72"/>
  <c r="K28" i="72"/>
  <c r="B29" i="72"/>
  <c r="C29" i="72" s="1"/>
  <c r="A30" i="72"/>
  <c r="Q9" i="65"/>
  <c r="O9" i="65"/>
  <c r="O8" i="65" s="1"/>
  <c r="F20" i="65"/>
  <c r="G20" i="65" s="1"/>
  <c r="T18" i="65"/>
  <c r="Z13" i="65"/>
  <c r="A23" i="65"/>
  <c r="T16" i="64"/>
  <c r="K8" i="64"/>
  <c r="K9" i="64"/>
  <c r="AC121" i="78" l="1"/>
  <c r="O116" i="80"/>
  <c r="Q115" i="80"/>
  <c r="P115" i="80"/>
  <c r="F132" i="80"/>
  <c r="D129" i="80"/>
  <c r="E130" i="80"/>
  <c r="M128" i="80"/>
  <c r="L128" i="80"/>
  <c r="K128" i="80"/>
  <c r="Q108" i="76"/>
  <c r="O109" i="76"/>
  <c r="P108" i="76"/>
  <c r="K121" i="76"/>
  <c r="L121" i="76"/>
  <c r="E122" i="76"/>
  <c r="D122" i="76" s="1"/>
  <c r="M122" i="76" s="1"/>
  <c r="F248" i="76"/>
  <c r="H247" i="76"/>
  <c r="G247" i="76"/>
  <c r="K120" i="78"/>
  <c r="E122" i="78"/>
  <c r="A121" i="78"/>
  <c r="B121" i="78"/>
  <c r="C122" i="78"/>
  <c r="H21" i="73"/>
  <c r="G23" i="73"/>
  <c r="E28" i="72"/>
  <c r="F28" i="72" s="1"/>
  <c r="G24" i="72"/>
  <c r="H22" i="72"/>
  <c r="K29" i="72"/>
  <c r="A31" i="72"/>
  <c r="B30" i="72"/>
  <c r="C30" i="72" s="1"/>
  <c r="D29" i="72"/>
  <c r="E29" i="72" s="1"/>
  <c r="F29" i="72" s="1"/>
  <c r="A24" i="65"/>
  <c r="O9" i="64"/>
  <c r="Q9" i="64"/>
  <c r="AH121" i="78" l="1"/>
  <c r="AC122" i="78"/>
  <c r="F133" i="80"/>
  <c r="D130" i="80"/>
  <c r="E131" i="80"/>
  <c r="L129" i="80"/>
  <c r="K129" i="80"/>
  <c r="M129" i="80"/>
  <c r="O117" i="80"/>
  <c r="Q116" i="80"/>
  <c r="P116" i="80"/>
  <c r="Q109" i="76"/>
  <c r="O110" i="76"/>
  <c r="P109" i="76"/>
  <c r="K122" i="76"/>
  <c r="L122" i="76"/>
  <c r="E123" i="76"/>
  <c r="D123" i="76" s="1"/>
  <c r="M123" i="76" s="1"/>
  <c r="F249" i="76"/>
  <c r="H248" i="76"/>
  <c r="G248" i="76"/>
  <c r="K121" i="78"/>
  <c r="L120" i="78"/>
  <c r="M120" i="78" s="1"/>
  <c r="E123" i="78"/>
  <c r="B122" i="78"/>
  <c r="A122" i="78"/>
  <c r="C123" i="78"/>
  <c r="H22" i="73"/>
  <c r="G24" i="73"/>
  <c r="G25" i="72"/>
  <c r="H23" i="72"/>
  <c r="A32" i="72"/>
  <c r="B31" i="72"/>
  <c r="C31" i="72" s="1"/>
  <c r="D30" i="72"/>
  <c r="E30" i="72" s="1"/>
  <c r="F30" i="72" s="1"/>
  <c r="K30" i="72"/>
  <c r="A25" i="65"/>
  <c r="AH122" i="78" l="1"/>
  <c r="AC123" i="78"/>
  <c r="F134" i="80"/>
  <c r="K130" i="80"/>
  <c r="M130" i="80"/>
  <c r="L130" i="80"/>
  <c r="O118" i="80"/>
  <c r="Q117" i="80"/>
  <c r="P117" i="80"/>
  <c r="D131" i="80"/>
  <c r="E132" i="80"/>
  <c r="Q110" i="76"/>
  <c r="O111" i="76"/>
  <c r="P110" i="76"/>
  <c r="K123" i="76"/>
  <c r="L123" i="76"/>
  <c r="E124" i="76"/>
  <c r="D124" i="76" s="1"/>
  <c r="M124" i="76" s="1"/>
  <c r="F250" i="76"/>
  <c r="H249" i="76"/>
  <c r="G249" i="76"/>
  <c r="L121" i="78"/>
  <c r="M121" i="78" s="1"/>
  <c r="K122" i="78"/>
  <c r="E124" i="78"/>
  <c r="A123" i="78"/>
  <c r="B123" i="78"/>
  <c r="C124" i="78"/>
  <c r="H23" i="73"/>
  <c r="G25" i="73"/>
  <c r="H24" i="72"/>
  <c r="G26" i="72"/>
  <c r="D31" i="72"/>
  <c r="E31" i="72" s="1"/>
  <c r="F31" i="72" s="1"/>
  <c r="B32" i="72"/>
  <c r="C32" i="72" s="1"/>
  <c r="A33" i="72"/>
  <c r="K31" i="72"/>
  <c r="A26" i="65"/>
  <c r="AH123" i="78" l="1"/>
  <c r="AC124" i="78"/>
  <c r="D132" i="80"/>
  <c r="E133" i="80"/>
  <c r="L131" i="80"/>
  <c r="O119" i="80"/>
  <c r="Q118" i="80"/>
  <c r="P118" i="80"/>
  <c r="F135" i="80"/>
  <c r="Q111" i="76"/>
  <c r="O112" i="76"/>
  <c r="Q112" i="76" s="1"/>
  <c r="P111" i="76"/>
  <c r="K124" i="76"/>
  <c r="L124" i="76"/>
  <c r="E125" i="76"/>
  <c r="D125" i="76" s="1"/>
  <c r="M125" i="76" s="1"/>
  <c r="F251" i="76"/>
  <c r="H250" i="76"/>
  <c r="G250" i="76"/>
  <c r="K123" i="78"/>
  <c r="L122" i="78"/>
  <c r="M122" i="78" s="1"/>
  <c r="E125" i="78"/>
  <c r="B124" i="78"/>
  <c r="AH124" i="78" s="1"/>
  <c r="A124" i="78"/>
  <c r="C125" i="78"/>
  <c r="H24" i="73"/>
  <c r="G26" i="73"/>
  <c r="G27" i="72"/>
  <c r="H25" i="72"/>
  <c r="K32" i="72"/>
  <c r="D32" i="72"/>
  <c r="E32" i="72" s="1"/>
  <c r="F32" i="72" s="1"/>
  <c r="B33" i="72"/>
  <c r="C33" i="72" s="1"/>
  <c r="A34" i="72"/>
  <c r="A27" i="65"/>
  <c r="AC125" i="78" l="1"/>
  <c r="O120" i="80"/>
  <c r="P119" i="80"/>
  <c r="Q119" i="80"/>
  <c r="F136" i="80"/>
  <c r="D133" i="80"/>
  <c r="E134" i="80"/>
  <c r="L132" i="80"/>
  <c r="K132" i="80"/>
  <c r="M132" i="80"/>
  <c r="O113" i="76"/>
  <c r="Q113" i="76" s="1"/>
  <c r="P112" i="76"/>
  <c r="K125" i="76"/>
  <c r="L125" i="76"/>
  <c r="E126" i="76"/>
  <c r="D126" i="76" s="1"/>
  <c r="M126" i="76" s="1"/>
  <c r="F252" i="76"/>
  <c r="H251" i="76"/>
  <c r="G251" i="76"/>
  <c r="L123" i="78"/>
  <c r="M123" i="78" s="1"/>
  <c r="K124" i="78"/>
  <c r="E126" i="78"/>
  <c r="A125" i="78"/>
  <c r="B125" i="78"/>
  <c r="AH125" i="78" s="1"/>
  <c r="C126" i="78"/>
  <c r="H25" i="73"/>
  <c r="G27" i="73"/>
  <c r="H26" i="72"/>
  <c r="G28" i="72"/>
  <c r="D33" i="72"/>
  <c r="K33" i="72"/>
  <c r="B34" i="72"/>
  <c r="C34" i="72" s="1"/>
  <c r="A35" i="72"/>
  <c r="A28" i="65"/>
  <c r="AC126" i="78" l="1"/>
  <c r="F137" i="80"/>
  <c r="D134" i="80"/>
  <c r="E135" i="80"/>
  <c r="L133" i="80"/>
  <c r="K133" i="80"/>
  <c r="M133" i="80"/>
  <c r="O121" i="80"/>
  <c r="Q120" i="80"/>
  <c r="P120" i="80"/>
  <c r="O114" i="76"/>
  <c r="P113" i="76"/>
  <c r="K126" i="76"/>
  <c r="L126" i="76"/>
  <c r="E127" i="76"/>
  <c r="D127" i="76" s="1"/>
  <c r="M127" i="76" s="1"/>
  <c r="F253" i="76"/>
  <c r="H252" i="76"/>
  <c r="G252" i="76"/>
  <c r="K125" i="78"/>
  <c r="L124" i="78"/>
  <c r="E127" i="78"/>
  <c r="B126" i="78"/>
  <c r="AH126" i="78" s="1"/>
  <c r="A126" i="78"/>
  <c r="C127" i="78"/>
  <c r="H26" i="73"/>
  <c r="G28" i="73"/>
  <c r="E33" i="72"/>
  <c r="H27" i="72"/>
  <c r="G29" i="72"/>
  <c r="K34" i="72"/>
  <c r="B35" i="72"/>
  <c r="C35" i="72" s="1"/>
  <c r="A36" i="72"/>
  <c r="D34" i="72"/>
  <c r="E34" i="72" s="1"/>
  <c r="F34" i="72" s="1"/>
  <c r="A29" i="65"/>
  <c r="AC127" i="78" l="1"/>
  <c r="L125" i="78"/>
  <c r="M125" i="78" s="1"/>
  <c r="D135" i="80"/>
  <c r="E136" i="80"/>
  <c r="F138" i="80"/>
  <c r="Q121" i="80"/>
  <c r="O122" i="80"/>
  <c r="P121" i="80"/>
  <c r="M134" i="80"/>
  <c r="L134" i="80"/>
  <c r="K134" i="80"/>
  <c r="Q114" i="76"/>
  <c r="O115" i="76"/>
  <c r="P114" i="76"/>
  <c r="K127" i="76"/>
  <c r="L127" i="76"/>
  <c r="E128" i="76"/>
  <c r="D128" i="76" s="1"/>
  <c r="M128" i="76" s="1"/>
  <c r="F254" i="76"/>
  <c r="G253" i="76"/>
  <c r="H253" i="76"/>
  <c r="K126" i="78"/>
  <c r="L126" i="78" s="1"/>
  <c r="M126" i="78"/>
  <c r="E128" i="78"/>
  <c r="A127" i="78"/>
  <c r="B127" i="78"/>
  <c r="AH127" i="78" s="1"/>
  <c r="C128" i="78"/>
  <c r="H27" i="73"/>
  <c r="G29" i="73"/>
  <c r="G30" i="73" s="1"/>
  <c r="F33" i="72"/>
  <c r="H28" i="72"/>
  <c r="G30" i="72"/>
  <c r="G31" i="72" s="1"/>
  <c r="G32" i="72" s="1"/>
  <c r="B36" i="72"/>
  <c r="C36" i="72" s="1"/>
  <c r="A37" i="72"/>
  <c r="D35" i="72"/>
  <c r="E35" i="72" s="1"/>
  <c r="F35" i="72" s="1"/>
  <c r="K35" i="72"/>
  <c r="A30" i="65"/>
  <c r="AC128" i="78" l="1"/>
  <c r="F139" i="80"/>
  <c r="D136" i="80"/>
  <c r="E137" i="80"/>
  <c r="O123" i="80"/>
  <c r="Q122" i="80"/>
  <c r="P122" i="80"/>
  <c r="L135" i="80"/>
  <c r="K135" i="80"/>
  <c r="M135" i="80"/>
  <c r="Q115" i="76"/>
  <c r="O116" i="76"/>
  <c r="P115" i="76"/>
  <c r="K128" i="76"/>
  <c r="L128" i="76"/>
  <c r="E129" i="76"/>
  <c r="D129" i="76" s="1"/>
  <c r="M129" i="76" s="1"/>
  <c r="F255" i="76"/>
  <c r="H254" i="76"/>
  <c r="G254" i="76"/>
  <c r="K127" i="78"/>
  <c r="L127" i="78" s="1"/>
  <c r="M127" i="78"/>
  <c r="E129" i="78"/>
  <c r="B128" i="78"/>
  <c r="A128" i="78"/>
  <c r="C129" i="78"/>
  <c r="G31" i="73"/>
  <c r="G32" i="73" s="1"/>
  <c r="H28" i="73"/>
  <c r="H29" i="73"/>
  <c r="H31" i="72"/>
  <c r="G33" i="72"/>
  <c r="H29" i="72"/>
  <c r="H30" i="72"/>
  <c r="K36" i="72"/>
  <c r="A38" i="72"/>
  <c r="B37" i="72"/>
  <c r="C37" i="72" s="1"/>
  <c r="D36" i="72"/>
  <c r="E36" i="72" s="1"/>
  <c r="F36" i="72" s="1"/>
  <c r="A31" i="65"/>
  <c r="AH128" i="78" l="1"/>
  <c r="AC129" i="78"/>
  <c r="Q123" i="80"/>
  <c r="O124" i="80"/>
  <c r="P123" i="80"/>
  <c r="M136" i="80"/>
  <c r="L136" i="80"/>
  <c r="K136" i="80"/>
  <c r="F140" i="80"/>
  <c r="D137" i="80"/>
  <c r="E138" i="80"/>
  <c r="Q116" i="76"/>
  <c r="O117" i="76"/>
  <c r="P116" i="76"/>
  <c r="K129" i="76"/>
  <c r="L129" i="76"/>
  <c r="E130" i="76"/>
  <c r="D130" i="76" s="1"/>
  <c r="F256" i="76"/>
  <c r="H255" i="76"/>
  <c r="G255" i="76"/>
  <c r="K128" i="78"/>
  <c r="L128" i="78" s="1"/>
  <c r="M128" i="78" s="1"/>
  <c r="E130" i="78"/>
  <c r="A129" i="78"/>
  <c r="B129" i="78"/>
  <c r="C130" i="78"/>
  <c r="H31" i="73"/>
  <c r="G33" i="73"/>
  <c r="H30" i="73"/>
  <c r="H32" i="72"/>
  <c r="G34" i="72"/>
  <c r="D37" i="72"/>
  <c r="E37" i="72" s="1"/>
  <c r="F37" i="72" s="1"/>
  <c r="K37" i="72"/>
  <c r="A39" i="72"/>
  <c r="B38" i="72"/>
  <c r="C38" i="72" s="1"/>
  <c r="A32" i="65"/>
  <c r="AH129" i="78" l="1"/>
  <c r="AC130" i="78"/>
  <c r="D138" i="80"/>
  <c r="E139" i="80"/>
  <c r="L137" i="80"/>
  <c r="K137" i="80"/>
  <c r="M137" i="80"/>
  <c r="F141" i="80"/>
  <c r="O125" i="80"/>
  <c r="Q124" i="80"/>
  <c r="P124" i="80"/>
  <c r="Q117" i="76"/>
  <c r="L130" i="76"/>
  <c r="O118" i="76"/>
  <c r="P117" i="76"/>
  <c r="E131" i="76"/>
  <c r="D131" i="76" s="1"/>
  <c r="M131" i="76" s="1"/>
  <c r="F257" i="76"/>
  <c r="H256" i="76"/>
  <c r="G256" i="76"/>
  <c r="K129" i="78"/>
  <c r="L129" i="78" s="1"/>
  <c r="M129" i="78" s="1"/>
  <c r="E131" i="78"/>
  <c r="B130" i="78"/>
  <c r="AH130" i="78" s="1"/>
  <c r="A130" i="78"/>
  <c r="C131" i="78"/>
  <c r="H32" i="73"/>
  <c r="G34" i="73"/>
  <c r="G35" i="73" s="1"/>
  <c r="G36" i="73" s="1"/>
  <c r="H33" i="72"/>
  <c r="G35" i="72"/>
  <c r="G36" i="72" s="1"/>
  <c r="B39" i="72"/>
  <c r="C39" i="72" s="1"/>
  <c r="A40" i="72"/>
  <c r="K38" i="72"/>
  <c r="D38" i="72"/>
  <c r="E38" i="72" s="1"/>
  <c r="F38" i="72" s="1"/>
  <c r="A33" i="65"/>
  <c r="AC131" i="78" l="1"/>
  <c r="Q125" i="80"/>
  <c r="O126" i="80"/>
  <c r="P125" i="80"/>
  <c r="D139" i="80"/>
  <c r="E140" i="80"/>
  <c r="F142" i="80"/>
  <c r="M138" i="80"/>
  <c r="L138" i="80"/>
  <c r="K138" i="80"/>
  <c r="Q118" i="76"/>
  <c r="O119" i="76"/>
  <c r="Q119" i="76" s="1"/>
  <c r="P118" i="76"/>
  <c r="K131" i="76"/>
  <c r="L131" i="76"/>
  <c r="E132" i="76"/>
  <c r="D132" i="76" s="1"/>
  <c r="M132" i="76" s="1"/>
  <c r="F258" i="76"/>
  <c r="H257" i="76"/>
  <c r="G257" i="76"/>
  <c r="K130" i="78"/>
  <c r="E132" i="78"/>
  <c r="A131" i="78"/>
  <c r="B131" i="78"/>
  <c r="C132" i="78"/>
  <c r="G37" i="72"/>
  <c r="G38" i="72" s="1"/>
  <c r="H35" i="73"/>
  <c r="G37" i="73"/>
  <c r="H33" i="73"/>
  <c r="H34" i="73"/>
  <c r="H34" i="72"/>
  <c r="H35" i="72"/>
  <c r="K39" i="72"/>
  <c r="B40" i="72"/>
  <c r="C40" i="72" s="1"/>
  <c r="A41" i="72"/>
  <c r="D39" i="72"/>
  <c r="E39" i="72" s="1"/>
  <c r="F39" i="72" s="1"/>
  <c r="A34" i="65"/>
  <c r="AH131" i="78" l="1"/>
  <c r="AC132" i="78"/>
  <c r="F143" i="80"/>
  <c r="D140" i="80"/>
  <c r="E141" i="80"/>
  <c r="L139" i="80"/>
  <c r="K139" i="80"/>
  <c r="M139" i="80"/>
  <c r="O127" i="80"/>
  <c r="Q126" i="80"/>
  <c r="P126" i="80"/>
  <c r="O120" i="76"/>
  <c r="P119" i="76"/>
  <c r="K132" i="76"/>
  <c r="L132" i="76"/>
  <c r="E133" i="76"/>
  <c r="D133" i="76" s="1"/>
  <c r="M133" i="76" s="1"/>
  <c r="F259" i="76"/>
  <c r="H258" i="76"/>
  <c r="G258" i="76"/>
  <c r="K131" i="78"/>
  <c r="L130" i="78"/>
  <c r="M130" i="78" s="1"/>
  <c r="E133" i="78"/>
  <c r="B132" i="78"/>
  <c r="AH132" i="78" s="1"/>
  <c r="A132" i="78"/>
  <c r="C133" i="78"/>
  <c r="H36" i="73"/>
  <c r="G38" i="73"/>
  <c r="H37" i="72"/>
  <c r="G39" i="72"/>
  <c r="H36" i="72"/>
  <c r="D40" i="72"/>
  <c r="E40" i="72" s="1"/>
  <c r="F40" i="72" s="1"/>
  <c r="K40" i="72"/>
  <c r="B41" i="72"/>
  <c r="C41" i="72" s="1"/>
  <c r="A42" i="72"/>
  <c r="A35" i="65"/>
  <c r="AC133" i="78" l="1"/>
  <c r="F144" i="80"/>
  <c r="E144" i="80"/>
  <c r="D144" i="80" s="1"/>
  <c r="Q127" i="80"/>
  <c r="P127" i="80"/>
  <c r="O128" i="80"/>
  <c r="D141" i="80"/>
  <c r="E142" i="80"/>
  <c r="M140" i="80"/>
  <c r="L140" i="80"/>
  <c r="K140" i="80"/>
  <c r="Q120" i="76"/>
  <c r="O121" i="76"/>
  <c r="P120" i="76"/>
  <c r="K133" i="76"/>
  <c r="L133" i="76"/>
  <c r="E134" i="76"/>
  <c r="D134" i="76" s="1"/>
  <c r="M134" i="76" s="1"/>
  <c r="F260" i="76"/>
  <c r="G259" i="76"/>
  <c r="H259" i="76"/>
  <c r="K132" i="78"/>
  <c r="L131" i="78"/>
  <c r="M131" i="78" s="1"/>
  <c r="E134" i="78"/>
  <c r="A133" i="78"/>
  <c r="B133" i="78"/>
  <c r="AH133" i="78" s="1"/>
  <c r="C134" i="78"/>
  <c r="H38" i="72"/>
  <c r="G40" i="72"/>
  <c r="H37" i="73"/>
  <c r="G39" i="73"/>
  <c r="B42" i="72"/>
  <c r="C42" i="72" s="1"/>
  <c r="A43" i="72"/>
  <c r="D41" i="72"/>
  <c r="E41" i="72" s="1"/>
  <c r="F41" i="72" s="1"/>
  <c r="K41" i="72"/>
  <c r="A36" i="65"/>
  <c r="AC134" i="78" l="1"/>
  <c r="L132" i="78"/>
  <c r="K133" i="78"/>
  <c r="O129" i="80"/>
  <c r="Q128" i="80"/>
  <c r="P128" i="80"/>
  <c r="M144" i="80"/>
  <c r="L144" i="80"/>
  <c r="K144" i="80"/>
  <c r="D142" i="80"/>
  <c r="E143" i="80"/>
  <c r="D143" i="80" s="1"/>
  <c r="L141" i="80"/>
  <c r="K141" i="80"/>
  <c r="M141" i="80"/>
  <c r="E145" i="80"/>
  <c r="D145" i="80" s="1"/>
  <c r="I144" i="80"/>
  <c r="G144" i="80"/>
  <c r="H144" i="80"/>
  <c r="F145" i="80"/>
  <c r="Q121" i="76"/>
  <c r="O122" i="76"/>
  <c r="Q122" i="76" s="1"/>
  <c r="P121" i="76"/>
  <c r="K134" i="76"/>
  <c r="L134" i="76"/>
  <c r="E135" i="76"/>
  <c r="D135" i="76" s="1"/>
  <c r="M135" i="76" s="1"/>
  <c r="F261" i="76"/>
  <c r="G260" i="76"/>
  <c r="H260" i="76"/>
  <c r="E135" i="78"/>
  <c r="B134" i="78"/>
  <c r="AH134" i="78" s="1"/>
  <c r="A134" i="78"/>
  <c r="C135" i="78"/>
  <c r="H38" i="73"/>
  <c r="G40" i="73"/>
  <c r="H39" i="72"/>
  <c r="G41" i="72"/>
  <c r="B43" i="72"/>
  <c r="C43" i="72" s="1"/>
  <c r="A44" i="72"/>
  <c r="K42" i="72"/>
  <c r="D42" i="72"/>
  <c r="E42" i="72" s="1"/>
  <c r="F42" i="72" s="1"/>
  <c r="A37" i="65"/>
  <c r="AC135" i="78" l="1"/>
  <c r="K134" i="78"/>
  <c r="L133" i="78"/>
  <c r="M133" i="78" s="1"/>
  <c r="L145" i="80"/>
  <c r="K145" i="80"/>
  <c r="M145" i="80"/>
  <c r="M142" i="80"/>
  <c r="L142" i="80"/>
  <c r="K142" i="80"/>
  <c r="L143" i="80"/>
  <c r="F146" i="80"/>
  <c r="H145" i="80"/>
  <c r="G145" i="80"/>
  <c r="E146" i="80"/>
  <c r="D146" i="80" s="1"/>
  <c r="I145" i="80"/>
  <c r="Q129" i="80"/>
  <c r="P129" i="80"/>
  <c r="O130" i="80"/>
  <c r="O123" i="76"/>
  <c r="P122" i="76"/>
  <c r="K135" i="76"/>
  <c r="L135" i="76"/>
  <c r="E136" i="76"/>
  <c r="D136" i="76" s="1"/>
  <c r="M136" i="76" s="1"/>
  <c r="F262" i="76"/>
  <c r="G261" i="76"/>
  <c r="H261" i="76"/>
  <c r="E136" i="78"/>
  <c r="A135" i="78"/>
  <c r="B135" i="78"/>
  <c r="AH135" i="78" s="1"/>
  <c r="C136" i="78"/>
  <c r="H40" i="72"/>
  <c r="G42" i="72"/>
  <c r="H39" i="73"/>
  <c r="G41" i="73"/>
  <c r="B44" i="72"/>
  <c r="C44" i="72" s="1"/>
  <c r="A45" i="72"/>
  <c r="K43" i="72"/>
  <c r="D43" i="72"/>
  <c r="E43" i="72" s="1"/>
  <c r="F43" i="72" s="1"/>
  <c r="A38" i="65"/>
  <c r="K135" i="78" l="1"/>
  <c r="AC136" i="78"/>
  <c r="L134" i="78"/>
  <c r="M134" i="78" s="1"/>
  <c r="K146" i="80"/>
  <c r="M146" i="80"/>
  <c r="L146" i="80"/>
  <c r="I146" i="80"/>
  <c r="F147" i="80"/>
  <c r="G146" i="80"/>
  <c r="E147" i="80"/>
  <c r="D147" i="80" s="1"/>
  <c r="H146" i="80"/>
  <c r="O131" i="80"/>
  <c r="Q130" i="80"/>
  <c r="P130" i="80"/>
  <c r="Q123" i="76"/>
  <c r="O124" i="76"/>
  <c r="P123" i="76"/>
  <c r="K136" i="76"/>
  <c r="L136" i="76"/>
  <c r="E137" i="76"/>
  <c r="D137" i="76" s="1"/>
  <c r="M137" i="76" s="1"/>
  <c r="F263" i="76"/>
  <c r="H262" i="76"/>
  <c r="G262" i="76"/>
  <c r="E263" i="76"/>
  <c r="D263" i="76" s="1"/>
  <c r="E137" i="78"/>
  <c r="B136" i="78"/>
  <c r="A136" i="78"/>
  <c r="C137" i="78"/>
  <c r="H40" i="73"/>
  <c r="G42" i="73"/>
  <c r="H41" i="72"/>
  <c r="G43" i="72"/>
  <c r="A46" i="72"/>
  <c r="B45" i="72"/>
  <c r="C45" i="72" s="1"/>
  <c r="D44" i="72"/>
  <c r="E44" i="72" s="1"/>
  <c r="F44" i="72" s="1"/>
  <c r="K44" i="72"/>
  <c r="A39" i="65"/>
  <c r="AH136" i="78" l="1"/>
  <c r="L135" i="78"/>
  <c r="M135" i="78" s="1"/>
  <c r="AC137" i="78"/>
  <c r="K263" i="76"/>
  <c r="M263" i="76"/>
  <c r="L263" i="76"/>
  <c r="M147" i="80"/>
  <c r="L147" i="80"/>
  <c r="K147" i="80"/>
  <c r="H147" i="80"/>
  <c r="E148" i="80"/>
  <c r="D148" i="80" s="1"/>
  <c r="I147" i="80"/>
  <c r="G147" i="80"/>
  <c r="F148" i="80"/>
  <c r="Q131" i="80"/>
  <c r="P131" i="80"/>
  <c r="O132" i="80"/>
  <c r="Q124" i="76"/>
  <c r="O125" i="76"/>
  <c r="P124" i="76"/>
  <c r="K137" i="76"/>
  <c r="L137" i="76"/>
  <c r="E138" i="76"/>
  <c r="D138" i="76" s="1"/>
  <c r="M138" i="76" s="1"/>
  <c r="F264" i="76"/>
  <c r="H263" i="76"/>
  <c r="G263" i="76"/>
  <c r="E264" i="76"/>
  <c r="D264" i="76" s="1"/>
  <c r="K136" i="78"/>
  <c r="E138" i="78"/>
  <c r="A137" i="78"/>
  <c r="B137" i="78"/>
  <c r="C138" i="78"/>
  <c r="H42" i="72"/>
  <c r="G44" i="72"/>
  <c r="H41" i="73"/>
  <c r="G43" i="73"/>
  <c r="K45" i="72"/>
  <c r="D45" i="72"/>
  <c r="E45" i="72" s="1"/>
  <c r="F45" i="72" s="1"/>
  <c r="A47" i="72"/>
  <c r="B46" i="72"/>
  <c r="C46" i="72" s="1"/>
  <c r="A40" i="65"/>
  <c r="AH137" i="78" l="1"/>
  <c r="AC138" i="78"/>
  <c r="K264" i="76"/>
  <c r="M264" i="76"/>
  <c r="L264" i="76"/>
  <c r="F149" i="80"/>
  <c r="G148" i="80"/>
  <c r="E149" i="80"/>
  <c r="D149" i="80" s="1"/>
  <c r="I148" i="80"/>
  <c r="H148" i="80"/>
  <c r="M148" i="80"/>
  <c r="L148" i="80"/>
  <c r="K148" i="80"/>
  <c r="O133" i="80"/>
  <c r="Q132" i="80"/>
  <c r="P132" i="80"/>
  <c r="Q125" i="76"/>
  <c r="O126" i="76"/>
  <c r="P125" i="76"/>
  <c r="K138" i="76"/>
  <c r="L138" i="76"/>
  <c r="E139" i="76"/>
  <c r="D139" i="76" s="1"/>
  <c r="M139" i="76" s="1"/>
  <c r="F265" i="76"/>
  <c r="H264" i="76"/>
  <c r="G264" i="76"/>
  <c r="E265" i="76"/>
  <c r="D265" i="76" s="1"/>
  <c r="K137" i="78"/>
  <c r="L136" i="78"/>
  <c r="M136" i="78" s="1"/>
  <c r="E139" i="78"/>
  <c r="B138" i="78"/>
  <c r="A138" i="78"/>
  <c r="C139" i="78"/>
  <c r="H43" i="72"/>
  <c r="G45" i="72"/>
  <c r="H42" i="73"/>
  <c r="G44" i="73"/>
  <c r="G45" i="73" s="1"/>
  <c r="G46" i="73" s="1"/>
  <c r="D46" i="72"/>
  <c r="E46" i="72" s="1"/>
  <c r="F46" i="72" s="1"/>
  <c r="A48" i="72"/>
  <c r="B47" i="72"/>
  <c r="C47" i="72" s="1"/>
  <c r="K46" i="72"/>
  <c r="A41" i="65"/>
  <c r="AH138" i="78" l="1"/>
  <c r="AC139" i="78"/>
  <c r="K265" i="76"/>
  <c r="M265" i="76"/>
  <c r="L265" i="76"/>
  <c r="M149" i="80"/>
  <c r="L149" i="80"/>
  <c r="K149" i="80"/>
  <c r="Q133" i="80"/>
  <c r="P133" i="80"/>
  <c r="O134" i="80"/>
  <c r="E150" i="80"/>
  <c r="D150" i="80" s="1"/>
  <c r="H149" i="80"/>
  <c r="G149" i="80"/>
  <c r="F150" i="80"/>
  <c r="I149" i="80"/>
  <c r="Q126" i="76"/>
  <c r="O127" i="76"/>
  <c r="P126" i="76"/>
  <c r="K139" i="76"/>
  <c r="L139" i="76"/>
  <c r="E140" i="76"/>
  <c r="D140" i="76" s="1"/>
  <c r="M140" i="76" s="1"/>
  <c r="F266" i="76"/>
  <c r="H265" i="76"/>
  <c r="G265" i="76"/>
  <c r="E266" i="76"/>
  <c r="D266" i="76" s="1"/>
  <c r="L137" i="78"/>
  <c r="M137" i="78" s="1"/>
  <c r="K138" i="78"/>
  <c r="E140" i="78"/>
  <c r="A139" i="78"/>
  <c r="B139" i="78"/>
  <c r="C140" i="78"/>
  <c r="H45" i="73"/>
  <c r="G47" i="73"/>
  <c r="G46" i="72"/>
  <c r="H44" i="72"/>
  <c r="H43" i="73"/>
  <c r="H44" i="73"/>
  <c r="K47" i="72"/>
  <c r="A49" i="72"/>
  <c r="B48" i="72"/>
  <c r="C48" i="72" s="1"/>
  <c r="D47" i="72"/>
  <c r="E47" i="72" s="1"/>
  <c r="F47" i="72" s="1"/>
  <c r="A42" i="65"/>
  <c r="AH139" i="78" l="1"/>
  <c r="AC140" i="78"/>
  <c r="K266" i="76"/>
  <c r="L266" i="76"/>
  <c r="M266" i="76"/>
  <c r="L150" i="80"/>
  <c r="K150" i="80"/>
  <c r="M150" i="80"/>
  <c r="O135" i="80"/>
  <c r="Q134" i="80"/>
  <c r="P134" i="80"/>
  <c r="I150" i="80"/>
  <c r="H150" i="80"/>
  <c r="G150" i="80"/>
  <c r="F151" i="80"/>
  <c r="E151" i="80"/>
  <c r="D151" i="80" s="1"/>
  <c r="Q127" i="76"/>
  <c r="O128" i="76"/>
  <c r="P127" i="76"/>
  <c r="K140" i="76"/>
  <c r="L140" i="76"/>
  <c r="E141" i="76"/>
  <c r="D141" i="76" s="1"/>
  <c r="M141" i="76" s="1"/>
  <c r="F267" i="76"/>
  <c r="H266" i="76"/>
  <c r="G266" i="76"/>
  <c r="E267" i="76"/>
  <c r="D267" i="76" s="1"/>
  <c r="K139" i="78"/>
  <c r="L138" i="78"/>
  <c r="M138" i="78" s="1"/>
  <c r="E141" i="78"/>
  <c r="B140" i="78"/>
  <c r="AH140" i="78" s="1"/>
  <c r="A140" i="78"/>
  <c r="C141" i="78"/>
  <c r="H45" i="72"/>
  <c r="G47" i="72"/>
  <c r="H46" i="73"/>
  <c r="G48" i="73"/>
  <c r="K48" i="72"/>
  <c r="D48" i="72"/>
  <c r="E48" i="72" s="1"/>
  <c r="F48" i="72" s="1"/>
  <c r="A50" i="72"/>
  <c r="B49" i="72"/>
  <c r="C49" i="72" s="1"/>
  <c r="A43" i="65"/>
  <c r="AC141" i="78" l="1"/>
  <c r="K267" i="76"/>
  <c r="M267" i="76"/>
  <c r="L267" i="76"/>
  <c r="O136" i="80"/>
  <c r="P135" i="80"/>
  <c r="Q135" i="80"/>
  <c r="M151" i="80"/>
  <c r="K151" i="80"/>
  <c r="L151" i="80"/>
  <c r="I151" i="80"/>
  <c r="F152" i="80"/>
  <c r="E152" i="80"/>
  <c r="D152" i="80" s="1"/>
  <c r="H151" i="80"/>
  <c r="G151" i="80"/>
  <c r="Q128" i="76"/>
  <c r="O129" i="76"/>
  <c r="P128" i="76"/>
  <c r="K141" i="76"/>
  <c r="L141" i="76"/>
  <c r="E142" i="76"/>
  <c r="F268" i="76"/>
  <c r="E268" i="76"/>
  <c r="D268" i="76" s="1"/>
  <c r="H267" i="76"/>
  <c r="G267" i="76"/>
  <c r="L139" i="78"/>
  <c r="M139" i="78" s="1"/>
  <c r="K140" i="78"/>
  <c r="E142" i="78"/>
  <c r="A141" i="78"/>
  <c r="B141" i="78"/>
  <c r="AH141" i="78" s="1"/>
  <c r="C142" i="78"/>
  <c r="H47" i="73"/>
  <c r="G49" i="73"/>
  <c r="H46" i="72"/>
  <c r="G48" i="72"/>
  <c r="K49" i="72"/>
  <c r="D49" i="72"/>
  <c r="E49" i="72" s="1"/>
  <c r="F49" i="72" s="1"/>
  <c r="B50" i="72"/>
  <c r="C50" i="72" s="1"/>
  <c r="G50" i="72"/>
  <c r="A51" i="72"/>
  <c r="A44" i="65"/>
  <c r="AC142" i="78" l="1"/>
  <c r="D142" i="76"/>
  <c r="L142" i="76" s="1"/>
  <c r="E143" i="76"/>
  <c r="K268" i="76"/>
  <c r="M268" i="76"/>
  <c r="L268" i="76"/>
  <c r="I152" i="80"/>
  <c r="H152" i="80"/>
  <c r="F153" i="80"/>
  <c r="E153" i="80"/>
  <c r="D153" i="80" s="1"/>
  <c r="G152" i="80"/>
  <c r="L152" i="80"/>
  <c r="M152" i="80"/>
  <c r="K152" i="80"/>
  <c r="O137" i="80"/>
  <c r="Q136" i="80"/>
  <c r="P136" i="80"/>
  <c r="Q129" i="76"/>
  <c r="O130" i="76"/>
  <c r="P129" i="76"/>
  <c r="F269" i="76"/>
  <c r="E269" i="76"/>
  <c r="D269" i="76" s="1"/>
  <c r="H268" i="76"/>
  <c r="G268" i="76"/>
  <c r="K141" i="78"/>
  <c r="L141" i="78" s="1"/>
  <c r="L140" i="78"/>
  <c r="M141" i="78"/>
  <c r="E143" i="78"/>
  <c r="B142" i="78"/>
  <c r="AH142" i="78" s="1"/>
  <c r="A142" i="78"/>
  <c r="C143" i="78"/>
  <c r="H47" i="72"/>
  <c r="G49" i="72"/>
  <c r="H48" i="72" s="1"/>
  <c r="H48" i="73"/>
  <c r="H49" i="73"/>
  <c r="K50" i="72"/>
  <c r="B51" i="72"/>
  <c r="C51" i="72" s="1"/>
  <c r="A52" i="72"/>
  <c r="G51" i="72"/>
  <c r="H50" i="72" s="1"/>
  <c r="D50" i="72"/>
  <c r="E50" i="72" s="1"/>
  <c r="F50" i="72" s="1"/>
  <c r="A45" i="65"/>
  <c r="AC143" i="78" l="1"/>
  <c r="K269" i="76"/>
  <c r="L269" i="76"/>
  <c r="M269" i="76"/>
  <c r="D143" i="76"/>
  <c r="E144" i="76"/>
  <c r="K153" i="80"/>
  <c r="L153" i="80"/>
  <c r="M153" i="80"/>
  <c r="H153" i="80"/>
  <c r="F154" i="80"/>
  <c r="G153" i="80"/>
  <c r="I153" i="80"/>
  <c r="E154" i="80"/>
  <c r="D154" i="80" s="1"/>
  <c r="Q137" i="80"/>
  <c r="O138" i="80"/>
  <c r="P137" i="80"/>
  <c r="Q130" i="76"/>
  <c r="O131" i="76"/>
  <c r="P130" i="76"/>
  <c r="F270" i="76"/>
  <c r="G269" i="76"/>
  <c r="E270" i="76"/>
  <c r="D270" i="76" s="1"/>
  <c r="H269" i="76"/>
  <c r="K142" i="78"/>
  <c r="L142" i="78" s="1"/>
  <c r="M142" i="78" s="1"/>
  <c r="E144" i="78"/>
  <c r="B143" i="78"/>
  <c r="AH143" i="78" s="1"/>
  <c r="A143" i="78"/>
  <c r="C144" i="78"/>
  <c r="H109" i="73"/>
  <c r="H13" i="73" s="1"/>
  <c r="O35" i="70" s="1"/>
  <c r="H49" i="72"/>
  <c r="A53" i="72"/>
  <c r="G52" i="72"/>
  <c r="H51" i="72" s="1"/>
  <c r="B52" i="72"/>
  <c r="C52" i="72" s="1"/>
  <c r="D51" i="72"/>
  <c r="E51" i="72" s="1"/>
  <c r="F51" i="72" s="1"/>
  <c r="K51" i="72"/>
  <c r="A46" i="65"/>
  <c r="AC144" i="78" l="1"/>
  <c r="D144" i="76"/>
  <c r="E145" i="76"/>
  <c r="K143" i="76"/>
  <c r="M143" i="76"/>
  <c r="L143" i="76"/>
  <c r="K270" i="76"/>
  <c r="L270" i="76"/>
  <c r="M270" i="76"/>
  <c r="I154" i="80"/>
  <c r="F155" i="80"/>
  <c r="G154" i="80"/>
  <c r="E155" i="80"/>
  <c r="D155" i="80" s="1"/>
  <c r="H154" i="80"/>
  <c r="M154" i="80"/>
  <c r="L154" i="80"/>
  <c r="K154" i="80"/>
  <c r="O139" i="80"/>
  <c r="Q138" i="80"/>
  <c r="P138" i="80"/>
  <c r="Q131" i="76"/>
  <c r="O132" i="76"/>
  <c r="P131" i="76"/>
  <c r="K143" i="78"/>
  <c r="L143" i="78" s="1"/>
  <c r="M143" i="78" s="1"/>
  <c r="F271" i="76"/>
  <c r="H270" i="76"/>
  <c r="G270" i="76"/>
  <c r="E271" i="76"/>
  <c r="D271" i="76" s="1"/>
  <c r="E145" i="78"/>
  <c r="A144" i="78"/>
  <c r="B144" i="78"/>
  <c r="C145" i="78"/>
  <c r="L20" i="73"/>
  <c r="N20" i="73" s="1"/>
  <c r="H14" i="73"/>
  <c r="O15" i="73" s="1"/>
  <c r="O14" i="73"/>
  <c r="D52" i="72"/>
  <c r="E52" i="72" s="1"/>
  <c r="F52" i="72" s="1"/>
  <c r="B53" i="72"/>
  <c r="C53" i="72" s="1"/>
  <c r="A54" i="72"/>
  <c r="G53" i="72"/>
  <c r="H52" i="72" s="1"/>
  <c r="K52" i="72"/>
  <c r="A47" i="65"/>
  <c r="O20" i="73" l="1"/>
  <c r="AH144" i="78"/>
  <c r="AC145" i="78"/>
  <c r="K271" i="76"/>
  <c r="M271" i="76"/>
  <c r="L271" i="76"/>
  <c r="D145" i="76"/>
  <c r="E146" i="76"/>
  <c r="K144" i="76"/>
  <c r="M144" i="76"/>
  <c r="L144" i="76"/>
  <c r="M155" i="80"/>
  <c r="L155" i="80"/>
  <c r="K155" i="80"/>
  <c r="H155" i="80"/>
  <c r="E156" i="80"/>
  <c r="D156" i="80" s="1"/>
  <c r="F156" i="80"/>
  <c r="I155" i="80"/>
  <c r="G155" i="80"/>
  <c r="Q139" i="80"/>
  <c r="O140" i="80"/>
  <c r="P139" i="80"/>
  <c r="Q132" i="76"/>
  <c r="O133" i="76"/>
  <c r="P132" i="76"/>
  <c r="F272" i="76"/>
  <c r="H271" i="76"/>
  <c r="G271" i="76"/>
  <c r="E272" i="76"/>
  <c r="D272" i="76" s="1"/>
  <c r="K144" i="78"/>
  <c r="E146" i="78"/>
  <c r="B145" i="78"/>
  <c r="A145" i="78"/>
  <c r="C146" i="78"/>
  <c r="O34" i="70"/>
  <c r="O33" i="70" s="1"/>
  <c r="P20" i="73"/>
  <c r="K53" i="72"/>
  <c r="B54" i="72"/>
  <c r="C54" i="72" s="1"/>
  <c r="G54" i="72"/>
  <c r="H53" i="72" s="1"/>
  <c r="A55" i="72"/>
  <c r="D53" i="72"/>
  <c r="E53" i="72" s="1"/>
  <c r="F53" i="72" s="1"/>
  <c r="A48" i="65"/>
  <c r="AH145" i="78" l="1"/>
  <c r="AC146" i="78"/>
  <c r="D146" i="76"/>
  <c r="E147" i="76"/>
  <c r="K145" i="76"/>
  <c r="M145" i="76"/>
  <c r="L145" i="76"/>
  <c r="K272" i="76"/>
  <c r="M272" i="76"/>
  <c r="L272" i="76"/>
  <c r="M156" i="80"/>
  <c r="L156" i="80"/>
  <c r="K156" i="80"/>
  <c r="O141" i="80"/>
  <c r="Q140" i="80"/>
  <c r="P140" i="80"/>
  <c r="F157" i="80"/>
  <c r="G156" i="80"/>
  <c r="I156" i="80"/>
  <c r="H156" i="80"/>
  <c r="E157" i="80"/>
  <c r="D157" i="80" s="1"/>
  <c r="Q133" i="76"/>
  <c r="O134" i="76"/>
  <c r="Q134" i="76" s="1"/>
  <c r="P133" i="76"/>
  <c r="F273" i="76"/>
  <c r="H272" i="76"/>
  <c r="G272" i="76"/>
  <c r="E273" i="76"/>
  <c r="D273" i="76" s="1"/>
  <c r="K145" i="78"/>
  <c r="L144" i="78"/>
  <c r="M144" i="78" s="1"/>
  <c r="E147" i="78"/>
  <c r="A146" i="78"/>
  <c r="B146" i="78"/>
  <c r="C147" i="78"/>
  <c r="Q20" i="73"/>
  <c r="D54" i="72"/>
  <c r="E54" i="72" s="1"/>
  <c r="F54" i="72" s="1"/>
  <c r="G55" i="72"/>
  <c r="H54" i="72" s="1"/>
  <c r="B55" i="72"/>
  <c r="C55" i="72" s="1"/>
  <c r="A56" i="72"/>
  <c r="K54" i="72"/>
  <c r="A49" i="65"/>
  <c r="R20" i="73" l="1"/>
  <c r="L21" i="73" s="1"/>
  <c r="AH146" i="78"/>
  <c r="AC147" i="78"/>
  <c r="K273" i="76"/>
  <c r="M273" i="76"/>
  <c r="L273" i="76"/>
  <c r="D147" i="76"/>
  <c r="E148" i="76"/>
  <c r="K146" i="76"/>
  <c r="L146" i="76"/>
  <c r="M146" i="76"/>
  <c r="Q141" i="80"/>
  <c r="O142" i="80"/>
  <c r="P141" i="80"/>
  <c r="M157" i="80"/>
  <c r="L157" i="80"/>
  <c r="K157" i="80"/>
  <c r="E158" i="80"/>
  <c r="D158" i="80" s="1"/>
  <c r="I157" i="80"/>
  <c r="H157" i="80"/>
  <c r="F158" i="80"/>
  <c r="G157" i="80"/>
  <c r="O135" i="76"/>
  <c r="P134" i="76"/>
  <c r="F274" i="76"/>
  <c r="H273" i="76"/>
  <c r="G273" i="76"/>
  <c r="E274" i="76"/>
  <c r="D274" i="76" s="1"/>
  <c r="L145" i="78"/>
  <c r="M145" i="78" s="1"/>
  <c r="K146" i="78"/>
  <c r="E148" i="78"/>
  <c r="B147" i="78"/>
  <c r="A147" i="78"/>
  <c r="C148" i="78"/>
  <c r="A57" i="72"/>
  <c r="G56" i="72"/>
  <c r="H55" i="72" s="1"/>
  <c r="B56" i="72"/>
  <c r="C56" i="72" s="1"/>
  <c r="D55" i="72"/>
  <c r="E55" i="72" s="1"/>
  <c r="F55" i="72" s="1"/>
  <c r="K55" i="72"/>
  <c r="A50" i="65"/>
  <c r="S20" i="73" l="1"/>
  <c r="T20" i="73" s="1"/>
  <c r="P21" i="73" s="1"/>
  <c r="S14" i="73"/>
  <c r="N21" i="73"/>
  <c r="M21" i="73"/>
  <c r="W20" i="73"/>
  <c r="AH147" i="78"/>
  <c r="AC148" i="78"/>
  <c r="K147" i="76"/>
  <c r="M147" i="76"/>
  <c r="L147" i="76"/>
  <c r="D148" i="76"/>
  <c r="E149" i="76"/>
  <c r="K274" i="76"/>
  <c r="L274" i="76"/>
  <c r="M274" i="76"/>
  <c r="L158" i="80"/>
  <c r="K158" i="80"/>
  <c r="M158" i="80"/>
  <c r="F159" i="80"/>
  <c r="E159" i="80"/>
  <c r="D159" i="80" s="1"/>
  <c r="I158" i="80"/>
  <c r="H158" i="80"/>
  <c r="G158" i="80"/>
  <c r="O143" i="80"/>
  <c r="Q142" i="80"/>
  <c r="P142" i="80"/>
  <c r="Q135" i="76"/>
  <c r="O136" i="76"/>
  <c r="P135" i="76"/>
  <c r="F275" i="76"/>
  <c r="H274" i="76"/>
  <c r="E275" i="76"/>
  <c r="D275" i="76" s="1"/>
  <c r="G274" i="76"/>
  <c r="K147" i="78"/>
  <c r="L146" i="78"/>
  <c r="M146" i="78" s="1"/>
  <c r="E149" i="78"/>
  <c r="A148" i="78"/>
  <c r="B148" i="78"/>
  <c r="AH148" i="78" s="1"/>
  <c r="C149" i="78"/>
  <c r="T33" i="70"/>
  <c r="D56" i="72"/>
  <c r="E56" i="72" s="1"/>
  <c r="F56" i="72" s="1"/>
  <c r="K56" i="72"/>
  <c r="A58" i="72"/>
  <c r="G57" i="72"/>
  <c r="H56" i="72" s="1"/>
  <c r="B57" i="72"/>
  <c r="C57" i="72" s="1"/>
  <c r="A51" i="65"/>
  <c r="O16" i="73" l="1"/>
  <c r="V20" i="73"/>
  <c r="U20" i="73"/>
  <c r="O21" i="73"/>
  <c r="Q21" i="73" s="1"/>
  <c r="R21" i="73" s="1"/>
  <c r="L22" i="73" s="1"/>
  <c r="M22" i="73" s="1"/>
  <c r="AC149" i="78"/>
  <c r="D149" i="76"/>
  <c r="E150" i="76"/>
  <c r="K148" i="76"/>
  <c r="M148" i="76"/>
  <c r="L148" i="76"/>
  <c r="K275" i="76"/>
  <c r="M275" i="76"/>
  <c r="L275" i="76"/>
  <c r="I159" i="80"/>
  <c r="G159" i="80"/>
  <c r="F160" i="80"/>
  <c r="E160" i="80"/>
  <c r="D160" i="80" s="1"/>
  <c r="H159" i="80"/>
  <c r="M159" i="80"/>
  <c r="K159" i="80"/>
  <c r="L159" i="80"/>
  <c r="Q143" i="80"/>
  <c r="O144" i="80"/>
  <c r="P143" i="80"/>
  <c r="Q136" i="76"/>
  <c r="O137" i="76"/>
  <c r="P136" i="76"/>
  <c r="F276" i="76"/>
  <c r="E276" i="76"/>
  <c r="D276" i="76" s="1"/>
  <c r="H275" i="76"/>
  <c r="G275" i="76"/>
  <c r="L147" i="78"/>
  <c r="M147" i="78" s="1"/>
  <c r="K148" i="78"/>
  <c r="E150" i="78"/>
  <c r="B149" i="78"/>
  <c r="AH149" i="78" s="1"/>
  <c r="A149" i="78"/>
  <c r="C150" i="78"/>
  <c r="B58" i="72"/>
  <c r="C58" i="72" s="1"/>
  <c r="G58" i="72"/>
  <c r="H57" i="72" s="1"/>
  <c r="A59" i="72"/>
  <c r="D57" i="72"/>
  <c r="E57" i="72" s="1"/>
  <c r="F57" i="72" s="1"/>
  <c r="K57" i="72"/>
  <c r="A52" i="65"/>
  <c r="X20" i="73" l="1"/>
  <c r="S15" i="73" s="1"/>
  <c r="T35" i="70" s="1"/>
  <c r="T34" i="70" s="1"/>
  <c r="AC150" i="78"/>
  <c r="K276" i="76"/>
  <c r="M276" i="76"/>
  <c r="L276" i="76"/>
  <c r="D150" i="76"/>
  <c r="E151" i="76"/>
  <c r="K149" i="76"/>
  <c r="M149" i="76"/>
  <c r="L149" i="76"/>
  <c r="L160" i="80"/>
  <c r="M160" i="80"/>
  <c r="K160" i="80"/>
  <c r="E161" i="80"/>
  <c r="D161" i="80" s="1"/>
  <c r="I160" i="80"/>
  <c r="H160" i="80"/>
  <c r="G160" i="80"/>
  <c r="F161" i="80"/>
  <c r="O145" i="80"/>
  <c r="Q144" i="80"/>
  <c r="P144" i="80"/>
  <c r="Q137" i="76"/>
  <c r="O138" i="76"/>
  <c r="P137" i="76"/>
  <c r="F277" i="76"/>
  <c r="E277" i="76"/>
  <c r="D277" i="76" s="1"/>
  <c r="H276" i="76"/>
  <c r="G276" i="76"/>
  <c r="K149" i="78"/>
  <c r="L148" i="78"/>
  <c r="A150" i="78"/>
  <c r="B150" i="78"/>
  <c r="AH150" i="78" s="1"/>
  <c r="N22" i="73"/>
  <c r="S21" i="73"/>
  <c r="B59" i="72"/>
  <c r="C59" i="72" s="1"/>
  <c r="A60" i="72"/>
  <c r="G59" i="72"/>
  <c r="H58" i="72" s="1"/>
  <c r="D58" i="72"/>
  <c r="E58" i="72" s="1"/>
  <c r="F58" i="72" s="1"/>
  <c r="K58" i="72"/>
  <c r="A53" i="65"/>
  <c r="O22" i="73" l="1"/>
  <c r="T21" i="73"/>
  <c r="P22" i="73" s="1"/>
  <c r="W21" i="73"/>
  <c r="X150" i="78"/>
  <c r="X149" i="78"/>
  <c r="X148" i="78"/>
  <c r="L149" i="78"/>
  <c r="M149" i="78" s="1"/>
  <c r="K277" i="76"/>
  <c r="M277" i="76"/>
  <c r="L277" i="76"/>
  <c r="D151" i="76"/>
  <c r="E152" i="76"/>
  <c r="K150" i="76"/>
  <c r="L150" i="76"/>
  <c r="M150" i="76"/>
  <c r="I161" i="80"/>
  <c r="H161" i="80"/>
  <c r="F162" i="80"/>
  <c r="E162" i="80"/>
  <c r="D162" i="80" s="1"/>
  <c r="G161" i="80"/>
  <c r="L161" i="80"/>
  <c r="M161" i="80"/>
  <c r="K161" i="80"/>
  <c r="Q145" i="80"/>
  <c r="P145" i="80"/>
  <c r="Q138" i="76"/>
  <c r="O139" i="76"/>
  <c r="Q139" i="76" s="1"/>
  <c r="P138" i="76"/>
  <c r="F278" i="76"/>
  <c r="G277" i="76"/>
  <c r="E278" i="76"/>
  <c r="D278" i="76" s="1"/>
  <c r="H277" i="76"/>
  <c r="K150" i="78"/>
  <c r="V21" i="73"/>
  <c r="U21" i="73"/>
  <c r="K59" i="72"/>
  <c r="A61" i="72"/>
  <c r="G60" i="72"/>
  <c r="H59" i="72" s="1"/>
  <c r="B60" i="72"/>
  <c r="C60" i="72" s="1"/>
  <c r="D59" i="72"/>
  <c r="E59" i="72" s="1"/>
  <c r="F59" i="72" s="1"/>
  <c r="A54" i="65"/>
  <c r="Q22" i="73" l="1"/>
  <c r="R22" i="73" s="1"/>
  <c r="L23" i="73" s="1"/>
  <c r="N23" i="73" s="1"/>
  <c r="L150" i="78"/>
  <c r="M150" i="78" s="1"/>
  <c r="X31" i="78"/>
  <c r="X33" i="78"/>
  <c r="X32" i="78"/>
  <c r="X34" i="78"/>
  <c r="X35" i="78"/>
  <c r="X37" i="78"/>
  <c r="X36" i="78"/>
  <c r="X38" i="78"/>
  <c r="X39" i="78"/>
  <c r="X41" i="78"/>
  <c r="X40" i="78"/>
  <c r="X43" i="78"/>
  <c r="X42" i="78"/>
  <c r="X45" i="78"/>
  <c r="X44" i="78"/>
  <c r="X47" i="78"/>
  <c r="X46" i="78"/>
  <c r="X49" i="78"/>
  <c r="X48" i="78"/>
  <c r="X51" i="78"/>
  <c r="X50" i="78"/>
  <c r="X53" i="78"/>
  <c r="X52" i="78"/>
  <c r="X54" i="78"/>
  <c r="X56" i="78"/>
  <c r="X55" i="78"/>
  <c r="X58" i="78"/>
  <c r="X57" i="78"/>
  <c r="X60" i="78"/>
  <c r="X59" i="78"/>
  <c r="X62" i="78"/>
  <c r="X61" i="78"/>
  <c r="X64" i="78"/>
  <c r="X63" i="78"/>
  <c r="X66" i="78"/>
  <c r="X65" i="78"/>
  <c r="X67" i="78"/>
  <c r="X69" i="78"/>
  <c r="X68" i="78"/>
  <c r="X70" i="78"/>
  <c r="X71" i="78"/>
  <c r="X72" i="78"/>
  <c r="X74" i="78"/>
  <c r="X73" i="78"/>
  <c r="X76" i="78"/>
  <c r="X75" i="78"/>
  <c r="X78" i="78"/>
  <c r="X77" i="78"/>
  <c r="X79" i="78"/>
  <c r="X80" i="78"/>
  <c r="X81" i="78"/>
  <c r="X83" i="78"/>
  <c r="X82" i="78"/>
  <c r="X85" i="78"/>
  <c r="X84" i="78"/>
  <c r="X86" i="78"/>
  <c r="X88" i="78"/>
  <c r="X87" i="78"/>
  <c r="X90" i="78"/>
  <c r="X89" i="78"/>
  <c r="X92" i="78"/>
  <c r="X91" i="78"/>
  <c r="X94" i="78"/>
  <c r="X93" i="78"/>
  <c r="X96" i="78"/>
  <c r="X95" i="78"/>
  <c r="X98" i="78"/>
  <c r="X97" i="78"/>
  <c r="X100" i="78"/>
  <c r="X99" i="78"/>
  <c r="X102" i="78"/>
  <c r="X101" i="78"/>
  <c r="X103" i="78"/>
  <c r="X104" i="78"/>
  <c r="X106" i="78"/>
  <c r="X105" i="78"/>
  <c r="X108" i="78"/>
  <c r="X107" i="78"/>
  <c r="X110" i="78"/>
  <c r="X109" i="78"/>
  <c r="X112" i="78"/>
  <c r="X111" i="78"/>
  <c r="X114" i="78"/>
  <c r="X115" i="78"/>
  <c r="X113" i="78"/>
  <c r="X117" i="78"/>
  <c r="X116" i="78"/>
  <c r="X118" i="78"/>
  <c r="X119" i="78"/>
  <c r="X120" i="78"/>
  <c r="X122" i="78"/>
  <c r="X121" i="78"/>
  <c r="X124" i="78"/>
  <c r="X125" i="78"/>
  <c r="X123" i="78"/>
  <c r="X127" i="78"/>
  <c r="X126" i="78"/>
  <c r="X129" i="78"/>
  <c r="X128" i="78"/>
  <c r="X131" i="78"/>
  <c r="X130" i="78"/>
  <c r="X133" i="78"/>
  <c r="X132" i="78"/>
  <c r="X135" i="78"/>
  <c r="X134" i="78"/>
  <c r="X136" i="78"/>
  <c r="X137" i="78"/>
  <c r="X138" i="78"/>
  <c r="X139" i="78"/>
  <c r="X141" i="78"/>
  <c r="X140" i="78"/>
  <c r="X143" i="78"/>
  <c r="X142" i="78"/>
  <c r="X145" i="78"/>
  <c r="X144" i="78"/>
  <c r="X147" i="78"/>
  <c r="X146" i="78"/>
  <c r="K278" i="76"/>
  <c r="L278" i="76"/>
  <c r="M278" i="76"/>
  <c r="D152" i="76"/>
  <c r="E153" i="76"/>
  <c r="K151" i="76"/>
  <c r="M151" i="76"/>
  <c r="L151" i="76"/>
  <c r="M162" i="80"/>
  <c r="L162" i="80"/>
  <c r="K162" i="80"/>
  <c r="I162" i="80"/>
  <c r="H162" i="80"/>
  <c r="G162" i="80"/>
  <c r="E163" i="80"/>
  <c r="D163" i="80" s="1"/>
  <c r="F163" i="80"/>
  <c r="O140" i="76"/>
  <c r="P139" i="76"/>
  <c r="F279" i="76"/>
  <c r="H278" i="76"/>
  <c r="G278" i="76"/>
  <c r="E279" i="76"/>
  <c r="D279" i="76" s="1"/>
  <c r="X21" i="73"/>
  <c r="B61" i="72"/>
  <c r="C61" i="72" s="1"/>
  <c r="A62" i="72"/>
  <c r="G61" i="72"/>
  <c r="H60" i="72" s="1"/>
  <c r="D60" i="72"/>
  <c r="E60" i="72" s="1"/>
  <c r="F60" i="72" s="1"/>
  <c r="K60" i="72"/>
  <c r="A55" i="65"/>
  <c r="S22" i="73" l="1"/>
  <c r="O23" i="73" s="1"/>
  <c r="M23" i="73"/>
  <c r="D153" i="76"/>
  <c r="E154" i="76"/>
  <c r="K152" i="76"/>
  <c r="M152" i="76"/>
  <c r="L152" i="76"/>
  <c r="K279" i="76"/>
  <c r="M279" i="76"/>
  <c r="L279" i="76"/>
  <c r="L163" i="80"/>
  <c r="M163" i="80"/>
  <c r="K163" i="80"/>
  <c r="I163" i="80"/>
  <c r="H163" i="80"/>
  <c r="E164" i="80"/>
  <c r="D164" i="80" s="1"/>
  <c r="G163" i="80"/>
  <c r="F164" i="80"/>
  <c r="Q140" i="76"/>
  <c r="O141" i="76"/>
  <c r="P140" i="76"/>
  <c r="F280" i="76"/>
  <c r="H279" i="76"/>
  <c r="G279" i="76"/>
  <c r="E280" i="76"/>
  <c r="D280" i="76" s="1"/>
  <c r="K61" i="72"/>
  <c r="D61" i="72"/>
  <c r="E61" i="72" s="1"/>
  <c r="F61" i="72" s="1"/>
  <c r="B62" i="72"/>
  <c r="C62" i="72" s="1"/>
  <c r="A63" i="72"/>
  <c r="G62" i="72"/>
  <c r="H61" i="72" s="1"/>
  <c r="A56" i="65"/>
  <c r="W22" i="73" l="1"/>
  <c r="T22" i="73"/>
  <c r="P23" i="73" s="1"/>
  <c r="Q23" i="73" s="1"/>
  <c r="R23" i="73" s="1"/>
  <c r="L24" i="73" s="1"/>
  <c r="M24" i="73" s="1"/>
  <c r="U22" i="73"/>
  <c r="V22" i="73"/>
  <c r="K280" i="76"/>
  <c r="M280" i="76"/>
  <c r="L280" i="76"/>
  <c r="D154" i="76"/>
  <c r="E155" i="76"/>
  <c r="K153" i="76"/>
  <c r="M153" i="76"/>
  <c r="L153" i="76"/>
  <c r="K164" i="80"/>
  <c r="M164" i="80"/>
  <c r="L164" i="80"/>
  <c r="I164" i="80"/>
  <c r="H164" i="80"/>
  <c r="F165" i="80"/>
  <c r="E165" i="80"/>
  <c r="D165" i="80" s="1"/>
  <c r="G164" i="80"/>
  <c r="Q141" i="76"/>
  <c r="O142" i="76"/>
  <c r="Q142" i="76" s="1"/>
  <c r="P141" i="76"/>
  <c r="F281" i="76"/>
  <c r="H280" i="76"/>
  <c r="G280" i="76"/>
  <c r="E281" i="76"/>
  <c r="D281" i="76" s="1"/>
  <c r="G63" i="72"/>
  <c r="H62" i="72" s="1"/>
  <c r="B63" i="72"/>
  <c r="C63" i="72" s="1"/>
  <c r="A64" i="72"/>
  <c r="K62" i="72"/>
  <c r="D62" i="72"/>
  <c r="E62" i="72" s="1"/>
  <c r="F62" i="72" s="1"/>
  <c r="A57" i="65"/>
  <c r="X22" i="73" l="1"/>
  <c r="N24" i="73"/>
  <c r="S23" i="73"/>
  <c r="T23" i="73" s="1"/>
  <c r="P24" i="73" s="1"/>
  <c r="K281" i="76"/>
  <c r="M281" i="76"/>
  <c r="L281" i="76"/>
  <c r="D155" i="76"/>
  <c r="E156" i="76"/>
  <c r="K154" i="76"/>
  <c r="L154" i="76"/>
  <c r="M154" i="76"/>
  <c r="M165" i="80"/>
  <c r="K165" i="80"/>
  <c r="L165" i="80"/>
  <c r="I165" i="80"/>
  <c r="H165" i="80"/>
  <c r="G165" i="80"/>
  <c r="F166" i="80"/>
  <c r="E166" i="80"/>
  <c r="D166" i="80" s="1"/>
  <c r="O143" i="76"/>
  <c r="Q143" i="76" s="1"/>
  <c r="P142" i="76"/>
  <c r="F282" i="76"/>
  <c r="H281" i="76"/>
  <c r="G281" i="76"/>
  <c r="E282" i="76"/>
  <c r="D282" i="76" s="1"/>
  <c r="D63" i="72"/>
  <c r="E63" i="72" s="1"/>
  <c r="F63" i="72" s="1"/>
  <c r="A65" i="72"/>
  <c r="G64" i="72"/>
  <c r="H63" i="72" s="1"/>
  <c r="B64" i="72"/>
  <c r="C64" i="72" s="1"/>
  <c r="K63" i="72"/>
  <c r="A58" i="65"/>
  <c r="W23" i="73" l="1"/>
  <c r="O24" i="73"/>
  <c r="Q24" i="73" s="1"/>
  <c r="R24" i="73" s="1"/>
  <c r="S24" i="73" s="1"/>
  <c r="U24" i="73" s="1"/>
  <c r="V23" i="73"/>
  <c r="U23" i="73"/>
  <c r="D156" i="76"/>
  <c r="E157" i="76"/>
  <c r="K155" i="76"/>
  <c r="M155" i="76"/>
  <c r="L155" i="76"/>
  <c r="K282" i="76"/>
  <c r="L282" i="76"/>
  <c r="M282" i="76"/>
  <c r="M166" i="80"/>
  <c r="K166" i="80"/>
  <c r="L166" i="80"/>
  <c r="H166" i="80"/>
  <c r="I166" i="80"/>
  <c r="F167" i="80"/>
  <c r="E167" i="80"/>
  <c r="D167" i="80" s="1"/>
  <c r="G166" i="80"/>
  <c r="O144" i="76"/>
  <c r="P143" i="76"/>
  <c r="F283" i="76"/>
  <c r="H282" i="76"/>
  <c r="G282" i="76"/>
  <c r="E283" i="76"/>
  <c r="D283" i="76" s="1"/>
  <c r="K64" i="72"/>
  <c r="D64" i="72"/>
  <c r="E64" i="72" s="1"/>
  <c r="F64" i="72" s="1"/>
  <c r="A66" i="72"/>
  <c r="G65" i="72"/>
  <c r="H64" i="72" s="1"/>
  <c r="B65" i="72"/>
  <c r="C65" i="72" s="1"/>
  <c r="A59" i="65"/>
  <c r="W24" i="73" l="1"/>
  <c r="X23" i="73"/>
  <c r="V24" i="73"/>
  <c r="T24" i="73"/>
  <c r="P25" i="73" s="1"/>
  <c r="L25" i="73"/>
  <c r="M25" i="73" s="1"/>
  <c r="K283" i="76"/>
  <c r="M283" i="76"/>
  <c r="L283" i="76"/>
  <c r="D157" i="76"/>
  <c r="E158" i="76"/>
  <c r="K156" i="76"/>
  <c r="M156" i="76"/>
  <c r="L156" i="76"/>
  <c r="F168" i="80"/>
  <c r="G167" i="80"/>
  <c r="I167" i="80"/>
  <c r="E168" i="80"/>
  <c r="D168" i="80" s="1"/>
  <c r="H167" i="80"/>
  <c r="M167" i="80"/>
  <c r="K167" i="80"/>
  <c r="L167" i="80"/>
  <c r="P144" i="76"/>
  <c r="Q144" i="76"/>
  <c r="F284" i="76"/>
  <c r="E284" i="76"/>
  <c r="D284" i="76" s="1"/>
  <c r="G283" i="76"/>
  <c r="H283" i="76"/>
  <c r="K65" i="72"/>
  <c r="D65" i="72"/>
  <c r="E65" i="72" s="1"/>
  <c r="F65" i="72" s="1"/>
  <c r="B66" i="72"/>
  <c r="C66" i="72" s="1"/>
  <c r="A67" i="72"/>
  <c r="G66" i="72"/>
  <c r="H65" i="72" s="1"/>
  <c r="A60" i="65"/>
  <c r="X24" i="73" l="1"/>
  <c r="N25" i="73"/>
  <c r="O25" i="73" s="1"/>
  <c r="D158" i="76"/>
  <c r="E159" i="76"/>
  <c r="K284" i="76"/>
  <c r="M284" i="76"/>
  <c r="L284" i="76"/>
  <c r="K157" i="76"/>
  <c r="L157" i="76"/>
  <c r="M157" i="76"/>
  <c r="K168" i="80"/>
  <c r="L168" i="80"/>
  <c r="M168" i="80"/>
  <c r="E169" i="80"/>
  <c r="D169" i="80" s="1"/>
  <c r="I168" i="80"/>
  <c r="F169" i="80"/>
  <c r="H168" i="80"/>
  <c r="G168" i="80"/>
  <c r="F285" i="76"/>
  <c r="E285" i="76"/>
  <c r="D285" i="76" s="1"/>
  <c r="G284" i="76"/>
  <c r="H284" i="76"/>
  <c r="K66" i="72"/>
  <c r="B67" i="72"/>
  <c r="C67" i="72" s="1"/>
  <c r="A68" i="72"/>
  <c r="G67" i="72"/>
  <c r="H66" i="72" s="1"/>
  <c r="D66" i="72"/>
  <c r="E66" i="72" s="1"/>
  <c r="F66" i="72" s="1"/>
  <c r="A61" i="65"/>
  <c r="Q25" i="73" l="1"/>
  <c r="R25" i="73" s="1"/>
  <c r="L26" i="73" s="1"/>
  <c r="K285" i="76"/>
  <c r="L285" i="76"/>
  <c r="M285" i="76"/>
  <c r="D159" i="76"/>
  <c r="E160" i="76"/>
  <c r="K158" i="76"/>
  <c r="L158" i="76"/>
  <c r="M158" i="76"/>
  <c r="M169" i="80"/>
  <c r="L169" i="80"/>
  <c r="K169" i="80"/>
  <c r="I169" i="80"/>
  <c r="F170" i="80"/>
  <c r="E170" i="80"/>
  <c r="D170" i="80" s="1"/>
  <c r="H169" i="80"/>
  <c r="G169" i="80"/>
  <c r="F286" i="76"/>
  <c r="G285" i="76"/>
  <c r="E286" i="76"/>
  <c r="D286" i="76" s="1"/>
  <c r="H285" i="76"/>
  <c r="D67" i="72"/>
  <c r="E67" i="72" s="1"/>
  <c r="F67" i="72" s="1"/>
  <c r="K67" i="72"/>
  <c r="A69" i="72"/>
  <c r="G68" i="72"/>
  <c r="H67" i="72" s="1"/>
  <c r="B68" i="72"/>
  <c r="C68" i="72" s="1"/>
  <c r="A62" i="65"/>
  <c r="S25" i="73" l="1"/>
  <c r="N26" i="73"/>
  <c r="M26" i="73"/>
  <c r="D160" i="76"/>
  <c r="E161" i="76"/>
  <c r="K159" i="76"/>
  <c r="M159" i="76"/>
  <c r="L159" i="76"/>
  <c r="K286" i="76"/>
  <c r="L286" i="76"/>
  <c r="M286" i="76"/>
  <c r="H170" i="80"/>
  <c r="E171" i="80"/>
  <c r="D171" i="80" s="1"/>
  <c r="I170" i="80"/>
  <c r="G170" i="80"/>
  <c r="F171" i="80"/>
  <c r="M170" i="80"/>
  <c r="L170" i="80"/>
  <c r="K170" i="80"/>
  <c r="F287" i="76"/>
  <c r="H286" i="76"/>
  <c r="G286" i="76"/>
  <c r="E287" i="76"/>
  <c r="D287" i="76" s="1"/>
  <c r="D68" i="72"/>
  <c r="E68" i="72" s="1"/>
  <c r="F68" i="72" s="1"/>
  <c r="K68" i="72"/>
  <c r="G69" i="72"/>
  <c r="H68" i="72" s="1"/>
  <c r="A70" i="72"/>
  <c r="B69" i="72"/>
  <c r="C69" i="72" s="1"/>
  <c r="A63" i="65"/>
  <c r="U25" i="73" l="1"/>
  <c r="W25" i="73"/>
  <c r="T25" i="73"/>
  <c r="P26" i="73" s="1"/>
  <c r="V25" i="73"/>
  <c r="O26" i="73"/>
  <c r="K287" i="76"/>
  <c r="M287" i="76"/>
  <c r="L287" i="76"/>
  <c r="D161" i="76"/>
  <c r="E162" i="76"/>
  <c r="K160" i="76"/>
  <c r="M160" i="76"/>
  <c r="L160" i="76"/>
  <c r="I171" i="80"/>
  <c r="G171" i="80"/>
  <c r="H171" i="80"/>
  <c r="F172" i="80"/>
  <c r="E172" i="80"/>
  <c r="D172" i="80" s="1"/>
  <c r="K171" i="80"/>
  <c r="M171" i="80"/>
  <c r="L171" i="80"/>
  <c r="F288" i="76"/>
  <c r="H287" i="76"/>
  <c r="G287" i="76"/>
  <c r="E288" i="76"/>
  <c r="D288" i="76" s="1"/>
  <c r="B70" i="72"/>
  <c r="C70" i="72" s="1"/>
  <c r="A71" i="72"/>
  <c r="G70" i="72"/>
  <c r="H69" i="72" s="1"/>
  <c r="D69" i="72"/>
  <c r="E69" i="72" s="1"/>
  <c r="F69" i="72" s="1"/>
  <c r="K69" i="72"/>
  <c r="A64" i="65"/>
  <c r="X25" i="73" l="1"/>
  <c r="Q26" i="73"/>
  <c r="R26" i="73" s="1"/>
  <c r="D162" i="76"/>
  <c r="E163" i="76"/>
  <c r="K288" i="76"/>
  <c r="M288" i="76"/>
  <c r="L288" i="76"/>
  <c r="K161" i="76"/>
  <c r="M161" i="76"/>
  <c r="L161" i="76"/>
  <c r="I172" i="80"/>
  <c r="H172" i="80"/>
  <c r="F173" i="80"/>
  <c r="E173" i="80"/>
  <c r="D173" i="80" s="1"/>
  <c r="G172" i="80"/>
  <c r="K172" i="80"/>
  <c r="L172" i="80"/>
  <c r="M172" i="80"/>
  <c r="F289" i="76"/>
  <c r="H288" i="76"/>
  <c r="G288" i="76"/>
  <c r="E289" i="76"/>
  <c r="D289" i="76" s="1"/>
  <c r="A72" i="72"/>
  <c r="B71" i="72"/>
  <c r="C71" i="72" s="1"/>
  <c r="G71" i="72"/>
  <c r="H70" i="72" s="1"/>
  <c r="D70" i="72"/>
  <c r="E70" i="72" s="1"/>
  <c r="F70" i="72" s="1"/>
  <c r="K70" i="72"/>
  <c r="A65" i="65"/>
  <c r="S26" i="73" l="1"/>
  <c r="W26" i="73" s="1"/>
  <c r="L27" i="73"/>
  <c r="K289" i="76"/>
  <c r="M289" i="76"/>
  <c r="L289" i="76"/>
  <c r="D163" i="76"/>
  <c r="E164" i="76"/>
  <c r="K162" i="76"/>
  <c r="M162" i="76"/>
  <c r="L162" i="76"/>
  <c r="L173" i="80"/>
  <c r="K173" i="80"/>
  <c r="M173" i="80"/>
  <c r="I173" i="80"/>
  <c r="H173" i="80"/>
  <c r="F174" i="80"/>
  <c r="G173" i="80"/>
  <c r="E174" i="80"/>
  <c r="D174" i="80" s="1"/>
  <c r="F290" i="76"/>
  <c r="H289" i="76"/>
  <c r="G289" i="76"/>
  <c r="E290" i="76"/>
  <c r="D290" i="76" s="1"/>
  <c r="K71" i="72"/>
  <c r="D71" i="72"/>
  <c r="E71" i="72" s="1"/>
  <c r="F71" i="72" s="1"/>
  <c r="B72" i="72"/>
  <c r="C72" i="72" s="1"/>
  <c r="A73" i="72"/>
  <c r="G72" i="72"/>
  <c r="H71" i="72" s="1"/>
  <c r="A66" i="65"/>
  <c r="M27" i="73" l="1"/>
  <c r="N27" i="73"/>
  <c r="O27" i="73" s="1"/>
  <c r="T26" i="73"/>
  <c r="P27" i="73" s="1"/>
  <c r="U26" i="73"/>
  <c r="V26" i="73"/>
  <c r="D164" i="76"/>
  <c r="E165" i="76"/>
  <c r="K290" i="76"/>
  <c r="M290" i="76"/>
  <c r="L290" i="76"/>
  <c r="K163" i="76"/>
  <c r="M163" i="76"/>
  <c r="L163" i="76"/>
  <c r="L174" i="80"/>
  <c r="K174" i="80"/>
  <c r="M174" i="80"/>
  <c r="H174" i="80"/>
  <c r="F175" i="80"/>
  <c r="G174" i="80"/>
  <c r="E175" i="80"/>
  <c r="D175" i="80" s="1"/>
  <c r="I174" i="80"/>
  <c r="F291" i="76"/>
  <c r="H290" i="76"/>
  <c r="G290" i="76"/>
  <c r="E291" i="76"/>
  <c r="D291" i="76" s="1"/>
  <c r="K72" i="72"/>
  <c r="D72" i="72"/>
  <c r="E72" i="72" s="1"/>
  <c r="F72" i="72" s="1"/>
  <c r="A74" i="72"/>
  <c r="B73" i="72"/>
  <c r="C73" i="72" s="1"/>
  <c r="G73" i="72"/>
  <c r="H72" i="72" s="1"/>
  <c r="A67" i="65"/>
  <c r="X26" i="73" l="1"/>
  <c r="Q27" i="73"/>
  <c r="R27" i="73" s="1"/>
  <c r="K291" i="76"/>
  <c r="M291" i="76"/>
  <c r="L291" i="76"/>
  <c r="D165" i="76"/>
  <c r="E166" i="76"/>
  <c r="K164" i="76"/>
  <c r="M164" i="76"/>
  <c r="L164" i="76"/>
  <c r="M175" i="80"/>
  <c r="L175" i="80"/>
  <c r="K175" i="80"/>
  <c r="F176" i="80"/>
  <c r="G175" i="80"/>
  <c r="E176" i="80"/>
  <c r="D176" i="80" s="1"/>
  <c r="I175" i="80"/>
  <c r="H175" i="80"/>
  <c r="F292" i="76"/>
  <c r="E292" i="76"/>
  <c r="D292" i="76" s="1"/>
  <c r="H291" i="76"/>
  <c r="G291" i="76"/>
  <c r="D73" i="72"/>
  <c r="E73" i="72" s="1"/>
  <c r="F73" i="72" s="1"/>
  <c r="K73" i="72"/>
  <c r="G74" i="72"/>
  <c r="H73" i="72" s="1"/>
  <c r="A75" i="72"/>
  <c r="B74" i="72"/>
  <c r="C74" i="72" s="1"/>
  <c r="A68" i="65"/>
  <c r="L28" i="73" l="1"/>
  <c r="S27" i="73"/>
  <c r="W27" i="73" s="1"/>
  <c r="D166" i="76"/>
  <c r="E167" i="76"/>
  <c r="K165" i="76"/>
  <c r="M165" i="76"/>
  <c r="L165" i="76"/>
  <c r="K292" i="76"/>
  <c r="M292" i="76"/>
  <c r="L292" i="76"/>
  <c r="M176" i="80"/>
  <c r="L176" i="80"/>
  <c r="K176" i="80"/>
  <c r="E177" i="80"/>
  <c r="D177" i="80" s="1"/>
  <c r="G176" i="80"/>
  <c r="F177" i="80"/>
  <c r="I176" i="80"/>
  <c r="H176" i="80"/>
  <c r="F293" i="76"/>
  <c r="E293" i="76"/>
  <c r="D293" i="76" s="1"/>
  <c r="H292" i="76"/>
  <c r="G292" i="76"/>
  <c r="G75" i="72"/>
  <c r="H74" i="72" s="1"/>
  <c r="B75" i="72"/>
  <c r="C75" i="72" s="1"/>
  <c r="A76" i="72"/>
  <c r="D74" i="72"/>
  <c r="E74" i="72" s="1"/>
  <c r="F74" i="72" s="1"/>
  <c r="K74" i="72"/>
  <c r="A69" i="65"/>
  <c r="U27" i="73" l="1"/>
  <c r="V27" i="73"/>
  <c r="T27" i="73"/>
  <c r="P28" i="73" s="1"/>
  <c r="N28" i="73"/>
  <c r="O28" i="73" s="1"/>
  <c r="M28" i="73"/>
  <c r="K293" i="76"/>
  <c r="M293" i="76"/>
  <c r="L293" i="76"/>
  <c r="D167" i="76"/>
  <c r="E168" i="76"/>
  <c r="K166" i="76"/>
  <c r="L166" i="76"/>
  <c r="M166" i="76"/>
  <c r="M177" i="80"/>
  <c r="L177" i="80"/>
  <c r="K177" i="80"/>
  <c r="I177" i="80"/>
  <c r="F178" i="80"/>
  <c r="E178" i="80"/>
  <c r="D178" i="80" s="1"/>
  <c r="H177" i="80"/>
  <c r="G177" i="80"/>
  <c r="F294" i="76"/>
  <c r="G293" i="76"/>
  <c r="E294" i="76"/>
  <c r="D294" i="76" s="1"/>
  <c r="H293" i="76"/>
  <c r="G76" i="72"/>
  <c r="H75" i="72" s="1"/>
  <c r="B76" i="72"/>
  <c r="C76" i="72" s="1"/>
  <c r="A77" i="72"/>
  <c r="D75" i="72"/>
  <c r="E75" i="72" s="1"/>
  <c r="F75" i="72" s="1"/>
  <c r="K75" i="72"/>
  <c r="A70" i="65"/>
  <c r="X27" i="73" l="1"/>
  <c r="Q28" i="73"/>
  <c r="R28" i="73" s="1"/>
  <c r="L29" i="73" s="1"/>
  <c r="M29" i="73" s="1"/>
  <c r="D168" i="76"/>
  <c r="E169" i="76"/>
  <c r="K167" i="76"/>
  <c r="M167" i="76"/>
  <c r="L167" i="76"/>
  <c r="K294" i="76"/>
  <c r="L294" i="76"/>
  <c r="M294" i="76"/>
  <c r="E179" i="80"/>
  <c r="D179" i="80" s="1"/>
  <c r="G178" i="80"/>
  <c r="H178" i="80"/>
  <c r="F179" i="80"/>
  <c r="I178" i="80"/>
  <c r="M178" i="80"/>
  <c r="L178" i="80"/>
  <c r="K178" i="80"/>
  <c r="F295" i="76"/>
  <c r="H294" i="76"/>
  <c r="G294" i="76"/>
  <c r="E295" i="76"/>
  <c r="D295" i="76" s="1"/>
  <c r="K76" i="72"/>
  <c r="B77" i="72"/>
  <c r="C77" i="72" s="1"/>
  <c r="A78" i="72"/>
  <c r="G77" i="72"/>
  <c r="H76" i="72" s="1"/>
  <c r="D76" i="72"/>
  <c r="E76" i="72" s="1"/>
  <c r="F76" i="72" s="1"/>
  <c r="A71" i="65"/>
  <c r="S28" i="73" l="1"/>
  <c r="U28" i="73" s="1"/>
  <c r="N29" i="73"/>
  <c r="W28" i="73"/>
  <c r="K295" i="76"/>
  <c r="M295" i="76"/>
  <c r="L295" i="76"/>
  <c r="D169" i="76"/>
  <c r="E170" i="76"/>
  <c r="K168" i="76"/>
  <c r="M168" i="76"/>
  <c r="L168" i="76"/>
  <c r="L179" i="80"/>
  <c r="K179" i="80"/>
  <c r="M179" i="80"/>
  <c r="I179" i="80"/>
  <c r="F180" i="80"/>
  <c r="E180" i="80"/>
  <c r="D180" i="80" s="1"/>
  <c r="H179" i="80"/>
  <c r="G179" i="80"/>
  <c r="F296" i="76"/>
  <c r="H295" i="76"/>
  <c r="G295" i="76"/>
  <c r="E296" i="76"/>
  <c r="D296" i="76" s="1"/>
  <c r="D77" i="72"/>
  <c r="E77" i="72" s="1"/>
  <c r="F77" i="72" s="1"/>
  <c r="K77" i="72"/>
  <c r="A79" i="72"/>
  <c r="G78" i="72"/>
  <c r="H77" i="72" s="1"/>
  <c r="B78" i="72"/>
  <c r="C78" i="72" s="1"/>
  <c r="A72" i="65"/>
  <c r="O29" i="73" l="1"/>
  <c r="V28" i="73"/>
  <c r="X28" i="73" s="1"/>
  <c r="T28" i="73"/>
  <c r="P29" i="73" s="1"/>
  <c r="D170" i="76"/>
  <c r="E171" i="76"/>
  <c r="K169" i="76"/>
  <c r="M169" i="76"/>
  <c r="L169" i="76"/>
  <c r="K296" i="76"/>
  <c r="M296" i="76"/>
  <c r="L296" i="76"/>
  <c r="K180" i="80"/>
  <c r="M180" i="80"/>
  <c r="L180" i="80"/>
  <c r="I180" i="80"/>
  <c r="H180" i="80"/>
  <c r="G180" i="80"/>
  <c r="E181" i="80"/>
  <c r="D181" i="80" s="1"/>
  <c r="F181" i="80"/>
  <c r="F297" i="76"/>
  <c r="H296" i="76"/>
  <c r="G296" i="76"/>
  <c r="E297" i="76"/>
  <c r="D297" i="76" s="1"/>
  <c r="B79" i="72"/>
  <c r="C79" i="72" s="1"/>
  <c r="A80" i="72"/>
  <c r="G79" i="72"/>
  <c r="H78" i="72" s="1"/>
  <c r="K78" i="72"/>
  <c r="D78" i="72"/>
  <c r="E78" i="72" s="1"/>
  <c r="F78" i="72" s="1"/>
  <c r="A73" i="65"/>
  <c r="Q29" i="73" l="1"/>
  <c r="R29" i="73" s="1"/>
  <c r="S29" i="73" s="1"/>
  <c r="V29" i="73" s="1"/>
  <c r="W29" i="73"/>
  <c r="K297" i="76"/>
  <c r="M297" i="76"/>
  <c r="L297" i="76"/>
  <c r="D171" i="76"/>
  <c r="E172" i="76"/>
  <c r="K170" i="76"/>
  <c r="L170" i="76"/>
  <c r="M170" i="76"/>
  <c r="I181" i="80"/>
  <c r="H181" i="80"/>
  <c r="F182" i="80"/>
  <c r="G181" i="80"/>
  <c r="E182" i="80"/>
  <c r="D182" i="80" s="1"/>
  <c r="M181" i="80"/>
  <c r="L181" i="80"/>
  <c r="K181" i="80"/>
  <c r="F298" i="76"/>
  <c r="H297" i="76"/>
  <c r="G297" i="76"/>
  <c r="E298" i="76"/>
  <c r="D298" i="76" s="1"/>
  <c r="B80" i="72"/>
  <c r="C80" i="72" s="1"/>
  <c r="G80" i="72"/>
  <c r="H79" i="72" s="1"/>
  <c r="A81" i="72"/>
  <c r="K79" i="72"/>
  <c r="D79" i="72"/>
  <c r="E79" i="72" s="1"/>
  <c r="F79" i="72" s="1"/>
  <c r="A74" i="65"/>
  <c r="U29" i="73" l="1"/>
  <c r="X29" i="73" s="1"/>
  <c r="T29" i="73"/>
  <c r="P30" i="73" s="1"/>
  <c r="L30" i="73"/>
  <c r="M30" i="73" s="1"/>
  <c r="D172" i="76"/>
  <c r="E173" i="76"/>
  <c r="K298" i="76"/>
  <c r="L298" i="76"/>
  <c r="M298" i="76"/>
  <c r="K171" i="76"/>
  <c r="M171" i="76"/>
  <c r="L171" i="76"/>
  <c r="K182" i="80"/>
  <c r="L182" i="80"/>
  <c r="M182" i="80"/>
  <c r="H182" i="80"/>
  <c r="F183" i="80"/>
  <c r="G182" i="80"/>
  <c r="E183" i="80"/>
  <c r="D183" i="80" s="1"/>
  <c r="I182" i="80"/>
  <c r="F299" i="76"/>
  <c r="H298" i="76"/>
  <c r="E299" i="76"/>
  <c r="D299" i="76" s="1"/>
  <c r="G298" i="76"/>
  <c r="K80" i="72"/>
  <c r="B81" i="72"/>
  <c r="C81" i="72" s="1"/>
  <c r="G81" i="72"/>
  <c r="H80" i="72" s="1"/>
  <c r="A82" i="72"/>
  <c r="D80" i="72"/>
  <c r="E80" i="72" s="1"/>
  <c r="F80" i="72" s="1"/>
  <c r="A75" i="65"/>
  <c r="N30" i="73" l="1"/>
  <c r="O30" i="73" s="1"/>
  <c r="Q30" i="73" s="1"/>
  <c r="R30" i="73" s="1"/>
  <c r="L31" i="73" s="1"/>
  <c r="N31" i="73" s="1"/>
  <c r="K299" i="76"/>
  <c r="M299" i="76"/>
  <c r="L299" i="76"/>
  <c r="D173" i="76"/>
  <c r="E174" i="76"/>
  <c r="K172" i="76"/>
  <c r="M172" i="76"/>
  <c r="L172" i="76"/>
  <c r="M183" i="80"/>
  <c r="L183" i="80"/>
  <c r="K183" i="80"/>
  <c r="F184" i="80"/>
  <c r="G183" i="80"/>
  <c r="E184" i="80"/>
  <c r="D184" i="80" s="1"/>
  <c r="H183" i="80"/>
  <c r="I183" i="80"/>
  <c r="F300" i="76"/>
  <c r="E300" i="76"/>
  <c r="D300" i="76" s="1"/>
  <c r="H299" i="76"/>
  <c r="G299" i="76"/>
  <c r="G82" i="72"/>
  <c r="H81" i="72" s="1"/>
  <c r="A83" i="72"/>
  <c r="B82" i="72"/>
  <c r="C82" i="72" s="1"/>
  <c r="K81" i="72"/>
  <c r="D81" i="72"/>
  <c r="E81" i="72" s="1"/>
  <c r="F81" i="72" s="1"/>
  <c r="A76" i="65"/>
  <c r="S30" i="73" l="1"/>
  <c r="T30" i="73" s="1"/>
  <c r="P31" i="73" s="1"/>
  <c r="M31" i="73"/>
  <c r="W30" i="73"/>
  <c r="D174" i="76"/>
  <c r="E175" i="76"/>
  <c r="K173" i="76"/>
  <c r="M173" i="76"/>
  <c r="L173" i="76"/>
  <c r="K300" i="76"/>
  <c r="M300" i="76"/>
  <c r="L300" i="76"/>
  <c r="M184" i="80"/>
  <c r="K184" i="80"/>
  <c r="L184" i="80"/>
  <c r="E185" i="80"/>
  <c r="D185" i="80" s="1"/>
  <c r="I184" i="80"/>
  <c r="G184" i="80"/>
  <c r="F185" i="80"/>
  <c r="H184" i="80"/>
  <c r="F301" i="76"/>
  <c r="E301" i="76"/>
  <c r="D301" i="76" s="1"/>
  <c r="G300" i="76"/>
  <c r="H300" i="76"/>
  <c r="A84" i="72"/>
  <c r="G83" i="72"/>
  <c r="H82" i="72" s="1"/>
  <c r="B83" i="72"/>
  <c r="C83" i="72" s="1"/>
  <c r="D82" i="72"/>
  <c r="E82" i="72" s="1"/>
  <c r="F82" i="72" s="1"/>
  <c r="K82" i="72"/>
  <c r="A77" i="65"/>
  <c r="V30" i="73" l="1"/>
  <c r="O31" i="73"/>
  <c r="Q31" i="73" s="1"/>
  <c r="R31" i="73" s="1"/>
  <c r="U30" i="73"/>
  <c r="K301" i="76"/>
  <c r="M301" i="76"/>
  <c r="L301" i="76"/>
  <c r="D175" i="76"/>
  <c r="E176" i="76"/>
  <c r="K174" i="76"/>
  <c r="L174" i="76"/>
  <c r="M174" i="76"/>
  <c r="F186" i="80"/>
  <c r="H185" i="80"/>
  <c r="E186" i="80"/>
  <c r="D186" i="80" s="1"/>
  <c r="I185" i="80"/>
  <c r="G185" i="80"/>
  <c r="M185" i="80"/>
  <c r="L185" i="80"/>
  <c r="K185" i="80"/>
  <c r="F302" i="76"/>
  <c r="G301" i="76"/>
  <c r="E302" i="76"/>
  <c r="D302" i="76" s="1"/>
  <c r="H301" i="76"/>
  <c r="D83" i="72"/>
  <c r="E83" i="72" s="1"/>
  <c r="F83" i="72" s="1"/>
  <c r="K83" i="72"/>
  <c r="A85" i="72"/>
  <c r="B84" i="72"/>
  <c r="C84" i="72" s="1"/>
  <c r="G84" i="72"/>
  <c r="H83" i="72" s="1"/>
  <c r="A78" i="65"/>
  <c r="X30" i="73" l="1"/>
  <c r="L32" i="73"/>
  <c r="S31" i="73"/>
  <c r="W31" i="73" s="1"/>
  <c r="K302" i="76"/>
  <c r="L302" i="76"/>
  <c r="M302" i="76"/>
  <c r="D176" i="76"/>
  <c r="E177" i="76"/>
  <c r="K175" i="76"/>
  <c r="M175" i="76"/>
  <c r="L175" i="76"/>
  <c r="M186" i="80"/>
  <c r="L186" i="80"/>
  <c r="K186" i="80"/>
  <c r="H186" i="80"/>
  <c r="F187" i="80"/>
  <c r="E187" i="80"/>
  <c r="D187" i="80" s="1"/>
  <c r="I186" i="80"/>
  <c r="G186" i="80"/>
  <c r="F303" i="76"/>
  <c r="H302" i="76"/>
  <c r="G302" i="76"/>
  <c r="E303" i="76"/>
  <c r="D303" i="76" s="1"/>
  <c r="K84" i="72"/>
  <c r="D84" i="72"/>
  <c r="E84" i="72" s="1"/>
  <c r="F84" i="72" s="1"/>
  <c r="A86" i="72"/>
  <c r="G85" i="72"/>
  <c r="H84" i="72" s="1"/>
  <c r="B85" i="72"/>
  <c r="C85" i="72" s="1"/>
  <c r="A79" i="65"/>
  <c r="U31" i="73" l="1"/>
  <c r="V31" i="73"/>
  <c r="T31" i="73"/>
  <c r="P32" i="73" s="1"/>
  <c r="N32" i="73"/>
  <c r="O32" i="73" s="1"/>
  <c r="M32" i="73"/>
  <c r="D177" i="76"/>
  <c r="E178" i="76"/>
  <c r="K303" i="76"/>
  <c r="M303" i="76"/>
  <c r="L303" i="76"/>
  <c r="K176" i="76"/>
  <c r="M176" i="76"/>
  <c r="L176" i="76"/>
  <c r="L187" i="80"/>
  <c r="K187" i="80"/>
  <c r="M187" i="80"/>
  <c r="I187" i="80"/>
  <c r="H187" i="80"/>
  <c r="F188" i="80"/>
  <c r="E188" i="80"/>
  <c r="D188" i="80" s="1"/>
  <c r="G187" i="80"/>
  <c r="F304" i="76"/>
  <c r="H303" i="76"/>
  <c r="G303" i="76"/>
  <c r="E304" i="76"/>
  <c r="D304" i="76" s="1"/>
  <c r="K85" i="72"/>
  <c r="D85" i="72"/>
  <c r="E85" i="72" s="1"/>
  <c r="F85" i="72" s="1"/>
  <c r="B86" i="72"/>
  <c r="C86" i="72" s="1"/>
  <c r="A87" i="72"/>
  <c r="G86" i="72"/>
  <c r="H85" i="72" s="1"/>
  <c r="A80" i="65"/>
  <c r="X31" i="73" l="1"/>
  <c r="Q32" i="73"/>
  <c r="R32" i="73" s="1"/>
  <c r="L33" i="73" s="1"/>
  <c r="M33" i="73" s="1"/>
  <c r="K304" i="76"/>
  <c r="M304" i="76"/>
  <c r="L304" i="76"/>
  <c r="D178" i="76"/>
  <c r="E179" i="76"/>
  <c r="K177" i="76"/>
  <c r="M177" i="76"/>
  <c r="L177" i="76"/>
  <c r="K188" i="80"/>
  <c r="M188" i="80"/>
  <c r="L188" i="80"/>
  <c r="I188" i="80"/>
  <c r="H188" i="80"/>
  <c r="G188" i="80"/>
  <c r="F189" i="80"/>
  <c r="E189" i="80"/>
  <c r="D189" i="80" s="1"/>
  <c r="F305" i="76"/>
  <c r="H304" i="76"/>
  <c r="G304" i="76"/>
  <c r="E305" i="76"/>
  <c r="D305" i="76" s="1"/>
  <c r="D86" i="72"/>
  <c r="E86" i="72" s="1"/>
  <c r="F86" i="72" s="1"/>
  <c r="K86" i="72"/>
  <c r="A88" i="72"/>
  <c r="G87" i="72"/>
  <c r="H86" i="72" s="1"/>
  <c r="B87" i="72"/>
  <c r="C87" i="72" s="1"/>
  <c r="A81" i="65"/>
  <c r="S32" i="73" l="1"/>
  <c r="V32" i="73" s="1"/>
  <c r="N33" i="73"/>
  <c r="W32" i="73"/>
  <c r="D179" i="76"/>
  <c r="E180" i="76"/>
  <c r="K305" i="76"/>
  <c r="M305" i="76"/>
  <c r="L305" i="76"/>
  <c r="K178" i="76"/>
  <c r="L178" i="76"/>
  <c r="M178" i="76"/>
  <c r="L189" i="80"/>
  <c r="M189" i="80"/>
  <c r="K189" i="80"/>
  <c r="I189" i="80"/>
  <c r="H189" i="80"/>
  <c r="F190" i="80"/>
  <c r="G189" i="80"/>
  <c r="E190" i="80"/>
  <c r="D190" i="80" s="1"/>
  <c r="F306" i="76"/>
  <c r="H305" i="76"/>
  <c r="G305" i="76"/>
  <c r="E306" i="76"/>
  <c r="D306" i="76" s="1"/>
  <c r="K87" i="72"/>
  <c r="A89" i="72"/>
  <c r="G88" i="72"/>
  <c r="H87" i="72" s="1"/>
  <c r="B88" i="72"/>
  <c r="C88" i="72" s="1"/>
  <c r="D87" i="72"/>
  <c r="E87" i="72" s="1"/>
  <c r="F87" i="72" s="1"/>
  <c r="A82" i="65"/>
  <c r="T32" i="73" l="1"/>
  <c r="P33" i="73" s="1"/>
  <c r="U32" i="73"/>
  <c r="X32" i="73" s="1"/>
  <c r="O33" i="73"/>
  <c r="K306" i="76"/>
  <c r="L306" i="76"/>
  <c r="M306" i="76"/>
  <c r="D180" i="76"/>
  <c r="E181" i="76"/>
  <c r="K179" i="76"/>
  <c r="M179" i="76"/>
  <c r="L179" i="76"/>
  <c r="M190" i="80"/>
  <c r="L190" i="80"/>
  <c r="K190" i="80"/>
  <c r="H190" i="80"/>
  <c r="F191" i="80"/>
  <c r="G190" i="80"/>
  <c r="E191" i="80"/>
  <c r="D191" i="80" s="1"/>
  <c r="I190" i="80"/>
  <c r="F307" i="76"/>
  <c r="H306" i="76"/>
  <c r="G306" i="76"/>
  <c r="E307" i="76"/>
  <c r="D307" i="76" s="1"/>
  <c r="D88" i="72"/>
  <c r="E88" i="72" s="1"/>
  <c r="F88" i="72" s="1"/>
  <c r="K88" i="72"/>
  <c r="B89" i="72"/>
  <c r="C89" i="72" s="1"/>
  <c r="G89" i="72"/>
  <c r="H88" i="72" s="1"/>
  <c r="A90" i="72"/>
  <c r="A83" i="65"/>
  <c r="Q33" i="73" l="1"/>
  <c r="R33" i="73" s="1"/>
  <c r="S33" i="73" s="1"/>
  <c r="W33" i="73" s="1"/>
  <c r="D181" i="76"/>
  <c r="E182" i="76"/>
  <c r="K307" i="76"/>
  <c r="M307" i="76"/>
  <c r="L307" i="76"/>
  <c r="K180" i="76"/>
  <c r="M180" i="76"/>
  <c r="L180" i="76"/>
  <c r="F192" i="80"/>
  <c r="G191" i="80"/>
  <c r="E192" i="80"/>
  <c r="D192" i="80" s="1"/>
  <c r="I191" i="80"/>
  <c r="H191" i="80"/>
  <c r="L191" i="80"/>
  <c r="K191" i="80"/>
  <c r="M191" i="80"/>
  <c r="F308" i="76"/>
  <c r="E308" i="76"/>
  <c r="D308" i="76" s="1"/>
  <c r="G307" i="76"/>
  <c r="H307" i="76"/>
  <c r="K89" i="72"/>
  <c r="D89" i="72"/>
  <c r="E89" i="72" s="1"/>
  <c r="F89" i="72" s="1"/>
  <c r="A91" i="72"/>
  <c r="G90" i="72"/>
  <c r="H89" i="72" s="1"/>
  <c r="B90" i="72"/>
  <c r="C90" i="72" s="1"/>
  <c r="A84" i="65"/>
  <c r="L34" i="73" l="1"/>
  <c r="N34" i="73" s="1"/>
  <c r="O34" i="73" s="1"/>
  <c r="T33" i="73"/>
  <c r="P34" i="73" s="1"/>
  <c r="V33" i="73"/>
  <c r="U33" i="73"/>
  <c r="D182" i="76"/>
  <c r="E183" i="76"/>
  <c r="K308" i="76"/>
  <c r="M308" i="76"/>
  <c r="L308" i="76"/>
  <c r="K181" i="76"/>
  <c r="M181" i="76"/>
  <c r="L181" i="76"/>
  <c r="M192" i="80"/>
  <c r="L192" i="80"/>
  <c r="K192" i="80"/>
  <c r="E193" i="80"/>
  <c r="D193" i="80" s="1"/>
  <c r="I192" i="80"/>
  <c r="G192" i="80"/>
  <c r="F193" i="80"/>
  <c r="H192" i="80"/>
  <c r="F309" i="76"/>
  <c r="E309" i="76"/>
  <c r="D309" i="76" s="1"/>
  <c r="H308" i="76"/>
  <c r="G308" i="76"/>
  <c r="D90" i="72"/>
  <c r="E90" i="72" s="1"/>
  <c r="F90" i="72" s="1"/>
  <c r="K90" i="72"/>
  <c r="B91" i="72"/>
  <c r="C91" i="72" s="1"/>
  <c r="A92" i="72"/>
  <c r="G91" i="72"/>
  <c r="H90" i="72" s="1"/>
  <c r="A85" i="65"/>
  <c r="M34" i="73" l="1"/>
  <c r="X33" i="73"/>
  <c r="Q34" i="73"/>
  <c r="R34" i="73" s="1"/>
  <c r="S34" i="73" s="1"/>
  <c r="K309" i="76"/>
  <c r="M309" i="76"/>
  <c r="L309" i="76"/>
  <c r="D183" i="76"/>
  <c r="E184" i="76"/>
  <c r="K182" i="76"/>
  <c r="L182" i="76"/>
  <c r="M182" i="76"/>
  <c r="M193" i="80"/>
  <c r="L193" i="80"/>
  <c r="K193" i="80"/>
  <c r="G193" i="80"/>
  <c r="E194" i="80"/>
  <c r="D194" i="80" s="1"/>
  <c r="F194" i="80"/>
  <c r="I193" i="80"/>
  <c r="H193" i="80"/>
  <c r="F310" i="76"/>
  <c r="G309" i="76"/>
  <c r="E310" i="76"/>
  <c r="D310" i="76" s="1"/>
  <c r="H309" i="76"/>
  <c r="K91" i="72"/>
  <c r="B92" i="72"/>
  <c r="C92" i="72" s="1"/>
  <c r="G92" i="72"/>
  <c r="H91" i="72" s="1"/>
  <c r="A93" i="72"/>
  <c r="D91" i="72"/>
  <c r="E91" i="72" s="1"/>
  <c r="F91" i="72" s="1"/>
  <c r="A86" i="65"/>
  <c r="V34" i="73" l="1"/>
  <c r="W34" i="73"/>
  <c r="L35" i="73"/>
  <c r="N35" i="73" s="1"/>
  <c r="O35" i="73" s="1"/>
  <c r="U34" i="73"/>
  <c r="T34" i="73"/>
  <c r="P35" i="73" s="1"/>
  <c r="D184" i="76"/>
  <c r="E185" i="76"/>
  <c r="K183" i="76"/>
  <c r="M183" i="76"/>
  <c r="L183" i="76"/>
  <c r="K310" i="76"/>
  <c r="L310" i="76"/>
  <c r="M310" i="76"/>
  <c r="M194" i="80"/>
  <c r="L194" i="80"/>
  <c r="K194" i="80"/>
  <c r="I194" i="80"/>
  <c r="F195" i="80"/>
  <c r="H194" i="80"/>
  <c r="G194" i="80"/>
  <c r="E195" i="80"/>
  <c r="D195" i="80" s="1"/>
  <c r="F311" i="76"/>
  <c r="H310" i="76"/>
  <c r="G310" i="76"/>
  <c r="E311" i="76"/>
  <c r="D311" i="76" s="1"/>
  <c r="B93" i="72"/>
  <c r="C93" i="72" s="1"/>
  <c r="A94" i="72"/>
  <c r="G93" i="72"/>
  <c r="H92" i="72" s="1"/>
  <c r="D92" i="72"/>
  <c r="E92" i="72" s="1"/>
  <c r="F92" i="72" s="1"/>
  <c r="K92" i="72"/>
  <c r="A87" i="65"/>
  <c r="M35" i="73" l="1"/>
  <c r="X34" i="73"/>
  <c r="Q35" i="73"/>
  <c r="R35" i="73" s="1"/>
  <c r="L36" i="73" s="1"/>
  <c r="K311" i="76"/>
  <c r="M311" i="76"/>
  <c r="L311" i="76"/>
  <c r="D185" i="76"/>
  <c r="E186" i="76"/>
  <c r="K184" i="76"/>
  <c r="M184" i="76"/>
  <c r="L184" i="76"/>
  <c r="I195" i="80"/>
  <c r="E196" i="80"/>
  <c r="D196" i="80" s="1"/>
  <c r="G195" i="80"/>
  <c r="H195" i="80"/>
  <c r="F196" i="80"/>
  <c r="L195" i="80"/>
  <c r="K195" i="80"/>
  <c r="M195" i="80"/>
  <c r="F312" i="76"/>
  <c r="H311" i="76"/>
  <c r="G311" i="76"/>
  <c r="E312" i="76"/>
  <c r="D312" i="76" s="1"/>
  <c r="K93" i="72"/>
  <c r="A95" i="72"/>
  <c r="B94" i="72"/>
  <c r="C94" i="72" s="1"/>
  <c r="G94" i="72"/>
  <c r="H93" i="72" s="1"/>
  <c r="D93" i="72"/>
  <c r="E93" i="72" s="1"/>
  <c r="F93" i="72" s="1"/>
  <c r="A88" i="65"/>
  <c r="S35" i="73" l="1"/>
  <c r="U35" i="73" s="1"/>
  <c r="W35" i="73"/>
  <c r="M36" i="73"/>
  <c r="N36" i="73"/>
  <c r="D186" i="76"/>
  <c r="E187" i="76"/>
  <c r="K312" i="76"/>
  <c r="M312" i="76"/>
  <c r="L312" i="76"/>
  <c r="K185" i="76"/>
  <c r="M185" i="76"/>
  <c r="L185" i="76"/>
  <c r="I196" i="80"/>
  <c r="H196" i="80"/>
  <c r="F197" i="80"/>
  <c r="E197" i="80"/>
  <c r="D197" i="80" s="1"/>
  <c r="G196" i="80"/>
  <c r="K196" i="80"/>
  <c r="M196" i="80"/>
  <c r="L196" i="80"/>
  <c r="F313" i="76"/>
  <c r="H312" i="76"/>
  <c r="G312" i="76"/>
  <c r="E313" i="76"/>
  <c r="D313" i="76" s="1"/>
  <c r="K94" i="72"/>
  <c r="D94" i="72"/>
  <c r="E94" i="72" s="1"/>
  <c r="F94" i="72" s="1"/>
  <c r="G95" i="72"/>
  <c r="H94" i="72" s="1"/>
  <c r="A96" i="72"/>
  <c r="B95" i="72"/>
  <c r="C95" i="72" s="1"/>
  <c r="A89" i="65"/>
  <c r="T35" i="73" l="1"/>
  <c r="P36" i="73" s="1"/>
  <c r="O36" i="73"/>
  <c r="V35" i="73"/>
  <c r="X35" i="73" s="1"/>
  <c r="D187" i="76"/>
  <c r="E188" i="76"/>
  <c r="K313" i="76"/>
  <c r="M313" i="76"/>
  <c r="L313" i="76"/>
  <c r="K186" i="76"/>
  <c r="L186" i="76"/>
  <c r="M186" i="76"/>
  <c r="K197" i="80"/>
  <c r="M197" i="80"/>
  <c r="L197" i="80"/>
  <c r="I197" i="80"/>
  <c r="H197" i="80"/>
  <c r="F198" i="80"/>
  <c r="G197" i="80"/>
  <c r="E198" i="80"/>
  <c r="D198" i="80" s="1"/>
  <c r="F314" i="76"/>
  <c r="H313" i="76"/>
  <c r="G313" i="76"/>
  <c r="E314" i="76"/>
  <c r="D314" i="76" s="1"/>
  <c r="D95" i="72"/>
  <c r="E95" i="72" s="1"/>
  <c r="F95" i="72" s="1"/>
  <c r="K95" i="72"/>
  <c r="A97" i="72"/>
  <c r="G96" i="72"/>
  <c r="H95" i="72" s="1"/>
  <c r="B96" i="72"/>
  <c r="C96" i="72" s="1"/>
  <c r="A90" i="65"/>
  <c r="Q36" i="73" l="1"/>
  <c r="R36" i="73" s="1"/>
  <c r="S36" i="73" s="1"/>
  <c r="U36" i="73" s="1"/>
  <c r="K314" i="76"/>
  <c r="M314" i="76"/>
  <c r="L314" i="76"/>
  <c r="D188" i="76"/>
  <c r="E189" i="76"/>
  <c r="K187" i="76"/>
  <c r="M187" i="76"/>
  <c r="L187" i="76"/>
  <c r="M198" i="80"/>
  <c r="L198" i="80"/>
  <c r="K198" i="80"/>
  <c r="H198" i="80"/>
  <c r="F199" i="80"/>
  <c r="G198" i="80"/>
  <c r="E199" i="80"/>
  <c r="D199" i="80" s="1"/>
  <c r="I198" i="80"/>
  <c r="F315" i="76"/>
  <c r="H314" i="76"/>
  <c r="E315" i="76"/>
  <c r="D315" i="76" s="1"/>
  <c r="G314" i="76"/>
  <c r="K96" i="72"/>
  <c r="G97" i="72"/>
  <c r="H96" i="72" s="1"/>
  <c r="B97" i="72"/>
  <c r="C97" i="72" s="1"/>
  <c r="A98" i="72"/>
  <c r="D96" i="72"/>
  <c r="E96" i="72" s="1"/>
  <c r="F96" i="72" s="1"/>
  <c r="A91" i="65"/>
  <c r="W36" i="73" l="1"/>
  <c r="L37" i="73"/>
  <c r="M37" i="73" s="1"/>
  <c r="T36" i="73"/>
  <c r="P37" i="73" s="1"/>
  <c r="V36" i="73"/>
  <c r="X36" i="73" s="1"/>
  <c r="D189" i="76"/>
  <c r="E190" i="76"/>
  <c r="K188" i="76"/>
  <c r="M188" i="76"/>
  <c r="L188" i="76"/>
  <c r="K315" i="76"/>
  <c r="M315" i="76"/>
  <c r="L315" i="76"/>
  <c r="K199" i="80"/>
  <c r="L199" i="80"/>
  <c r="M199" i="80"/>
  <c r="F200" i="80"/>
  <c r="G199" i="80"/>
  <c r="E200" i="80"/>
  <c r="D200" i="80" s="1"/>
  <c r="H199" i="80"/>
  <c r="I199" i="80"/>
  <c r="F316" i="76"/>
  <c r="G315" i="76"/>
  <c r="H315" i="76"/>
  <c r="E316" i="76"/>
  <c r="D316" i="76" s="1"/>
  <c r="K97" i="72"/>
  <c r="D97" i="72"/>
  <c r="E97" i="72" s="1"/>
  <c r="F97" i="72" s="1"/>
  <c r="B98" i="72"/>
  <c r="C98" i="72" s="1"/>
  <c r="A99" i="72"/>
  <c r="G98" i="72"/>
  <c r="H97" i="72" s="1"/>
  <c r="A92" i="65"/>
  <c r="N37" i="73" l="1"/>
  <c r="O37" i="73" s="1"/>
  <c r="Q37" i="73" s="1"/>
  <c r="R37" i="73" s="1"/>
  <c r="L38" i="73" s="1"/>
  <c r="K316" i="76"/>
  <c r="M316" i="76"/>
  <c r="L316" i="76"/>
  <c r="D190" i="76"/>
  <c r="E191" i="76"/>
  <c r="K189" i="76"/>
  <c r="M189" i="76"/>
  <c r="L189" i="76"/>
  <c r="E201" i="80"/>
  <c r="D201" i="80" s="1"/>
  <c r="H200" i="80"/>
  <c r="F201" i="80"/>
  <c r="I200" i="80"/>
  <c r="G200" i="80"/>
  <c r="M200" i="80"/>
  <c r="L200" i="80"/>
  <c r="K200" i="80"/>
  <c r="F317" i="76"/>
  <c r="E317" i="76"/>
  <c r="D317" i="76" s="1"/>
  <c r="H316" i="76"/>
  <c r="G316" i="76"/>
  <c r="A100" i="72"/>
  <c r="G99" i="72"/>
  <c r="H98" i="72" s="1"/>
  <c r="B99" i="72"/>
  <c r="C99" i="72" s="1"/>
  <c r="D98" i="72"/>
  <c r="E98" i="72" s="1"/>
  <c r="F98" i="72" s="1"/>
  <c r="K98" i="72"/>
  <c r="A93" i="65"/>
  <c r="S37" i="73" l="1"/>
  <c r="W37" i="73" s="1"/>
  <c r="N38" i="73"/>
  <c r="M38" i="73"/>
  <c r="D191" i="76"/>
  <c r="E192" i="76"/>
  <c r="K190" i="76"/>
  <c r="L190" i="76"/>
  <c r="M190" i="76"/>
  <c r="K317" i="76"/>
  <c r="L317" i="76"/>
  <c r="M317" i="76"/>
  <c r="I201" i="80"/>
  <c r="G201" i="80"/>
  <c r="F202" i="80"/>
  <c r="E202" i="80"/>
  <c r="D202" i="80" s="1"/>
  <c r="H201" i="80"/>
  <c r="M201" i="80"/>
  <c r="L201" i="80"/>
  <c r="K201" i="80"/>
  <c r="F318" i="76"/>
  <c r="G317" i="76"/>
  <c r="E318" i="76"/>
  <c r="D318" i="76" s="1"/>
  <c r="H317" i="76"/>
  <c r="D99" i="72"/>
  <c r="E99" i="72" s="1"/>
  <c r="F99" i="72" s="1"/>
  <c r="K99" i="72"/>
  <c r="B100" i="72"/>
  <c r="C100" i="72" s="1"/>
  <c r="G100" i="72"/>
  <c r="H99" i="72" s="1"/>
  <c r="A101" i="72"/>
  <c r="A94" i="65"/>
  <c r="O38" i="73" l="1"/>
  <c r="U37" i="73"/>
  <c r="V37" i="73"/>
  <c r="T37" i="73"/>
  <c r="P38" i="73" s="1"/>
  <c r="K318" i="76"/>
  <c r="L318" i="76"/>
  <c r="M318" i="76"/>
  <c r="D192" i="76"/>
  <c r="E193" i="76"/>
  <c r="K191" i="76"/>
  <c r="M191" i="76"/>
  <c r="L191" i="76"/>
  <c r="M202" i="80"/>
  <c r="L202" i="80"/>
  <c r="K202" i="80"/>
  <c r="F203" i="80"/>
  <c r="H202" i="80"/>
  <c r="E203" i="80"/>
  <c r="D203" i="80" s="1"/>
  <c r="I202" i="80"/>
  <c r="G202" i="80"/>
  <c r="F319" i="76"/>
  <c r="H318" i="76"/>
  <c r="G318" i="76"/>
  <c r="E319" i="76"/>
  <c r="D319" i="76" s="1"/>
  <c r="K100" i="72"/>
  <c r="B101" i="72"/>
  <c r="C101" i="72" s="1"/>
  <c r="G101" i="72"/>
  <c r="H100" i="72" s="1"/>
  <c r="A102" i="72"/>
  <c r="D100" i="72"/>
  <c r="E100" i="72" s="1"/>
  <c r="F100" i="72" s="1"/>
  <c r="A95" i="65"/>
  <c r="X37" i="73" l="1"/>
  <c r="Q38" i="73"/>
  <c r="R38" i="73" s="1"/>
  <c r="L39" i="73" s="1"/>
  <c r="M39" i="73" s="1"/>
  <c r="D193" i="76"/>
  <c r="E194" i="76"/>
  <c r="K319" i="76"/>
  <c r="M319" i="76"/>
  <c r="L319" i="76"/>
  <c r="K192" i="76"/>
  <c r="M192" i="76"/>
  <c r="L192" i="76"/>
  <c r="I203" i="80"/>
  <c r="H203" i="80"/>
  <c r="E204" i="80"/>
  <c r="D204" i="80" s="1"/>
  <c r="G203" i="80"/>
  <c r="F204" i="80"/>
  <c r="L203" i="80"/>
  <c r="K203" i="80"/>
  <c r="M203" i="80"/>
  <c r="F320" i="76"/>
  <c r="H319" i="76"/>
  <c r="G319" i="76"/>
  <c r="E320" i="76"/>
  <c r="D320" i="76" s="1"/>
  <c r="B102" i="72"/>
  <c r="C102" i="72" s="1"/>
  <c r="A103" i="72"/>
  <c r="G102" i="72"/>
  <c r="H101" i="72" s="1"/>
  <c r="K101" i="72"/>
  <c r="D101" i="72"/>
  <c r="E101" i="72" s="1"/>
  <c r="F101" i="72" s="1"/>
  <c r="A96" i="65"/>
  <c r="N39" i="73" l="1"/>
  <c r="S38" i="73"/>
  <c r="W38" i="73" s="1"/>
  <c r="K320" i="76"/>
  <c r="M320" i="76"/>
  <c r="L320" i="76"/>
  <c r="D194" i="76"/>
  <c r="E195" i="76"/>
  <c r="K193" i="76"/>
  <c r="M193" i="76"/>
  <c r="L193" i="76"/>
  <c r="K204" i="80"/>
  <c r="L204" i="80"/>
  <c r="M204" i="80"/>
  <c r="I204" i="80"/>
  <c r="H204" i="80"/>
  <c r="F205" i="80"/>
  <c r="E205" i="80"/>
  <c r="D205" i="80" s="1"/>
  <c r="G204" i="80"/>
  <c r="F321" i="76"/>
  <c r="H320" i="76"/>
  <c r="G320" i="76"/>
  <c r="E321" i="76"/>
  <c r="D321" i="76" s="1"/>
  <c r="G103" i="72"/>
  <c r="H102" i="72" s="1"/>
  <c r="B103" i="72"/>
  <c r="C103" i="72" s="1"/>
  <c r="A104" i="72"/>
  <c r="D102" i="72"/>
  <c r="E102" i="72" s="1"/>
  <c r="F102" i="72" s="1"/>
  <c r="K102" i="72"/>
  <c r="A97" i="65"/>
  <c r="O39" i="73" l="1"/>
  <c r="T38" i="73"/>
  <c r="P39" i="73" s="1"/>
  <c r="U38" i="73"/>
  <c r="V38" i="73"/>
  <c r="D195" i="76"/>
  <c r="E196" i="76"/>
  <c r="K321" i="76"/>
  <c r="M321" i="76"/>
  <c r="L321" i="76"/>
  <c r="K194" i="76"/>
  <c r="M194" i="76"/>
  <c r="L194" i="76"/>
  <c r="K205" i="80"/>
  <c r="M205" i="80"/>
  <c r="L205" i="80"/>
  <c r="I205" i="80"/>
  <c r="H205" i="80"/>
  <c r="F206" i="80"/>
  <c r="G205" i="80"/>
  <c r="E206" i="80"/>
  <c r="D206" i="80" s="1"/>
  <c r="F322" i="76"/>
  <c r="H321" i="76"/>
  <c r="G321" i="76"/>
  <c r="E322" i="76"/>
  <c r="D322" i="76" s="1"/>
  <c r="D103" i="72"/>
  <c r="E103" i="72" s="1"/>
  <c r="F103" i="72" s="1"/>
  <c r="K103" i="72"/>
  <c r="A105" i="72"/>
  <c r="G104" i="72"/>
  <c r="H103" i="72" s="1"/>
  <c r="B104" i="72"/>
  <c r="C104" i="72" s="1"/>
  <c r="A98" i="65"/>
  <c r="X38" i="73" l="1"/>
  <c r="Q39" i="73"/>
  <c r="R39" i="73" s="1"/>
  <c r="L40" i="73" s="1"/>
  <c r="M40" i="73" s="1"/>
  <c r="K322" i="76"/>
  <c r="L322" i="76"/>
  <c r="M322" i="76"/>
  <c r="D196" i="76"/>
  <c r="E197" i="76"/>
  <c r="K195" i="76"/>
  <c r="M195" i="76"/>
  <c r="L195" i="76"/>
  <c r="H206" i="80"/>
  <c r="F207" i="80"/>
  <c r="G206" i="80"/>
  <c r="E207" i="80"/>
  <c r="D207" i="80" s="1"/>
  <c r="I206" i="80"/>
  <c r="L206" i="80"/>
  <c r="M206" i="80"/>
  <c r="K206" i="80"/>
  <c r="F323" i="76"/>
  <c r="H322" i="76"/>
  <c r="G322" i="76"/>
  <c r="E323" i="76"/>
  <c r="D323" i="76" s="1"/>
  <c r="D104" i="72"/>
  <c r="E104" i="72" s="1"/>
  <c r="F104" i="72" s="1"/>
  <c r="K104" i="72"/>
  <c r="G105" i="72"/>
  <c r="H104" i="72" s="1"/>
  <c r="A106" i="72"/>
  <c r="B105" i="72"/>
  <c r="C105" i="72" s="1"/>
  <c r="A99" i="65"/>
  <c r="S39" i="73" l="1"/>
  <c r="N40" i="73"/>
  <c r="D197" i="76"/>
  <c r="E198" i="76"/>
  <c r="K323" i="76"/>
  <c r="M323" i="76"/>
  <c r="L323" i="76"/>
  <c r="K196" i="76"/>
  <c r="M196" i="76"/>
  <c r="L196" i="76"/>
  <c r="M207" i="80"/>
  <c r="L207" i="80"/>
  <c r="K207" i="80"/>
  <c r="F208" i="80"/>
  <c r="G207" i="80"/>
  <c r="E208" i="80"/>
  <c r="D208" i="80" s="1"/>
  <c r="I207" i="80"/>
  <c r="H207" i="80"/>
  <c r="F324" i="76"/>
  <c r="G323" i="76"/>
  <c r="E324" i="76"/>
  <c r="D324" i="76" s="1"/>
  <c r="H323" i="76"/>
  <c r="K105" i="72"/>
  <c r="D105" i="72"/>
  <c r="E105" i="72" s="1"/>
  <c r="F105" i="72" s="1"/>
  <c r="B106" i="72"/>
  <c r="C106" i="72" s="1"/>
  <c r="A107" i="72"/>
  <c r="G106" i="72"/>
  <c r="H105" i="72" s="1"/>
  <c r="A100" i="65"/>
  <c r="T39" i="73" l="1"/>
  <c r="P40" i="73" s="1"/>
  <c r="W39" i="73"/>
  <c r="U39" i="73"/>
  <c r="V39" i="73"/>
  <c r="O40" i="73"/>
  <c r="Q40" i="73" s="1"/>
  <c r="R40" i="73" s="1"/>
  <c r="S40" i="73" s="1"/>
  <c r="V40" i="73" s="1"/>
  <c r="D198" i="76"/>
  <c r="E199" i="76"/>
  <c r="K324" i="76"/>
  <c r="M324" i="76"/>
  <c r="L324" i="76"/>
  <c r="K197" i="76"/>
  <c r="L197" i="76"/>
  <c r="M197" i="76"/>
  <c r="E209" i="80"/>
  <c r="D209" i="80" s="1"/>
  <c r="G208" i="80"/>
  <c r="I208" i="80"/>
  <c r="F209" i="80"/>
  <c r="H208" i="80"/>
  <c r="M208" i="80"/>
  <c r="L208" i="80"/>
  <c r="K208" i="80"/>
  <c r="F325" i="76"/>
  <c r="E325" i="76"/>
  <c r="D325" i="76" s="1"/>
  <c r="G324" i="76"/>
  <c r="H324" i="76"/>
  <c r="D106" i="72"/>
  <c r="E106" i="72" s="1"/>
  <c r="F106" i="72" s="1"/>
  <c r="K106" i="72"/>
  <c r="A108" i="72"/>
  <c r="G107" i="72"/>
  <c r="H106" i="72" s="1"/>
  <c r="B107" i="72"/>
  <c r="C107" i="72" s="1"/>
  <c r="A101" i="65"/>
  <c r="W40" i="73" l="1"/>
  <c r="L41" i="73"/>
  <c r="M41" i="73" s="1"/>
  <c r="X39" i="73"/>
  <c r="U40" i="73"/>
  <c r="X40" i="73" s="1"/>
  <c r="T40" i="73"/>
  <c r="P41" i="73" s="1"/>
  <c r="D199" i="76"/>
  <c r="E200" i="76"/>
  <c r="K325" i="76"/>
  <c r="L325" i="76"/>
  <c r="M325" i="76"/>
  <c r="K198" i="76"/>
  <c r="L198" i="76"/>
  <c r="M198" i="76"/>
  <c r="I209" i="80"/>
  <c r="G209" i="80"/>
  <c r="E210" i="80"/>
  <c r="D210" i="80" s="1"/>
  <c r="H209" i="80"/>
  <c r="F210" i="80"/>
  <c r="M209" i="80"/>
  <c r="L209" i="80"/>
  <c r="K209" i="80"/>
  <c r="F326" i="76"/>
  <c r="G325" i="76"/>
  <c r="E326" i="76"/>
  <c r="D326" i="76" s="1"/>
  <c r="H325" i="76"/>
  <c r="D107" i="72"/>
  <c r="E107" i="72" s="1"/>
  <c r="F107" i="72" s="1"/>
  <c r="B108" i="72"/>
  <c r="C108" i="72" s="1"/>
  <c r="C109" i="72" s="1"/>
  <c r="G108" i="72"/>
  <c r="K107" i="72"/>
  <c r="A102" i="65"/>
  <c r="N41" i="73" l="1"/>
  <c r="O41" i="73" s="1"/>
  <c r="Q41" i="73" s="1"/>
  <c r="R41" i="73" s="1"/>
  <c r="L42" i="73" s="1"/>
  <c r="N42" i="73" s="1"/>
  <c r="K326" i="76"/>
  <c r="L326" i="76"/>
  <c r="M326" i="76"/>
  <c r="D200" i="76"/>
  <c r="E201" i="76"/>
  <c r="K199" i="76"/>
  <c r="M199" i="76"/>
  <c r="L199" i="76"/>
  <c r="G210" i="80"/>
  <c r="E211" i="80"/>
  <c r="D211" i="80" s="1"/>
  <c r="F211" i="80"/>
  <c r="I210" i="80"/>
  <c r="H210" i="80"/>
  <c r="M210" i="80"/>
  <c r="L210" i="80"/>
  <c r="K210" i="80"/>
  <c r="F327" i="76"/>
  <c r="H326" i="76"/>
  <c r="G326" i="76"/>
  <c r="E327" i="76"/>
  <c r="D327" i="76" s="1"/>
  <c r="D14" i="72"/>
  <c r="K21" i="70" s="1"/>
  <c r="K108" i="72"/>
  <c r="D108" i="72"/>
  <c r="D109" i="72" s="1"/>
  <c r="B109" i="72"/>
  <c r="H107" i="72"/>
  <c r="H108" i="72"/>
  <c r="A103" i="65"/>
  <c r="M42" i="73" l="1"/>
  <c r="S41" i="73"/>
  <c r="D201" i="76"/>
  <c r="E202" i="76"/>
  <c r="K327" i="76"/>
  <c r="M327" i="76"/>
  <c r="L327" i="76"/>
  <c r="K200" i="76"/>
  <c r="M200" i="76"/>
  <c r="L200" i="76"/>
  <c r="I211" i="80"/>
  <c r="F212" i="80"/>
  <c r="E212" i="80"/>
  <c r="D212" i="80" s="1"/>
  <c r="H211" i="80"/>
  <c r="G211" i="80"/>
  <c r="L211" i="80"/>
  <c r="K211" i="80"/>
  <c r="M211" i="80"/>
  <c r="F328" i="76"/>
  <c r="H327" i="76"/>
  <c r="G327" i="76"/>
  <c r="E328" i="76"/>
  <c r="D328" i="76" s="1"/>
  <c r="D13" i="72"/>
  <c r="K22" i="70" s="1"/>
  <c r="H109" i="72"/>
  <c r="H13" i="72" s="1"/>
  <c r="E108" i="72"/>
  <c r="F108" i="72" s="1"/>
  <c r="A104" i="65"/>
  <c r="T41" i="73" l="1"/>
  <c r="P42" i="73" s="1"/>
  <c r="W41" i="73"/>
  <c r="U41" i="73"/>
  <c r="O42" i="73"/>
  <c r="Q42" i="73" s="1"/>
  <c r="R42" i="73" s="1"/>
  <c r="L43" i="73" s="1"/>
  <c r="N43" i="73" s="1"/>
  <c r="V41" i="73"/>
  <c r="K328" i="76"/>
  <c r="M328" i="76"/>
  <c r="L328" i="76"/>
  <c r="D202" i="76"/>
  <c r="E203" i="76"/>
  <c r="K201" i="76"/>
  <c r="M201" i="76"/>
  <c r="L201" i="76"/>
  <c r="K212" i="80"/>
  <c r="L212" i="80"/>
  <c r="M212" i="80"/>
  <c r="I212" i="80"/>
  <c r="H212" i="80"/>
  <c r="E213" i="80"/>
  <c r="D213" i="80" s="1"/>
  <c r="G212" i="80"/>
  <c r="F213" i="80"/>
  <c r="F329" i="76"/>
  <c r="H328" i="76"/>
  <c r="G328" i="76"/>
  <c r="E329" i="76"/>
  <c r="D329" i="76" s="1"/>
  <c r="D15" i="72"/>
  <c r="K20" i="70" s="1"/>
  <c r="L20" i="72"/>
  <c r="O14" i="72"/>
  <c r="E109" i="72"/>
  <c r="H15" i="72" s="1"/>
  <c r="O20" i="70" s="1"/>
  <c r="A105" i="65"/>
  <c r="X41" i="73" l="1"/>
  <c r="M43" i="73"/>
  <c r="S42" i="73"/>
  <c r="V42" i="73" s="1"/>
  <c r="D203" i="76"/>
  <c r="E204" i="76"/>
  <c r="K329" i="76"/>
  <c r="M329" i="76"/>
  <c r="L329" i="76"/>
  <c r="K202" i="76"/>
  <c r="L202" i="76"/>
  <c r="M202" i="76"/>
  <c r="I213" i="80"/>
  <c r="H213" i="80"/>
  <c r="F214" i="80"/>
  <c r="G213" i="80"/>
  <c r="E214" i="80"/>
  <c r="D214" i="80" s="1"/>
  <c r="M213" i="80"/>
  <c r="L213" i="80"/>
  <c r="K213" i="80"/>
  <c r="F330" i="76"/>
  <c r="H329" i="76"/>
  <c r="G329" i="76"/>
  <c r="E330" i="76"/>
  <c r="D330" i="76" s="1"/>
  <c r="M20" i="72"/>
  <c r="H14" i="72"/>
  <c r="A106" i="65"/>
  <c r="W42" i="73" l="1"/>
  <c r="O43" i="73"/>
  <c r="T42" i="73"/>
  <c r="P43" i="73" s="1"/>
  <c r="U42" i="73"/>
  <c r="X42" i="73" s="1"/>
  <c r="K330" i="76"/>
  <c r="L330" i="76"/>
  <c r="M330" i="76"/>
  <c r="D204" i="76"/>
  <c r="E205" i="76"/>
  <c r="K203" i="76"/>
  <c r="M203" i="76"/>
  <c r="L203" i="76"/>
  <c r="K214" i="80"/>
  <c r="M214" i="80"/>
  <c r="L214" i="80"/>
  <c r="H214" i="80"/>
  <c r="F215" i="80"/>
  <c r="G214" i="80"/>
  <c r="E215" i="80"/>
  <c r="D215" i="80" s="1"/>
  <c r="I214" i="80"/>
  <c r="F331" i="76"/>
  <c r="H330" i="76"/>
  <c r="G330" i="76"/>
  <c r="E331" i="76"/>
  <c r="D331" i="76" s="1"/>
  <c r="N20" i="72"/>
  <c r="O20" i="72"/>
  <c r="O15" i="72"/>
  <c r="O21" i="70"/>
  <c r="O22" i="70" s="1"/>
  <c r="O16" i="72"/>
  <c r="A107" i="65"/>
  <c r="Q43" i="73" l="1"/>
  <c r="R43" i="73" s="1"/>
  <c r="S43" i="73" s="1"/>
  <c r="V43" i="73" s="1"/>
  <c r="D205" i="76"/>
  <c r="E206" i="76"/>
  <c r="K331" i="76"/>
  <c r="M331" i="76"/>
  <c r="L331" i="76"/>
  <c r="K204" i="76"/>
  <c r="M204" i="76"/>
  <c r="L204" i="76"/>
  <c r="F216" i="80"/>
  <c r="G215" i="80"/>
  <c r="E216" i="80"/>
  <c r="D216" i="80" s="1"/>
  <c r="H215" i="80"/>
  <c r="I215" i="80"/>
  <c r="M215" i="80"/>
  <c r="L215" i="80"/>
  <c r="K215" i="80"/>
  <c r="F332" i="76"/>
  <c r="H331" i="76"/>
  <c r="E332" i="76"/>
  <c r="D332" i="76" s="1"/>
  <c r="G331" i="76"/>
  <c r="P20" i="72"/>
  <c r="Q20" i="72" s="1"/>
  <c r="L21" i="72" s="1"/>
  <c r="A108" i="65"/>
  <c r="W43" i="73" l="1"/>
  <c r="U43" i="73"/>
  <c r="X43" i="73" s="1"/>
  <c r="T43" i="73"/>
  <c r="P44" i="73" s="1"/>
  <c r="L44" i="73"/>
  <c r="M44" i="73" s="1"/>
  <c r="K332" i="76"/>
  <c r="M332" i="76"/>
  <c r="L332" i="76"/>
  <c r="D206" i="76"/>
  <c r="E207" i="76"/>
  <c r="K205" i="76"/>
  <c r="L205" i="76"/>
  <c r="M205" i="76"/>
  <c r="M216" i="80"/>
  <c r="K216" i="80"/>
  <c r="L216" i="80"/>
  <c r="E217" i="80"/>
  <c r="D217" i="80" s="1"/>
  <c r="H216" i="80"/>
  <c r="G216" i="80"/>
  <c r="I216" i="80"/>
  <c r="F217" i="80"/>
  <c r="F333" i="76"/>
  <c r="E333" i="76"/>
  <c r="D333" i="76" s="1"/>
  <c r="H332" i="76"/>
  <c r="G332" i="76"/>
  <c r="M21" i="72"/>
  <c r="R20" i="72"/>
  <c r="O29" i="62"/>
  <c r="L389" i="66" s="1"/>
  <c r="O28" i="62"/>
  <c r="K385" i="66" s="1"/>
  <c r="O37" i="62"/>
  <c r="G38" i="62"/>
  <c r="G29" i="62"/>
  <c r="L529" i="66" s="1"/>
  <c r="G28" i="62"/>
  <c r="J529" i="66" s="1"/>
  <c r="B20" i="64"/>
  <c r="D20" i="64" s="1"/>
  <c r="N6" i="64"/>
  <c r="H8" i="64"/>
  <c r="H7" i="64"/>
  <c r="H6" i="64"/>
  <c r="C5" i="64"/>
  <c r="A20" i="64" s="1"/>
  <c r="A21" i="64" s="1"/>
  <c r="H2" i="63"/>
  <c r="L46" i="63"/>
  <c r="L45" i="63" s="1"/>
  <c r="L44" i="63" s="1"/>
  <c r="K45" i="63"/>
  <c r="K44" i="63"/>
  <c r="J44" i="63"/>
  <c r="J43" i="63" s="1"/>
  <c r="J42" i="63" s="1"/>
  <c r="J41" i="63" s="1"/>
  <c r="L43" i="63"/>
  <c r="L42" i="63" s="1"/>
  <c r="L41" i="63" s="1"/>
  <c r="L40" i="63" s="1"/>
  <c r="L39" i="63" s="1"/>
  <c r="L38" i="63" s="1"/>
  <c r="L37" i="63" s="1"/>
  <c r="L36" i="63" s="1"/>
  <c r="L35" i="63" s="1"/>
  <c r="L34" i="63" s="1"/>
  <c r="L33" i="63" s="1"/>
  <c r="L32" i="63" s="1"/>
  <c r="L31" i="63" s="1"/>
  <c r="L30" i="63" s="1"/>
  <c r="L29" i="63" s="1"/>
  <c r="L28" i="63" s="1"/>
  <c r="L27" i="63" s="1"/>
  <c r="L26" i="63" s="1"/>
  <c r="L25" i="63" s="1"/>
  <c r="L24" i="63" s="1"/>
  <c r="L23" i="63" s="1"/>
  <c r="L22" i="63" s="1"/>
  <c r="L21" i="63" s="1"/>
  <c r="L20" i="63" s="1"/>
  <c r="L19" i="63" s="1"/>
  <c r="L18" i="63" s="1"/>
  <c r="L17" i="63" s="1"/>
  <c r="L16" i="63" s="1"/>
  <c r="L15" i="63" s="1"/>
  <c r="L14" i="63" s="1"/>
  <c r="L13" i="63" s="1"/>
  <c r="L12" i="63" s="1"/>
  <c r="L11" i="63" s="1"/>
  <c r="L10" i="63" s="1"/>
  <c r="L9" i="63" s="1"/>
  <c r="L8" i="63" s="1"/>
  <c r="L7" i="63" s="1"/>
  <c r="L6" i="63" s="1"/>
  <c r="L5" i="63" s="1"/>
  <c r="K43" i="63"/>
  <c r="K42" i="63" s="1"/>
  <c r="K41" i="63" s="1"/>
  <c r="K40" i="63" s="1"/>
  <c r="K39" i="63" s="1"/>
  <c r="K38" i="63" s="1"/>
  <c r="K37" i="63" s="1"/>
  <c r="K36" i="63" s="1"/>
  <c r="K35" i="63" s="1"/>
  <c r="K34" i="63" s="1"/>
  <c r="K33" i="63" s="1"/>
  <c r="K32" i="63" s="1"/>
  <c r="K31" i="63" s="1"/>
  <c r="K30" i="63" s="1"/>
  <c r="K29" i="63" s="1"/>
  <c r="K28" i="63" s="1"/>
  <c r="K27" i="63" s="1"/>
  <c r="K26" i="63" s="1"/>
  <c r="K25" i="63" s="1"/>
  <c r="K24" i="63" s="1"/>
  <c r="K23" i="63" s="1"/>
  <c r="K22" i="63" s="1"/>
  <c r="K21" i="63" s="1"/>
  <c r="K20" i="63" s="1"/>
  <c r="K19" i="63" s="1"/>
  <c r="K18" i="63" s="1"/>
  <c r="K17" i="63" s="1"/>
  <c r="K16" i="63" s="1"/>
  <c r="K15" i="63" s="1"/>
  <c r="K14" i="63" s="1"/>
  <c r="K13" i="63" s="1"/>
  <c r="K12" i="63" s="1"/>
  <c r="K11" i="63" s="1"/>
  <c r="K10" i="63" s="1"/>
  <c r="K9" i="63" s="1"/>
  <c r="K8" i="63" s="1"/>
  <c r="K7" i="63" s="1"/>
  <c r="K6" i="63" s="1"/>
  <c r="K5" i="63" s="1"/>
  <c r="I43" i="63"/>
  <c r="I42" i="63"/>
  <c r="I41" i="63" s="1"/>
  <c r="I40" i="63" s="1"/>
  <c r="I39" i="63" s="1"/>
  <c r="I38" i="63" s="1"/>
  <c r="I37" i="63" s="1"/>
  <c r="I36" i="63" s="1"/>
  <c r="I35" i="63" s="1"/>
  <c r="I34" i="63" s="1"/>
  <c r="I33" i="63" s="1"/>
  <c r="I32" i="63" s="1"/>
  <c r="I31" i="63" s="1"/>
  <c r="I30" i="63" s="1"/>
  <c r="I29" i="63" s="1"/>
  <c r="I28" i="63" s="1"/>
  <c r="I27" i="63" s="1"/>
  <c r="I26" i="63" s="1"/>
  <c r="I25" i="63" s="1"/>
  <c r="I24" i="63" s="1"/>
  <c r="I23" i="63" s="1"/>
  <c r="I22" i="63" s="1"/>
  <c r="I21" i="63" s="1"/>
  <c r="I20" i="63" s="1"/>
  <c r="I19" i="63" s="1"/>
  <c r="I18" i="63" s="1"/>
  <c r="I17" i="63" s="1"/>
  <c r="I16" i="63" s="1"/>
  <c r="I15" i="63" s="1"/>
  <c r="I14" i="63" s="1"/>
  <c r="I13" i="63" s="1"/>
  <c r="I12" i="63" s="1"/>
  <c r="I11" i="63" s="1"/>
  <c r="I10" i="63" s="1"/>
  <c r="I9" i="63" s="1"/>
  <c r="I8" i="63" s="1"/>
  <c r="I7" i="63" s="1"/>
  <c r="I6" i="63" s="1"/>
  <c r="I5" i="63" s="1"/>
  <c r="H42" i="63"/>
  <c r="H41" i="63" s="1"/>
  <c r="H40" i="63" s="1"/>
  <c r="H39" i="63" s="1"/>
  <c r="H38" i="63" s="1"/>
  <c r="H37" i="63" s="1"/>
  <c r="H36" i="63" s="1"/>
  <c r="G41" i="63"/>
  <c r="J40" i="63"/>
  <c r="J39" i="63" s="1"/>
  <c r="J38" i="63" s="1"/>
  <c r="J37" i="63" s="1"/>
  <c r="J36" i="63" s="1"/>
  <c r="J35" i="63" s="1"/>
  <c r="J34" i="63" s="1"/>
  <c r="J33" i="63" s="1"/>
  <c r="J32" i="63" s="1"/>
  <c r="J31" i="63" s="1"/>
  <c r="J30" i="63" s="1"/>
  <c r="J29" i="63" s="1"/>
  <c r="J28" i="63" s="1"/>
  <c r="J27" i="63" s="1"/>
  <c r="J26" i="63" s="1"/>
  <c r="J25" i="63" s="1"/>
  <c r="J24" i="63" s="1"/>
  <c r="J23" i="63" s="1"/>
  <c r="J22" i="63" s="1"/>
  <c r="J21" i="63" s="1"/>
  <c r="J20" i="63" s="1"/>
  <c r="J19" i="63" s="1"/>
  <c r="J18" i="63" s="1"/>
  <c r="J17" i="63" s="1"/>
  <c r="J16" i="63" s="1"/>
  <c r="J15" i="63" s="1"/>
  <c r="J14" i="63" s="1"/>
  <c r="J13" i="63" s="1"/>
  <c r="J12" i="63" s="1"/>
  <c r="J11" i="63" s="1"/>
  <c r="J10" i="63" s="1"/>
  <c r="J9" i="63" s="1"/>
  <c r="J8" i="63" s="1"/>
  <c r="J7" i="63" s="1"/>
  <c r="J6" i="63" s="1"/>
  <c r="J5" i="63" s="1"/>
  <c r="G40" i="63"/>
  <c r="G39" i="63" s="1"/>
  <c r="G38" i="63" s="1"/>
  <c r="G37" i="63" s="1"/>
  <c r="G36" i="63" s="1"/>
  <c r="G35" i="63" s="1"/>
  <c r="G34" i="63" s="1"/>
  <c r="G33" i="63" s="1"/>
  <c r="G32" i="63" s="1"/>
  <c r="G31" i="63" s="1"/>
  <c r="G30" i="63" s="1"/>
  <c r="G29" i="63" s="1"/>
  <c r="G28" i="63" s="1"/>
  <c r="G27" i="63" s="1"/>
  <c r="G26" i="63" s="1"/>
  <c r="G25" i="63" s="1"/>
  <c r="G24" i="63" s="1"/>
  <c r="G23" i="63" s="1"/>
  <c r="G22" i="63" s="1"/>
  <c r="G21" i="63" s="1"/>
  <c r="G20" i="63" s="1"/>
  <c r="G19" i="63" s="1"/>
  <c r="G18" i="63" s="1"/>
  <c r="G17" i="63" s="1"/>
  <c r="G16" i="63" s="1"/>
  <c r="G15" i="63" s="1"/>
  <c r="G14" i="63" s="1"/>
  <c r="G13" i="63" s="1"/>
  <c r="G12" i="63" s="1"/>
  <c r="G11" i="63" s="1"/>
  <c r="G10" i="63" s="1"/>
  <c r="G9" i="63" s="1"/>
  <c r="G8" i="63" s="1"/>
  <c r="G7" i="63" s="1"/>
  <c r="G6" i="63" s="1"/>
  <c r="G5" i="63" s="1"/>
  <c r="F40" i="63"/>
  <c r="F39" i="63"/>
  <c r="E39" i="63"/>
  <c r="F38" i="63"/>
  <c r="F37" i="63" s="1"/>
  <c r="F36" i="63" s="1"/>
  <c r="F35" i="63" s="1"/>
  <c r="F34" i="63" s="1"/>
  <c r="F33" i="63" s="1"/>
  <c r="F32" i="63" s="1"/>
  <c r="F31" i="63" s="1"/>
  <c r="F30" i="63" s="1"/>
  <c r="F29" i="63" s="1"/>
  <c r="F28" i="63" s="1"/>
  <c r="F27" i="63" s="1"/>
  <c r="F26" i="63" s="1"/>
  <c r="F25" i="63" s="1"/>
  <c r="F24" i="63" s="1"/>
  <c r="F23" i="63" s="1"/>
  <c r="F22" i="63" s="1"/>
  <c r="F21" i="63" s="1"/>
  <c r="F20" i="63" s="1"/>
  <c r="F19" i="63" s="1"/>
  <c r="F18" i="63" s="1"/>
  <c r="F17" i="63" s="1"/>
  <c r="F16" i="63" s="1"/>
  <c r="F15" i="63" s="1"/>
  <c r="F14" i="63" s="1"/>
  <c r="F13" i="63" s="1"/>
  <c r="F12" i="63" s="1"/>
  <c r="F11" i="63" s="1"/>
  <c r="F10" i="63" s="1"/>
  <c r="F9" i="63" s="1"/>
  <c r="F8" i="63" s="1"/>
  <c r="F7" i="63" s="1"/>
  <c r="F6" i="63" s="1"/>
  <c r="F5" i="63" s="1"/>
  <c r="E38" i="63"/>
  <c r="D38" i="63"/>
  <c r="E37" i="63"/>
  <c r="D37" i="63"/>
  <c r="D36" i="63" s="1"/>
  <c r="D35" i="63" s="1"/>
  <c r="D34" i="63" s="1"/>
  <c r="D33" i="63" s="1"/>
  <c r="D32" i="63" s="1"/>
  <c r="D31" i="63" s="1"/>
  <c r="D30" i="63" s="1"/>
  <c r="D29" i="63" s="1"/>
  <c r="D28" i="63" s="1"/>
  <c r="D27" i="63" s="1"/>
  <c r="D26" i="63" s="1"/>
  <c r="D25" i="63" s="1"/>
  <c r="D24" i="63" s="1"/>
  <c r="D23" i="63" s="1"/>
  <c r="D22" i="63" s="1"/>
  <c r="D21" i="63" s="1"/>
  <c r="D20" i="63" s="1"/>
  <c r="D19" i="63" s="1"/>
  <c r="D18" i="63" s="1"/>
  <c r="D17" i="63" s="1"/>
  <c r="D16" i="63" s="1"/>
  <c r="D15" i="63" s="1"/>
  <c r="D14" i="63" s="1"/>
  <c r="D13" i="63" s="1"/>
  <c r="D12" i="63" s="1"/>
  <c r="D11" i="63" s="1"/>
  <c r="D10" i="63" s="1"/>
  <c r="D9" i="63" s="1"/>
  <c r="D8" i="63" s="1"/>
  <c r="D7" i="63" s="1"/>
  <c r="D6" i="63" s="1"/>
  <c r="D5" i="63" s="1"/>
  <c r="C37" i="63"/>
  <c r="C36" i="63" s="1"/>
  <c r="C35" i="63" s="1"/>
  <c r="E36" i="63"/>
  <c r="E35" i="63" s="1"/>
  <c r="E34" i="63" s="1"/>
  <c r="E33" i="63" s="1"/>
  <c r="E32" i="63" s="1"/>
  <c r="E31" i="63" s="1"/>
  <c r="E30" i="63" s="1"/>
  <c r="E29" i="63" s="1"/>
  <c r="E28" i="63" s="1"/>
  <c r="E27" i="63" s="1"/>
  <c r="E26" i="63" s="1"/>
  <c r="E25" i="63" s="1"/>
  <c r="E24" i="63" s="1"/>
  <c r="E23" i="63" s="1"/>
  <c r="E22" i="63" s="1"/>
  <c r="E21" i="63" s="1"/>
  <c r="E20" i="63" s="1"/>
  <c r="E19" i="63" s="1"/>
  <c r="E18" i="63" s="1"/>
  <c r="E17" i="63" s="1"/>
  <c r="E16" i="63" s="1"/>
  <c r="E15" i="63" s="1"/>
  <c r="E14" i="63" s="1"/>
  <c r="E13" i="63" s="1"/>
  <c r="E12" i="63" s="1"/>
  <c r="E11" i="63" s="1"/>
  <c r="E10" i="63" s="1"/>
  <c r="E9" i="63" s="1"/>
  <c r="E8" i="63" s="1"/>
  <c r="E7" i="63" s="1"/>
  <c r="E6" i="63" s="1"/>
  <c r="E5" i="63" s="1"/>
  <c r="B36" i="63"/>
  <c r="H35" i="63"/>
  <c r="H34" i="63" s="1"/>
  <c r="H33" i="63" s="1"/>
  <c r="H32" i="63" s="1"/>
  <c r="H31" i="63" s="1"/>
  <c r="H30" i="63" s="1"/>
  <c r="H29" i="63" s="1"/>
  <c r="H28" i="63" s="1"/>
  <c r="H27" i="63" s="1"/>
  <c r="H26" i="63" s="1"/>
  <c r="H25" i="63" s="1"/>
  <c r="H24" i="63" s="1"/>
  <c r="H23" i="63" s="1"/>
  <c r="H22" i="63" s="1"/>
  <c r="H21" i="63" s="1"/>
  <c r="H20" i="63" s="1"/>
  <c r="H19" i="63" s="1"/>
  <c r="H18" i="63" s="1"/>
  <c r="H17" i="63" s="1"/>
  <c r="H16" i="63" s="1"/>
  <c r="H15" i="63" s="1"/>
  <c r="H14" i="63" s="1"/>
  <c r="H13" i="63" s="1"/>
  <c r="H12" i="63" s="1"/>
  <c r="H11" i="63" s="1"/>
  <c r="H10" i="63" s="1"/>
  <c r="H9" i="63" s="1"/>
  <c r="H8" i="63" s="1"/>
  <c r="H7" i="63" s="1"/>
  <c r="H6" i="63" s="1"/>
  <c r="H5" i="63" s="1"/>
  <c r="B35" i="63"/>
  <c r="C34" i="63"/>
  <c r="C33" i="63" s="1"/>
  <c r="C32" i="63" s="1"/>
  <c r="C31" i="63" s="1"/>
  <c r="C30" i="63" s="1"/>
  <c r="C29" i="63" s="1"/>
  <c r="C28" i="63" s="1"/>
  <c r="C27" i="63" s="1"/>
  <c r="C26" i="63" s="1"/>
  <c r="C25" i="63" s="1"/>
  <c r="C24" i="63" s="1"/>
  <c r="C23" i="63" s="1"/>
  <c r="C22" i="63" s="1"/>
  <c r="C21" i="63" s="1"/>
  <c r="C20" i="63" s="1"/>
  <c r="C19" i="63" s="1"/>
  <c r="C18" i="63" s="1"/>
  <c r="C17" i="63" s="1"/>
  <c r="C16" i="63" s="1"/>
  <c r="C15" i="63" s="1"/>
  <c r="C14" i="63" s="1"/>
  <c r="C13" i="63" s="1"/>
  <c r="C12" i="63" s="1"/>
  <c r="C11" i="63" s="1"/>
  <c r="C10" i="63" s="1"/>
  <c r="C9" i="63" s="1"/>
  <c r="C8" i="63" s="1"/>
  <c r="C7" i="63" s="1"/>
  <c r="C6" i="63" s="1"/>
  <c r="C5" i="63" s="1"/>
  <c r="B34" i="63"/>
  <c r="B33" i="63" s="1"/>
  <c r="B32" i="63" s="1"/>
  <c r="B31" i="63" s="1"/>
  <c r="B30" i="63" s="1"/>
  <c r="B29" i="63" s="1"/>
  <c r="B28" i="63" s="1"/>
  <c r="B27" i="63" s="1"/>
  <c r="B26" i="63" s="1"/>
  <c r="B25" i="63" s="1"/>
  <c r="B24" i="63" s="1"/>
  <c r="B23" i="63" s="1"/>
  <c r="B22" i="63" s="1"/>
  <c r="B21" i="63" s="1"/>
  <c r="B20" i="63" s="1"/>
  <c r="B19" i="63" s="1"/>
  <c r="B18" i="63" s="1"/>
  <c r="B17" i="63" s="1"/>
  <c r="B16" i="63" s="1"/>
  <c r="B15" i="63" s="1"/>
  <c r="B14" i="63" s="1"/>
  <c r="B13" i="63" s="1"/>
  <c r="B12" i="63" s="1"/>
  <c r="B11" i="63" s="1"/>
  <c r="B10" i="63" s="1"/>
  <c r="B9" i="63" s="1"/>
  <c r="B8" i="63" s="1"/>
  <c r="B7" i="63" s="1"/>
  <c r="B6" i="63" s="1"/>
  <c r="B5" i="63" s="1"/>
  <c r="G24" i="62"/>
  <c r="B5" i="62"/>
  <c r="B5" i="61"/>
  <c r="K17" i="57"/>
  <c r="N44" i="73" l="1"/>
  <c r="O44" i="73" s="1"/>
  <c r="Q44" i="73" s="1"/>
  <c r="R44" i="73" s="1"/>
  <c r="S44" i="73" s="1"/>
  <c r="V44" i="73" s="1"/>
  <c r="D207" i="76"/>
  <c r="E208" i="76"/>
  <c r="K206" i="76"/>
  <c r="L206" i="76"/>
  <c r="M206" i="76"/>
  <c r="K333" i="76"/>
  <c r="L333" i="76"/>
  <c r="M333" i="76"/>
  <c r="H217" i="80"/>
  <c r="F218" i="80"/>
  <c r="E218" i="80"/>
  <c r="D218" i="80" s="1"/>
  <c r="I217" i="80"/>
  <c r="G217" i="80"/>
  <c r="M217" i="80"/>
  <c r="L217" i="80"/>
  <c r="K217" i="80"/>
  <c r="F334" i="76"/>
  <c r="G333" i="76"/>
  <c r="E334" i="76"/>
  <c r="D334" i="76" s="1"/>
  <c r="H333" i="76"/>
  <c r="N21" i="72"/>
  <c r="S14" i="72"/>
  <c r="I422" i="66"/>
  <c r="F422" i="66"/>
  <c r="H529" i="66"/>
  <c r="C302" i="66"/>
  <c r="I302" i="66"/>
  <c r="U307" i="66" s="1"/>
  <c r="F302" i="66"/>
  <c r="S307" i="66" s="1"/>
  <c r="G32" i="62"/>
  <c r="C6" i="65"/>
  <c r="N8" i="65" s="1"/>
  <c r="P15" i="64"/>
  <c r="P15" i="65"/>
  <c r="P14" i="64"/>
  <c r="P14" i="65"/>
  <c r="C20" i="64"/>
  <c r="C6" i="64"/>
  <c r="N8" i="64" s="1"/>
  <c r="E20" i="64"/>
  <c r="L2" i="63"/>
  <c r="O24" i="62"/>
  <c r="EA2" i="60"/>
  <c r="EA3" i="60" s="1"/>
  <c r="EB2" i="60"/>
  <c r="EB3" i="60" s="1"/>
  <c r="EC2" i="60"/>
  <c r="EC3" i="60" s="1"/>
  <c r="ED2" i="60"/>
  <c r="ED3" i="60" s="1"/>
  <c r="EE2" i="60"/>
  <c r="EE3" i="60" s="1"/>
  <c r="EF2" i="60"/>
  <c r="EF3" i="60" s="1"/>
  <c r="EG3" i="60"/>
  <c r="EH2" i="60"/>
  <c r="EH3" i="60" s="1"/>
  <c r="EI2" i="60"/>
  <c r="EI3" i="60" s="1"/>
  <c r="EJ2" i="60"/>
  <c r="EJ3" i="60" s="1"/>
  <c r="EK2" i="60"/>
  <c r="EK3" i="60" s="1"/>
  <c r="EL2" i="60"/>
  <c r="EL3" i="60" s="1"/>
  <c r="EM2" i="60"/>
  <c r="EM3" i="60" s="1"/>
  <c r="EN2" i="60"/>
  <c r="EN3" i="60" s="1"/>
  <c r="EO2" i="60"/>
  <c r="EO3" i="60" s="1"/>
  <c r="EP2" i="60"/>
  <c r="EP3" i="60" s="1"/>
  <c r="EQ2" i="60"/>
  <c r="EQ3" i="60" s="1"/>
  <c r="ER2" i="60"/>
  <c r="ER3" i="60" s="1"/>
  <c r="ES2" i="60"/>
  <c r="ES3" i="60" s="1"/>
  <c r="ET2" i="60"/>
  <c r="ET3" i="60" s="1"/>
  <c r="EU2" i="60"/>
  <c r="EU3" i="60" s="1"/>
  <c r="EV2" i="60"/>
  <c r="EV3" i="60" s="1"/>
  <c r="EW2" i="60"/>
  <c r="EW3" i="60" s="1"/>
  <c r="EX2" i="60"/>
  <c r="EX3" i="60" s="1"/>
  <c r="EY2" i="60"/>
  <c r="EY3" i="60" s="1"/>
  <c r="EZ2" i="60"/>
  <c r="EZ3" i="60" s="1"/>
  <c r="FA2" i="60"/>
  <c r="FA3" i="60" s="1"/>
  <c r="FB2" i="60"/>
  <c r="FB3" i="60" s="1"/>
  <c r="FC2" i="60"/>
  <c r="FC3" i="60" s="1"/>
  <c r="FD2" i="60"/>
  <c r="FD3" i="60" s="1"/>
  <c r="FE2" i="60"/>
  <c r="FE3" i="60" s="1"/>
  <c r="FF2" i="60"/>
  <c r="FF3" i="60" s="1"/>
  <c r="FG2" i="60"/>
  <c r="FG3" i="60" s="1"/>
  <c r="FH2" i="60"/>
  <c r="FH3" i="60" s="1"/>
  <c r="FI2" i="60"/>
  <c r="FI3" i="60" s="1"/>
  <c r="FJ2" i="60"/>
  <c r="FJ3" i="60" s="1"/>
  <c r="FK2" i="60"/>
  <c r="FK3" i="60" s="1"/>
  <c r="FL2" i="60"/>
  <c r="FL3" i="60" s="1"/>
  <c r="FM2" i="60"/>
  <c r="FM3" i="60" s="1"/>
  <c r="FN2" i="60"/>
  <c r="FN3" i="60" s="1"/>
  <c r="FO2" i="60"/>
  <c r="FO3" i="60" s="1"/>
  <c r="FP2" i="60"/>
  <c r="FP3" i="60" s="1"/>
  <c r="FQ2" i="60"/>
  <c r="FQ3" i="60" s="1"/>
  <c r="FR2" i="60"/>
  <c r="FR3" i="60" s="1"/>
  <c r="FS2" i="60"/>
  <c r="FS3" i="60" s="1"/>
  <c r="FT2" i="60"/>
  <c r="FT3" i="60" s="1"/>
  <c r="FU2" i="60"/>
  <c r="FU3" i="60" s="1"/>
  <c r="FV2" i="60"/>
  <c r="FV3" i="60" s="1"/>
  <c r="FW2" i="60"/>
  <c r="FW3" i="60" s="1"/>
  <c r="FX2" i="60"/>
  <c r="FX3" i="60" s="1"/>
  <c r="FY2" i="60"/>
  <c r="FY3" i="60" s="1"/>
  <c r="FZ2" i="60"/>
  <c r="FZ3" i="60" s="1"/>
  <c r="GA2" i="60"/>
  <c r="GA3" i="60" s="1"/>
  <c r="GB2" i="60"/>
  <c r="GB3" i="60" s="1"/>
  <c r="GC2" i="60"/>
  <c r="GC3" i="60" s="1"/>
  <c r="GD2" i="60"/>
  <c r="GD3" i="60" s="1"/>
  <c r="GE2" i="60"/>
  <c r="GE3" i="60" s="1"/>
  <c r="GF2" i="60"/>
  <c r="GF3" i="60" s="1"/>
  <c r="GG2" i="60"/>
  <c r="GG3" i="60" s="1"/>
  <c r="GH2" i="60"/>
  <c r="GH3" i="60" s="1"/>
  <c r="GI2" i="60"/>
  <c r="GI3" i="60" s="1"/>
  <c r="GJ2" i="60"/>
  <c r="GJ3" i="60" s="1"/>
  <c r="GK2" i="60"/>
  <c r="GK3" i="60" s="1"/>
  <c r="GL2" i="60"/>
  <c r="GL3" i="60" s="1"/>
  <c r="GM2" i="60"/>
  <c r="GM3" i="60" s="1"/>
  <c r="GN2" i="60"/>
  <c r="GN3" i="60" s="1"/>
  <c r="GO2" i="60"/>
  <c r="GO3" i="60" s="1"/>
  <c r="GP2" i="60"/>
  <c r="GP3" i="60" s="1"/>
  <c r="GQ2" i="60"/>
  <c r="GQ3" i="60" s="1"/>
  <c r="GR2" i="60"/>
  <c r="GR3" i="60" s="1"/>
  <c r="GS2" i="60"/>
  <c r="GS3" i="60" s="1"/>
  <c r="GT2" i="60"/>
  <c r="GT3" i="60" s="1"/>
  <c r="GU2" i="60"/>
  <c r="GU3" i="60" s="1"/>
  <c r="GV2" i="60"/>
  <c r="GV3" i="60" s="1"/>
  <c r="GW2" i="60"/>
  <c r="GW3" i="60" s="1"/>
  <c r="GX2" i="60"/>
  <c r="GX3" i="60" s="1"/>
  <c r="GY2" i="60"/>
  <c r="GY3" i="60" s="1"/>
  <c r="GZ2" i="60"/>
  <c r="GZ3" i="60" s="1"/>
  <c r="HA2" i="60"/>
  <c r="HA3" i="60" s="1"/>
  <c r="HB2" i="60"/>
  <c r="HB3" i="60" s="1"/>
  <c r="HC2" i="60"/>
  <c r="HC3" i="60" s="1"/>
  <c r="HD2" i="60"/>
  <c r="HD3" i="60" s="1"/>
  <c r="HE2" i="60"/>
  <c r="HE3" i="60" s="1"/>
  <c r="HF2" i="60"/>
  <c r="HF3" i="60" s="1"/>
  <c r="HG2" i="60"/>
  <c r="HG3" i="60" s="1"/>
  <c r="HH2" i="60"/>
  <c r="HH3" i="60" s="1"/>
  <c r="HI2" i="60"/>
  <c r="HI3" i="60" s="1"/>
  <c r="HJ2" i="60"/>
  <c r="HJ3" i="60" s="1"/>
  <c r="HK2" i="60"/>
  <c r="HK3" i="60" s="1"/>
  <c r="HL2" i="60"/>
  <c r="HL3" i="60" s="1"/>
  <c r="HM2" i="60"/>
  <c r="HM3" i="60" s="1"/>
  <c r="HN2" i="60"/>
  <c r="HN3" i="60" s="1"/>
  <c r="HO2" i="60"/>
  <c r="HO3" i="60" s="1"/>
  <c r="HP2" i="60"/>
  <c r="HP3" i="60" s="1"/>
  <c r="HQ2" i="60"/>
  <c r="HQ3" i="60" s="1"/>
  <c r="HR2" i="60"/>
  <c r="HR3" i="60" s="1"/>
  <c r="HS2" i="60"/>
  <c r="HS3" i="60" s="1"/>
  <c r="HT2" i="60"/>
  <c r="HT3" i="60" s="1"/>
  <c r="HU2" i="60"/>
  <c r="HU3" i="60" s="1"/>
  <c r="HV2" i="60"/>
  <c r="HV3" i="60" s="1"/>
  <c r="HW2" i="60"/>
  <c r="HW3" i="60" s="1"/>
  <c r="HX2" i="60"/>
  <c r="HX3" i="60" s="1"/>
  <c r="HY2" i="60"/>
  <c r="HY3" i="60" s="1"/>
  <c r="HZ2" i="60"/>
  <c r="HZ3" i="60" s="1"/>
  <c r="IA2" i="60"/>
  <c r="IA3" i="60" s="1"/>
  <c r="IB2" i="60"/>
  <c r="IB3" i="60" s="1"/>
  <c r="IC2" i="60"/>
  <c r="IC3" i="60" s="1"/>
  <c r="ID2" i="60"/>
  <c r="ID3" i="60" s="1"/>
  <c r="IE2" i="60"/>
  <c r="IE3" i="60" s="1"/>
  <c r="IF2" i="60"/>
  <c r="IF3" i="60" s="1"/>
  <c r="IG2" i="60"/>
  <c r="IG3" i="60" s="1"/>
  <c r="IH2" i="60"/>
  <c r="IH3" i="60" s="1"/>
  <c r="II2" i="60"/>
  <c r="II3" i="60" s="1"/>
  <c r="IJ2" i="60"/>
  <c r="IJ3" i="60" s="1"/>
  <c r="IK2" i="60"/>
  <c r="IK3" i="60" s="1"/>
  <c r="IL2" i="60"/>
  <c r="IL3" i="60" s="1"/>
  <c r="IM2" i="60"/>
  <c r="IM3" i="60" s="1"/>
  <c r="IN2" i="60"/>
  <c r="IN3" i="60" s="1"/>
  <c r="IO2" i="60"/>
  <c r="IO3" i="60" s="1"/>
  <c r="IP2" i="60"/>
  <c r="IP3" i="60" s="1"/>
  <c r="IQ2" i="60"/>
  <c r="IQ3" i="60" s="1"/>
  <c r="IR2" i="60"/>
  <c r="IR3" i="60" s="1"/>
  <c r="IS2" i="60"/>
  <c r="IS3" i="60" s="1"/>
  <c r="IT2" i="60"/>
  <c r="IT3" i="60" s="1"/>
  <c r="IU2" i="60"/>
  <c r="IU3" i="60" s="1"/>
  <c r="IV2" i="60"/>
  <c r="IV3" i="60" s="1"/>
  <c r="IW2" i="60"/>
  <c r="IW3" i="60" s="1"/>
  <c r="IX2" i="60"/>
  <c r="IX3" i="60" s="1"/>
  <c r="IY2" i="60"/>
  <c r="IY3" i="60" s="1"/>
  <c r="IZ2" i="60"/>
  <c r="IZ3" i="60" s="1"/>
  <c r="JA2" i="60"/>
  <c r="JA3" i="60" s="1"/>
  <c r="JB2" i="60"/>
  <c r="JB3" i="60" s="1"/>
  <c r="JC2" i="60"/>
  <c r="JC3" i="60" s="1"/>
  <c r="JD2" i="60"/>
  <c r="JD3" i="60" s="1"/>
  <c r="JE2" i="60"/>
  <c r="JE3" i="60" s="1"/>
  <c r="JF2" i="60"/>
  <c r="JF3" i="60" s="1"/>
  <c r="JG2" i="60"/>
  <c r="JG3" i="60" s="1"/>
  <c r="JH2" i="60"/>
  <c r="JH3" i="60" s="1"/>
  <c r="JI2" i="60"/>
  <c r="JI3" i="60" s="1"/>
  <c r="JJ2" i="60"/>
  <c r="JJ3" i="60" s="1"/>
  <c r="JK2" i="60"/>
  <c r="JK3" i="60" s="1"/>
  <c r="JL2" i="60"/>
  <c r="JL3" i="60" s="1"/>
  <c r="JM2" i="60"/>
  <c r="JM3" i="60" s="1"/>
  <c r="JN2" i="60"/>
  <c r="JN3" i="60" s="1"/>
  <c r="JO2" i="60"/>
  <c r="JO3" i="60" s="1"/>
  <c r="JP2" i="60"/>
  <c r="JP3" i="60" s="1"/>
  <c r="JQ2" i="60"/>
  <c r="JQ3" i="60" s="1"/>
  <c r="JR2" i="60"/>
  <c r="JR3" i="60" s="1"/>
  <c r="JS2" i="60"/>
  <c r="JS3" i="60" s="1"/>
  <c r="JT2" i="60"/>
  <c r="JT3" i="60" s="1"/>
  <c r="JU2" i="60"/>
  <c r="JU3" i="60" s="1"/>
  <c r="JV2" i="60"/>
  <c r="JV3" i="60" s="1"/>
  <c r="JW2" i="60"/>
  <c r="JW3" i="60" s="1"/>
  <c r="JX2" i="60"/>
  <c r="JX3" i="60" s="1"/>
  <c r="JY2" i="60"/>
  <c r="JY3" i="60" s="1"/>
  <c r="JZ2" i="60"/>
  <c r="JZ3" i="60" s="1"/>
  <c r="KA2" i="60"/>
  <c r="KA3" i="60" s="1"/>
  <c r="KB2" i="60"/>
  <c r="KB3" i="60" s="1"/>
  <c r="KC2" i="60"/>
  <c r="KC3" i="60" s="1"/>
  <c r="KD2" i="60"/>
  <c r="KD3" i="60" s="1"/>
  <c r="KE2" i="60"/>
  <c r="KE3" i="60" s="1"/>
  <c r="KF2" i="60"/>
  <c r="KF3" i="60" s="1"/>
  <c r="KG2" i="60"/>
  <c r="KG3" i="60" s="1"/>
  <c r="KH2" i="60"/>
  <c r="KH3" i="60" s="1"/>
  <c r="KI2" i="60"/>
  <c r="KI3" i="60" s="1"/>
  <c r="KJ2" i="60"/>
  <c r="KJ3" i="60" s="1"/>
  <c r="KK2" i="60"/>
  <c r="KK3" i="60" s="1"/>
  <c r="KL2" i="60"/>
  <c r="KL3" i="60" s="1"/>
  <c r="KM2" i="60"/>
  <c r="KM3" i="60" s="1"/>
  <c r="KN2" i="60"/>
  <c r="KN3" i="60" s="1"/>
  <c r="KO2" i="60"/>
  <c r="KO3" i="60" s="1"/>
  <c r="KP2" i="60"/>
  <c r="KP3" i="60" s="1"/>
  <c r="KQ2" i="60"/>
  <c r="KQ3" i="60" s="1"/>
  <c r="KR2" i="60"/>
  <c r="KR3" i="60" s="1"/>
  <c r="KS2" i="60"/>
  <c r="KS3" i="60" s="1"/>
  <c r="KT2" i="60"/>
  <c r="KT3" i="60" s="1"/>
  <c r="KU2" i="60"/>
  <c r="KU3" i="60" s="1"/>
  <c r="KV2" i="60"/>
  <c r="KV3" i="60" s="1"/>
  <c r="KW2" i="60"/>
  <c r="KW3" i="60" s="1"/>
  <c r="KX2" i="60"/>
  <c r="KX3" i="60" s="1"/>
  <c r="KY2" i="60"/>
  <c r="KY3" i="60" s="1"/>
  <c r="KZ2" i="60"/>
  <c r="KZ3" i="60" s="1"/>
  <c r="LA2" i="60"/>
  <c r="LA3" i="60" s="1"/>
  <c r="LB2" i="60"/>
  <c r="LB3" i="60" s="1"/>
  <c r="LC2" i="60"/>
  <c r="LC3" i="60" s="1"/>
  <c r="LD2" i="60"/>
  <c r="LD3" i="60" s="1"/>
  <c r="LE2" i="60"/>
  <c r="LE3" i="60" s="1"/>
  <c r="LF2" i="60"/>
  <c r="LF3" i="60" s="1"/>
  <c r="LG2" i="60"/>
  <c r="LG3" i="60" s="1"/>
  <c r="LH2" i="60"/>
  <c r="LH3" i="60" s="1"/>
  <c r="LI2" i="60"/>
  <c r="LI3" i="60" s="1"/>
  <c r="LJ2" i="60"/>
  <c r="LJ3" i="60" s="1"/>
  <c r="LK2" i="60"/>
  <c r="LK3" i="60" s="1"/>
  <c r="LL2" i="60"/>
  <c r="LL3" i="60" s="1"/>
  <c r="LM2" i="60"/>
  <c r="LM3" i="60" s="1"/>
  <c r="LN2" i="60"/>
  <c r="LN3" i="60" s="1"/>
  <c r="LO2" i="60"/>
  <c r="LO3" i="60" s="1"/>
  <c r="LP2" i="60"/>
  <c r="LP3" i="60" s="1"/>
  <c r="LQ2" i="60"/>
  <c r="LQ3" i="60" s="1"/>
  <c r="LR2" i="60"/>
  <c r="LR3" i="60" s="1"/>
  <c r="LS2" i="60"/>
  <c r="LS3" i="60" s="1"/>
  <c r="LT2" i="60"/>
  <c r="LT3" i="60" s="1"/>
  <c r="LU2" i="60"/>
  <c r="LU3" i="60" s="1"/>
  <c r="LV2" i="60"/>
  <c r="LV3" i="60" s="1"/>
  <c r="LW2" i="60"/>
  <c r="LW3" i="60" s="1"/>
  <c r="LX2" i="60"/>
  <c r="LX3" i="60" s="1"/>
  <c r="LY2" i="60"/>
  <c r="LY3" i="60" s="1"/>
  <c r="LZ2" i="60"/>
  <c r="LZ3" i="60" s="1"/>
  <c r="MA2" i="60"/>
  <c r="MA3" i="60" s="1"/>
  <c r="MB2" i="60"/>
  <c r="MB3" i="60" s="1"/>
  <c r="MC2" i="60"/>
  <c r="MC3" i="60" s="1"/>
  <c r="MD2" i="60"/>
  <c r="MD3" i="60" s="1"/>
  <c r="ME2" i="60"/>
  <c r="ME3" i="60" s="1"/>
  <c r="MF2" i="60"/>
  <c r="MF3" i="60" s="1"/>
  <c r="MG2" i="60"/>
  <c r="MG3" i="60" s="1"/>
  <c r="MH2" i="60"/>
  <c r="MH3" i="60" s="1"/>
  <c r="MI2" i="60"/>
  <c r="MI3" i="60" s="1"/>
  <c r="MJ2" i="60"/>
  <c r="MJ3" i="60" s="1"/>
  <c r="MK2" i="60"/>
  <c r="MK3" i="60" s="1"/>
  <c r="ML2" i="60"/>
  <c r="ML3" i="60" s="1"/>
  <c r="MM2" i="60"/>
  <c r="MM3" i="60" s="1"/>
  <c r="MN2" i="60"/>
  <c r="MN3" i="60" s="1"/>
  <c r="MO2" i="60"/>
  <c r="MO3" i="60" s="1"/>
  <c r="MP2" i="60"/>
  <c r="MP3" i="60" s="1"/>
  <c r="MQ2" i="60"/>
  <c r="MQ3" i="60" s="1"/>
  <c r="MR2" i="60"/>
  <c r="MR3" i="60" s="1"/>
  <c r="MS2" i="60"/>
  <c r="MS3" i="60" s="1"/>
  <c r="MT2" i="60"/>
  <c r="MT3" i="60" s="1"/>
  <c r="MU2" i="60"/>
  <c r="MU3" i="60" s="1"/>
  <c r="MV2" i="60"/>
  <c r="MV3" i="60" s="1"/>
  <c r="MW2" i="60"/>
  <c r="MW3" i="60" s="1"/>
  <c r="MX2" i="60"/>
  <c r="MX3" i="60" s="1"/>
  <c r="MY2" i="60"/>
  <c r="MY3" i="60" s="1"/>
  <c r="MZ2" i="60"/>
  <c r="MZ3" i="60" s="1"/>
  <c r="NA2" i="60"/>
  <c r="NA3" i="60" s="1"/>
  <c r="NB2" i="60"/>
  <c r="NB3" i="60" s="1"/>
  <c r="NC2" i="60"/>
  <c r="NC3" i="60" s="1"/>
  <c r="ND2" i="60"/>
  <c r="ND3" i="60" s="1"/>
  <c r="NE2" i="60"/>
  <c r="NE3" i="60" s="1"/>
  <c r="NF2" i="60"/>
  <c r="NF3" i="60" s="1"/>
  <c r="NG2" i="60"/>
  <c r="NG3" i="60" s="1"/>
  <c r="NH2" i="60"/>
  <c r="NH3" i="60" s="1"/>
  <c r="NI2" i="60"/>
  <c r="NI3" i="60" s="1"/>
  <c r="NJ2" i="60"/>
  <c r="NJ3" i="60" s="1"/>
  <c r="NK2" i="60"/>
  <c r="NK3" i="60" s="1"/>
  <c r="NL2" i="60"/>
  <c r="NL3" i="60" s="1"/>
  <c r="NM2" i="60"/>
  <c r="NM3" i="60" s="1"/>
  <c r="NN2" i="60"/>
  <c r="NN3" i="60" s="1"/>
  <c r="NO2" i="60"/>
  <c r="NO3" i="60" s="1"/>
  <c r="NP2" i="60"/>
  <c r="NP3" i="60" s="1"/>
  <c r="NQ2" i="60"/>
  <c r="NQ3" i="60" s="1"/>
  <c r="NR2" i="60"/>
  <c r="NR3" i="60" s="1"/>
  <c r="NS2" i="60"/>
  <c r="NS3" i="60" s="1"/>
  <c r="NT2" i="60"/>
  <c r="NT3" i="60" s="1"/>
  <c r="NU2" i="60"/>
  <c r="NU3" i="60" s="1"/>
  <c r="NV2" i="60"/>
  <c r="NV3" i="60" s="1"/>
  <c r="NW2" i="60"/>
  <c r="NW3" i="60" s="1"/>
  <c r="NX2" i="60"/>
  <c r="NX3" i="60" s="1"/>
  <c r="NY2" i="60"/>
  <c r="NY3" i="60" s="1"/>
  <c r="NZ2" i="60"/>
  <c r="NZ3" i="60" s="1"/>
  <c r="OA2" i="60"/>
  <c r="OA3" i="60" s="1"/>
  <c r="OB2" i="60"/>
  <c r="OB3" i="60" s="1"/>
  <c r="OC2" i="60"/>
  <c r="OC3" i="60" s="1"/>
  <c r="OD2" i="60"/>
  <c r="OD3" i="60" s="1"/>
  <c r="OE2" i="60"/>
  <c r="OE3" i="60" s="1"/>
  <c r="OF2" i="60"/>
  <c r="OF3" i="60" s="1"/>
  <c r="OG2" i="60"/>
  <c r="OG3" i="60" s="1"/>
  <c r="D2" i="60"/>
  <c r="D3" i="60" s="1"/>
  <c r="E2" i="60"/>
  <c r="E3" i="60" s="1"/>
  <c r="F2" i="60"/>
  <c r="F3" i="60" s="1"/>
  <c r="G2" i="60"/>
  <c r="G3" i="60" s="1"/>
  <c r="H2" i="60"/>
  <c r="H3" i="60" s="1"/>
  <c r="I2" i="60"/>
  <c r="I3" i="60" s="1"/>
  <c r="J2" i="60"/>
  <c r="J3" i="60" s="1"/>
  <c r="K2" i="60"/>
  <c r="K3" i="60" s="1"/>
  <c r="L2" i="60"/>
  <c r="L3" i="60" s="1"/>
  <c r="M2" i="60"/>
  <c r="M3" i="60" s="1"/>
  <c r="N2" i="60"/>
  <c r="N3" i="60" s="1"/>
  <c r="O2" i="60"/>
  <c r="O3" i="60" s="1"/>
  <c r="P2" i="60"/>
  <c r="P3" i="60" s="1"/>
  <c r="Q2" i="60"/>
  <c r="Q3" i="60" s="1"/>
  <c r="R2" i="60"/>
  <c r="R3" i="60" s="1"/>
  <c r="S2" i="60"/>
  <c r="S3" i="60" s="1"/>
  <c r="T2" i="60"/>
  <c r="T3" i="60" s="1"/>
  <c r="U2" i="60"/>
  <c r="U3" i="60" s="1"/>
  <c r="V2" i="60"/>
  <c r="V3" i="60" s="1"/>
  <c r="W2" i="60"/>
  <c r="W3" i="60" s="1"/>
  <c r="X2" i="60"/>
  <c r="X3" i="60" s="1"/>
  <c r="Y2" i="60"/>
  <c r="Y3" i="60" s="1"/>
  <c r="Z2" i="60"/>
  <c r="Z3" i="60" s="1"/>
  <c r="AA2" i="60"/>
  <c r="AA3" i="60" s="1"/>
  <c r="AB2" i="60"/>
  <c r="AB3" i="60" s="1"/>
  <c r="AC2" i="60"/>
  <c r="AC3" i="60" s="1"/>
  <c r="AD2" i="60"/>
  <c r="AD3" i="60" s="1"/>
  <c r="AE2" i="60"/>
  <c r="AE3" i="60" s="1"/>
  <c r="AF2" i="60"/>
  <c r="AF3" i="60" s="1"/>
  <c r="AG2" i="60"/>
  <c r="AG3" i="60" s="1"/>
  <c r="AH2" i="60"/>
  <c r="AH3" i="60" s="1"/>
  <c r="AI2" i="60"/>
  <c r="AI3" i="60" s="1"/>
  <c r="AJ2" i="60"/>
  <c r="AJ3" i="60" s="1"/>
  <c r="AK2" i="60"/>
  <c r="AK3" i="60" s="1"/>
  <c r="AL2" i="60"/>
  <c r="AL3" i="60" s="1"/>
  <c r="AM2" i="60"/>
  <c r="AM3" i="60" s="1"/>
  <c r="AN2" i="60"/>
  <c r="AN3" i="60" s="1"/>
  <c r="AO2" i="60"/>
  <c r="AO3" i="60" s="1"/>
  <c r="AP2" i="60"/>
  <c r="AP3" i="60" s="1"/>
  <c r="AQ2" i="60"/>
  <c r="AQ3" i="60" s="1"/>
  <c r="AR2" i="60"/>
  <c r="AR3" i="60" s="1"/>
  <c r="AS2" i="60"/>
  <c r="AS3" i="60" s="1"/>
  <c r="AT2" i="60"/>
  <c r="AT3" i="60" s="1"/>
  <c r="AU2" i="60"/>
  <c r="AU3" i="60" s="1"/>
  <c r="AV2" i="60"/>
  <c r="AV3" i="60" s="1"/>
  <c r="AW2" i="60"/>
  <c r="AW3" i="60" s="1"/>
  <c r="AX2" i="60"/>
  <c r="AX3" i="60" s="1"/>
  <c r="AY2" i="60"/>
  <c r="AY3" i="60" s="1"/>
  <c r="AZ2" i="60"/>
  <c r="AZ3" i="60" s="1"/>
  <c r="BA2" i="60"/>
  <c r="BA3" i="60" s="1"/>
  <c r="BB2" i="60"/>
  <c r="BB3" i="60" s="1"/>
  <c r="BC2" i="60"/>
  <c r="BC3" i="60" s="1"/>
  <c r="BD2" i="60"/>
  <c r="BD3" i="60" s="1"/>
  <c r="BE2" i="60"/>
  <c r="BE3" i="60" s="1"/>
  <c r="BF2" i="60"/>
  <c r="BF3" i="60" s="1"/>
  <c r="BG2" i="60"/>
  <c r="BG3" i="60" s="1"/>
  <c r="BH2" i="60"/>
  <c r="BH3" i="60" s="1"/>
  <c r="BI2" i="60"/>
  <c r="BI3" i="60" s="1"/>
  <c r="BJ2" i="60"/>
  <c r="BJ3" i="60" s="1"/>
  <c r="BK2" i="60"/>
  <c r="BK3" i="60" s="1"/>
  <c r="BL2" i="60"/>
  <c r="BL3" i="60" s="1"/>
  <c r="BM2" i="60"/>
  <c r="BM3" i="60" s="1"/>
  <c r="BN2" i="60"/>
  <c r="BN3" i="60" s="1"/>
  <c r="BO2" i="60"/>
  <c r="BO3" i="60" s="1"/>
  <c r="BP2" i="60"/>
  <c r="BP3" i="60" s="1"/>
  <c r="BQ2" i="60"/>
  <c r="BQ3" i="60" s="1"/>
  <c r="BR2" i="60"/>
  <c r="BR3" i="60" s="1"/>
  <c r="BS2" i="60"/>
  <c r="BS3" i="60" s="1"/>
  <c r="BT2" i="60"/>
  <c r="BT3" i="60" s="1"/>
  <c r="BU2" i="60"/>
  <c r="BU3" i="60" s="1"/>
  <c r="BV2" i="60"/>
  <c r="BV3" i="60" s="1"/>
  <c r="BW2" i="60"/>
  <c r="BW3" i="60" s="1"/>
  <c r="BX2" i="60"/>
  <c r="BX3" i="60" s="1"/>
  <c r="BY2" i="60"/>
  <c r="BY3" i="60" s="1"/>
  <c r="BZ2" i="60"/>
  <c r="BZ3" i="60" s="1"/>
  <c r="CA2" i="60"/>
  <c r="CA3" i="60" s="1"/>
  <c r="CB2" i="60"/>
  <c r="CB3" i="60" s="1"/>
  <c r="CC2" i="60"/>
  <c r="CC3" i="60" s="1"/>
  <c r="CD2" i="60"/>
  <c r="CD3" i="60" s="1"/>
  <c r="CE2" i="60"/>
  <c r="CE3" i="60" s="1"/>
  <c r="CF2" i="60"/>
  <c r="CF3" i="60" s="1"/>
  <c r="CG2" i="60"/>
  <c r="CG3" i="60" s="1"/>
  <c r="CH2" i="60"/>
  <c r="CH3" i="60" s="1"/>
  <c r="CI2" i="60"/>
  <c r="CI3" i="60" s="1"/>
  <c r="CJ2" i="60"/>
  <c r="CJ3" i="60" s="1"/>
  <c r="CK2" i="60"/>
  <c r="CK3" i="60" s="1"/>
  <c r="CL2" i="60"/>
  <c r="CL3" i="60" s="1"/>
  <c r="CM2" i="60"/>
  <c r="CM3" i="60" s="1"/>
  <c r="CN2" i="60"/>
  <c r="CN3" i="60" s="1"/>
  <c r="CO2" i="60"/>
  <c r="CO3" i="60" s="1"/>
  <c r="CP2" i="60"/>
  <c r="CP3" i="60" s="1"/>
  <c r="CQ2" i="60"/>
  <c r="CQ3" i="60" s="1"/>
  <c r="CR2" i="60"/>
  <c r="CR3" i="60" s="1"/>
  <c r="CS2" i="60"/>
  <c r="CS3" i="60" s="1"/>
  <c r="CT2" i="60"/>
  <c r="CT3" i="60" s="1"/>
  <c r="CU2" i="60"/>
  <c r="CU3" i="60" s="1"/>
  <c r="CV2" i="60"/>
  <c r="CV3" i="60" s="1"/>
  <c r="CW2" i="60"/>
  <c r="CW3" i="60" s="1"/>
  <c r="CX2" i="60"/>
  <c r="CX3" i="60" s="1"/>
  <c r="CY2" i="60"/>
  <c r="CY3" i="60" s="1"/>
  <c r="CZ2" i="60"/>
  <c r="CZ3" i="60" s="1"/>
  <c r="DA2" i="60"/>
  <c r="DA3" i="60" s="1"/>
  <c r="DB2" i="60"/>
  <c r="DB3" i="60" s="1"/>
  <c r="DC2" i="60"/>
  <c r="DC3" i="60" s="1"/>
  <c r="DD2" i="60"/>
  <c r="DD3" i="60" s="1"/>
  <c r="DE2" i="60"/>
  <c r="DE3" i="60" s="1"/>
  <c r="DF2" i="60"/>
  <c r="DF3" i="60" s="1"/>
  <c r="DG2" i="60"/>
  <c r="DG3" i="60" s="1"/>
  <c r="DH2" i="60"/>
  <c r="DH3" i="60" s="1"/>
  <c r="DI2" i="60"/>
  <c r="DI3" i="60" s="1"/>
  <c r="DJ2" i="60"/>
  <c r="DJ3" i="60" s="1"/>
  <c r="DK2" i="60"/>
  <c r="DK3" i="60" s="1"/>
  <c r="DL2" i="60"/>
  <c r="DL3" i="60" s="1"/>
  <c r="DM2" i="60"/>
  <c r="DM3" i="60" s="1"/>
  <c r="DN2" i="60"/>
  <c r="DN3" i="60" s="1"/>
  <c r="DO2" i="60"/>
  <c r="DO3" i="60" s="1"/>
  <c r="DP2" i="60"/>
  <c r="DP3" i="60" s="1"/>
  <c r="DQ2" i="60"/>
  <c r="DQ3" i="60" s="1"/>
  <c r="DR2" i="60"/>
  <c r="DR3" i="60" s="1"/>
  <c r="DS2" i="60"/>
  <c r="DS3" i="60" s="1"/>
  <c r="DT2" i="60"/>
  <c r="DT3" i="60" s="1"/>
  <c r="DU2" i="60"/>
  <c r="DU3" i="60" s="1"/>
  <c r="DV2" i="60"/>
  <c r="DV3" i="60" s="1"/>
  <c r="DW2" i="60"/>
  <c r="DW3" i="60" s="1"/>
  <c r="DX2" i="60"/>
  <c r="DX3" i="60" s="1"/>
  <c r="DY2" i="60"/>
  <c r="DY3" i="60" s="1"/>
  <c r="DZ2" i="60"/>
  <c r="DZ3" i="60" s="1"/>
  <c r="R16" i="57"/>
  <c r="R12" i="57" s="1"/>
  <c r="C2" i="60"/>
  <c r="C3" i="60" s="1"/>
  <c r="W44" i="73" l="1"/>
  <c r="U44" i="73"/>
  <c r="T44" i="73"/>
  <c r="P45" i="73" s="1"/>
  <c r="L45" i="73"/>
  <c r="M45" i="73" s="1"/>
  <c r="K334" i="76"/>
  <c r="L334" i="76"/>
  <c r="M334" i="76"/>
  <c r="D208" i="76"/>
  <c r="E209" i="76"/>
  <c r="K207" i="76"/>
  <c r="M207" i="76"/>
  <c r="L207" i="76"/>
  <c r="M218" i="80"/>
  <c r="L218" i="80"/>
  <c r="K218" i="80"/>
  <c r="I218" i="80"/>
  <c r="G218" i="80"/>
  <c r="F219" i="80"/>
  <c r="E219" i="80"/>
  <c r="D219" i="80" s="1"/>
  <c r="H218" i="80"/>
  <c r="F335" i="76"/>
  <c r="H334" i="76"/>
  <c r="G334" i="76"/>
  <c r="E335" i="76"/>
  <c r="D335" i="76" s="1"/>
  <c r="T20" i="70"/>
  <c r="U20" i="72"/>
  <c r="S20" i="72"/>
  <c r="T20" i="72"/>
  <c r="O32" i="62"/>
  <c r="G369" i="66"/>
  <c r="G409" i="66" s="1"/>
  <c r="C422" i="66" s="1"/>
  <c r="K49" i="57"/>
  <c r="AG20" i="65"/>
  <c r="T20" i="65"/>
  <c r="T21" i="65" s="1"/>
  <c r="T22" i="65" s="1"/>
  <c r="T23" i="65" s="1"/>
  <c r="T24" i="65" s="1"/>
  <c r="T25" i="65" s="1"/>
  <c r="T26" i="65" s="1"/>
  <c r="T27" i="65" s="1"/>
  <c r="T28" i="65" s="1"/>
  <c r="T29" i="65" s="1"/>
  <c r="T30" i="65" s="1"/>
  <c r="T31" i="65" s="1"/>
  <c r="T32" i="65" s="1"/>
  <c r="T33" i="65" s="1"/>
  <c r="T34" i="65" s="1"/>
  <c r="T35" i="65" s="1"/>
  <c r="T36" i="65" s="1"/>
  <c r="T37" i="65" s="1"/>
  <c r="T38" i="65" s="1"/>
  <c r="T39" i="65" s="1"/>
  <c r="T40" i="65" s="1"/>
  <c r="T41" i="65" s="1"/>
  <c r="T42" i="65" s="1"/>
  <c r="T43" i="65" s="1"/>
  <c r="T44" i="65" s="1"/>
  <c r="T45" i="65" s="1"/>
  <c r="T46" i="65" s="1"/>
  <c r="T47" i="65" s="1"/>
  <c r="T48" i="65" s="1"/>
  <c r="T49" i="65" s="1"/>
  <c r="T50" i="65" s="1"/>
  <c r="T51" i="65" s="1"/>
  <c r="T52" i="65" s="1"/>
  <c r="T53" i="65" s="1"/>
  <c r="T54" i="65" s="1"/>
  <c r="T55" i="65" s="1"/>
  <c r="T56" i="65" s="1"/>
  <c r="T57" i="65" s="1"/>
  <c r="T58" i="65" s="1"/>
  <c r="T59" i="65" s="1"/>
  <c r="T60" i="65" s="1"/>
  <c r="T61" i="65" s="1"/>
  <c r="T62" i="65" s="1"/>
  <c r="T63" i="65" s="1"/>
  <c r="T64" i="65" s="1"/>
  <c r="T65" i="65" s="1"/>
  <c r="T66" i="65" s="1"/>
  <c r="T67" i="65" s="1"/>
  <c r="T68" i="65" s="1"/>
  <c r="T69" i="65" s="1"/>
  <c r="T70" i="65" s="1"/>
  <c r="T71" i="65" s="1"/>
  <c r="T72" i="65" s="1"/>
  <c r="T73" i="65" s="1"/>
  <c r="T74" i="65" s="1"/>
  <c r="T75" i="65" s="1"/>
  <c r="T76" i="65" s="1"/>
  <c r="T77" i="65" s="1"/>
  <c r="T78" i="65" s="1"/>
  <c r="T79" i="65" s="1"/>
  <c r="T80" i="65" s="1"/>
  <c r="T81" i="65" s="1"/>
  <c r="T82" i="65" s="1"/>
  <c r="T83" i="65" s="1"/>
  <c r="T84" i="65" s="1"/>
  <c r="T85" i="65" s="1"/>
  <c r="T86" i="65" s="1"/>
  <c r="T87" i="65" s="1"/>
  <c r="T88" i="65" s="1"/>
  <c r="T89" i="65" s="1"/>
  <c r="T90" i="65" s="1"/>
  <c r="T91" i="65" s="1"/>
  <c r="T92" i="65" s="1"/>
  <c r="T93" i="65" s="1"/>
  <c r="T94" i="65" s="1"/>
  <c r="T95" i="65" s="1"/>
  <c r="T96" i="65" s="1"/>
  <c r="T97" i="65" s="1"/>
  <c r="T98" i="65" s="1"/>
  <c r="T99" i="65" s="1"/>
  <c r="T100" i="65" s="1"/>
  <c r="T101" i="65" s="1"/>
  <c r="T102" i="65" s="1"/>
  <c r="T103" i="65" s="1"/>
  <c r="T104" i="65" s="1"/>
  <c r="T105" i="65" s="1"/>
  <c r="T106" i="65" s="1"/>
  <c r="T107" i="65" s="1"/>
  <c r="T108" i="65" s="1"/>
  <c r="K20" i="65"/>
  <c r="K21" i="65" s="1"/>
  <c r="K22" i="65" s="1"/>
  <c r="K23" i="65" s="1"/>
  <c r="K24" i="65" s="1"/>
  <c r="K25" i="65" s="1"/>
  <c r="K26" i="65" s="1"/>
  <c r="K27" i="65" s="1"/>
  <c r="K28" i="65" s="1"/>
  <c r="K29" i="65" s="1"/>
  <c r="K30" i="65" s="1"/>
  <c r="K31" i="65" s="1"/>
  <c r="K32" i="65" s="1"/>
  <c r="K33" i="65" s="1"/>
  <c r="K34" i="65" s="1"/>
  <c r="K35" i="65" s="1"/>
  <c r="K36" i="65" s="1"/>
  <c r="K37" i="65" s="1"/>
  <c r="K38" i="65" s="1"/>
  <c r="K39" i="65" s="1"/>
  <c r="K40" i="65" s="1"/>
  <c r="K41" i="65" s="1"/>
  <c r="K42" i="65" s="1"/>
  <c r="K43" i="65" s="1"/>
  <c r="K44" i="65" s="1"/>
  <c r="K45" i="65" s="1"/>
  <c r="K46" i="65" s="1"/>
  <c r="K47" i="65" s="1"/>
  <c r="K48" i="65" s="1"/>
  <c r="K49" i="65" s="1"/>
  <c r="K50" i="65" s="1"/>
  <c r="K51" i="65" s="1"/>
  <c r="K52" i="65" s="1"/>
  <c r="K53" i="65" s="1"/>
  <c r="K54" i="65" s="1"/>
  <c r="K55" i="65" s="1"/>
  <c r="K56" i="65" s="1"/>
  <c r="K57" i="65" s="1"/>
  <c r="K58" i="65" s="1"/>
  <c r="K59" i="65" s="1"/>
  <c r="K60" i="65" s="1"/>
  <c r="K61" i="65" s="1"/>
  <c r="K62" i="65" s="1"/>
  <c r="K63" i="65" s="1"/>
  <c r="K64" i="65" s="1"/>
  <c r="K65" i="65" s="1"/>
  <c r="K66" i="65" s="1"/>
  <c r="K67" i="65" s="1"/>
  <c r="K68" i="65" s="1"/>
  <c r="K69" i="65" s="1"/>
  <c r="K70" i="65" s="1"/>
  <c r="K71" i="65" s="1"/>
  <c r="K72" i="65" s="1"/>
  <c r="K73" i="65" s="1"/>
  <c r="K74" i="65" s="1"/>
  <c r="K75" i="65" s="1"/>
  <c r="K76" i="65" s="1"/>
  <c r="K77" i="65" s="1"/>
  <c r="K78" i="65" s="1"/>
  <c r="K79" i="65" s="1"/>
  <c r="K80" i="65" s="1"/>
  <c r="K81" i="65" s="1"/>
  <c r="K82" i="65" s="1"/>
  <c r="K83" i="65" s="1"/>
  <c r="K84" i="65" s="1"/>
  <c r="K85" i="65" s="1"/>
  <c r="K86" i="65" s="1"/>
  <c r="K87" i="65" s="1"/>
  <c r="K88" i="65" s="1"/>
  <c r="K89" i="65" s="1"/>
  <c r="K90" i="65" s="1"/>
  <c r="K91" i="65" s="1"/>
  <c r="K92" i="65" s="1"/>
  <c r="K93" i="65" s="1"/>
  <c r="K94" i="65" s="1"/>
  <c r="K95" i="65" s="1"/>
  <c r="K96" i="65" s="1"/>
  <c r="K97" i="65" s="1"/>
  <c r="K98" i="65" s="1"/>
  <c r="K99" i="65" s="1"/>
  <c r="K100" i="65" s="1"/>
  <c r="K101" i="65" s="1"/>
  <c r="K102" i="65" s="1"/>
  <c r="K103" i="65" s="1"/>
  <c r="K104" i="65" s="1"/>
  <c r="K105" i="65" s="1"/>
  <c r="K106" i="65" s="1"/>
  <c r="K107" i="65" s="1"/>
  <c r="K108" i="65" s="1"/>
  <c r="B21" i="65"/>
  <c r="D21" i="65" s="1"/>
  <c r="B22" i="65"/>
  <c r="D22" i="65" s="1"/>
  <c r="Y7" i="65"/>
  <c r="B23" i="65"/>
  <c r="D23" i="65" s="1"/>
  <c r="Q8" i="65"/>
  <c r="B24" i="65"/>
  <c r="D24" i="65" s="1"/>
  <c r="B25" i="65"/>
  <c r="D25" i="65" s="1"/>
  <c r="B26" i="65"/>
  <c r="D26" i="65" s="1"/>
  <c r="B27" i="65"/>
  <c r="D27" i="65" s="1"/>
  <c r="B28" i="65"/>
  <c r="D28" i="65" s="1"/>
  <c r="B29" i="65"/>
  <c r="D29" i="65" s="1"/>
  <c r="B30" i="65"/>
  <c r="D30" i="65" s="1"/>
  <c r="B31" i="65"/>
  <c r="D31" i="65" s="1"/>
  <c r="B32" i="65"/>
  <c r="D32" i="65" s="1"/>
  <c r="B33" i="65"/>
  <c r="D33" i="65" s="1"/>
  <c r="B34" i="65"/>
  <c r="D34" i="65" s="1"/>
  <c r="B35" i="65"/>
  <c r="D35" i="65" s="1"/>
  <c r="B36" i="65"/>
  <c r="D36" i="65" s="1"/>
  <c r="B37" i="65"/>
  <c r="D37" i="65" s="1"/>
  <c r="B38" i="65"/>
  <c r="D38" i="65" s="1"/>
  <c r="B39" i="65"/>
  <c r="D39" i="65" s="1"/>
  <c r="B40" i="65"/>
  <c r="D40" i="65" s="1"/>
  <c r="B41" i="65"/>
  <c r="D41" i="65" s="1"/>
  <c r="B42" i="65"/>
  <c r="D42" i="65" s="1"/>
  <c r="B43" i="65"/>
  <c r="D43" i="65" s="1"/>
  <c r="B44" i="65"/>
  <c r="D44" i="65" s="1"/>
  <c r="B45" i="65"/>
  <c r="D45" i="65" s="1"/>
  <c r="B46" i="65"/>
  <c r="D46" i="65" s="1"/>
  <c r="B47" i="65"/>
  <c r="D47" i="65" s="1"/>
  <c r="B48" i="65"/>
  <c r="D48" i="65" s="1"/>
  <c r="B49" i="65"/>
  <c r="D49" i="65" s="1"/>
  <c r="B50" i="65"/>
  <c r="D50" i="65" s="1"/>
  <c r="B51" i="65"/>
  <c r="D51" i="65" s="1"/>
  <c r="B52" i="65"/>
  <c r="D52" i="65" s="1"/>
  <c r="B53" i="65"/>
  <c r="D53" i="65" s="1"/>
  <c r="B54" i="65"/>
  <c r="D54" i="65" s="1"/>
  <c r="B55" i="65"/>
  <c r="D55" i="65" s="1"/>
  <c r="B56" i="65"/>
  <c r="D56" i="65" s="1"/>
  <c r="B57" i="65"/>
  <c r="D57" i="65" s="1"/>
  <c r="B58" i="65"/>
  <c r="D58" i="65" s="1"/>
  <c r="B59" i="65"/>
  <c r="D59" i="65" s="1"/>
  <c r="B60" i="65"/>
  <c r="D60" i="65" s="1"/>
  <c r="B61" i="65"/>
  <c r="D61" i="65" s="1"/>
  <c r="B62" i="65"/>
  <c r="D62" i="65" s="1"/>
  <c r="B63" i="65"/>
  <c r="D63" i="65" s="1"/>
  <c r="B64" i="65"/>
  <c r="D64" i="65" s="1"/>
  <c r="B65" i="65"/>
  <c r="D65" i="65" s="1"/>
  <c r="B66" i="65"/>
  <c r="D66" i="65" s="1"/>
  <c r="B67" i="65"/>
  <c r="D67" i="65" s="1"/>
  <c r="B68" i="65"/>
  <c r="D68" i="65" s="1"/>
  <c r="B69" i="65"/>
  <c r="D69" i="65" s="1"/>
  <c r="B70" i="65"/>
  <c r="D70" i="65" s="1"/>
  <c r="B71" i="65"/>
  <c r="D71" i="65" s="1"/>
  <c r="B72" i="65"/>
  <c r="D72" i="65" s="1"/>
  <c r="B73" i="65"/>
  <c r="D73" i="65" s="1"/>
  <c r="B74" i="65"/>
  <c r="D74" i="65" s="1"/>
  <c r="B75" i="65"/>
  <c r="D75" i="65" s="1"/>
  <c r="B76" i="65"/>
  <c r="D76" i="65" s="1"/>
  <c r="B77" i="65"/>
  <c r="D77" i="65" s="1"/>
  <c r="B78" i="65"/>
  <c r="D78" i="65" s="1"/>
  <c r="B79" i="65"/>
  <c r="D79" i="65" s="1"/>
  <c r="B80" i="65"/>
  <c r="D80" i="65" s="1"/>
  <c r="B81" i="65"/>
  <c r="D81" i="65" s="1"/>
  <c r="B82" i="65"/>
  <c r="D82" i="65" s="1"/>
  <c r="B83" i="65"/>
  <c r="D83" i="65" s="1"/>
  <c r="B84" i="65"/>
  <c r="D84" i="65" s="1"/>
  <c r="B85" i="65"/>
  <c r="D85" i="65" s="1"/>
  <c r="B86" i="65"/>
  <c r="D86" i="65" s="1"/>
  <c r="B87" i="65"/>
  <c r="D87" i="65" s="1"/>
  <c r="B88" i="65"/>
  <c r="D88" i="65" s="1"/>
  <c r="B89" i="65"/>
  <c r="D89" i="65" s="1"/>
  <c r="B90" i="65"/>
  <c r="D90" i="65" s="1"/>
  <c r="B91" i="65"/>
  <c r="D91" i="65" s="1"/>
  <c r="B92" i="65"/>
  <c r="D92" i="65" s="1"/>
  <c r="B93" i="65"/>
  <c r="D93" i="65" s="1"/>
  <c r="B94" i="65"/>
  <c r="D94" i="65" s="1"/>
  <c r="B95" i="65"/>
  <c r="D95" i="65" s="1"/>
  <c r="B96" i="65"/>
  <c r="D96" i="65" s="1"/>
  <c r="B97" i="65"/>
  <c r="D97" i="65" s="1"/>
  <c r="B98" i="65"/>
  <c r="D98" i="65" s="1"/>
  <c r="B99" i="65"/>
  <c r="D99" i="65" s="1"/>
  <c r="B100" i="65"/>
  <c r="D100" i="65" s="1"/>
  <c r="B101" i="65"/>
  <c r="D101" i="65" s="1"/>
  <c r="B102" i="65"/>
  <c r="D102" i="65" s="1"/>
  <c r="B103" i="65"/>
  <c r="D103" i="65" s="1"/>
  <c r="B104" i="65"/>
  <c r="D104" i="65" s="1"/>
  <c r="B105" i="65"/>
  <c r="D105" i="65" s="1"/>
  <c r="B106" i="65"/>
  <c r="D106" i="65" s="1"/>
  <c r="B107" i="65"/>
  <c r="D107" i="65" s="1"/>
  <c r="B108" i="65"/>
  <c r="D108" i="65" s="1"/>
  <c r="X7" i="64"/>
  <c r="T18" i="64" s="1"/>
  <c r="AG20" i="64"/>
  <c r="B21" i="64"/>
  <c r="D21" i="64" s="1"/>
  <c r="T20" i="64"/>
  <c r="T21" i="64" s="1"/>
  <c r="T22" i="64" s="1"/>
  <c r="T23" i="64" s="1"/>
  <c r="T24" i="64" s="1"/>
  <c r="T25" i="64" s="1"/>
  <c r="T26" i="64" s="1"/>
  <c r="T27" i="64" s="1"/>
  <c r="T28" i="64" s="1"/>
  <c r="T29" i="64" s="1"/>
  <c r="T30" i="64" s="1"/>
  <c r="T31" i="64" s="1"/>
  <c r="T32" i="64" s="1"/>
  <c r="T33" i="64" s="1"/>
  <c r="T34" i="64" s="1"/>
  <c r="T35" i="64" s="1"/>
  <c r="T36" i="64" s="1"/>
  <c r="T37" i="64" s="1"/>
  <c r="T38" i="64" s="1"/>
  <c r="T39" i="64" s="1"/>
  <c r="T40" i="64" s="1"/>
  <c r="T41" i="64" s="1"/>
  <c r="T42" i="64" s="1"/>
  <c r="T43" i="64" s="1"/>
  <c r="T44" i="64" s="1"/>
  <c r="T45" i="64" s="1"/>
  <c r="T46" i="64" s="1"/>
  <c r="T47" i="64" s="1"/>
  <c r="T48" i="64" s="1"/>
  <c r="T49" i="64" s="1"/>
  <c r="T50" i="64" s="1"/>
  <c r="T51" i="64" s="1"/>
  <c r="T52" i="64" s="1"/>
  <c r="T53" i="64" s="1"/>
  <c r="T54" i="64" s="1"/>
  <c r="T55" i="64" s="1"/>
  <c r="T56" i="64" s="1"/>
  <c r="T57" i="64" s="1"/>
  <c r="T58" i="64" s="1"/>
  <c r="T59" i="64" s="1"/>
  <c r="T60" i="64" s="1"/>
  <c r="T61" i="64" s="1"/>
  <c r="T62" i="64" s="1"/>
  <c r="T63" i="64" s="1"/>
  <c r="T64" i="64" s="1"/>
  <c r="T65" i="64" s="1"/>
  <c r="T66" i="64" s="1"/>
  <c r="T67" i="64" s="1"/>
  <c r="T68" i="64" s="1"/>
  <c r="T69" i="64" s="1"/>
  <c r="T70" i="64" s="1"/>
  <c r="T71" i="64" s="1"/>
  <c r="T72" i="64" s="1"/>
  <c r="T73" i="64" s="1"/>
  <c r="T74" i="64" s="1"/>
  <c r="T75" i="64" s="1"/>
  <c r="T76" i="64" s="1"/>
  <c r="T77" i="64" s="1"/>
  <c r="T78" i="64" s="1"/>
  <c r="T79" i="64" s="1"/>
  <c r="T80" i="64" s="1"/>
  <c r="T81" i="64" s="1"/>
  <c r="T82" i="64" s="1"/>
  <c r="T83" i="64" s="1"/>
  <c r="T84" i="64" s="1"/>
  <c r="T85" i="64" s="1"/>
  <c r="T86" i="64" s="1"/>
  <c r="T87" i="64" s="1"/>
  <c r="T88" i="64" s="1"/>
  <c r="T89" i="64" s="1"/>
  <c r="T90" i="64" s="1"/>
  <c r="T91" i="64" s="1"/>
  <c r="T92" i="64" s="1"/>
  <c r="T93" i="64" s="1"/>
  <c r="T94" i="64" s="1"/>
  <c r="T95" i="64" s="1"/>
  <c r="T96" i="64" s="1"/>
  <c r="T97" i="64" s="1"/>
  <c r="T98" i="64" s="1"/>
  <c r="T99" i="64" s="1"/>
  <c r="T100" i="64" s="1"/>
  <c r="T101" i="64" s="1"/>
  <c r="T102" i="64" s="1"/>
  <c r="T103" i="64" s="1"/>
  <c r="T104" i="64" s="1"/>
  <c r="T105" i="64" s="1"/>
  <c r="T106" i="64" s="1"/>
  <c r="T107" i="64" s="1"/>
  <c r="T108" i="64" s="1"/>
  <c r="K20" i="64"/>
  <c r="K21" i="64" s="1"/>
  <c r="K22" i="64" s="1"/>
  <c r="K23" i="64" s="1"/>
  <c r="K24" i="64" s="1"/>
  <c r="K25" i="64" s="1"/>
  <c r="K26" i="64" s="1"/>
  <c r="K27" i="64" s="1"/>
  <c r="K28" i="64" s="1"/>
  <c r="K29" i="64" s="1"/>
  <c r="K30" i="64" s="1"/>
  <c r="K31" i="64" s="1"/>
  <c r="K32" i="64" s="1"/>
  <c r="K33" i="64" s="1"/>
  <c r="K34" i="64" s="1"/>
  <c r="K35" i="64" s="1"/>
  <c r="K36" i="64" s="1"/>
  <c r="K37" i="64" s="1"/>
  <c r="K38" i="64" s="1"/>
  <c r="K39" i="64" s="1"/>
  <c r="K40" i="64" s="1"/>
  <c r="K41" i="64" s="1"/>
  <c r="K42" i="64" s="1"/>
  <c r="K43" i="64" s="1"/>
  <c r="K44" i="64" s="1"/>
  <c r="K45" i="64" s="1"/>
  <c r="K46" i="64" s="1"/>
  <c r="K47" i="64" s="1"/>
  <c r="K48" i="64" s="1"/>
  <c r="K49" i="64" s="1"/>
  <c r="K50" i="64" s="1"/>
  <c r="K51" i="64" s="1"/>
  <c r="K52" i="64" s="1"/>
  <c r="K53" i="64" s="1"/>
  <c r="K54" i="64" s="1"/>
  <c r="K55" i="64" s="1"/>
  <c r="K56" i="64" s="1"/>
  <c r="K57" i="64" s="1"/>
  <c r="K58" i="64" s="1"/>
  <c r="K59" i="64" s="1"/>
  <c r="K60" i="64" s="1"/>
  <c r="K61" i="64" s="1"/>
  <c r="K62" i="64" s="1"/>
  <c r="K63" i="64" s="1"/>
  <c r="K64" i="64" s="1"/>
  <c r="K65" i="64" s="1"/>
  <c r="K66" i="64" s="1"/>
  <c r="K67" i="64" s="1"/>
  <c r="K68" i="64" s="1"/>
  <c r="K69" i="64" s="1"/>
  <c r="K70" i="64" s="1"/>
  <c r="K71" i="64" s="1"/>
  <c r="K72" i="64" s="1"/>
  <c r="K73" i="64" s="1"/>
  <c r="K74" i="64" s="1"/>
  <c r="K75" i="64" s="1"/>
  <c r="K76" i="64" s="1"/>
  <c r="K77" i="64" s="1"/>
  <c r="K78" i="64" s="1"/>
  <c r="K79" i="64" s="1"/>
  <c r="K80" i="64" s="1"/>
  <c r="K81" i="64" s="1"/>
  <c r="K82" i="64" s="1"/>
  <c r="K83" i="64" s="1"/>
  <c r="K84" i="64" s="1"/>
  <c r="K85" i="64" s="1"/>
  <c r="K86" i="64" s="1"/>
  <c r="K87" i="64" s="1"/>
  <c r="K88" i="64" s="1"/>
  <c r="K89" i="64" s="1"/>
  <c r="K90" i="64" s="1"/>
  <c r="K91" i="64" s="1"/>
  <c r="K92" i="64" s="1"/>
  <c r="K93" i="64" s="1"/>
  <c r="K94" i="64" s="1"/>
  <c r="K95" i="64" s="1"/>
  <c r="K96" i="64" s="1"/>
  <c r="K97" i="64" s="1"/>
  <c r="K98" i="64" s="1"/>
  <c r="K99" i="64" s="1"/>
  <c r="K100" i="64" s="1"/>
  <c r="K101" i="64" s="1"/>
  <c r="K102" i="64" s="1"/>
  <c r="K103" i="64" s="1"/>
  <c r="K104" i="64" s="1"/>
  <c r="K105" i="64" s="1"/>
  <c r="K106" i="64" s="1"/>
  <c r="K107" i="64" s="1"/>
  <c r="K108" i="64" s="1"/>
  <c r="O8" i="64"/>
  <c r="Q8" i="64" s="1"/>
  <c r="F20" i="64"/>
  <c r="G20" i="64" s="1"/>
  <c r="Z16" i="57" a="1"/>
  <c r="Z16" i="57" s="1"/>
  <c r="X44" i="73" l="1"/>
  <c r="N45" i="73"/>
  <c r="O45" i="73" s="1"/>
  <c r="Q45" i="73" s="1"/>
  <c r="R45" i="73" s="1"/>
  <c r="L46" i="73" s="1"/>
  <c r="N46" i="73" s="1"/>
  <c r="D209" i="76"/>
  <c r="E210" i="76"/>
  <c r="K335" i="76"/>
  <c r="M335" i="76"/>
  <c r="L335" i="76"/>
  <c r="K208" i="76"/>
  <c r="M208" i="76"/>
  <c r="L208" i="76"/>
  <c r="I219" i="80"/>
  <c r="F220" i="80"/>
  <c r="H219" i="80"/>
  <c r="E220" i="80"/>
  <c r="D220" i="80" s="1"/>
  <c r="G219" i="80"/>
  <c r="L219" i="80"/>
  <c r="K219" i="80"/>
  <c r="M219" i="80"/>
  <c r="F336" i="76"/>
  <c r="H335" i="76"/>
  <c r="G335" i="76"/>
  <c r="E336" i="76"/>
  <c r="D336" i="76" s="1"/>
  <c r="V20" i="72"/>
  <c r="W20" i="72" s="1"/>
  <c r="S15" i="72" s="1"/>
  <c r="O21" i="72"/>
  <c r="E21" i="64"/>
  <c r="C106" i="65"/>
  <c r="E106" i="65"/>
  <c r="F106" i="65" s="1"/>
  <c r="C90" i="65"/>
  <c r="E90" i="65"/>
  <c r="F90" i="65" s="1"/>
  <c r="C58" i="65"/>
  <c r="E58" i="65"/>
  <c r="F58" i="65" s="1"/>
  <c r="C50" i="65"/>
  <c r="E50" i="65"/>
  <c r="F50" i="65" s="1"/>
  <c r="C23" i="65"/>
  <c r="E23" i="65"/>
  <c r="F23" i="65" s="1"/>
  <c r="C91" i="65"/>
  <c r="E91" i="65"/>
  <c r="F91" i="65" s="1"/>
  <c r="C47" i="65"/>
  <c r="E47" i="65"/>
  <c r="F47" i="65" s="1"/>
  <c r="C66" i="65"/>
  <c r="E66" i="65"/>
  <c r="F66" i="65" s="1"/>
  <c r="C38" i="65"/>
  <c r="E38" i="65"/>
  <c r="F38" i="65" s="1"/>
  <c r="C27" i="65"/>
  <c r="E27" i="65"/>
  <c r="F27" i="65" s="1"/>
  <c r="C105" i="65"/>
  <c r="E105" i="65"/>
  <c r="F105" i="65" s="1"/>
  <c r="C97" i="65"/>
  <c r="E97" i="65"/>
  <c r="F97" i="65" s="1"/>
  <c r="C93" i="65"/>
  <c r="E93" i="65"/>
  <c r="F93" i="65" s="1"/>
  <c r="C81" i="65"/>
  <c r="E81" i="65"/>
  <c r="F81" i="65" s="1"/>
  <c r="C73" i="65"/>
  <c r="E73" i="65"/>
  <c r="F73" i="65" s="1"/>
  <c r="C37" i="65"/>
  <c r="E37" i="65"/>
  <c r="F37" i="65" s="1"/>
  <c r="C31" i="65"/>
  <c r="E31" i="65"/>
  <c r="F31" i="65" s="1"/>
  <c r="C22" i="65"/>
  <c r="E22" i="65"/>
  <c r="F22" i="65" s="1"/>
  <c r="C101" i="65"/>
  <c r="E101" i="65"/>
  <c r="F101" i="65" s="1"/>
  <c r="C89" i="65"/>
  <c r="E89" i="65"/>
  <c r="F89" i="65" s="1"/>
  <c r="C85" i="65"/>
  <c r="E85" i="65"/>
  <c r="F85" i="65" s="1"/>
  <c r="C77" i="65"/>
  <c r="E77" i="65"/>
  <c r="F77" i="65" s="1"/>
  <c r="C69" i="65"/>
  <c r="E69" i="65"/>
  <c r="F69" i="65" s="1"/>
  <c r="C65" i="65"/>
  <c r="E65" i="65"/>
  <c r="F65" i="65" s="1"/>
  <c r="C61" i="65"/>
  <c r="E61" i="65"/>
  <c r="F61" i="65" s="1"/>
  <c r="C57" i="65"/>
  <c r="E57" i="65"/>
  <c r="F57" i="65" s="1"/>
  <c r="C53" i="65"/>
  <c r="E53" i="65"/>
  <c r="F53" i="65" s="1"/>
  <c r="C49" i="65"/>
  <c r="E49" i="65"/>
  <c r="F49" i="65" s="1"/>
  <c r="C45" i="65"/>
  <c r="E45" i="65"/>
  <c r="F45" i="65" s="1"/>
  <c r="C41" i="65"/>
  <c r="E41" i="65"/>
  <c r="F41" i="65" s="1"/>
  <c r="C26" i="65"/>
  <c r="E26" i="65"/>
  <c r="F26" i="65" s="1"/>
  <c r="C21" i="65"/>
  <c r="E21" i="65"/>
  <c r="B109" i="65"/>
  <c r="D13" i="65" s="1"/>
  <c r="C107" i="65"/>
  <c r="E107" i="65"/>
  <c r="F107" i="65" s="1"/>
  <c r="C55" i="65"/>
  <c r="E55" i="65"/>
  <c r="F55" i="65" s="1"/>
  <c r="C28" i="65"/>
  <c r="E28" i="65"/>
  <c r="F28" i="65" s="1"/>
  <c r="C102" i="65"/>
  <c r="E102" i="65"/>
  <c r="F102" i="65" s="1"/>
  <c r="C94" i="65"/>
  <c r="E94" i="65"/>
  <c r="F94" i="65" s="1"/>
  <c r="C78" i="65"/>
  <c r="E78" i="65"/>
  <c r="F78" i="65" s="1"/>
  <c r="C70" i="65"/>
  <c r="E70" i="65"/>
  <c r="F70" i="65" s="1"/>
  <c r="C46" i="65"/>
  <c r="E46" i="65"/>
  <c r="F46" i="65" s="1"/>
  <c r="C34" i="65"/>
  <c r="E34" i="65"/>
  <c r="F34" i="65" s="1"/>
  <c r="C108" i="65"/>
  <c r="E108" i="65"/>
  <c r="F108" i="65" s="1"/>
  <c r="C104" i="65"/>
  <c r="E104" i="65"/>
  <c r="F104" i="65" s="1"/>
  <c r="C84" i="65"/>
  <c r="E84" i="65"/>
  <c r="F84" i="65" s="1"/>
  <c r="C80" i="65"/>
  <c r="E80" i="65"/>
  <c r="F80" i="65" s="1"/>
  <c r="C76" i="65"/>
  <c r="E76" i="65"/>
  <c r="F76" i="65" s="1"/>
  <c r="C72" i="65"/>
  <c r="E72" i="65"/>
  <c r="F72" i="65" s="1"/>
  <c r="C68" i="65"/>
  <c r="E68" i="65"/>
  <c r="F68" i="65" s="1"/>
  <c r="C64" i="65"/>
  <c r="E64" i="65"/>
  <c r="F64" i="65" s="1"/>
  <c r="C33" i="65"/>
  <c r="E33" i="65"/>
  <c r="F33" i="65" s="1"/>
  <c r="C30" i="65"/>
  <c r="E30" i="65"/>
  <c r="F30" i="65" s="1"/>
  <c r="C25" i="65"/>
  <c r="E25" i="65"/>
  <c r="F25" i="65" s="1"/>
  <c r="C99" i="65"/>
  <c r="E99" i="65"/>
  <c r="F99" i="65" s="1"/>
  <c r="C87" i="65"/>
  <c r="E87" i="65"/>
  <c r="F87" i="65" s="1"/>
  <c r="C98" i="65"/>
  <c r="E98" i="65"/>
  <c r="F98" i="65" s="1"/>
  <c r="C82" i="65"/>
  <c r="E82" i="65"/>
  <c r="F82" i="65" s="1"/>
  <c r="C74" i="65"/>
  <c r="E74" i="65"/>
  <c r="F74" i="65" s="1"/>
  <c r="C62" i="65"/>
  <c r="E62" i="65"/>
  <c r="F62" i="65" s="1"/>
  <c r="C42" i="65"/>
  <c r="E42" i="65"/>
  <c r="F42" i="65" s="1"/>
  <c r="C100" i="65"/>
  <c r="E100" i="65"/>
  <c r="F100" i="65" s="1"/>
  <c r="C92" i="65"/>
  <c r="E92" i="65"/>
  <c r="F92" i="65" s="1"/>
  <c r="C60" i="65"/>
  <c r="E60" i="65"/>
  <c r="F60" i="65" s="1"/>
  <c r="C56" i="65"/>
  <c r="E56" i="65"/>
  <c r="F56" i="65" s="1"/>
  <c r="C52" i="65"/>
  <c r="E52" i="65"/>
  <c r="F52" i="65" s="1"/>
  <c r="C48" i="65"/>
  <c r="E48" i="65"/>
  <c r="F48" i="65" s="1"/>
  <c r="C44" i="65"/>
  <c r="E44" i="65"/>
  <c r="F44" i="65" s="1"/>
  <c r="C40" i="65"/>
  <c r="E40" i="65"/>
  <c r="F40" i="65" s="1"/>
  <c r="C36" i="65"/>
  <c r="E36" i="65"/>
  <c r="F36" i="65" s="1"/>
  <c r="C29" i="65"/>
  <c r="E29" i="65"/>
  <c r="F29" i="65" s="1"/>
  <c r="C67" i="65"/>
  <c r="E67" i="65"/>
  <c r="F67" i="65" s="1"/>
  <c r="C39" i="65"/>
  <c r="E39" i="65"/>
  <c r="F39" i="65" s="1"/>
  <c r="C32" i="65"/>
  <c r="E32" i="65"/>
  <c r="F32" i="65" s="1"/>
  <c r="C86" i="65"/>
  <c r="E86" i="65"/>
  <c r="F86" i="65" s="1"/>
  <c r="C54" i="65"/>
  <c r="E54" i="65"/>
  <c r="F54" i="65" s="1"/>
  <c r="C96" i="65"/>
  <c r="E96" i="65"/>
  <c r="F96" i="65" s="1"/>
  <c r="C88" i="65"/>
  <c r="E88" i="65"/>
  <c r="F88" i="65" s="1"/>
  <c r="C103" i="65"/>
  <c r="E103" i="65"/>
  <c r="F103" i="65" s="1"/>
  <c r="C95" i="65"/>
  <c r="E95" i="65"/>
  <c r="F95" i="65" s="1"/>
  <c r="C83" i="65"/>
  <c r="E83" i="65"/>
  <c r="F83" i="65" s="1"/>
  <c r="C79" i="65"/>
  <c r="E79" i="65"/>
  <c r="F79" i="65" s="1"/>
  <c r="C75" i="65"/>
  <c r="E75" i="65"/>
  <c r="F75" i="65" s="1"/>
  <c r="C71" i="65"/>
  <c r="E71" i="65"/>
  <c r="F71" i="65" s="1"/>
  <c r="C63" i="65"/>
  <c r="E63" i="65"/>
  <c r="F63" i="65" s="1"/>
  <c r="C59" i="65"/>
  <c r="E59" i="65"/>
  <c r="F59" i="65" s="1"/>
  <c r="C51" i="65"/>
  <c r="E51" i="65"/>
  <c r="F51" i="65" s="1"/>
  <c r="C43" i="65"/>
  <c r="E43" i="65"/>
  <c r="F43" i="65" s="1"/>
  <c r="C35" i="65"/>
  <c r="E35" i="65"/>
  <c r="F35" i="65" s="1"/>
  <c r="C24" i="65"/>
  <c r="E24" i="65"/>
  <c r="F24" i="65" s="1"/>
  <c r="AT20" i="65"/>
  <c r="AG21" i="65"/>
  <c r="AG22" i="65" s="1"/>
  <c r="AG23" i="65" s="1"/>
  <c r="AG24" i="65" s="1"/>
  <c r="AG25" i="65" s="1"/>
  <c r="AG26" i="65" s="1"/>
  <c r="AG27" i="65" s="1"/>
  <c r="AG28" i="65" s="1"/>
  <c r="AG29" i="65" s="1"/>
  <c r="AG30" i="65" s="1"/>
  <c r="AG31" i="65" s="1"/>
  <c r="AG32" i="65" s="1"/>
  <c r="AG33" i="65" s="1"/>
  <c r="AG34" i="65" s="1"/>
  <c r="AG35" i="65" s="1"/>
  <c r="AG36" i="65" s="1"/>
  <c r="AG37" i="65" s="1"/>
  <c r="AG38" i="65" s="1"/>
  <c r="AG39" i="65" s="1"/>
  <c r="AG40" i="65" s="1"/>
  <c r="AG41" i="65" s="1"/>
  <c r="AG42" i="65" s="1"/>
  <c r="AG43" i="65" s="1"/>
  <c r="AG44" i="65" s="1"/>
  <c r="AG45" i="65" s="1"/>
  <c r="AG46" i="65" s="1"/>
  <c r="AG47" i="65" s="1"/>
  <c r="AG48" i="65" s="1"/>
  <c r="AG49" i="65" s="1"/>
  <c r="AG50" i="65" s="1"/>
  <c r="AG51" i="65" s="1"/>
  <c r="AG52" i="65" s="1"/>
  <c r="AG53" i="65" s="1"/>
  <c r="AG54" i="65" s="1"/>
  <c r="AG55" i="65" s="1"/>
  <c r="AG56" i="65" s="1"/>
  <c r="AG57" i="65" s="1"/>
  <c r="AG58" i="65" s="1"/>
  <c r="AG59" i="65" s="1"/>
  <c r="AG60" i="65" s="1"/>
  <c r="AG61" i="65" s="1"/>
  <c r="AG62" i="65" s="1"/>
  <c r="AG63" i="65" s="1"/>
  <c r="AG64" i="65" s="1"/>
  <c r="AG65" i="65" s="1"/>
  <c r="AG66" i="65" s="1"/>
  <c r="AG67" i="65" s="1"/>
  <c r="AG68" i="65" s="1"/>
  <c r="AG69" i="65" s="1"/>
  <c r="AG70" i="65" s="1"/>
  <c r="AG71" i="65" s="1"/>
  <c r="AG72" i="65" s="1"/>
  <c r="AG73" i="65" s="1"/>
  <c r="AG74" i="65" s="1"/>
  <c r="AG75" i="65" s="1"/>
  <c r="AG76" i="65" s="1"/>
  <c r="AG77" i="65" s="1"/>
  <c r="AG78" i="65" s="1"/>
  <c r="AG79" i="65" s="1"/>
  <c r="AG80" i="65" s="1"/>
  <c r="AG81" i="65" s="1"/>
  <c r="AG82" i="65" s="1"/>
  <c r="AG83" i="65" s="1"/>
  <c r="AG84" i="65" s="1"/>
  <c r="AG85" i="65" s="1"/>
  <c r="AG86" i="65" s="1"/>
  <c r="AG87" i="65" s="1"/>
  <c r="AG88" i="65" s="1"/>
  <c r="AG89" i="65" s="1"/>
  <c r="AG90" i="65" s="1"/>
  <c r="AG91" i="65" s="1"/>
  <c r="AG92" i="65" s="1"/>
  <c r="AG93" i="65" s="1"/>
  <c r="AG94" i="65" s="1"/>
  <c r="AG95" i="65" s="1"/>
  <c r="AG96" i="65" s="1"/>
  <c r="AG97" i="65" s="1"/>
  <c r="AG98" i="65" s="1"/>
  <c r="AG99" i="65" s="1"/>
  <c r="AG100" i="65" s="1"/>
  <c r="AG101" i="65" s="1"/>
  <c r="AG102" i="65" s="1"/>
  <c r="AG103" i="65" s="1"/>
  <c r="AG104" i="65" s="1"/>
  <c r="AG105" i="65" s="1"/>
  <c r="AG106" i="65" s="1"/>
  <c r="AG107" i="65" s="1"/>
  <c r="AG108" i="65" s="1"/>
  <c r="Y7" i="64"/>
  <c r="AT20" i="64"/>
  <c r="AT21" i="64" s="1"/>
  <c r="AT22" i="64" s="1"/>
  <c r="AT23" i="64" s="1"/>
  <c r="AT24" i="64" s="1"/>
  <c r="AT25" i="64" s="1"/>
  <c r="AT26" i="64" s="1"/>
  <c r="AT27" i="64" s="1"/>
  <c r="AT28" i="64" s="1"/>
  <c r="AT29" i="64" s="1"/>
  <c r="AT30" i="64" s="1"/>
  <c r="AT31" i="64" s="1"/>
  <c r="AT32" i="64" s="1"/>
  <c r="AT33" i="64" s="1"/>
  <c r="AT34" i="64" s="1"/>
  <c r="AT35" i="64" s="1"/>
  <c r="AT36" i="64" s="1"/>
  <c r="AT37" i="64" s="1"/>
  <c r="AT38" i="64" s="1"/>
  <c r="AT39" i="64" s="1"/>
  <c r="AT40" i="64" s="1"/>
  <c r="AT41" i="64" s="1"/>
  <c r="AT42" i="64" s="1"/>
  <c r="AT43" i="64" s="1"/>
  <c r="AT44" i="64" s="1"/>
  <c r="AT45" i="64" s="1"/>
  <c r="AT46" i="64" s="1"/>
  <c r="AT47" i="64" s="1"/>
  <c r="AT48" i="64" s="1"/>
  <c r="AT49" i="64" s="1"/>
  <c r="AT50" i="64" s="1"/>
  <c r="AT51" i="64" s="1"/>
  <c r="AT52" i="64" s="1"/>
  <c r="AT53" i="64" s="1"/>
  <c r="AT54" i="64" s="1"/>
  <c r="AT55" i="64" s="1"/>
  <c r="AT56" i="64" s="1"/>
  <c r="AT57" i="64" s="1"/>
  <c r="AT58" i="64" s="1"/>
  <c r="AT59" i="64" s="1"/>
  <c r="AT60" i="64" s="1"/>
  <c r="AT61" i="64" s="1"/>
  <c r="AT62" i="64" s="1"/>
  <c r="AT63" i="64" s="1"/>
  <c r="AT64" i="64" s="1"/>
  <c r="AT65" i="64" s="1"/>
  <c r="AT66" i="64" s="1"/>
  <c r="AT67" i="64" s="1"/>
  <c r="AT68" i="64" s="1"/>
  <c r="AT69" i="64" s="1"/>
  <c r="AT70" i="64" s="1"/>
  <c r="AT71" i="64" s="1"/>
  <c r="AT72" i="64" s="1"/>
  <c r="AT73" i="64" s="1"/>
  <c r="AT74" i="64" s="1"/>
  <c r="AT75" i="64" s="1"/>
  <c r="AT76" i="64" s="1"/>
  <c r="AT77" i="64" s="1"/>
  <c r="AT78" i="64" s="1"/>
  <c r="AT79" i="64" s="1"/>
  <c r="AT80" i="64" s="1"/>
  <c r="AT81" i="64" s="1"/>
  <c r="AT82" i="64" s="1"/>
  <c r="AT83" i="64" s="1"/>
  <c r="AT84" i="64" s="1"/>
  <c r="AT85" i="64" s="1"/>
  <c r="AT86" i="64" s="1"/>
  <c r="AT87" i="64" s="1"/>
  <c r="AT88" i="64" s="1"/>
  <c r="AT89" i="64" s="1"/>
  <c r="AT90" i="64" s="1"/>
  <c r="AT91" i="64" s="1"/>
  <c r="AT92" i="64" s="1"/>
  <c r="AT93" i="64" s="1"/>
  <c r="AT94" i="64" s="1"/>
  <c r="AT95" i="64" s="1"/>
  <c r="AT96" i="64" s="1"/>
  <c r="AT97" i="64" s="1"/>
  <c r="AT98" i="64" s="1"/>
  <c r="AT99" i="64" s="1"/>
  <c r="AT100" i="64" s="1"/>
  <c r="AT101" i="64" s="1"/>
  <c r="AT102" i="64" s="1"/>
  <c r="AT103" i="64" s="1"/>
  <c r="AT104" i="64" s="1"/>
  <c r="AT105" i="64" s="1"/>
  <c r="AT106" i="64" s="1"/>
  <c r="AT107" i="64" s="1"/>
  <c r="AT108" i="64" s="1"/>
  <c r="AG21" i="64"/>
  <c r="AG22" i="64" s="1"/>
  <c r="AG23" i="64" s="1"/>
  <c r="AG24" i="64" s="1"/>
  <c r="AG25" i="64" s="1"/>
  <c r="AG26" i="64" s="1"/>
  <c r="AG27" i="64" s="1"/>
  <c r="AG28" i="64" s="1"/>
  <c r="AG29" i="64" s="1"/>
  <c r="AG30" i="64" s="1"/>
  <c r="AG31" i="64" s="1"/>
  <c r="AG32" i="64" s="1"/>
  <c r="AG33" i="64" s="1"/>
  <c r="AG34" i="64" s="1"/>
  <c r="AG35" i="64" s="1"/>
  <c r="AG36" i="64" s="1"/>
  <c r="AG37" i="64" s="1"/>
  <c r="AG38" i="64" s="1"/>
  <c r="AG39" i="64" s="1"/>
  <c r="AG40" i="64" s="1"/>
  <c r="AG41" i="64" s="1"/>
  <c r="AG42" i="64" s="1"/>
  <c r="AG43" i="64" s="1"/>
  <c r="AG44" i="64" s="1"/>
  <c r="AG45" i="64" s="1"/>
  <c r="AG46" i="64" s="1"/>
  <c r="AG47" i="64" s="1"/>
  <c r="AG48" i="64" s="1"/>
  <c r="AG49" i="64" s="1"/>
  <c r="AG50" i="64" s="1"/>
  <c r="AG51" i="64" s="1"/>
  <c r="AG52" i="64" s="1"/>
  <c r="AG53" i="64" s="1"/>
  <c r="AG54" i="64" s="1"/>
  <c r="AG55" i="64" s="1"/>
  <c r="AG56" i="64" s="1"/>
  <c r="AG57" i="64" s="1"/>
  <c r="AG58" i="64" s="1"/>
  <c r="AG59" i="64" s="1"/>
  <c r="AG60" i="64" s="1"/>
  <c r="AG61" i="64" s="1"/>
  <c r="AG62" i="64" s="1"/>
  <c r="AG63" i="64" s="1"/>
  <c r="AG64" i="64" s="1"/>
  <c r="AG65" i="64" s="1"/>
  <c r="AG66" i="64" s="1"/>
  <c r="AG67" i="64" s="1"/>
  <c r="AG68" i="64" s="1"/>
  <c r="AG69" i="64" s="1"/>
  <c r="AG70" i="64" s="1"/>
  <c r="AG71" i="64" s="1"/>
  <c r="AG72" i="64" s="1"/>
  <c r="AG73" i="64" s="1"/>
  <c r="AG74" i="64" s="1"/>
  <c r="AG75" i="64" s="1"/>
  <c r="AG76" i="64" s="1"/>
  <c r="AG77" i="64" s="1"/>
  <c r="AG78" i="64" s="1"/>
  <c r="AG79" i="64" s="1"/>
  <c r="AG80" i="64" s="1"/>
  <c r="AG81" i="64" s="1"/>
  <c r="AG82" i="64" s="1"/>
  <c r="AG83" i="64" s="1"/>
  <c r="AG84" i="64" s="1"/>
  <c r="AG85" i="64" s="1"/>
  <c r="AG86" i="64" s="1"/>
  <c r="AG87" i="64" s="1"/>
  <c r="AG88" i="64" s="1"/>
  <c r="AG89" i="64" s="1"/>
  <c r="AG90" i="64" s="1"/>
  <c r="AG91" i="64" s="1"/>
  <c r="AG92" i="64" s="1"/>
  <c r="AG93" i="64" s="1"/>
  <c r="AG94" i="64" s="1"/>
  <c r="AG95" i="64" s="1"/>
  <c r="AG96" i="64" s="1"/>
  <c r="AG97" i="64" s="1"/>
  <c r="AG98" i="64" s="1"/>
  <c r="AG99" i="64" s="1"/>
  <c r="AG100" i="64" s="1"/>
  <c r="AG101" i="64" s="1"/>
  <c r="AG102" i="64" s="1"/>
  <c r="AG103" i="64" s="1"/>
  <c r="AG104" i="64" s="1"/>
  <c r="AG105" i="64" s="1"/>
  <c r="AG106" i="64" s="1"/>
  <c r="AG107" i="64" s="1"/>
  <c r="AG108" i="64" s="1"/>
  <c r="G36" i="62"/>
  <c r="Z13" i="64"/>
  <c r="C21" i="64"/>
  <c r="K74" i="57"/>
  <c r="K66" i="57"/>
  <c r="K58" i="57"/>
  <c r="K73" i="57"/>
  <c r="K65" i="57"/>
  <c r="K57" i="57"/>
  <c r="K72" i="57"/>
  <c r="K64" i="57"/>
  <c r="K71" i="57"/>
  <c r="K63" i="57"/>
  <c r="K52" i="57"/>
  <c r="K61" i="57"/>
  <c r="K60" i="57"/>
  <c r="K59" i="57"/>
  <c r="K70" i="57"/>
  <c r="K62" i="57"/>
  <c r="K69" i="57"/>
  <c r="K68" i="57"/>
  <c r="K55" i="57"/>
  <c r="K67" i="57"/>
  <c r="AA16" i="57" a="1"/>
  <c r="Z17" i="57" a="1"/>
  <c r="Z17" i="57" s="1"/>
  <c r="M46" i="73" l="1"/>
  <c r="S45" i="73"/>
  <c r="U45" i="73" s="1"/>
  <c r="K336" i="76"/>
  <c r="M336" i="76"/>
  <c r="L336" i="76"/>
  <c r="D210" i="76"/>
  <c r="E211" i="76"/>
  <c r="K209" i="76"/>
  <c r="M209" i="76"/>
  <c r="L209" i="76"/>
  <c r="K220" i="80"/>
  <c r="L220" i="80"/>
  <c r="M220" i="80"/>
  <c r="I220" i="80"/>
  <c r="H220" i="80"/>
  <c r="F221" i="80"/>
  <c r="E221" i="80"/>
  <c r="D221" i="80" s="1"/>
  <c r="G220" i="80"/>
  <c r="F337" i="76"/>
  <c r="H336" i="76"/>
  <c r="G336" i="76"/>
  <c r="E337" i="76"/>
  <c r="D337" i="76" s="1"/>
  <c r="T22" i="70"/>
  <c r="T21" i="70" s="1"/>
  <c r="P21" i="72"/>
  <c r="Q21" i="72" s="1"/>
  <c r="F21" i="65"/>
  <c r="G21" i="65" s="1"/>
  <c r="E109" i="65"/>
  <c r="H15" i="65" s="1"/>
  <c r="D109" i="65"/>
  <c r="C109" i="65"/>
  <c r="D14" i="65" s="1"/>
  <c r="D15" i="65" s="1"/>
  <c r="AT21" i="65"/>
  <c r="AT22" i="65" s="1"/>
  <c r="AT23" i="65" s="1"/>
  <c r="AT24" i="65" s="1"/>
  <c r="AT25" i="65" s="1"/>
  <c r="AT26" i="65" s="1"/>
  <c r="AT27" i="65" s="1"/>
  <c r="AT28" i="65" s="1"/>
  <c r="AT29" i="65" s="1"/>
  <c r="AT30" i="65" s="1"/>
  <c r="AT31" i="65" s="1"/>
  <c r="AT32" i="65" s="1"/>
  <c r="AT33" i="65" s="1"/>
  <c r="AT34" i="65" s="1"/>
  <c r="AT35" i="65" s="1"/>
  <c r="AT36" i="65" s="1"/>
  <c r="AT37" i="65" s="1"/>
  <c r="AT38" i="65" s="1"/>
  <c r="AT39" i="65" s="1"/>
  <c r="AT40" i="65" s="1"/>
  <c r="AT41" i="65" s="1"/>
  <c r="AT42" i="65" s="1"/>
  <c r="AT43" i="65" s="1"/>
  <c r="AT44" i="65" s="1"/>
  <c r="AT45" i="65" s="1"/>
  <c r="AT46" i="65" s="1"/>
  <c r="AT47" i="65" s="1"/>
  <c r="AT48" i="65" s="1"/>
  <c r="AT49" i="65" s="1"/>
  <c r="AT50" i="65" s="1"/>
  <c r="AT51" i="65" s="1"/>
  <c r="AT52" i="65" s="1"/>
  <c r="AT53" i="65" s="1"/>
  <c r="AT54" i="65" s="1"/>
  <c r="AT55" i="65" s="1"/>
  <c r="AT56" i="65" s="1"/>
  <c r="AT57" i="65" s="1"/>
  <c r="AT58" i="65" s="1"/>
  <c r="AT59" i="65" s="1"/>
  <c r="AT60" i="65" s="1"/>
  <c r="AT61" i="65" s="1"/>
  <c r="AT62" i="65" s="1"/>
  <c r="AT63" i="65" s="1"/>
  <c r="AT64" i="65" s="1"/>
  <c r="AT65" i="65" s="1"/>
  <c r="AT66" i="65" s="1"/>
  <c r="AT67" i="65" s="1"/>
  <c r="AT68" i="65" s="1"/>
  <c r="AT69" i="65" s="1"/>
  <c r="AT70" i="65" s="1"/>
  <c r="AT71" i="65" s="1"/>
  <c r="AT72" i="65" s="1"/>
  <c r="AT73" i="65" s="1"/>
  <c r="AT74" i="65" s="1"/>
  <c r="AT75" i="65" s="1"/>
  <c r="AT76" i="65" s="1"/>
  <c r="AT77" i="65" s="1"/>
  <c r="AT78" i="65" s="1"/>
  <c r="AT79" i="65" s="1"/>
  <c r="AT80" i="65" s="1"/>
  <c r="AT81" i="65" s="1"/>
  <c r="AT82" i="65" s="1"/>
  <c r="AT83" i="65" s="1"/>
  <c r="AT84" i="65" s="1"/>
  <c r="AT85" i="65" s="1"/>
  <c r="AT86" i="65" s="1"/>
  <c r="AT87" i="65" s="1"/>
  <c r="AT88" i="65" s="1"/>
  <c r="AT89" i="65" s="1"/>
  <c r="AT90" i="65" s="1"/>
  <c r="AT91" i="65" s="1"/>
  <c r="AT92" i="65" s="1"/>
  <c r="AT93" i="65" s="1"/>
  <c r="AT94" i="65" s="1"/>
  <c r="AT95" i="65" s="1"/>
  <c r="AT96" i="65" s="1"/>
  <c r="AT97" i="65" s="1"/>
  <c r="AT98" i="65" s="1"/>
  <c r="AT99" i="65" s="1"/>
  <c r="AT100" i="65" s="1"/>
  <c r="AT101" i="65" s="1"/>
  <c r="AT102" i="65" s="1"/>
  <c r="AT103" i="65" s="1"/>
  <c r="AT104" i="65" s="1"/>
  <c r="AT105" i="65" s="1"/>
  <c r="AT106" i="65" s="1"/>
  <c r="AT107" i="65" s="1"/>
  <c r="AT108" i="65" s="1"/>
  <c r="AA16" i="57"/>
  <c r="Z18" i="57" a="1"/>
  <c r="Z18" i="57" s="1"/>
  <c r="AA17" i="57" a="1"/>
  <c r="W45" i="73" l="1"/>
  <c r="O46" i="73"/>
  <c r="T45" i="73"/>
  <c r="P46" i="73" s="1"/>
  <c r="V45" i="73"/>
  <c r="D211" i="76"/>
  <c r="E212" i="76"/>
  <c r="K337" i="76"/>
  <c r="M337" i="76"/>
  <c r="L337" i="76"/>
  <c r="K210" i="76"/>
  <c r="L210" i="76"/>
  <c r="M210" i="76"/>
  <c r="I221" i="80"/>
  <c r="H221" i="80"/>
  <c r="F222" i="80"/>
  <c r="G221" i="80"/>
  <c r="E222" i="80"/>
  <c r="D222" i="80" s="1"/>
  <c r="L221" i="80"/>
  <c r="M221" i="80"/>
  <c r="K221" i="80"/>
  <c r="F338" i="76"/>
  <c r="H337" i="76"/>
  <c r="G337" i="76"/>
  <c r="E338" i="76"/>
  <c r="D338" i="76" s="1"/>
  <c r="L22" i="72"/>
  <c r="R21" i="72"/>
  <c r="H20" i="65"/>
  <c r="G22" i="65"/>
  <c r="AA17" i="57"/>
  <c r="AA18" i="57" a="1"/>
  <c r="Z19" i="57" a="1"/>
  <c r="Z19" i="57" s="1"/>
  <c r="X45" i="73" l="1"/>
  <c r="Q46" i="73"/>
  <c r="R46" i="73" s="1"/>
  <c r="S46" i="73" s="1"/>
  <c r="V46" i="73" s="1"/>
  <c r="K338" i="76"/>
  <c r="L338" i="76"/>
  <c r="M338" i="76"/>
  <c r="D212" i="76"/>
  <c r="E213" i="76"/>
  <c r="K211" i="76"/>
  <c r="M211" i="76"/>
  <c r="L211" i="76"/>
  <c r="K222" i="80"/>
  <c r="M222" i="80"/>
  <c r="L222" i="80"/>
  <c r="H222" i="80"/>
  <c r="F223" i="80"/>
  <c r="G222" i="80"/>
  <c r="E223" i="80"/>
  <c r="D223" i="80" s="1"/>
  <c r="I222" i="80"/>
  <c r="F339" i="76"/>
  <c r="H338" i="76"/>
  <c r="G338" i="76"/>
  <c r="E339" i="76"/>
  <c r="D339" i="76" s="1"/>
  <c r="M22" i="72"/>
  <c r="N22" i="72" s="1"/>
  <c r="U21" i="72"/>
  <c r="T21" i="72"/>
  <c r="S21" i="72"/>
  <c r="O22" i="72" s="1"/>
  <c r="H21" i="65"/>
  <c r="G23" i="65"/>
  <c r="AA18" i="57"/>
  <c r="AA19" i="57" a="1"/>
  <c r="AA19" i="57" s="1"/>
  <c r="Z20" i="57" a="1"/>
  <c r="Z20" i="57" s="1"/>
  <c r="W46" i="73" l="1"/>
  <c r="T46" i="73"/>
  <c r="P47" i="73" s="1"/>
  <c r="L47" i="73"/>
  <c r="N47" i="73" s="1"/>
  <c r="O47" i="73" s="1"/>
  <c r="U46" i="73"/>
  <c r="D213" i="76"/>
  <c r="E214" i="76"/>
  <c r="K339" i="76"/>
  <c r="M339" i="76"/>
  <c r="L339" i="76"/>
  <c r="K212" i="76"/>
  <c r="M212" i="76"/>
  <c r="L212" i="76"/>
  <c r="L223" i="80"/>
  <c r="M223" i="80"/>
  <c r="K223" i="80"/>
  <c r="F224" i="80"/>
  <c r="G223" i="80"/>
  <c r="E224" i="80"/>
  <c r="D224" i="80" s="1"/>
  <c r="I223" i="80"/>
  <c r="H223" i="80"/>
  <c r="F340" i="76"/>
  <c r="E340" i="76"/>
  <c r="D340" i="76" s="1"/>
  <c r="H339" i="76"/>
  <c r="G339" i="76"/>
  <c r="P22" i="72"/>
  <c r="V21" i="72"/>
  <c r="W21" i="72" s="1"/>
  <c r="H22" i="65"/>
  <c r="G24" i="65"/>
  <c r="Z21" i="57" a="1"/>
  <c r="Z21" i="57" s="1"/>
  <c r="AA20" i="57" a="1"/>
  <c r="X46" i="73" l="1"/>
  <c r="Q47" i="73"/>
  <c r="R47" i="73" s="1"/>
  <c r="S47" i="73" s="1"/>
  <c r="T47" i="73" s="1"/>
  <c r="P48" i="73" s="1"/>
  <c r="M47" i="73"/>
  <c r="K340" i="76"/>
  <c r="M340" i="76"/>
  <c r="L340" i="76"/>
  <c r="D214" i="76"/>
  <c r="E215" i="76"/>
  <c r="K213" i="76"/>
  <c r="M213" i="76"/>
  <c r="L213" i="76"/>
  <c r="M224" i="80"/>
  <c r="L224" i="80"/>
  <c r="K224" i="80"/>
  <c r="E225" i="80"/>
  <c r="D225" i="80" s="1"/>
  <c r="I224" i="80"/>
  <c r="H224" i="80"/>
  <c r="F225" i="80"/>
  <c r="G224" i="80"/>
  <c r="F341" i="76"/>
  <c r="E341" i="76"/>
  <c r="D341" i="76" s="1"/>
  <c r="G340" i="76"/>
  <c r="H340" i="76"/>
  <c r="H23" i="65"/>
  <c r="G25" i="65"/>
  <c r="AA20" i="57"/>
  <c r="AA21" i="57" a="1"/>
  <c r="Z22" i="57" a="1"/>
  <c r="Z22" i="57" s="1"/>
  <c r="L48" i="73" l="1"/>
  <c r="N48" i="73" s="1"/>
  <c r="O48" i="73" s="1"/>
  <c r="Q48" i="73" s="1"/>
  <c r="R48" i="73" s="1"/>
  <c r="W47" i="73"/>
  <c r="V47" i="73"/>
  <c r="U47" i="73"/>
  <c r="D215" i="76"/>
  <c r="E216" i="76"/>
  <c r="K214" i="76"/>
  <c r="L214" i="76"/>
  <c r="M214" i="76"/>
  <c r="K341" i="76"/>
  <c r="M341" i="76"/>
  <c r="L341" i="76"/>
  <c r="E226" i="80"/>
  <c r="D226" i="80" s="1"/>
  <c r="G225" i="80"/>
  <c r="I225" i="80"/>
  <c r="F226" i="80"/>
  <c r="H225" i="80"/>
  <c r="M225" i="80"/>
  <c r="L225" i="80"/>
  <c r="K225" i="80"/>
  <c r="F342" i="76"/>
  <c r="G341" i="76"/>
  <c r="E342" i="76"/>
  <c r="D342" i="76" s="1"/>
  <c r="H341" i="76"/>
  <c r="H24" i="65"/>
  <c r="G26" i="65"/>
  <c r="AA21" i="57"/>
  <c r="AA22" i="57" a="1"/>
  <c r="AA22" i="57" s="1"/>
  <c r="Z23" i="57" a="1"/>
  <c r="Z23" i="57" s="1"/>
  <c r="M48" i="73" l="1"/>
  <c r="X47" i="73"/>
  <c r="L49" i="73"/>
  <c r="N49" i="73" s="1"/>
  <c r="S48" i="73"/>
  <c r="U48" i="73" s="1"/>
  <c r="K215" i="76"/>
  <c r="M215" i="76"/>
  <c r="L215" i="76"/>
  <c r="D216" i="76"/>
  <c r="E217" i="76"/>
  <c r="K342" i="76"/>
  <c r="L342" i="76"/>
  <c r="M342" i="76"/>
  <c r="I226" i="80"/>
  <c r="G226" i="80"/>
  <c r="F227" i="80"/>
  <c r="E227" i="80"/>
  <c r="D227" i="80" s="1"/>
  <c r="H226" i="80"/>
  <c r="M226" i="80"/>
  <c r="L226" i="80"/>
  <c r="K226" i="80"/>
  <c r="F343" i="76"/>
  <c r="H342" i="76"/>
  <c r="G342" i="76"/>
  <c r="E343" i="76"/>
  <c r="D343" i="76" s="1"/>
  <c r="H25" i="65"/>
  <c r="G27" i="65"/>
  <c r="Z24" i="57" a="1"/>
  <c r="Z24" i="57" s="1"/>
  <c r="AA23" i="57" a="1"/>
  <c r="W48" i="73" l="1"/>
  <c r="M49" i="73"/>
  <c r="T48" i="73"/>
  <c r="P49" i="73" s="1"/>
  <c r="V48" i="73"/>
  <c r="O49" i="73"/>
  <c r="D217" i="76"/>
  <c r="E218" i="76"/>
  <c r="K343" i="76"/>
  <c r="M343" i="76"/>
  <c r="L343" i="76"/>
  <c r="K216" i="76"/>
  <c r="M216" i="76"/>
  <c r="L216" i="76"/>
  <c r="L227" i="80"/>
  <c r="K227" i="80"/>
  <c r="M227" i="80"/>
  <c r="I227" i="80"/>
  <c r="G227" i="80"/>
  <c r="E228" i="80"/>
  <c r="D228" i="80" s="1"/>
  <c r="F228" i="80"/>
  <c r="H227" i="80"/>
  <c r="F344" i="76"/>
  <c r="H343" i="76"/>
  <c r="G343" i="76"/>
  <c r="E344" i="76"/>
  <c r="D344" i="76" s="1"/>
  <c r="H26" i="65"/>
  <c r="G28" i="65"/>
  <c r="AA23" i="57"/>
  <c r="AA24" i="57" a="1"/>
  <c r="Z25" i="57" a="1"/>
  <c r="Z25" i="57" s="1"/>
  <c r="X48" i="73" l="1"/>
  <c r="Q49" i="73"/>
  <c r="R49" i="73" s="1"/>
  <c r="S49" i="73" s="1"/>
  <c r="W49" i="73" s="1"/>
  <c r="K344" i="76"/>
  <c r="M344" i="76"/>
  <c r="L344" i="76"/>
  <c r="D218" i="76"/>
  <c r="E219" i="76"/>
  <c r="K217" i="76"/>
  <c r="M217" i="76"/>
  <c r="L217" i="76"/>
  <c r="I228" i="80"/>
  <c r="H228" i="80"/>
  <c r="F229" i="80"/>
  <c r="G228" i="80"/>
  <c r="E229" i="80"/>
  <c r="D229" i="80" s="1"/>
  <c r="K228" i="80"/>
  <c r="M228" i="80"/>
  <c r="L228" i="80"/>
  <c r="F345" i="76"/>
  <c r="H344" i="76"/>
  <c r="G344" i="76"/>
  <c r="E345" i="76"/>
  <c r="D345" i="76" s="1"/>
  <c r="H27" i="65"/>
  <c r="G29" i="65"/>
  <c r="AA24" i="57"/>
  <c r="Z26" i="57" a="1"/>
  <c r="Z26" i="57" s="1"/>
  <c r="AA25" i="57" a="1"/>
  <c r="V49" i="73" l="1"/>
  <c r="U49" i="73"/>
  <c r="L50" i="73"/>
  <c r="T49" i="73"/>
  <c r="P50" i="73" s="1"/>
  <c r="D219" i="76"/>
  <c r="E220" i="76"/>
  <c r="K345" i="76"/>
  <c r="M345" i="76"/>
  <c r="L345" i="76"/>
  <c r="K218" i="76"/>
  <c r="L218" i="76"/>
  <c r="M218" i="76"/>
  <c r="I229" i="80"/>
  <c r="H229" i="80"/>
  <c r="F230" i="80"/>
  <c r="G229" i="80"/>
  <c r="E230" i="80"/>
  <c r="D230" i="80" s="1"/>
  <c r="K229" i="80"/>
  <c r="L229" i="80"/>
  <c r="M229" i="80"/>
  <c r="F346" i="76"/>
  <c r="H345" i="76"/>
  <c r="G345" i="76"/>
  <c r="E346" i="76"/>
  <c r="D346" i="76" s="1"/>
  <c r="H28" i="65"/>
  <c r="G30" i="65"/>
  <c r="G31" i="65" s="1"/>
  <c r="G32" i="65" s="1"/>
  <c r="AA25" i="57"/>
  <c r="AA26" i="57" a="1"/>
  <c r="Z27" i="57" a="1"/>
  <c r="Z27" i="57" s="1"/>
  <c r="X49" i="73" l="1"/>
  <c r="M50" i="73"/>
  <c r="N50" i="73"/>
  <c r="O50" i="73" s="1"/>
  <c r="K346" i="76"/>
  <c r="M346" i="76"/>
  <c r="L346" i="76"/>
  <c r="D220" i="76"/>
  <c r="E221" i="76"/>
  <c r="K219" i="76"/>
  <c r="M219" i="76"/>
  <c r="L219" i="76"/>
  <c r="M230" i="80"/>
  <c r="L230" i="80"/>
  <c r="K230" i="80"/>
  <c r="H230" i="80"/>
  <c r="F231" i="80"/>
  <c r="G230" i="80"/>
  <c r="E231" i="80"/>
  <c r="D231" i="80" s="1"/>
  <c r="I230" i="80"/>
  <c r="F347" i="76"/>
  <c r="H346" i="76"/>
  <c r="G346" i="76"/>
  <c r="E347" i="76"/>
  <c r="D347" i="76" s="1"/>
  <c r="G33" i="65"/>
  <c r="H31" i="65"/>
  <c r="H29" i="65"/>
  <c r="H30" i="65"/>
  <c r="AA26" i="57"/>
  <c r="Z28" i="57" a="1"/>
  <c r="Z28" i="57" s="1"/>
  <c r="AA27" i="57" a="1"/>
  <c r="Q50" i="73" l="1"/>
  <c r="R50" i="73" s="1"/>
  <c r="D221" i="76"/>
  <c r="E222" i="76"/>
  <c r="K347" i="76"/>
  <c r="M347" i="76"/>
  <c r="L347" i="76"/>
  <c r="K220" i="76"/>
  <c r="M220" i="76"/>
  <c r="L220" i="76"/>
  <c r="K231" i="80"/>
  <c r="M231" i="80"/>
  <c r="L231" i="80"/>
  <c r="F232" i="80"/>
  <c r="G231" i="80"/>
  <c r="E232" i="80"/>
  <c r="D232" i="80" s="1"/>
  <c r="I231" i="80"/>
  <c r="H231" i="80"/>
  <c r="F348" i="76"/>
  <c r="G347" i="76"/>
  <c r="H347" i="76"/>
  <c r="E348" i="76"/>
  <c r="D348" i="76" s="1"/>
  <c r="G34" i="65"/>
  <c r="H32" i="65"/>
  <c r="AA27" i="57"/>
  <c r="AA28" i="57" a="1"/>
  <c r="Z29" i="57" a="1"/>
  <c r="Z29" i="57" s="1"/>
  <c r="C150" i="56"/>
  <c r="J267" i="56"/>
  <c r="J264" i="56"/>
  <c r="J266" i="56"/>
  <c r="J265" i="56"/>
  <c r="J262" i="56"/>
  <c r="J263" i="56"/>
  <c r="X20" i="54"/>
  <c r="N121" i="56"/>
  <c r="P121" i="56"/>
  <c r="X20" i="52"/>
  <c r="O121" i="56"/>
  <c r="P161" i="56"/>
  <c r="J175" i="56"/>
  <c r="C31" i="56"/>
  <c r="S50" i="73" l="1"/>
  <c r="L51" i="73"/>
  <c r="K221" i="76"/>
  <c r="L221" i="76"/>
  <c r="M221" i="76"/>
  <c r="K348" i="76"/>
  <c r="M348" i="76"/>
  <c r="L348" i="76"/>
  <c r="D222" i="76"/>
  <c r="E223" i="76"/>
  <c r="M232" i="80"/>
  <c r="L232" i="80"/>
  <c r="K232" i="80"/>
  <c r="E233" i="80"/>
  <c r="D233" i="80" s="1"/>
  <c r="F233" i="80"/>
  <c r="H232" i="80"/>
  <c r="I232" i="80"/>
  <c r="G232" i="80"/>
  <c r="F349" i="76"/>
  <c r="E349" i="76"/>
  <c r="D349" i="76" s="1"/>
  <c r="G348" i="76"/>
  <c r="H348" i="76"/>
  <c r="G35" i="65"/>
  <c r="H33" i="65"/>
  <c r="AA28" i="57"/>
  <c r="Z30" i="57" a="1"/>
  <c r="Z30" i="57" s="1"/>
  <c r="AA29" i="57" a="1"/>
  <c r="H196" i="56"/>
  <c r="H195" i="56"/>
  <c r="H194" i="56"/>
  <c r="H193" i="56"/>
  <c r="T50" i="73" l="1"/>
  <c r="P51" i="73" s="1"/>
  <c r="W50" i="73"/>
  <c r="M51" i="73"/>
  <c r="N51" i="73"/>
  <c r="O51" i="73" s="1"/>
  <c r="U50" i="73"/>
  <c r="V50" i="73"/>
  <c r="D223" i="76"/>
  <c r="E224" i="76"/>
  <c r="K222" i="76"/>
  <c r="L222" i="76"/>
  <c r="M222" i="76"/>
  <c r="K349" i="76"/>
  <c r="L349" i="76"/>
  <c r="M349" i="76"/>
  <c r="E234" i="80"/>
  <c r="D234" i="80" s="1"/>
  <c r="H233" i="80"/>
  <c r="G233" i="80"/>
  <c r="F234" i="80"/>
  <c r="I233" i="80"/>
  <c r="M233" i="80"/>
  <c r="L233" i="80"/>
  <c r="K233" i="80"/>
  <c r="F350" i="76"/>
  <c r="G349" i="76"/>
  <c r="H349" i="76"/>
  <c r="E350" i="76"/>
  <c r="D350" i="76" s="1"/>
  <c r="G36" i="65"/>
  <c r="H34" i="65"/>
  <c r="AA29" i="57"/>
  <c r="Z31" i="57" a="1"/>
  <c r="Z31" i="57" s="1"/>
  <c r="AA30" i="57" a="1"/>
  <c r="C103" i="56"/>
  <c r="C104" i="56"/>
  <c r="Z2" i="56"/>
  <c r="U20" i="54"/>
  <c r="U20" i="52"/>
  <c r="X50" i="73" l="1"/>
  <c r="Q51" i="73"/>
  <c r="R51" i="73" s="1"/>
  <c r="K350" i="76"/>
  <c r="L350" i="76"/>
  <c r="M350" i="76"/>
  <c r="D224" i="76"/>
  <c r="E225" i="76"/>
  <c r="K223" i="76"/>
  <c r="M223" i="76"/>
  <c r="L223" i="76"/>
  <c r="H234" i="80"/>
  <c r="F235" i="80"/>
  <c r="E235" i="80"/>
  <c r="D235" i="80" s="1"/>
  <c r="G234" i="80"/>
  <c r="I234" i="80"/>
  <c r="M234" i="80"/>
  <c r="L234" i="80"/>
  <c r="K234" i="80"/>
  <c r="F351" i="76"/>
  <c r="H350" i="76"/>
  <c r="G350" i="76"/>
  <c r="E351" i="76"/>
  <c r="D351" i="76" s="1"/>
  <c r="G37" i="65"/>
  <c r="H35" i="65"/>
  <c r="AA30" i="57"/>
  <c r="Z32" i="57" a="1"/>
  <c r="Z32" i="57" s="1"/>
  <c r="AA31" i="57" a="1"/>
  <c r="Q19" i="55"/>
  <c r="Q18" i="55"/>
  <c r="Q16" i="55"/>
  <c r="N19" i="55"/>
  <c r="N18" i="55"/>
  <c r="N16" i="55"/>
  <c r="J17" i="55"/>
  <c r="J16" i="55"/>
  <c r="H17" i="55"/>
  <c r="H16" i="55"/>
  <c r="R39" i="55"/>
  <c r="Q39" i="55"/>
  <c r="H39" i="55"/>
  <c r="R38" i="55"/>
  <c r="Q38" i="55"/>
  <c r="H38" i="55"/>
  <c r="R37" i="55"/>
  <c r="Q37" i="55"/>
  <c r="H37" i="55"/>
  <c r="R36" i="55"/>
  <c r="Q36" i="55"/>
  <c r="H36" i="55"/>
  <c r="R35" i="55"/>
  <c r="Q35" i="55"/>
  <c r="R34" i="55"/>
  <c r="Q34" i="55"/>
  <c r="R33" i="55"/>
  <c r="Q33" i="55"/>
  <c r="U30" i="54"/>
  <c r="O14" i="54" s="1"/>
  <c r="T30" i="54"/>
  <c r="U29" i="54"/>
  <c r="N14" i="54" s="1"/>
  <c r="T29" i="54"/>
  <c r="U28" i="54"/>
  <c r="M14" i="54" s="1"/>
  <c r="T28" i="54"/>
  <c r="H28" i="54"/>
  <c r="U27" i="54"/>
  <c r="T27" i="54"/>
  <c r="U26" i="54"/>
  <c r="K14" i="54" s="1"/>
  <c r="T26" i="54"/>
  <c r="K26" i="54"/>
  <c r="P14" i="55" s="1"/>
  <c r="H26" i="54"/>
  <c r="O14" i="55" s="1"/>
  <c r="T24" i="54"/>
  <c r="J17" i="54"/>
  <c r="G15" i="54"/>
  <c r="S23" i="54" s="1"/>
  <c r="L52" i="73" l="1"/>
  <c r="N52" i="73" s="1"/>
  <c r="S51" i="73"/>
  <c r="U51" i="73" s="1"/>
  <c r="D225" i="76"/>
  <c r="E226" i="76"/>
  <c r="K351" i="76"/>
  <c r="M351" i="76"/>
  <c r="L351" i="76"/>
  <c r="K224" i="76"/>
  <c r="M224" i="76"/>
  <c r="L224" i="76"/>
  <c r="L235" i="80"/>
  <c r="K235" i="80"/>
  <c r="M235" i="80"/>
  <c r="I235" i="80"/>
  <c r="G235" i="80"/>
  <c r="F236" i="80"/>
  <c r="H235" i="80"/>
  <c r="E236" i="80"/>
  <c r="D236" i="80" s="1"/>
  <c r="F352" i="76"/>
  <c r="H351" i="76"/>
  <c r="G351" i="76"/>
  <c r="E352" i="76"/>
  <c r="D352" i="76" s="1"/>
  <c r="V27" i="54"/>
  <c r="X34" i="54" s="1"/>
  <c r="W24" i="54"/>
  <c r="G38" i="65"/>
  <c r="H36" i="65"/>
  <c r="L14" i="54"/>
  <c r="AA31" i="57"/>
  <c r="Z33" i="57" a="1"/>
  <c r="Z33" i="57" s="1"/>
  <c r="AA32" i="57" a="1"/>
  <c r="I28" i="55"/>
  <c r="R30" i="55"/>
  <c r="Q30" i="55"/>
  <c r="Q17" i="55"/>
  <c r="N17" i="55"/>
  <c r="J28" i="55"/>
  <c r="W51" i="73" l="1"/>
  <c r="V51" i="73"/>
  <c r="X51" i="73" s="1"/>
  <c r="T51" i="73"/>
  <c r="P52" i="73" s="1"/>
  <c r="O52" i="73"/>
  <c r="M52" i="73"/>
  <c r="K352" i="76"/>
  <c r="M352" i="76"/>
  <c r="L352" i="76"/>
  <c r="D226" i="76"/>
  <c r="E227" i="76"/>
  <c r="K225" i="76"/>
  <c r="M225" i="76"/>
  <c r="L225" i="76"/>
  <c r="K236" i="80"/>
  <c r="L236" i="80"/>
  <c r="M236" i="80"/>
  <c r="I236" i="80"/>
  <c r="H236" i="80"/>
  <c r="F237" i="80"/>
  <c r="E237" i="80"/>
  <c r="D237" i="80" s="1"/>
  <c r="G236" i="80"/>
  <c r="F353" i="76"/>
  <c r="H352" i="76"/>
  <c r="G352" i="76"/>
  <c r="E353" i="76"/>
  <c r="D353" i="76" s="1"/>
  <c r="G39" i="65"/>
  <c r="G40" i="65" s="1"/>
  <c r="G41" i="65" s="1"/>
  <c r="H37" i="65"/>
  <c r="AA32" i="57"/>
  <c r="Z34" i="57" a="1"/>
  <c r="Z34" i="57" s="1"/>
  <c r="AA33" i="57" a="1"/>
  <c r="H38" i="53"/>
  <c r="R34" i="53"/>
  <c r="R35" i="53"/>
  <c r="R36" i="53"/>
  <c r="R37" i="53"/>
  <c r="R38" i="53"/>
  <c r="R39" i="53"/>
  <c r="R33" i="53"/>
  <c r="Q39" i="53"/>
  <c r="Q34" i="53"/>
  <c r="Q35" i="53"/>
  <c r="Q36" i="53"/>
  <c r="Q37" i="53"/>
  <c r="Q38" i="53"/>
  <c r="Q33" i="53"/>
  <c r="Q52" i="73" l="1"/>
  <c r="R52" i="73" s="1"/>
  <c r="D227" i="76"/>
  <c r="E228" i="76"/>
  <c r="K353" i="76"/>
  <c r="M353" i="76"/>
  <c r="L353" i="76"/>
  <c r="K226" i="76"/>
  <c r="M226" i="76"/>
  <c r="L226" i="76"/>
  <c r="L237" i="80"/>
  <c r="K237" i="80"/>
  <c r="M237" i="80"/>
  <c r="I237" i="80"/>
  <c r="H237" i="80"/>
  <c r="F238" i="80"/>
  <c r="G237" i="80"/>
  <c r="E238" i="80"/>
  <c r="D238" i="80" s="1"/>
  <c r="F354" i="76"/>
  <c r="H353" i="76"/>
  <c r="G353" i="76"/>
  <c r="E354" i="76"/>
  <c r="D354" i="76" s="1"/>
  <c r="G42" i="65"/>
  <c r="H40" i="65"/>
  <c r="H38" i="65"/>
  <c r="H39" i="65"/>
  <c r="AA33" i="57"/>
  <c r="Z35" i="57" a="1"/>
  <c r="Z35" i="57" s="1"/>
  <c r="AA34" i="57" a="1"/>
  <c r="M35" i="53"/>
  <c r="M36" i="53"/>
  <c r="M37" i="53"/>
  <c r="M38" i="53"/>
  <c r="M30" i="53"/>
  <c r="M31" i="53"/>
  <c r="M32" i="53"/>
  <c r="M29" i="53"/>
  <c r="J17" i="53"/>
  <c r="J16" i="53"/>
  <c r="H17" i="53"/>
  <c r="H173" i="56" s="1"/>
  <c r="H16" i="53"/>
  <c r="L53" i="73" l="1"/>
  <c r="M53" i="73" s="1"/>
  <c r="S52" i="73"/>
  <c r="W52" i="73" s="1"/>
  <c r="K354" i="76"/>
  <c r="L354" i="76"/>
  <c r="M354" i="76"/>
  <c r="D228" i="76"/>
  <c r="E229" i="76"/>
  <c r="K227" i="76"/>
  <c r="M227" i="76"/>
  <c r="L227" i="76"/>
  <c r="L238" i="80"/>
  <c r="M238" i="80"/>
  <c r="K238" i="80"/>
  <c r="H238" i="80"/>
  <c r="F239" i="80"/>
  <c r="G238" i="80"/>
  <c r="E239" i="80"/>
  <c r="D239" i="80" s="1"/>
  <c r="I238" i="80"/>
  <c r="F355" i="76"/>
  <c r="H354" i="76"/>
  <c r="G354" i="76"/>
  <c r="E355" i="76"/>
  <c r="D355" i="76" s="1"/>
  <c r="G43" i="65"/>
  <c r="H41" i="65"/>
  <c r="AA34" i="57"/>
  <c r="Z36" i="57" a="1"/>
  <c r="Z36" i="57" s="1"/>
  <c r="AA35" i="57" a="1"/>
  <c r="J172" i="56"/>
  <c r="H146" i="56"/>
  <c r="H172" i="56"/>
  <c r="H145" i="56"/>
  <c r="J173" i="56"/>
  <c r="J28" i="53"/>
  <c r="I28" i="53"/>
  <c r="N53" i="73" l="1"/>
  <c r="O53" i="73" s="1"/>
  <c r="V52" i="73"/>
  <c r="U52" i="73"/>
  <c r="X52" i="73" s="1"/>
  <c r="T52" i="73"/>
  <c r="P53" i="73" s="1"/>
  <c r="D229" i="76"/>
  <c r="E230" i="76"/>
  <c r="K355" i="76"/>
  <c r="M355" i="76"/>
  <c r="L355" i="76"/>
  <c r="K228" i="76"/>
  <c r="M228" i="76"/>
  <c r="L228" i="76"/>
  <c r="K239" i="80"/>
  <c r="M239" i="80"/>
  <c r="L239" i="80"/>
  <c r="F240" i="80"/>
  <c r="G239" i="80"/>
  <c r="E240" i="80"/>
  <c r="D240" i="80" s="1"/>
  <c r="I239" i="80"/>
  <c r="H239" i="80"/>
  <c r="F356" i="76"/>
  <c r="E356" i="76"/>
  <c r="D356" i="76" s="1"/>
  <c r="H355" i="76"/>
  <c r="G355" i="76"/>
  <c r="G44" i="65"/>
  <c r="H42" i="65"/>
  <c r="AA35" i="57"/>
  <c r="Z37" i="57" a="1"/>
  <c r="Z37" i="57" s="1"/>
  <c r="AA36" i="57" a="1"/>
  <c r="Q19" i="53"/>
  <c r="Q18" i="53"/>
  <c r="Q16" i="53"/>
  <c r="N19" i="53"/>
  <c r="N18" i="53"/>
  <c r="N16" i="53"/>
  <c r="H39" i="53"/>
  <c r="H37" i="53"/>
  <c r="H36" i="53"/>
  <c r="Q53" i="73" l="1"/>
  <c r="R53" i="73" s="1"/>
  <c r="L54" i="73"/>
  <c r="M54" i="73" s="1"/>
  <c r="S53" i="73"/>
  <c r="W53" i="73" s="1"/>
  <c r="K356" i="76"/>
  <c r="M356" i="76"/>
  <c r="L356" i="76"/>
  <c r="D230" i="76"/>
  <c r="E231" i="76"/>
  <c r="K229" i="76"/>
  <c r="M229" i="76"/>
  <c r="L229" i="76"/>
  <c r="M240" i="80"/>
  <c r="L240" i="80"/>
  <c r="K240" i="80"/>
  <c r="E241" i="80"/>
  <c r="D241" i="80" s="1"/>
  <c r="G240" i="80"/>
  <c r="F241" i="80"/>
  <c r="H240" i="80"/>
  <c r="I240" i="80"/>
  <c r="F357" i="76"/>
  <c r="E357" i="76"/>
  <c r="D357" i="76" s="1"/>
  <c r="H356" i="76"/>
  <c r="G356" i="76"/>
  <c r="G45" i="65"/>
  <c r="H43" i="65"/>
  <c r="AA36" i="57"/>
  <c r="Z38" i="57" a="1"/>
  <c r="Z38" i="57" s="1"/>
  <c r="AA37" i="57" a="1"/>
  <c r="N17" i="53"/>
  <c r="Q17" i="53"/>
  <c r="V53" i="73" l="1"/>
  <c r="U53" i="73"/>
  <c r="X53" i="73" s="1"/>
  <c r="N54" i="73"/>
  <c r="O54" i="73" s="1"/>
  <c r="T53" i="73"/>
  <c r="P54" i="73" s="1"/>
  <c r="D231" i="76"/>
  <c r="E232" i="76"/>
  <c r="K230" i="76"/>
  <c r="L230" i="76"/>
  <c r="M230" i="76"/>
  <c r="K357" i="76"/>
  <c r="M357" i="76"/>
  <c r="L357" i="76"/>
  <c r="I241" i="80"/>
  <c r="H241" i="80"/>
  <c r="F242" i="80"/>
  <c r="E242" i="80"/>
  <c r="D242" i="80" s="1"/>
  <c r="G241" i="80"/>
  <c r="M241" i="80"/>
  <c r="L241" i="80"/>
  <c r="K241" i="80"/>
  <c r="F358" i="76"/>
  <c r="G357" i="76"/>
  <c r="E358" i="76"/>
  <c r="D358" i="76" s="1"/>
  <c r="H357" i="76"/>
  <c r="G46" i="65"/>
  <c r="H44" i="65"/>
  <c r="AA37" i="57"/>
  <c r="Z39" i="57" a="1"/>
  <c r="Z39" i="57" s="1"/>
  <c r="AA38" i="57" a="1"/>
  <c r="D265" i="56"/>
  <c r="N265" i="56" s="1"/>
  <c r="D262" i="56"/>
  <c r="N262" i="56" s="1"/>
  <c r="T24" i="52"/>
  <c r="T26" i="52"/>
  <c r="U26" i="52"/>
  <c r="K14" i="52" s="1"/>
  <c r="T27" i="52"/>
  <c r="U27" i="52"/>
  <c r="T28" i="52"/>
  <c r="U28" i="52"/>
  <c r="M14" i="52" s="1"/>
  <c r="T29" i="52"/>
  <c r="U29" i="52"/>
  <c r="N14" i="52" s="1"/>
  <c r="T30" i="52"/>
  <c r="U30" i="52"/>
  <c r="O14" i="52" s="1"/>
  <c r="H28" i="52"/>
  <c r="L14" i="52"/>
  <c r="K26" i="52"/>
  <c r="H26" i="52"/>
  <c r="J17" i="52"/>
  <c r="G15" i="52"/>
  <c r="S23" i="52" s="1"/>
  <c r="Q54" i="73" l="1"/>
  <c r="R54" i="73" s="1"/>
  <c r="S54" i="73" s="1"/>
  <c r="W54" i="73" s="1"/>
  <c r="K358" i="76"/>
  <c r="L358" i="76"/>
  <c r="M358" i="76"/>
  <c r="D232" i="76"/>
  <c r="E233" i="76"/>
  <c r="K231" i="76"/>
  <c r="M231" i="76"/>
  <c r="L231" i="76"/>
  <c r="M242" i="80"/>
  <c r="L242" i="80"/>
  <c r="K242" i="80"/>
  <c r="I242" i="80"/>
  <c r="H242" i="80"/>
  <c r="F243" i="80"/>
  <c r="E243" i="80"/>
  <c r="D243" i="80" s="1"/>
  <c r="G242" i="80"/>
  <c r="F359" i="76"/>
  <c r="H358" i="76"/>
  <c r="G358" i="76"/>
  <c r="E359" i="76"/>
  <c r="D359" i="76" s="1"/>
  <c r="V27" i="52"/>
  <c r="X34" i="52" s="1"/>
  <c r="G47" i="65"/>
  <c r="H45" i="65"/>
  <c r="AA38" i="57"/>
  <c r="Z40" i="57" a="1"/>
  <c r="Z40" i="57" s="1"/>
  <c r="AA39" i="57" a="1"/>
  <c r="O14" i="53"/>
  <c r="E271" i="56" s="1"/>
  <c r="P14" i="53"/>
  <c r="E272" i="56" s="1"/>
  <c r="W24" i="52"/>
  <c r="J103" i="56"/>
  <c r="R30" i="53"/>
  <c r="Q30" i="53"/>
  <c r="V54" i="73" l="1"/>
  <c r="U54" i="73"/>
  <c r="X54" i="73" s="1"/>
  <c r="T54" i="73"/>
  <c r="P55" i="73" s="1"/>
  <c r="L55" i="73"/>
  <c r="D233" i="76"/>
  <c r="E234" i="76"/>
  <c r="K232" i="76"/>
  <c r="M232" i="76"/>
  <c r="L232" i="76"/>
  <c r="K359" i="76"/>
  <c r="M359" i="76"/>
  <c r="L359" i="76"/>
  <c r="L243" i="80"/>
  <c r="K243" i="80"/>
  <c r="M243" i="80"/>
  <c r="I243" i="80"/>
  <c r="H243" i="80"/>
  <c r="G243" i="80"/>
  <c r="F244" i="80"/>
  <c r="E244" i="80"/>
  <c r="D244" i="80" s="1"/>
  <c r="F360" i="76"/>
  <c r="H359" i="76"/>
  <c r="G359" i="76"/>
  <c r="E360" i="76"/>
  <c r="D360" i="76" s="1"/>
  <c r="G48" i="65"/>
  <c r="H46" i="65"/>
  <c r="AA39" i="57"/>
  <c r="Z41" i="57" a="1"/>
  <c r="Z41" i="57" s="1"/>
  <c r="AA40" i="57" a="1"/>
  <c r="M55" i="73" l="1"/>
  <c r="N55" i="73"/>
  <c r="O55" i="73" s="1"/>
  <c r="Q55" i="73" s="1"/>
  <c r="R55" i="73" s="1"/>
  <c r="K360" i="76"/>
  <c r="M360" i="76"/>
  <c r="L360" i="76"/>
  <c r="D234" i="76"/>
  <c r="E235" i="76"/>
  <c r="K233" i="76"/>
  <c r="M233" i="76"/>
  <c r="L233" i="76"/>
  <c r="I244" i="80"/>
  <c r="H244" i="80"/>
  <c r="F245" i="80"/>
  <c r="G244" i="80"/>
  <c r="E245" i="80"/>
  <c r="D245" i="80" s="1"/>
  <c r="K244" i="80"/>
  <c r="M244" i="80"/>
  <c r="L244" i="80"/>
  <c r="F361" i="76"/>
  <c r="H360" i="76"/>
  <c r="G360" i="76"/>
  <c r="E361" i="76"/>
  <c r="D361" i="76" s="1"/>
  <c r="G49" i="65"/>
  <c r="H47" i="65"/>
  <c r="AA40" i="57"/>
  <c r="Z42" i="57" a="1"/>
  <c r="Z42" i="57" s="1"/>
  <c r="AA41" i="57" a="1"/>
  <c r="L56" i="73" l="1"/>
  <c r="S55" i="73"/>
  <c r="U55" i="73" s="1"/>
  <c r="D235" i="76"/>
  <c r="E236" i="76"/>
  <c r="K361" i="76"/>
  <c r="M361" i="76"/>
  <c r="L361" i="76"/>
  <c r="K234" i="76"/>
  <c r="L234" i="76"/>
  <c r="M234" i="76"/>
  <c r="L245" i="80"/>
  <c r="K245" i="80"/>
  <c r="M245" i="80"/>
  <c r="I245" i="80"/>
  <c r="H245" i="80"/>
  <c r="F246" i="80"/>
  <c r="G245" i="80"/>
  <c r="E246" i="80"/>
  <c r="D246" i="80" s="1"/>
  <c r="F362" i="76"/>
  <c r="H361" i="76"/>
  <c r="G361" i="76"/>
  <c r="E362" i="76"/>
  <c r="D362" i="76" s="1"/>
  <c r="G50" i="65"/>
  <c r="H48" i="65"/>
  <c r="AA41" i="57"/>
  <c r="Z43" i="57" a="1"/>
  <c r="Z43" i="57" s="1"/>
  <c r="AA42" i="57" a="1"/>
  <c r="W55" i="73" l="1"/>
  <c r="M56" i="73"/>
  <c r="N56" i="73"/>
  <c r="O56" i="73" s="1"/>
  <c r="T55" i="73"/>
  <c r="P56" i="73" s="1"/>
  <c r="V55" i="73"/>
  <c r="X55" i="73" s="1"/>
  <c r="K362" i="76"/>
  <c r="L362" i="76"/>
  <c r="M362" i="76"/>
  <c r="D236" i="76"/>
  <c r="E237" i="76"/>
  <c r="K235" i="76"/>
  <c r="M235" i="76"/>
  <c r="L235" i="76"/>
  <c r="M246" i="80"/>
  <c r="L246" i="80"/>
  <c r="K246" i="80"/>
  <c r="H246" i="80"/>
  <c r="F247" i="80"/>
  <c r="G246" i="80"/>
  <c r="E247" i="80"/>
  <c r="D247" i="80" s="1"/>
  <c r="I246" i="80"/>
  <c r="F363" i="76"/>
  <c r="H362" i="76"/>
  <c r="G362" i="76"/>
  <c r="E363" i="76"/>
  <c r="D363" i="76" s="1"/>
  <c r="G51" i="65"/>
  <c r="H49" i="65"/>
  <c r="AA42" i="57"/>
  <c r="Z44" i="57" a="1"/>
  <c r="Z44" i="57" s="1"/>
  <c r="AA43" i="57" a="1"/>
  <c r="J17" i="44"/>
  <c r="C104" i="50"/>
  <c r="C103" i="50"/>
  <c r="Q56" i="73" l="1"/>
  <c r="R56" i="73" s="1"/>
  <c r="D237" i="76"/>
  <c r="E238" i="76"/>
  <c r="K363" i="76"/>
  <c r="M363" i="76"/>
  <c r="L363" i="76"/>
  <c r="K236" i="76"/>
  <c r="M236" i="76"/>
  <c r="L236" i="76"/>
  <c r="M247" i="80"/>
  <c r="L247" i="80"/>
  <c r="K247" i="80"/>
  <c r="H247" i="80"/>
  <c r="F248" i="80"/>
  <c r="G247" i="80"/>
  <c r="E248" i="80"/>
  <c r="D248" i="80" s="1"/>
  <c r="I247" i="80"/>
  <c r="F364" i="76"/>
  <c r="G363" i="76"/>
  <c r="H363" i="76"/>
  <c r="E364" i="76"/>
  <c r="D364" i="76" s="1"/>
  <c r="G52" i="65"/>
  <c r="H50" i="65"/>
  <c r="AA43" i="57"/>
  <c r="Z45" i="57" a="1"/>
  <c r="Z45" i="57" s="1"/>
  <c r="AA44" i="57" a="1"/>
  <c r="AA44" i="57" s="1"/>
  <c r="K13" i="41"/>
  <c r="K14" i="41" s="1"/>
  <c r="F22" i="41"/>
  <c r="S56" i="73" l="1"/>
  <c r="W56" i="73" s="1"/>
  <c r="L57" i="73"/>
  <c r="T56" i="73"/>
  <c r="P57" i="73" s="1"/>
  <c r="K364" i="76"/>
  <c r="M364" i="76"/>
  <c r="L364" i="76"/>
  <c r="D238" i="76"/>
  <c r="E239" i="76"/>
  <c r="K237" i="76"/>
  <c r="L237" i="76"/>
  <c r="M237" i="76"/>
  <c r="M248" i="80"/>
  <c r="L248" i="80"/>
  <c r="K248" i="80"/>
  <c r="F249" i="80"/>
  <c r="G248" i="80"/>
  <c r="E249" i="80"/>
  <c r="D249" i="80" s="1"/>
  <c r="H248" i="80"/>
  <c r="I248" i="80"/>
  <c r="F365" i="76"/>
  <c r="G364" i="76"/>
  <c r="E365" i="76"/>
  <c r="D365" i="76" s="1"/>
  <c r="H364" i="76"/>
  <c r="G53" i="65"/>
  <c r="H51" i="65"/>
  <c r="Z46" i="57" a="1"/>
  <c r="Z46" i="57" s="1"/>
  <c r="AA45" i="57" a="1"/>
  <c r="F23" i="41"/>
  <c r="K22" i="41"/>
  <c r="H22" i="41"/>
  <c r="G22" i="41"/>
  <c r="K21" i="41"/>
  <c r="H21" i="41"/>
  <c r="I21" i="41" s="1"/>
  <c r="K15" i="41"/>
  <c r="K16" i="41" s="1"/>
  <c r="E22" i="41"/>
  <c r="E23" i="41" s="1"/>
  <c r="E24" i="41" s="1"/>
  <c r="M57" i="73" l="1"/>
  <c r="N57" i="73"/>
  <c r="O57" i="73" s="1"/>
  <c r="Q57" i="73" s="1"/>
  <c r="R57" i="73" s="1"/>
  <c r="U56" i="73"/>
  <c r="X56" i="73" s="1"/>
  <c r="V56" i="73"/>
  <c r="L58" i="73"/>
  <c r="N58" i="73" s="1"/>
  <c r="S57" i="73"/>
  <c r="U57" i="73" s="1"/>
  <c r="D239" i="76"/>
  <c r="E240" i="76"/>
  <c r="K238" i="76"/>
  <c r="L238" i="76"/>
  <c r="M238" i="76"/>
  <c r="K365" i="76"/>
  <c r="M365" i="76"/>
  <c r="L365" i="76"/>
  <c r="M249" i="80"/>
  <c r="L249" i="80"/>
  <c r="K249" i="80"/>
  <c r="E250" i="80"/>
  <c r="D250" i="80" s="1"/>
  <c r="H249" i="80"/>
  <c r="G249" i="80"/>
  <c r="F250" i="80"/>
  <c r="I249" i="80"/>
  <c r="F366" i="76"/>
  <c r="G365" i="76"/>
  <c r="E366" i="76"/>
  <c r="D366" i="76" s="1"/>
  <c r="H365" i="76"/>
  <c r="G54" i="65"/>
  <c r="H52" i="65"/>
  <c r="AA45" i="57"/>
  <c r="Z47" i="57" a="1"/>
  <c r="Z47" i="57" s="1"/>
  <c r="AA46" i="57" a="1"/>
  <c r="H23" i="41"/>
  <c r="K23" i="41"/>
  <c r="F24" i="41"/>
  <c r="G23" i="41"/>
  <c r="W57" i="73" l="1"/>
  <c r="O58" i="73"/>
  <c r="M58" i="73"/>
  <c r="T57" i="73"/>
  <c r="P58" i="73" s="1"/>
  <c r="V57" i="73"/>
  <c r="X57" i="73" s="1"/>
  <c r="K366" i="76"/>
  <c r="L366" i="76"/>
  <c r="M366" i="76"/>
  <c r="D240" i="76"/>
  <c r="E241" i="76"/>
  <c r="K239" i="76"/>
  <c r="M239" i="76"/>
  <c r="L239" i="76"/>
  <c r="I250" i="80"/>
  <c r="H250" i="80"/>
  <c r="F251" i="80"/>
  <c r="E251" i="80"/>
  <c r="D251" i="80" s="1"/>
  <c r="G250" i="80"/>
  <c r="M250" i="80"/>
  <c r="L250" i="80"/>
  <c r="K250" i="80"/>
  <c r="F367" i="76"/>
  <c r="H366" i="76"/>
  <c r="G366" i="76"/>
  <c r="E367" i="76"/>
  <c r="D367" i="76" s="1"/>
  <c r="G55" i="65"/>
  <c r="H53" i="65"/>
  <c r="AA46" i="57"/>
  <c r="Z48" i="57" a="1"/>
  <c r="Z48" i="57" s="1"/>
  <c r="AA47" i="57" a="1"/>
  <c r="K24" i="41"/>
  <c r="H24" i="41"/>
  <c r="G24" i="41"/>
  <c r="F25" i="41"/>
  <c r="E25" i="41"/>
  <c r="E26" i="41" l="1"/>
  <c r="Q58" i="73"/>
  <c r="R58" i="73" s="1"/>
  <c r="S58" i="73" s="1"/>
  <c r="U58" i="73" s="1"/>
  <c r="D241" i="76"/>
  <c r="E242" i="76"/>
  <c r="K240" i="76"/>
  <c r="M240" i="76"/>
  <c r="L240" i="76"/>
  <c r="K367" i="76"/>
  <c r="M367" i="76"/>
  <c r="L367" i="76"/>
  <c r="I251" i="80"/>
  <c r="H251" i="80"/>
  <c r="F252" i="80"/>
  <c r="G251" i="80"/>
  <c r="E252" i="80"/>
  <c r="D252" i="80" s="1"/>
  <c r="M251" i="80"/>
  <c r="L251" i="80"/>
  <c r="K251" i="80"/>
  <c r="F368" i="76"/>
  <c r="H367" i="76"/>
  <c r="G367" i="76"/>
  <c r="E368" i="76"/>
  <c r="D368" i="76" s="1"/>
  <c r="G56" i="65"/>
  <c r="H54" i="65"/>
  <c r="AA47" i="57"/>
  <c r="Z49" i="57" a="1"/>
  <c r="Z49" i="57" s="1"/>
  <c r="AA48" i="57" a="1"/>
  <c r="K25" i="41"/>
  <c r="G25" i="41"/>
  <c r="H25" i="41"/>
  <c r="F26" i="41"/>
  <c r="H28" i="44"/>
  <c r="K26" i="44"/>
  <c r="H26" i="44"/>
  <c r="L59" i="73" l="1"/>
  <c r="N59" i="73" s="1"/>
  <c r="O59" i="73" s="1"/>
  <c r="V58" i="73"/>
  <c r="X58" i="73" s="1"/>
  <c r="T58" i="73"/>
  <c r="P59" i="73" s="1"/>
  <c r="W58" i="73"/>
  <c r="K368" i="76"/>
  <c r="M368" i="76"/>
  <c r="L368" i="76"/>
  <c r="D242" i="76"/>
  <c r="E243" i="76"/>
  <c r="K241" i="76"/>
  <c r="M241" i="76"/>
  <c r="L241" i="76"/>
  <c r="I252" i="80"/>
  <c r="H252" i="80"/>
  <c r="F253" i="80"/>
  <c r="G252" i="80"/>
  <c r="E253" i="80"/>
  <c r="D253" i="80" s="1"/>
  <c r="L252" i="80"/>
  <c r="K252" i="80"/>
  <c r="M252" i="80"/>
  <c r="F369" i="76"/>
  <c r="H368" i="76"/>
  <c r="G368" i="76"/>
  <c r="E369" i="76"/>
  <c r="D369" i="76" s="1"/>
  <c r="G57" i="65"/>
  <c r="H55" i="65"/>
  <c r="AA48" i="57"/>
  <c r="Z50" i="57" a="1"/>
  <c r="Z50" i="57" s="1"/>
  <c r="AA49" i="57" a="1"/>
  <c r="F27" i="41"/>
  <c r="K26" i="41"/>
  <c r="H26" i="41"/>
  <c r="G26" i="41"/>
  <c r="E27" i="41"/>
  <c r="Q59" i="73" l="1"/>
  <c r="R59" i="73" s="1"/>
  <c r="L60" i="73" s="1"/>
  <c r="M60" i="73" s="1"/>
  <c r="M59" i="73"/>
  <c r="D243" i="76"/>
  <c r="E244" i="76"/>
  <c r="K369" i="76"/>
  <c r="M369" i="76"/>
  <c r="L369" i="76"/>
  <c r="K242" i="76"/>
  <c r="L242" i="76"/>
  <c r="M242" i="76"/>
  <c r="K253" i="80"/>
  <c r="M253" i="80"/>
  <c r="L253" i="80"/>
  <c r="I253" i="80"/>
  <c r="H253" i="80"/>
  <c r="F254" i="80"/>
  <c r="G253" i="80"/>
  <c r="E254" i="80"/>
  <c r="D254" i="80" s="1"/>
  <c r="F370" i="76"/>
  <c r="H369" i="76"/>
  <c r="G369" i="76"/>
  <c r="E370" i="76"/>
  <c r="D370" i="76" s="1"/>
  <c r="E28" i="41"/>
  <c r="S59" i="73"/>
  <c r="U59" i="73" s="1"/>
  <c r="N60" i="73"/>
  <c r="G58" i="65"/>
  <c r="H56" i="65"/>
  <c r="AA49" i="57"/>
  <c r="Z51" i="57" a="1"/>
  <c r="Z51" i="57" s="1"/>
  <c r="AA50" i="57" a="1"/>
  <c r="F28" i="41"/>
  <c r="H27" i="41"/>
  <c r="K27" i="41"/>
  <c r="G27" i="41"/>
  <c r="O60" i="73" l="1"/>
  <c r="K370" i="76"/>
  <c r="L370" i="76"/>
  <c r="M370" i="76"/>
  <c r="D244" i="76"/>
  <c r="E245" i="76"/>
  <c r="K243" i="76"/>
  <c r="M243" i="76"/>
  <c r="L243" i="76"/>
  <c r="L254" i="80"/>
  <c r="K254" i="80"/>
  <c r="M254" i="80"/>
  <c r="I254" i="80"/>
  <c r="H254" i="80"/>
  <c r="F255" i="80"/>
  <c r="G254" i="80"/>
  <c r="E255" i="80"/>
  <c r="D255" i="80" s="1"/>
  <c r="F371" i="76"/>
  <c r="H370" i="76"/>
  <c r="G370" i="76"/>
  <c r="E371" i="76"/>
  <c r="D371" i="76" s="1"/>
  <c r="W59" i="73"/>
  <c r="T59" i="73"/>
  <c r="P60" i="73" s="1"/>
  <c r="V59" i="73"/>
  <c r="X59" i="73" s="1"/>
  <c r="G59" i="65"/>
  <c r="H57" i="65"/>
  <c r="AA50" i="57"/>
  <c r="Z52" i="57" a="1"/>
  <c r="Z52" i="57" s="1"/>
  <c r="AA51" i="57" a="1"/>
  <c r="AA51" i="57" s="1"/>
  <c r="F29" i="41"/>
  <c r="K28" i="41"/>
  <c r="G28" i="41"/>
  <c r="H28" i="41"/>
  <c r="E29" i="41"/>
  <c r="M28" i="48"/>
  <c r="J32" i="53" s="1"/>
  <c r="L28" i="48"/>
  <c r="I32" i="53" s="1"/>
  <c r="K28" i="48"/>
  <c r="K26" i="48"/>
  <c r="K25" i="48"/>
  <c r="K24" i="48"/>
  <c r="D245" i="76" l="1"/>
  <c r="E246" i="76"/>
  <c r="K371" i="76"/>
  <c r="M371" i="76"/>
  <c r="L371" i="76"/>
  <c r="K244" i="76"/>
  <c r="M244" i="76"/>
  <c r="L244" i="76"/>
  <c r="H255" i="80"/>
  <c r="F256" i="80"/>
  <c r="G255" i="80"/>
  <c r="E256" i="80"/>
  <c r="D256" i="80" s="1"/>
  <c r="I255" i="80"/>
  <c r="M255" i="80"/>
  <c r="K255" i="80"/>
  <c r="L255" i="80"/>
  <c r="F372" i="76"/>
  <c r="E372" i="76"/>
  <c r="D372" i="76" s="1"/>
  <c r="G371" i="76"/>
  <c r="H371" i="76"/>
  <c r="Q60" i="73"/>
  <c r="R60" i="73" s="1"/>
  <c r="X60" i="73" s="1"/>
  <c r="G60" i="65"/>
  <c r="H58" i="65"/>
  <c r="Z53" i="57" a="1"/>
  <c r="Z53" i="57" s="1"/>
  <c r="AA52" i="57" a="1"/>
  <c r="J30" i="53"/>
  <c r="I33" i="53" s="1"/>
  <c r="I34" i="53" s="1"/>
  <c r="I30" i="53"/>
  <c r="I29" i="53"/>
  <c r="E30" i="41"/>
  <c r="F30" i="41"/>
  <c r="H29" i="41"/>
  <c r="G29" i="41"/>
  <c r="K29" i="41"/>
  <c r="S22" i="44"/>
  <c r="T23" i="44"/>
  <c r="K35" i="44"/>
  <c r="L61" i="73" l="1"/>
  <c r="M61" i="73" s="1"/>
  <c r="J33" i="53"/>
  <c r="J34" i="53" s="1"/>
  <c r="N32" i="53" s="1"/>
  <c r="N29" i="53" s="1"/>
  <c r="D246" i="76"/>
  <c r="E247" i="76"/>
  <c r="K372" i="76"/>
  <c r="M372" i="76"/>
  <c r="L372" i="76"/>
  <c r="K245" i="76"/>
  <c r="M245" i="76"/>
  <c r="L245" i="76"/>
  <c r="F257" i="80"/>
  <c r="G256" i="80"/>
  <c r="E257" i="80"/>
  <c r="D257" i="80" s="1"/>
  <c r="I256" i="80"/>
  <c r="H256" i="80"/>
  <c r="M256" i="80"/>
  <c r="L256" i="80"/>
  <c r="K256" i="80"/>
  <c r="F373" i="76"/>
  <c r="H372" i="76"/>
  <c r="E373" i="76"/>
  <c r="D373" i="76" s="1"/>
  <c r="G372" i="76"/>
  <c r="W23" i="44"/>
  <c r="S60" i="73"/>
  <c r="W60" i="73" s="1"/>
  <c r="G61" i="65"/>
  <c r="H59" i="65"/>
  <c r="AA52" i="57"/>
  <c r="Z54" i="57" a="1"/>
  <c r="Z54" i="57" s="1"/>
  <c r="AA53" i="57" a="1"/>
  <c r="H35" i="52"/>
  <c r="J103" i="50"/>
  <c r="F31" i="41"/>
  <c r="H30" i="41"/>
  <c r="K30" i="41"/>
  <c r="G30" i="41"/>
  <c r="E31" i="41"/>
  <c r="M14" i="44"/>
  <c r="N14" i="44"/>
  <c r="K14" i="44"/>
  <c r="O14" i="44"/>
  <c r="L14" i="44"/>
  <c r="V26" i="44"/>
  <c r="X33" i="44" s="1"/>
  <c r="H35" i="44"/>
  <c r="N61" i="73" l="1"/>
  <c r="O61" i="73" s="1"/>
  <c r="L19" i="53"/>
  <c r="O32" i="53"/>
  <c r="I37" i="53" s="1"/>
  <c r="N38" i="53"/>
  <c r="N35" i="53" s="1"/>
  <c r="O38" i="53"/>
  <c r="J37" i="53" s="1"/>
  <c r="K35" i="52"/>
  <c r="R23" i="52" s="1"/>
  <c r="R24" i="52" s="1"/>
  <c r="R29" i="52" s="1"/>
  <c r="K373" i="76"/>
  <c r="M373" i="76"/>
  <c r="L373" i="76"/>
  <c r="D247" i="76"/>
  <c r="E248" i="76"/>
  <c r="K246" i="76"/>
  <c r="L246" i="76"/>
  <c r="M246" i="76"/>
  <c r="M257" i="80"/>
  <c r="L257" i="80"/>
  <c r="K257" i="80"/>
  <c r="E258" i="80"/>
  <c r="D258" i="80" s="1"/>
  <c r="I257" i="80"/>
  <c r="F258" i="80"/>
  <c r="H257" i="80"/>
  <c r="G257" i="80"/>
  <c r="F374" i="76"/>
  <c r="G373" i="76"/>
  <c r="H373" i="76"/>
  <c r="E374" i="76"/>
  <c r="D374" i="76" s="1"/>
  <c r="E32" i="41"/>
  <c r="V60" i="73"/>
  <c r="T60" i="73"/>
  <c r="P61" i="73" s="1"/>
  <c r="U60" i="73"/>
  <c r="G62" i="65"/>
  <c r="H60" i="65"/>
  <c r="AA53" i="57"/>
  <c r="Z55" i="57" a="1"/>
  <c r="Z55" i="57" s="1"/>
  <c r="AA54" i="57" a="1"/>
  <c r="AA54" i="57" s="1"/>
  <c r="N30" i="53"/>
  <c r="O29" i="53"/>
  <c r="F32" i="41"/>
  <c r="H31" i="41"/>
  <c r="K31" i="41"/>
  <c r="G31" i="41"/>
  <c r="R22" i="44"/>
  <c r="N17" i="44" s="1"/>
  <c r="O35" i="53" l="1"/>
  <c r="N17" i="52"/>
  <c r="S24" i="52"/>
  <c r="S29" i="52" s="1"/>
  <c r="Q61" i="73"/>
  <c r="R61" i="73" s="1"/>
  <c r="S61" i="73" s="1"/>
  <c r="W61" i="73" s="1"/>
  <c r="D248" i="76"/>
  <c r="E249" i="76"/>
  <c r="K374" i="76"/>
  <c r="L374" i="76"/>
  <c r="M374" i="76"/>
  <c r="K247" i="76"/>
  <c r="M247" i="76"/>
  <c r="L247" i="76"/>
  <c r="I258" i="80"/>
  <c r="E259" i="80"/>
  <c r="D259" i="80" s="1"/>
  <c r="H258" i="80"/>
  <c r="G258" i="80"/>
  <c r="F259" i="80"/>
  <c r="M258" i="80"/>
  <c r="L258" i="80"/>
  <c r="K258" i="80"/>
  <c r="F375" i="76"/>
  <c r="H374" i="76"/>
  <c r="G374" i="76"/>
  <c r="E375" i="76"/>
  <c r="D375" i="76" s="1"/>
  <c r="G63" i="65"/>
  <c r="H61" i="65"/>
  <c r="Z56" i="57" a="1"/>
  <c r="Z56" i="57" s="1"/>
  <c r="AA55" i="57" a="1"/>
  <c r="R28" i="52"/>
  <c r="R26" i="52"/>
  <c r="R27" i="52"/>
  <c r="W27" i="52" s="1"/>
  <c r="R30" i="52"/>
  <c r="O30" i="53"/>
  <c r="I35" i="53" s="1"/>
  <c r="N31" i="53"/>
  <c r="O31" i="53"/>
  <c r="I36" i="53" s="1"/>
  <c r="N36" i="53"/>
  <c r="O36" i="53"/>
  <c r="J35" i="53" s="1"/>
  <c r="I117" i="50"/>
  <c r="F103" i="50"/>
  <c r="F33" i="41"/>
  <c r="K32" i="41"/>
  <c r="G32" i="41"/>
  <c r="H32" i="41"/>
  <c r="E33" i="41"/>
  <c r="S23" i="44"/>
  <c r="R23" i="44"/>
  <c r="X61" i="73" l="1"/>
  <c r="L62" i="73"/>
  <c r="S30" i="52"/>
  <c r="S27" i="52"/>
  <c r="X27" i="52" s="1"/>
  <c r="S26" i="52"/>
  <c r="V29" i="52" s="1"/>
  <c r="W29" i="52" s="1"/>
  <c r="S28" i="52"/>
  <c r="K375" i="76"/>
  <c r="M375" i="76"/>
  <c r="L375" i="76"/>
  <c r="D249" i="76"/>
  <c r="E250" i="76"/>
  <c r="K248" i="76"/>
  <c r="M248" i="76"/>
  <c r="L248" i="76"/>
  <c r="M259" i="80"/>
  <c r="L259" i="80"/>
  <c r="K259" i="80"/>
  <c r="I259" i="80"/>
  <c r="H259" i="80"/>
  <c r="E260" i="80"/>
  <c r="D260" i="80" s="1"/>
  <c r="F260" i="80"/>
  <c r="G259" i="80"/>
  <c r="F376" i="76"/>
  <c r="H375" i="76"/>
  <c r="G375" i="76"/>
  <c r="E376" i="76"/>
  <c r="D376" i="76" s="1"/>
  <c r="E34" i="41"/>
  <c r="V61" i="73"/>
  <c r="T61" i="73"/>
  <c r="P62" i="73" s="1"/>
  <c r="U61" i="73"/>
  <c r="G64" i="65"/>
  <c r="H62" i="65"/>
  <c r="AA55" i="57"/>
  <c r="Z57" i="57" a="1"/>
  <c r="Z57" i="57" s="1"/>
  <c r="AA56" i="57" a="1"/>
  <c r="O37" i="53"/>
  <c r="J36" i="53" s="1"/>
  <c r="N37" i="53"/>
  <c r="F34" i="41"/>
  <c r="H33" i="41"/>
  <c r="K33" i="41"/>
  <c r="G33" i="41"/>
  <c r="S25" i="44"/>
  <c r="V27" i="44" s="1"/>
  <c r="W33" i="44" s="1"/>
  <c r="R26" i="44"/>
  <c r="W26" i="44" s="1"/>
  <c r="S26" i="44"/>
  <c r="X26" i="44" s="1"/>
  <c r="S27" i="44"/>
  <c r="R28" i="44"/>
  <c r="R29" i="44"/>
  <c r="R27" i="44"/>
  <c r="R25" i="44"/>
  <c r="S28" i="44"/>
  <c r="S29" i="44"/>
  <c r="V30" i="52" l="1"/>
  <c r="W30" i="52" s="1"/>
  <c r="N62" i="73"/>
  <c r="O62" i="73" s="1"/>
  <c r="Q62" i="73" s="1"/>
  <c r="R62" i="73" s="1"/>
  <c r="S62" i="73" s="1"/>
  <c r="M62" i="73"/>
  <c r="V28" i="52"/>
  <c r="W34" i="52" s="1"/>
  <c r="X29" i="52"/>
  <c r="D250" i="76"/>
  <c r="E251" i="76"/>
  <c r="K376" i="76"/>
  <c r="M376" i="76"/>
  <c r="L376" i="76"/>
  <c r="K249" i="76"/>
  <c r="M249" i="76"/>
  <c r="L249" i="76"/>
  <c r="I260" i="80"/>
  <c r="H260" i="80"/>
  <c r="F261" i="80"/>
  <c r="G260" i="80"/>
  <c r="E261" i="80"/>
  <c r="D261" i="80" s="1"/>
  <c r="L260" i="80"/>
  <c r="K260" i="80"/>
  <c r="M260" i="80"/>
  <c r="F377" i="76"/>
  <c r="H376" i="76"/>
  <c r="G376" i="76"/>
  <c r="E377" i="76"/>
  <c r="D377" i="76" s="1"/>
  <c r="G65" i="65"/>
  <c r="H63" i="65"/>
  <c r="AA56" i="57"/>
  <c r="Z58" i="57" a="1"/>
  <c r="Z58" i="57" s="1"/>
  <c r="AA57" i="57" a="1"/>
  <c r="F35" i="41"/>
  <c r="K34" i="41"/>
  <c r="G34" i="41"/>
  <c r="H34" i="41"/>
  <c r="E35" i="41"/>
  <c r="W27" i="44"/>
  <c r="V28" i="44"/>
  <c r="W28" i="44" s="1"/>
  <c r="V29" i="44"/>
  <c r="X28" i="52" l="1"/>
  <c r="V34" i="52" s="1"/>
  <c r="E36" i="41"/>
  <c r="W28" i="52"/>
  <c r="U34" i="52" s="1"/>
  <c r="X30" i="52"/>
  <c r="W62" i="73"/>
  <c r="L63" i="73"/>
  <c r="N63" i="73" s="1"/>
  <c r="O63" i="73" s="1"/>
  <c r="V62" i="73"/>
  <c r="X62" i="73"/>
  <c r="T62" i="73"/>
  <c r="P63" i="73" s="1"/>
  <c r="U62" i="73"/>
  <c r="K377" i="76"/>
  <c r="M377" i="76"/>
  <c r="L377" i="76"/>
  <c r="D251" i="76"/>
  <c r="E252" i="76"/>
  <c r="K250" i="76"/>
  <c r="L250" i="76"/>
  <c r="M250" i="76"/>
  <c r="I261" i="80"/>
  <c r="H261" i="80"/>
  <c r="F262" i="80"/>
  <c r="G261" i="80"/>
  <c r="E262" i="80"/>
  <c r="D262" i="80" s="1"/>
  <c r="K261" i="80"/>
  <c r="M261" i="80"/>
  <c r="L261" i="80"/>
  <c r="F378" i="76"/>
  <c r="H377" i="76"/>
  <c r="G377" i="76"/>
  <c r="E378" i="76"/>
  <c r="D378" i="76" s="1"/>
  <c r="G66" i="65"/>
  <c r="H64" i="65"/>
  <c r="AA57" i="57"/>
  <c r="Z59" i="57" a="1"/>
  <c r="Z59" i="57" s="1"/>
  <c r="AA58" i="57" a="1"/>
  <c r="F36" i="41"/>
  <c r="H35" i="41"/>
  <c r="K35" i="41"/>
  <c r="G35" i="41"/>
  <c r="U33" i="44"/>
  <c r="X28" i="44"/>
  <c r="X29" i="44"/>
  <c r="W29" i="44"/>
  <c r="X27" i="44"/>
  <c r="X31" i="52" l="1"/>
  <c r="W31" i="52"/>
  <c r="M63" i="73"/>
  <c r="Q63" i="73"/>
  <c r="R63" i="73" s="1"/>
  <c r="X63" i="73" s="1"/>
  <c r="D252" i="76"/>
  <c r="E253" i="76"/>
  <c r="K378" i="76"/>
  <c r="L378" i="76"/>
  <c r="M378" i="76"/>
  <c r="K251" i="76"/>
  <c r="M251" i="76"/>
  <c r="L251" i="76"/>
  <c r="K262" i="80"/>
  <c r="M262" i="80"/>
  <c r="L262" i="80"/>
  <c r="I262" i="80"/>
  <c r="H262" i="80"/>
  <c r="F263" i="80"/>
  <c r="G262" i="80"/>
  <c r="E263" i="80"/>
  <c r="D263" i="80" s="1"/>
  <c r="F379" i="76"/>
  <c r="H378" i="76"/>
  <c r="G378" i="76"/>
  <c r="E379" i="76"/>
  <c r="D379" i="76" s="1"/>
  <c r="G67" i="65"/>
  <c r="H65" i="65"/>
  <c r="AA58" i="57"/>
  <c r="Z60" i="57" a="1"/>
  <c r="Z60" i="57" s="1"/>
  <c r="AA59" i="57" a="1"/>
  <c r="W32" i="52"/>
  <c r="W35" i="52" s="1"/>
  <c r="N16" i="52" s="1"/>
  <c r="F37" i="41"/>
  <c r="K36" i="41"/>
  <c r="H36" i="41"/>
  <c r="G36" i="41"/>
  <c r="E37" i="41"/>
  <c r="W30" i="44"/>
  <c r="V33" i="44"/>
  <c r="X30" i="44"/>
  <c r="S32" i="52" l="1"/>
  <c r="S33" i="52" s="1"/>
  <c r="S34" i="52" s="1"/>
  <c r="S35" i="52" s="1"/>
  <c r="K15" i="52" s="1"/>
  <c r="S63" i="73"/>
  <c r="U63" i="73" s="1"/>
  <c r="L64" i="73"/>
  <c r="N64" i="73" s="1"/>
  <c r="K252" i="76"/>
  <c r="M252" i="76"/>
  <c r="L252" i="76"/>
  <c r="K379" i="76"/>
  <c r="M379" i="76"/>
  <c r="L379" i="76"/>
  <c r="D253" i="76"/>
  <c r="E254" i="76"/>
  <c r="M263" i="80"/>
  <c r="K263" i="80"/>
  <c r="L263" i="80"/>
  <c r="H263" i="80"/>
  <c r="F264" i="80"/>
  <c r="G263" i="80"/>
  <c r="E264" i="80"/>
  <c r="D264" i="80" s="1"/>
  <c r="I263" i="80"/>
  <c r="F380" i="76"/>
  <c r="E380" i="76"/>
  <c r="D380" i="76" s="1"/>
  <c r="H379" i="76"/>
  <c r="G379" i="76"/>
  <c r="G68" i="65"/>
  <c r="H66" i="65"/>
  <c r="AA59" i="57"/>
  <c r="Z61" i="57" a="1"/>
  <c r="Z61" i="57" s="1"/>
  <c r="AA60" i="57" a="1"/>
  <c r="E38" i="41"/>
  <c r="F38" i="41"/>
  <c r="H37" i="41"/>
  <c r="G37" i="41"/>
  <c r="K37" i="41"/>
  <c r="S31" i="44"/>
  <c r="S32" i="44" s="1"/>
  <c r="W31" i="44"/>
  <c r="N103" i="50" s="1"/>
  <c r="W63" i="73" l="1"/>
  <c r="O64" i="73"/>
  <c r="M64" i="73"/>
  <c r="T63" i="73"/>
  <c r="P64" i="73" s="1"/>
  <c r="V63" i="73"/>
  <c r="K380" i="76"/>
  <c r="M380" i="76"/>
  <c r="L380" i="76"/>
  <c r="D254" i="76"/>
  <c r="E255" i="76"/>
  <c r="K253" i="76"/>
  <c r="L253" i="76"/>
  <c r="M253" i="76"/>
  <c r="M264" i="80"/>
  <c r="L264" i="80"/>
  <c r="K264" i="80"/>
  <c r="F265" i="80"/>
  <c r="G264" i="80"/>
  <c r="E265" i="80"/>
  <c r="D265" i="80" s="1"/>
  <c r="H264" i="80"/>
  <c r="I264" i="80"/>
  <c r="F381" i="76"/>
  <c r="E381" i="76"/>
  <c r="D381" i="76" s="1"/>
  <c r="H380" i="76"/>
  <c r="G380" i="76"/>
  <c r="G69" i="65"/>
  <c r="H67" i="65"/>
  <c r="AA60" i="57"/>
  <c r="Z62" i="57" a="1"/>
  <c r="Z62" i="57" s="1"/>
  <c r="AA61" i="57" a="1"/>
  <c r="AA61" i="57" s="1"/>
  <c r="W34" i="44"/>
  <c r="N16" i="44" s="1"/>
  <c r="C113" i="50" s="1"/>
  <c r="F39" i="41"/>
  <c r="H38" i="41"/>
  <c r="G38" i="41"/>
  <c r="K38" i="41"/>
  <c r="E39" i="41"/>
  <c r="S33" i="44"/>
  <c r="S34" i="44" s="1"/>
  <c r="K15" i="44" s="1"/>
  <c r="I116" i="50" s="1"/>
  <c r="K381" i="76" l="1"/>
  <c r="L381" i="76"/>
  <c r="M381" i="76"/>
  <c r="D255" i="76"/>
  <c r="E256" i="76"/>
  <c r="K254" i="76"/>
  <c r="L254" i="76"/>
  <c r="M254" i="76"/>
  <c r="E266" i="80"/>
  <c r="D266" i="80" s="1"/>
  <c r="F266" i="80"/>
  <c r="G265" i="80"/>
  <c r="I265" i="80"/>
  <c r="H265" i="80"/>
  <c r="M265" i="80"/>
  <c r="L265" i="80"/>
  <c r="K265" i="80"/>
  <c r="F382" i="76"/>
  <c r="G381" i="76"/>
  <c r="E382" i="76"/>
  <c r="D382" i="76" s="1"/>
  <c r="H381" i="76"/>
  <c r="E40" i="41"/>
  <c r="Q64" i="73"/>
  <c r="R64" i="73" s="1"/>
  <c r="S64" i="73" s="1"/>
  <c r="W64" i="73" s="1"/>
  <c r="G70" i="65"/>
  <c r="H68" i="65"/>
  <c r="Z63" i="57" a="1"/>
  <c r="Z63" i="57" s="1"/>
  <c r="AA62" i="57" a="1"/>
  <c r="L113" i="50"/>
  <c r="H113" i="50"/>
  <c r="E113" i="50"/>
  <c r="F40" i="41"/>
  <c r="H39" i="41"/>
  <c r="K39" i="41"/>
  <c r="G39" i="41"/>
  <c r="E41" i="41" l="1"/>
  <c r="D256" i="76"/>
  <c r="E257" i="76"/>
  <c r="K255" i="76"/>
  <c r="M255" i="76"/>
  <c r="L255" i="76"/>
  <c r="K382" i="76"/>
  <c r="L382" i="76"/>
  <c r="M382" i="76"/>
  <c r="I266" i="80"/>
  <c r="F267" i="80"/>
  <c r="E267" i="80"/>
  <c r="D267" i="80" s="1"/>
  <c r="H266" i="80"/>
  <c r="G266" i="80"/>
  <c r="M266" i="80"/>
  <c r="L266" i="80"/>
  <c r="K266" i="80"/>
  <c r="F383" i="76"/>
  <c r="H382" i="76"/>
  <c r="G382" i="76"/>
  <c r="E383" i="76"/>
  <c r="D383" i="76" s="1"/>
  <c r="U64" i="73"/>
  <c r="V64" i="73"/>
  <c r="X64" i="73"/>
  <c r="T64" i="73"/>
  <c r="P65" i="73" s="1"/>
  <c r="L65" i="73"/>
  <c r="G71" i="65"/>
  <c r="H69" i="65"/>
  <c r="AA62" i="57"/>
  <c r="Z64" i="57" a="1"/>
  <c r="Z64" i="57" s="1"/>
  <c r="AA63" i="57" a="1"/>
  <c r="F41" i="41"/>
  <c r="K40" i="41"/>
  <c r="H40" i="41"/>
  <c r="G40" i="41"/>
  <c r="J27" i="40"/>
  <c r="J26" i="40"/>
  <c r="J25" i="40"/>
  <c r="J24" i="40"/>
  <c r="J23" i="40"/>
  <c r="J22" i="40"/>
  <c r="J21" i="40"/>
  <c r="J20" i="40"/>
  <c r="J19" i="40"/>
  <c r="J18" i="40"/>
  <c r="I27" i="40"/>
  <c r="I26" i="40"/>
  <c r="I25" i="40"/>
  <c r="I24" i="40"/>
  <c r="I23" i="40"/>
  <c r="I22" i="40"/>
  <c r="I21" i="40"/>
  <c r="I20" i="40"/>
  <c r="I19" i="40"/>
  <c r="I18" i="40"/>
  <c r="H18" i="40"/>
  <c r="H19" i="40" s="1"/>
  <c r="H20" i="40" s="1"/>
  <c r="H21" i="40" s="1"/>
  <c r="H22" i="40" s="1"/>
  <c r="H23" i="40" s="1"/>
  <c r="H24" i="40" s="1"/>
  <c r="H25" i="40" s="1"/>
  <c r="G18" i="40"/>
  <c r="G19" i="40" s="1"/>
  <c r="G20" i="40" s="1"/>
  <c r="G21" i="40" s="1"/>
  <c r="G22" i="40" s="1"/>
  <c r="G23" i="40" s="1"/>
  <c r="G24" i="40" s="1"/>
  <c r="G25" i="40" s="1"/>
  <c r="G26" i="40" s="1"/>
  <c r="G27" i="40" s="1"/>
  <c r="G28" i="40" s="1"/>
  <c r="G29" i="40" s="1"/>
  <c r="G30" i="40" s="1"/>
  <c r="G31" i="40" s="1"/>
  <c r="G32" i="40" s="1"/>
  <c r="G33" i="40" s="1"/>
  <c r="F18" i="40"/>
  <c r="F19" i="40" s="1"/>
  <c r="F20" i="40" s="1"/>
  <c r="F21" i="40" s="1"/>
  <c r="F22" i="40" s="1"/>
  <c r="F23" i="40" s="1"/>
  <c r="F24" i="40" s="1"/>
  <c r="F25" i="40" s="1"/>
  <c r="F26" i="40" s="1"/>
  <c r="F27" i="40" s="1"/>
  <c r="F28" i="40" s="1"/>
  <c r="F29" i="40" s="1"/>
  <c r="F30" i="40" s="1"/>
  <c r="F31" i="40" s="1"/>
  <c r="F32" i="40" s="1"/>
  <c r="F33" i="40" s="1"/>
  <c r="E35" i="40"/>
  <c r="E18" i="40"/>
  <c r="E19" i="40" s="1"/>
  <c r="E20" i="40" s="1"/>
  <c r="E21" i="40" s="1"/>
  <c r="E22" i="40" s="1"/>
  <c r="E23" i="40" s="1"/>
  <c r="E24" i="40" s="1"/>
  <c r="E25" i="40" s="1"/>
  <c r="E26" i="40" s="1"/>
  <c r="E27" i="40" s="1"/>
  <c r="E28" i="40" s="1"/>
  <c r="E29" i="40" s="1"/>
  <c r="E30" i="40" s="1"/>
  <c r="E31" i="40" s="1"/>
  <c r="E32" i="40" s="1"/>
  <c r="E33" i="40" s="1"/>
  <c r="E42" i="41" l="1"/>
  <c r="D257" i="76"/>
  <c r="E258" i="76"/>
  <c r="K383" i="76"/>
  <c r="M383" i="76"/>
  <c r="L383" i="76"/>
  <c r="K256" i="76"/>
  <c r="M256" i="76"/>
  <c r="L256" i="76"/>
  <c r="M267" i="80"/>
  <c r="L267" i="80"/>
  <c r="K267" i="80"/>
  <c r="I267" i="80"/>
  <c r="H267" i="80"/>
  <c r="F268" i="80"/>
  <c r="E268" i="80"/>
  <c r="D268" i="80" s="1"/>
  <c r="G267" i="80"/>
  <c r="H383" i="76"/>
  <c r="G383" i="76"/>
  <c r="M65" i="73"/>
  <c r="N65" i="73"/>
  <c r="G72" i="65"/>
  <c r="H70" i="65"/>
  <c r="AA63" i="57"/>
  <c r="Z65" i="57" a="1"/>
  <c r="Z65" i="57" s="1"/>
  <c r="Z66" i="57" s="1" a="1"/>
  <c r="Z66" i="57" s="1"/>
  <c r="AA64" i="57" a="1"/>
  <c r="F42" i="41"/>
  <c r="H41" i="41"/>
  <c r="K41" i="41"/>
  <c r="G41" i="41"/>
  <c r="H26" i="40"/>
  <c r="H27" i="40" s="1"/>
  <c r="H28" i="40" s="1"/>
  <c r="H29" i="40" s="1"/>
  <c r="H30" i="40" s="1"/>
  <c r="H31" i="40" s="1"/>
  <c r="H32" i="40" s="1"/>
  <c r="H33" i="40" s="1"/>
  <c r="E43" i="41" l="1"/>
  <c r="O65" i="73"/>
  <c r="Q65" i="73" s="1"/>
  <c r="R65" i="73" s="1"/>
  <c r="K257" i="76"/>
  <c r="M257" i="76"/>
  <c r="L257" i="76"/>
  <c r="D258" i="76"/>
  <c r="E259" i="76"/>
  <c r="Q18" i="76"/>
  <c r="Q19" i="76"/>
  <c r="P18" i="76"/>
  <c r="Q20" i="76"/>
  <c r="P19" i="76"/>
  <c r="P20" i="76"/>
  <c r="Q21" i="76"/>
  <c r="Q25" i="76"/>
  <c r="Q23" i="76"/>
  <c r="Q22" i="76"/>
  <c r="P21" i="76"/>
  <c r="P22" i="76"/>
  <c r="Q24" i="76"/>
  <c r="P25" i="76"/>
  <c r="P23" i="76"/>
  <c r="P24" i="76"/>
  <c r="P26" i="76"/>
  <c r="Q26" i="76"/>
  <c r="L268" i="80"/>
  <c r="K268" i="80"/>
  <c r="M268" i="80"/>
  <c r="I268" i="80"/>
  <c r="H268" i="80"/>
  <c r="F269" i="80"/>
  <c r="G268" i="80"/>
  <c r="E269" i="80"/>
  <c r="D269" i="80" s="1"/>
  <c r="G73" i="65"/>
  <c r="H71" i="65"/>
  <c r="AA66" i="57" a="1"/>
  <c r="AA66" i="57" s="1"/>
  <c r="Z67" i="57" a="1"/>
  <c r="Z67" i="57" s="1"/>
  <c r="AA67" i="57" s="1" a="1"/>
  <c r="AA67" i="57" s="1"/>
  <c r="AA64" i="57"/>
  <c r="AA65" i="57" a="1"/>
  <c r="F43" i="41"/>
  <c r="K42" i="41"/>
  <c r="H42" i="41"/>
  <c r="G42" i="41"/>
  <c r="I22" i="41"/>
  <c r="I23" i="41" s="1"/>
  <c r="I24" i="41" s="1"/>
  <c r="I25" i="41" s="1"/>
  <c r="I26" i="41" s="1"/>
  <c r="I27" i="41" s="1"/>
  <c r="I28" i="41" s="1"/>
  <c r="I29" i="41" s="1"/>
  <c r="I30" i="41" s="1"/>
  <c r="I31" i="41" s="1"/>
  <c r="I32" i="41" s="1"/>
  <c r="I33" i="41" s="1"/>
  <c r="I34" i="41" s="1"/>
  <c r="I35" i="41" s="1"/>
  <c r="I36" i="41" s="1"/>
  <c r="I37" i="41" s="1"/>
  <c r="I38" i="41" s="1"/>
  <c r="I39" i="41" s="1"/>
  <c r="I40" i="41" s="1"/>
  <c r="I41" i="41" s="1"/>
  <c r="E44" i="41" l="1"/>
  <c r="L66" i="73"/>
  <c r="S65" i="73"/>
  <c r="U65" i="73" s="1"/>
  <c r="X65" i="73"/>
  <c r="D259" i="76"/>
  <c r="E260" i="76"/>
  <c r="K258" i="76"/>
  <c r="M258" i="76"/>
  <c r="L258" i="76"/>
  <c r="K269" i="80"/>
  <c r="L269" i="80"/>
  <c r="M269" i="80"/>
  <c r="I269" i="80"/>
  <c r="H269" i="80"/>
  <c r="F270" i="80"/>
  <c r="G269" i="80"/>
  <c r="E270" i="80"/>
  <c r="D270" i="80" s="1"/>
  <c r="I42" i="41"/>
  <c r="G74" i="65"/>
  <c r="H72" i="65"/>
  <c r="Z68" i="57" a="1"/>
  <c r="Z68" i="57" s="1"/>
  <c r="AA68" i="57" s="1" a="1"/>
  <c r="AA68" i="57" s="1"/>
  <c r="AA65" i="57"/>
  <c r="F44" i="41"/>
  <c r="H43" i="41"/>
  <c r="K43" i="41"/>
  <c r="G43" i="41"/>
  <c r="W65" i="73" l="1"/>
  <c r="T65" i="73"/>
  <c r="P66" i="73" s="1"/>
  <c r="V65" i="73"/>
  <c r="M66" i="73"/>
  <c r="N66" i="73"/>
  <c r="O66" i="73" s="1"/>
  <c r="D260" i="76"/>
  <c r="E261" i="76"/>
  <c r="K259" i="76"/>
  <c r="M259" i="76"/>
  <c r="L259" i="76"/>
  <c r="L270" i="80"/>
  <c r="K270" i="80"/>
  <c r="M270" i="80"/>
  <c r="I270" i="80"/>
  <c r="H270" i="80"/>
  <c r="F271" i="80"/>
  <c r="G270" i="80"/>
  <c r="E271" i="80"/>
  <c r="D271" i="80" s="1"/>
  <c r="I43" i="41"/>
  <c r="G75" i="65"/>
  <c r="H73" i="65"/>
  <c r="F45" i="41"/>
  <c r="K44" i="41"/>
  <c r="G44" i="41"/>
  <c r="H44" i="41"/>
  <c r="E45" i="41"/>
  <c r="I44" i="41" l="1"/>
  <c r="Q66" i="73"/>
  <c r="R66" i="73" s="1"/>
  <c r="S66" i="73" s="1"/>
  <c r="V66" i="73" s="1"/>
  <c r="D261" i="76"/>
  <c r="E262" i="76"/>
  <c r="D262" i="76" s="1"/>
  <c r="K260" i="76"/>
  <c r="M260" i="76"/>
  <c r="L260" i="76"/>
  <c r="M271" i="80"/>
  <c r="L271" i="80"/>
  <c r="K271" i="80"/>
  <c r="H271" i="80"/>
  <c r="F272" i="80"/>
  <c r="G271" i="80"/>
  <c r="E272" i="80"/>
  <c r="D272" i="80" s="1"/>
  <c r="I271" i="80"/>
  <c r="I263" i="76"/>
  <c r="G76" i="65"/>
  <c r="H74" i="65"/>
  <c r="E46" i="41"/>
  <c r="F46" i="41"/>
  <c r="H45" i="41"/>
  <c r="G45" i="41"/>
  <c r="K45" i="41"/>
  <c r="L41" i="39"/>
  <c r="N9" i="64" s="1"/>
  <c r="E41" i="39"/>
  <c r="L40" i="39"/>
  <c r="E40" i="39"/>
  <c r="L39" i="39"/>
  <c r="E39" i="39"/>
  <c r="L38" i="39"/>
  <c r="G37" i="39"/>
  <c r="L67" i="73" l="1"/>
  <c r="N67" i="73" s="1"/>
  <c r="I45" i="41"/>
  <c r="W66" i="73"/>
  <c r="T66" i="73"/>
  <c r="P67" i="73" s="1"/>
  <c r="U66" i="73"/>
  <c r="X66" i="73"/>
  <c r="K262" i="76"/>
  <c r="L262" i="76"/>
  <c r="M262" i="76"/>
  <c r="K261" i="76"/>
  <c r="L261" i="76"/>
  <c r="M261" i="76"/>
  <c r="M272" i="80"/>
  <c r="L272" i="80"/>
  <c r="K272" i="80"/>
  <c r="F273" i="80"/>
  <c r="G272" i="80"/>
  <c r="E273" i="80"/>
  <c r="D273" i="80" s="1"/>
  <c r="I272" i="80"/>
  <c r="H272" i="80"/>
  <c r="I264" i="76"/>
  <c r="G291" i="66"/>
  <c r="G252" i="66"/>
  <c r="G77" i="65"/>
  <c r="H75" i="65"/>
  <c r="F47" i="41"/>
  <c r="H46" i="41"/>
  <c r="K46" i="41"/>
  <c r="G46" i="41"/>
  <c r="E47" i="41"/>
  <c r="G17" i="39"/>
  <c r="D17" i="39"/>
  <c r="G16" i="39"/>
  <c r="D16" i="39"/>
  <c r="G15" i="39"/>
  <c r="D15" i="39"/>
  <c r="G14" i="39"/>
  <c r="D14" i="39"/>
  <c r="M67" i="73" l="1"/>
  <c r="I46" i="41"/>
  <c r="E48" i="41"/>
  <c r="O67" i="73"/>
  <c r="Q67" i="73" s="1"/>
  <c r="R67" i="73" s="1"/>
  <c r="P27" i="76"/>
  <c r="M273" i="80"/>
  <c r="L273" i="80"/>
  <c r="K273" i="80"/>
  <c r="E274" i="80"/>
  <c r="D274" i="80" s="1"/>
  <c r="F274" i="80"/>
  <c r="G273" i="80"/>
  <c r="I273" i="80"/>
  <c r="H273" i="80"/>
  <c r="I265" i="76"/>
  <c r="G78" i="65"/>
  <c r="H76" i="65"/>
  <c r="F48" i="41"/>
  <c r="H47" i="41"/>
  <c r="I47" i="41" s="1"/>
  <c r="K47" i="41"/>
  <c r="G47" i="41"/>
  <c r="X67" i="73" l="1"/>
  <c r="S67" i="73"/>
  <c r="U67" i="73" s="1"/>
  <c r="L68" i="73"/>
  <c r="N68" i="73" s="1"/>
  <c r="F275" i="80"/>
  <c r="G274" i="80"/>
  <c r="E275" i="80"/>
  <c r="D275" i="80" s="1"/>
  <c r="I274" i="80"/>
  <c r="H274" i="80"/>
  <c r="M274" i="80"/>
  <c r="L274" i="80"/>
  <c r="K274" i="80"/>
  <c r="I266" i="76"/>
  <c r="G79" i="65"/>
  <c r="H77" i="65"/>
  <c r="F49" i="41"/>
  <c r="K48" i="41"/>
  <c r="G48" i="41"/>
  <c r="H48" i="41"/>
  <c r="I48" i="41" s="1"/>
  <c r="E49" i="41"/>
  <c r="W67" i="73" l="1"/>
  <c r="E50" i="41"/>
  <c r="O68" i="73"/>
  <c r="T67" i="73"/>
  <c r="P68" i="73" s="1"/>
  <c r="V67" i="73"/>
  <c r="M68" i="73"/>
  <c r="E276" i="80"/>
  <c r="D276" i="80" s="1"/>
  <c r="I275" i="80"/>
  <c r="H275" i="80"/>
  <c r="G275" i="80"/>
  <c r="F276" i="80"/>
  <c r="M275" i="80"/>
  <c r="L275" i="80"/>
  <c r="K275" i="80"/>
  <c r="I267" i="76"/>
  <c r="Q22" i="72"/>
  <c r="G80" i="65"/>
  <c r="G81" i="65" s="1"/>
  <c r="G82" i="65" s="1"/>
  <c r="H78" i="65"/>
  <c r="F50" i="41"/>
  <c r="H49" i="41"/>
  <c r="I49" i="41" s="1"/>
  <c r="K49" i="41"/>
  <c r="G49" i="41"/>
  <c r="Q68" i="73" l="1"/>
  <c r="R68" i="73" s="1"/>
  <c r="X68" i="73" s="1"/>
  <c r="L69" i="73"/>
  <c r="N69" i="73" s="1"/>
  <c r="M276" i="80"/>
  <c r="L276" i="80"/>
  <c r="K276" i="80"/>
  <c r="E277" i="80"/>
  <c r="D277" i="80" s="1"/>
  <c r="I276" i="80"/>
  <c r="H276" i="80"/>
  <c r="G276" i="80"/>
  <c r="F277" i="80"/>
  <c r="I268" i="76"/>
  <c r="R22" i="72"/>
  <c r="L23" i="72"/>
  <c r="G83" i="65"/>
  <c r="H81" i="65"/>
  <c r="H80" i="65"/>
  <c r="H79" i="65"/>
  <c r="F51" i="41"/>
  <c r="K50" i="41"/>
  <c r="G50" i="41"/>
  <c r="H50" i="41"/>
  <c r="I50" i="41" s="1"/>
  <c r="E51" i="41"/>
  <c r="E52" i="41" s="1"/>
  <c r="S68" i="73" l="1"/>
  <c r="U68" i="73" s="1"/>
  <c r="M69" i="73"/>
  <c r="F278" i="80"/>
  <c r="E278" i="80"/>
  <c r="D278" i="80" s="1"/>
  <c r="I277" i="80"/>
  <c r="H277" i="80"/>
  <c r="G277" i="80"/>
  <c r="M277" i="80"/>
  <c r="L277" i="80"/>
  <c r="K277" i="80"/>
  <c r="I269" i="76"/>
  <c r="M23" i="72"/>
  <c r="S22" i="72"/>
  <c r="U22" i="72"/>
  <c r="T22" i="72"/>
  <c r="G84" i="65"/>
  <c r="H82" i="65"/>
  <c r="F52" i="41"/>
  <c r="H51" i="41"/>
  <c r="I51" i="41" s="1"/>
  <c r="K51" i="41"/>
  <c r="G51" i="41"/>
  <c r="W68" i="73" l="1"/>
  <c r="O69" i="73"/>
  <c r="T68" i="73"/>
  <c r="P69" i="73" s="1"/>
  <c r="V68" i="73"/>
  <c r="L278" i="80"/>
  <c r="K278" i="80"/>
  <c r="M278" i="80"/>
  <c r="I278" i="80"/>
  <c r="G278" i="80"/>
  <c r="F279" i="80"/>
  <c r="E279" i="80"/>
  <c r="D279" i="80" s="1"/>
  <c r="H278" i="80"/>
  <c r="I270" i="76"/>
  <c r="N23" i="72"/>
  <c r="V22" i="72"/>
  <c r="W22" i="72" s="1"/>
  <c r="O23" i="72"/>
  <c r="G85" i="65"/>
  <c r="H83" i="65"/>
  <c r="F53" i="41"/>
  <c r="K52" i="41"/>
  <c r="H52" i="41"/>
  <c r="I52" i="41" s="1"/>
  <c r="G52" i="41"/>
  <c r="E53" i="41"/>
  <c r="E54" i="41" s="1"/>
  <c r="Q69" i="73" l="1"/>
  <c r="R69" i="73" s="1"/>
  <c r="S69" i="73" s="1"/>
  <c r="U69" i="73" s="1"/>
  <c r="X69" i="73"/>
  <c r="V69" i="73"/>
  <c r="L70" i="73"/>
  <c r="N70" i="73" s="1"/>
  <c r="K279" i="80"/>
  <c r="M279" i="80"/>
  <c r="L279" i="80"/>
  <c r="I279" i="80"/>
  <c r="H279" i="80"/>
  <c r="G279" i="80"/>
  <c r="E280" i="80"/>
  <c r="D280" i="80" s="1"/>
  <c r="F280" i="80"/>
  <c r="I271" i="76"/>
  <c r="P23" i="72"/>
  <c r="Q23" i="72" s="1"/>
  <c r="G86" i="65"/>
  <c r="H84" i="65"/>
  <c r="F54" i="41"/>
  <c r="H53" i="41"/>
  <c r="I53" i="41" s="1"/>
  <c r="G53" i="41"/>
  <c r="K53" i="41"/>
  <c r="W69" i="73" l="1"/>
  <c r="M70" i="73"/>
  <c r="O70" i="73"/>
  <c r="T69" i="73"/>
  <c r="P70" i="73" s="1"/>
  <c r="Q70" i="73" s="1"/>
  <c r="R70" i="73" s="1"/>
  <c r="X70" i="73" s="1"/>
  <c r="I280" i="80"/>
  <c r="H280" i="80"/>
  <c r="F281" i="80"/>
  <c r="G280" i="80"/>
  <c r="E281" i="80"/>
  <c r="D281" i="80" s="1"/>
  <c r="M280" i="80"/>
  <c r="L280" i="80"/>
  <c r="K280" i="80"/>
  <c r="I272" i="76"/>
  <c r="L71" i="73"/>
  <c r="M71" i="73" s="1"/>
  <c r="L24" i="72"/>
  <c r="R23" i="72"/>
  <c r="G87" i="65"/>
  <c r="H85" i="65"/>
  <c r="F55" i="41"/>
  <c r="H54" i="41"/>
  <c r="I54" i="41" s="1"/>
  <c r="G54" i="41"/>
  <c r="K54" i="41"/>
  <c r="E55" i="41"/>
  <c r="E56" i="41" s="1"/>
  <c r="S70" i="73" l="1"/>
  <c r="W70" i="73" s="1"/>
  <c r="M281" i="80"/>
  <c r="L281" i="80"/>
  <c r="K281" i="80"/>
  <c r="H281" i="80"/>
  <c r="F282" i="80"/>
  <c r="G281" i="80"/>
  <c r="E282" i="80"/>
  <c r="D282" i="80" s="1"/>
  <c r="I281" i="80"/>
  <c r="I273" i="76"/>
  <c r="V70" i="73"/>
  <c r="N71" i="73"/>
  <c r="T23" i="72"/>
  <c r="U23" i="72"/>
  <c r="M24" i="72"/>
  <c r="N24" i="72" s="1"/>
  <c r="S23" i="72"/>
  <c r="G88" i="65"/>
  <c r="H86" i="65"/>
  <c r="F56" i="41"/>
  <c r="H55" i="41"/>
  <c r="I55" i="41" s="1"/>
  <c r="K55" i="41"/>
  <c r="G55" i="41"/>
  <c r="O71" i="73" l="1"/>
  <c r="Q71" i="73" s="1"/>
  <c r="R71" i="73" s="1"/>
  <c r="X71" i="73" s="1"/>
  <c r="U70" i="73"/>
  <c r="T70" i="73"/>
  <c r="P71" i="73" s="1"/>
  <c r="K282" i="80"/>
  <c r="L282" i="80"/>
  <c r="M282" i="80"/>
  <c r="F283" i="80"/>
  <c r="G282" i="80"/>
  <c r="E283" i="80"/>
  <c r="D283" i="80" s="1"/>
  <c r="I282" i="80"/>
  <c r="H282" i="80"/>
  <c r="I274" i="76"/>
  <c r="O24" i="72"/>
  <c r="V23" i="72"/>
  <c r="W23" i="72" s="1"/>
  <c r="G89" i="65"/>
  <c r="H87" i="65"/>
  <c r="F57" i="41"/>
  <c r="K56" i="41"/>
  <c r="H56" i="41"/>
  <c r="I56" i="41" s="1"/>
  <c r="G56" i="41"/>
  <c r="E57" i="41"/>
  <c r="E58" i="41" s="1"/>
  <c r="L72" i="73" l="1"/>
  <c r="M72" i="73" s="1"/>
  <c r="S71" i="73"/>
  <c r="W71" i="73" s="1"/>
  <c r="M283" i="80"/>
  <c r="L283" i="80"/>
  <c r="K283" i="80"/>
  <c r="E284" i="80"/>
  <c r="D284" i="80" s="1"/>
  <c r="F284" i="80"/>
  <c r="I283" i="80"/>
  <c r="H283" i="80"/>
  <c r="G283" i="80"/>
  <c r="I275" i="76"/>
  <c r="P24" i="72"/>
  <c r="Q24" i="72" s="1"/>
  <c r="L25" i="72" s="1"/>
  <c r="G90" i="65"/>
  <c r="H88" i="65"/>
  <c r="F58" i="41"/>
  <c r="H57" i="41"/>
  <c r="I57" i="41" s="1"/>
  <c r="G57" i="41"/>
  <c r="K57" i="41"/>
  <c r="N72" i="73" l="1"/>
  <c r="O72" i="73" s="1"/>
  <c r="U71" i="73"/>
  <c r="T71" i="73"/>
  <c r="P72" i="73" s="1"/>
  <c r="V71" i="73"/>
  <c r="F285" i="80"/>
  <c r="E285" i="80"/>
  <c r="D285" i="80" s="1"/>
  <c r="G284" i="80"/>
  <c r="I284" i="80"/>
  <c r="H284" i="80"/>
  <c r="M284" i="80"/>
  <c r="L284" i="80"/>
  <c r="K284" i="80"/>
  <c r="I276" i="76"/>
  <c r="R24" i="72"/>
  <c r="S24" i="72" s="1"/>
  <c r="M25" i="72"/>
  <c r="G91" i="65"/>
  <c r="H89" i="65"/>
  <c r="F59" i="41"/>
  <c r="K58" i="41"/>
  <c r="H58" i="41"/>
  <c r="I58" i="41" s="1"/>
  <c r="G58" i="41"/>
  <c r="E59" i="41"/>
  <c r="E60" i="41" l="1"/>
  <c r="S72" i="73"/>
  <c r="V72" i="73" s="1"/>
  <c r="Q72" i="73"/>
  <c r="R72" i="73" s="1"/>
  <c r="X72" i="73" s="1"/>
  <c r="L73" i="73"/>
  <c r="M73" i="73" s="1"/>
  <c r="M285" i="80"/>
  <c r="L285" i="80"/>
  <c r="K285" i="80"/>
  <c r="H285" i="80"/>
  <c r="G285" i="80"/>
  <c r="F286" i="80"/>
  <c r="I285" i="80"/>
  <c r="E286" i="80"/>
  <c r="D286" i="80" s="1"/>
  <c r="I277" i="76"/>
  <c r="T24" i="72"/>
  <c r="U24" i="72"/>
  <c r="O25" i="72"/>
  <c r="V24" i="72"/>
  <c r="N25" i="72"/>
  <c r="G92" i="65"/>
  <c r="H90" i="65"/>
  <c r="F60" i="41"/>
  <c r="H59" i="41"/>
  <c r="I59" i="41" s="1"/>
  <c r="K59" i="41"/>
  <c r="G59" i="41"/>
  <c r="W72" i="73" l="1"/>
  <c r="U72" i="73"/>
  <c r="T72" i="73"/>
  <c r="P73" i="73" s="1"/>
  <c r="N73" i="73"/>
  <c r="O73" i="73" s="1"/>
  <c r="L286" i="80"/>
  <c r="K286" i="80"/>
  <c r="M286" i="80"/>
  <c r="I286" i="80"/>
  <c r="H286" i="80"/>
  <c r="G286" i="80"/>
  <c r="F287" i="80"/>
  <c r="E287" i="80"/>
  <c r="D287" i="80" s="1"/>
  <c r="I278" i="76"/>
  <c r="W24" i="72"/>
  <c r="P25" i="72"/>
  <c r="Q25" i="72" s="1"/>
  <c r="L26" i="72" s="1"/>
  <c r="M26" i="72" s="1"/>
  <c r="G93" i="65"/>
  <c r="H91" i="65"/>
  <c r="F61" i="41"/>
  <c r="K60" i="41"/>
  <c r="H60" i="41"/>
  <c r="I60" i="41" s="1"/>
  <c r="G60" i="41"/>
  <c r="E61" i="41"/>
  <c r="E62" i="41" l="1"/>
  <c r="Q73" i="73"/>
  <c r="R73" i="73" s="1"/>
  <c r="X73" i="73" s="1"/>
  <c r="I287" i="80"/>
  <c r="H287" i="80"/>
  <c r="F288" i="80"/>
  <c r="E288" i="80"/>
  <c r="D288" i="80" s="1"/>
  <c r="G287" i="80"/>
  <c r="K287" i="80"/>
  <c r="M287" i="80"/>
  <c r="L287" i="80"/>
  <c r="I279" i="76"/>
  <c r="R25" i="72"/>
  <c r="N26" i="72" s="1"/>
  <c r="G94" i="65"/>
  <c r="H92" i="65"/>
  <c r="F62" i="41"/>
  <c r="H61" i="41"/>
  <c r="I61" i="41" s="1"/>
  <c r="G61" i="41"/>
  <c r="K61" i="41"/>
  <c r="L74" i="73" l="1"/>
  <c r="N74" i="73" s="1"/>
  <c r="S73" i="73"/>
  <c r="T73" i="73" s="1"/>
  <c r="P74" i="73" s="1"/>
  <c r="M288" i="80"/>
  <c r="L288" i="80"/>
  <c r="K288" i="80"/>
  <c r="I288" i="80"/>
  <c r="H288" i="80"/>
  <c r="F289" i="80"/>
  <c r="G288" i="80"/>
  <c r="E289" i="80"/>
  <c r="D289" i="80" s="1"/>
  <c r="I280" i="76"/>
  <c r="S25" i="72"/>
  <c r="U25" i="72"/>
  <c r="T25" i="72"/>
  <c r="G95" i="65"/>
  <c r="H93" i="65"/>
  <c r="F63" i="41"/>
  <c r="H62" i="41"/>
  <c r="I62" i="41" s="1"/>
  <c r="K62" i="41"/>
  <c r="G62" i="41"/>
  <c r="E63" i="41"/>
  <c r="E64" i="41" l="1"/>
  <c r="V73" i="73"/>
  <c r="O74" i="73"/>
  <c r="Q74" i="73" s="1"/>
  <c r="R74" i="73" s="1"/>
  <c r="X74" i="73" s="1"/>
  <c r="U73" i="73"/>
  <c r="W73" i="73"/>
  <c r="M74" i="73"/>
  <c r="L75" i="73"/>
  <c r="L289" i="80"/>
  <c r="K289" i="80"/>
  <c r="M289" i="80"/>
  <c r="H289" i="80"/>
  <c r="F290" i="80"/>
  <c r="G289" i="80"/>
  <c r="E290" i="80"/>
  <c r="D290" i="80" s="1"/>
  <c r="I289" i="80"/>
  <c r="I281" i="76"/>
  <c r="V25" i="72"/>
  <c r="W25" i="72" s="1"/>
  <c r="O26" i="72"/>
  <c r="P26" i="72" s="1"/>
  <c r="Q26" i="72" s="1"/>
  <c r="G96" i="65"/>
  <c r="H94" i="65"/>
  <c r="F64" i="41"/>
  <c r="H63" i="41"/>
  <c r="I63" i="41" s="1"/>
  <c r="K63" i="41"/>
  <c r="G63" i="41"/>
  <c r="M75" i="73" l="1"/>
  <c r="S74" i="73"/>
  <c r="W74" i="73" s="1"/>
  <c r="V74" i="73"/>
  <c r="N75" i="73"/>
  <c r="M290" i="80"/>
  <c r="L290" i="80"/>
  <c r="K290" i="80"/>
  <c r="F291" i="80"/>
  <c r="G290" i="80"/>
  <c r="E291" i="80"/>
  <c r="D291" i="80" s="1"/>
  <c r="I290" i="80"/>
  <c r="H290" i="80"/>
  <c r="I282" i="76"/>
  <c r="L27" i="72"/>
  <c r="M27" i="72" s="1"/>
  <c r="R26" i="72"/>
  <c r="S26" i="72" s="1"/>
  <c r="O27" i="72" s="1"/>
  <c r="G97" i="65"/>
  <c r="H95" i="65"/>
  <c r="F65" i="41"/>
  <c r="K64" i="41"/>
  <c r="G64" i="41"/>
  <c r="H64" i="41"/>
  <c r="I64" i="41" s="1"/>
  <c r="E65" i="41"/>
  <c r="E66" i="41" s="1"/>
  <c r="U74" i="73" l="1"/>
  <c r="O75" i="73"/>
  <c r="T74" i="73"/>
  <c r="P75" i="73" s="1"/>
  <c r="L76" i="73"/>
  <c r="M291" i="80"/>
  <c r="L291" i="80"/>
  <c r="K291" i="80"/>
  <c r="E292" i="80"/>
  <c r="D292" i="80" s="1"/>
  <c r="G291" i="80"/>
  <c r="F292" i="80"/>
  <c r="I291" i="80"/>
  <c r="H291" i="80"/>
  <c r="I283" i="76"/>
  <c r="V26" i="72"/>
  <c r="N27" i="72"/>
  <c r="P27" i="72" s="1"/>
  <c r="Q27" i="72" s="1"/>
  <c r="R27" i="72" s="1"/>
  <c r="U26" i="72"/>
  <c r="T26" i="72"/>
  <c r="G98" i="65"/>
  <c r="H96" i="65"/>
  <c r="F66" i="41"/>
  <c r="H65" i="41"/>
  <c r="I65" i="41" s="1"/>
  <c r="K65" i="41"/>
  <c r="G65" i="41"/>
  <c r="Q75" i="73" l="1"/>
  <c r="R75" i="73" s="1"/>
  <c r="X75" i="73" s="1"/>
  <c r="S75" i="73"/>
  <c r="W75" i="73" s="1"/>
  <c r="V75" i="73"/>
  <c r="N76" i="73"/>
  <c r="M76" i="73"/>
  <c r="I292" i="80"/>
  <c r="H292" i="80"/>
  <c r="G292" i="80"/>
  <c r="F293" i="80"/>
  <c r="E293" i="80"/>
  <c r="D293" i="80" s="1"/>
  <c r="M292" i="80"/>
  <c r="L292" i="80"/>
  <c r="K292" i="80"/>
  <c r="I284" i="76"/>
  <c r="W26" i="72"/>
  <c r="L28" i="72"/>
  <c r="M28" i="72" s="1"/>
  <c r="S27" i="72"/>
  <c r="T27" i="72"/>
  <c r="U27" i="72"/>
  <c r="G99" i="65"/>
  <c r="H97" i="65"/>
  <c r="F67" i="41"/>
  <c r="K66" i="41"/>
  <c r="G66" i="41"/>
  <c r="H66" i="41"/>
  <c r="I66" i="41" s="1"/>
  <c r="E67" i="41"/>
  <c r="U75" i="73" l="1"/>
  <c r="T75" i="73"/>
  <c r="P76" i="73" s="1"/>
  <c r="O76" i="73"/>
  <c r="M293" i="80"/>
  <c r="L293" i="80"/>
  <c r="K293" i="80"/>
  <c r="E294" i="80"/>
  <c r="D294" i="80" s="1"/>
  <c r="I293" i="80"/>
  <c r="H293" i="80"/>
  <c r="G293" i="80"/>
  <c r="F294" i="80"/>
  <c r="E68" i="41"/>
  <c r="I285" i="76"/>
  <c r="O28" i="72"/>
  <c r="N28" i="72"/>
  <c r="V27" i="72"/>
  <c r="W27" i="72" s="1"/>
  <c r="G100" i="65"/>
  <c r="H98" i="65"/>
  <c r="F68" i="41"/>
  <c r="H67" i="41"/>
  <c r="I67" i="41" s="1"/>
  <c r="K67" i="41"/>
  <c r="G67" i="41"/>
  <c r="Q76" i="73" l="1"/>
  <c r="R76" i="73" s="1"/>
  <c r="I294" i="80"/>
  <c r="F295" i="80"/>
  <c r="E295" i="80"/>
  <c r="D295" i="80" s="1"/>
  <c r="H294" i="80"/>
  <c r="G294" i="80"/>
  <c r="L294" i="80"/>
  <c r="K294" i="80"/>
  <c r="M294" i="80"/>
  <c r="I286" i="76"/>
  <c r="P28" i="72"/>
  <c r="Q28" i="72" s="1"/>
  <c r="R28" i="72" s="1"/>
  <c r="G101" i="65"/>
  <c r="H99" i="65"/>
  <c r="F69" i="41"/>
  <c r="K68" i="41"/>
  <c r="H68" i="41"/>
  <c r="I68" i="41" s="1"/>
  <c r="G68" i="41"/>
  <c r="E69" i="41"/>
  <c r="X76" i="73" l="1"/>
  <c r="L77" i="73"/>
  <c r="S76" i="73"/>
  <c r="K295" i="80"/>
  <c r="L295" i="80"/>
  <c r="M295" i="80"/>
  <c r="I295" i="80"/>
  <c r="H295" i="80"/>
  <c r="G295" i="80"/>
  <c r="F296" i="80"/>
  <c r="E296" i="80"/>
  <c r="D296" i="80" s="1"/>
  <c r="E70" i="41"/>
  <c r="I287" i="76"/>
  <c r="S28" i="72"/>
  <c r="U28" i="72"/>
  <c r="T28" i="72"/>
  <c r="L29" i="72"/>
  <c r="M29" i="72" s="1"/>
  <c r="N29" i="72" s="1"/>
  <c r="G102" i="65"/>
  <c r="H100" i="65"/>
  <c r="F70" i="41"/>
  <c r="H69" i="41"/>
  <c r="I69" i="41" s="1"/>
  <c r="G69" i="41"/>
  <c r="K69" i="41"/>
  <c r="W76" i="73" l="1"/>
  <c r="V76" i="73"/>
  <c r="U76" i="73"/>
  <c r="M77" i="73"/>
  <c r="N77" i="73"/>
  <c r="O77" i="73" s="1"/>
  <c r="T76" i="73"/>
  <c r="P77" i="73" s="1"/>
  <c r="M296" i="80"/>
  <c r="L296" i="80"/>
  <c r="K296" i="80"/>
  <c r="I296" i="80"/>
  <c r="H296" i="80"/>
  <c r="F297" i="80"/>
  <c r="G296" i="80"/>
  <c r="E297" i="80"/>
  <c r="D297" i="80" s="1"/>
  <c r="I288" i="76"/>
  <c r="O29" i="72"/>
  <c r="P29" i="72" s="1"/>
  <c r="Q29" i="72" s="1"/>
  <c r="L30" i="72" s="1"/>
  <c r="V28" i="72"/>
  <c r="W28" i="72" s="1"/>
  <c r="G103" i="65"/>
  <c r="H101" i="65"/>
  <c r="F71" i="41"/>
  <c r="H70" i="41"/>
  <c r="I70" i="41" s="1"/>
  <c r="G70" i="41"/>
  <c r="K70" i="41"/>
  <c r="E71" i="41"/>
  <c r="E72" i="41" s="1"/>
  <c r="Q77" i="73" l="1"/>
  <c r="R77" i="73" s="1"/>
  <c r="M297" i="80"/>
  <c r="L297" i="80"/>
  <c r="K297" i="80"/>
  <c r="H297" i="80"/>
  <c r="F298" i="80"/>
  <c r="G297" i="80"/>
  <c r="E298" i="80"/>
  <c r="D298" i="80" s="1"/>
  <c r="I297" i="80"/>
  <c r="I289" i="76"/>
  <c r="M30" i="72"/>
  <c r="R29" i="72"/>
  <c r="G104" i="65"/>
  <c r="H102" i="65"/>
  <c r="F72" i="41"/>
  <c r="E73" i="41" s="1"/>
  <c r="H71" i="41"/>
  <c r="I71" i="41" s="1"/>
  <c r="K71" i="41"/>
  <c r="G71" i="41"/>
  <c r="X77" i="73" l="1"/>
  <c r="S77" i="73"/>
  <c r="W77" i="73" s="1"/>
  <c r="L78" i="73"/>
  <c r="F299" i="80"/>
  <c r="G298" i="80"/>
  <c r="E299" i="80"/>
  <c r="D299" i="80" s="1"/>
  <c r="H298" i="80"/>
  <c r="I298" i="80"/>
  <c r="M298" i="80"/>
  <c r="L298" i="80"/>
  <c r="K298" i="80"/>
  <c r="I290" i="76"/>
  <c r="N30" i="72"/>
  <c r="U29" i="72"/>
  <c r="T29" i="72"/>
  <c r="S29" i="72"/>
  <c r="G105" i="65"/>
  <c r="H103" i="65"/>
  <c r="F73" i="41"/>
  <c r="K72" i="41"/>
  <c r="H72" i="41"/>
  <c r="I72" i="41" s="1"/>
  <c r="G72" i="41"/>
  <c r="N78" i="73" l="1"/>
  <c r="O78" i="73" s="1"/>
  <c r="M78" i="73"/>
  <c r="U77" i="73"/>
  <c r="V77" i="73"/>
  <c r="T77" i="73"/>
  <c r="P78" i="73" s="1"/>
  <c r="M299" i="80"/>
  <c r="K299" i="80"/>
  <c r="L299" i="80"/>
  <c r="E300" i="80"/>
  <c r="D300" i="80" s="1"/>
  <c r="I299" i="80"/>
  <c r="H299" i="80"/>
  <c r="G299" i="80"/>
  <c r="F300" i="80"/>
  <c r="I291" i="76"/>
  <c r="O30" i="72"/>
  <c r="P30" i="72" s="1"/>
  <c r="Q30" i="72" s="1"/>
  <c r="V29" i="72"/>
  <c r="W29" i="72" s="1"/>
  <c r="G106" i="65"/>
  <c r="H104" i="65"/>
  <c r="F74" i="41"/>
  <c r="K73" i="41"/>
  <c r="G73" i="41"/>
  <c r="H73" i="41"/>
  <c r="I73" i="41" s="1"/>
  <c r="E74" i="41"/>
  <c r="Q78" i="73" l="1"/>
  <c r="R78" i="73" s="1"/>
  <c r="S78" i="73" s="1"/>
  <c r="U78" i="73" s="1"/>
  <c r="L79" i="73"/>
  <c r="F301" i="80"/>
  <c r="E301" i="80"/>
  <c r="D301" i="80" s="1"/>
  <c r="I300" i="80"/>
  <c r="H300" i="80"/>
  <c r="G300" i="80"/>
  <c r="M300" i="80"/>
  <c r="L300" i="80"/>
  <c r="K300" i="80"/>
  <c r="E75" i="41"/>
  <c r="I292" i="76"/>
  <c r="R30" i="72"/>
  <c r="U30" i="72" s="1"/>
  <c r="L31" i="72"/>
  <c r="G107" i="65"/>
  <c r="H105" i="65"/>
  <c r="F75" i="41"/>
  <c r="K74" i="41"/>
  <c r="H74" i="41"/>
  <c r="I74" i="41" s="1"/>
  <c r="G74" i="41"/>
  <c r="X78" i="73" l="1"/>
  <c r="W78" i="73"/>
  <c r="T78" i="73"/>
  <c r="P79" i="73" s="1"/>
  <c r="V78" i="73"/>
  <c r="M79" i="73"/>
  <c r="N79" i="73"/>
  <c r="O79" i="73" s="1"/>
  <c r="M301" i="80"/>
  <c r="L301" i="80"/>
  <c r="K301" i="80"/>
  <c r="F302" i="80"/>
  <c r="E302" i="80"/>
  <c r="D302" i="80" s="1"/>
  <c r="G301" i="80"/>
  <c r="H301" i="80"/>
  <c r="I301" i="80"/>
  <c r="I293" i="76"/>
  <c r="S30" i="72"/>
  <c r="T30" i="72"/>
  <c r="M31" i="72"/>
  <c r="N31" i="72" s="1"/>
  <c r="G108" i="65"/>
  <c r="H106" i="65"/>
  <c r="F76" i="41"/>
  <c r="H75" i="41"/>
  <c r="I75" i="41" s="1"/>
  <c r="K75" i="41"/>
  <c r="G75" i="41"/>
  <c r="E76" i="41"/>
  <c r="Q79" i="73" l="1"/>
  <c r="R79" i="73" s="1"/>
  <c r="L302" i="80"/>
  <c r="K302" i="80"/>
  <c r="M302" i="80"/>
  <c r="I302" i="80"/>
  <c r="H302" i="80"/>
  <c r="G302" i="80"/>
  <c r="F303" i="80"/>
  <c r="E303" i="80"/>
  <c r="D303" i="80" s="1"/>
  <c r="E77" i="41"/>
  <c r="I294" i="76"/>
  <c r="V30" i="72"/>
  <c r="W30" i="72" s="1"/>
  <c r="O31" i="72"/>
  <c r="P31" i="72" s="1"/>
  <c r="Q31" i="72" s="1"/>
  <c r="H107" i="65"/>
  <c r="H108" i="65"/>
  <c r="F77" i="41"/>
  <c r="K76" i="41"/>
  <c r="H76" i="41"/>
  <c r="I76" i="41" s="1"/>
  <c r="G76" i="41"/>
  <c r="X79" i="73" l="1"/>
  <c r="L80" i="73"/>
  <c r="S79" i="73"/>
  <c r="W79" i="73" s="1"/>
  <c r="K303" i="80"/>
  <c r="M303" i="80"/>
  <c r="L303" i="80"/>
  <c r="I303" i="80"/>
  <c r="H303" i="80"/>
  <c r="G303" i="80"/>
  <c r="E304" i="80"/>
  <c r="D304" i="80" s="1"/>
  <c r="F304" i="80"/>
  <c r="I295" i="76"/>
  <c r="L32" i="72"/>
  <c r="R31" i="72"/>
  <c r="H109" i="65"/>
  <c r="H13" i="65" s="1"/>
  <c r="J378" i="66" s="1"/>
  <c r="F78" i="41"/>
  <c r="H77" i="41"/>
  <c r="I77" i="41" s="1"/>
  <c r="G77" i="41"/>
  <c r="K77" i="41"/>
  <c r="E78" i="41"/>
  <c r="V79" i="73" l="1"/>
  <c r="U79" i="73"/>
  <c r="M80" i="73"/>
  <c r="N80" i="73"/>
  <c r="O80" i="73" s="1"/>
  <c r="T79" i="73"/>
  <c r="P80" i="73" s="1"/>
  <c r="I304" i="80"/>
  <c r="H304" i="80"/>
  <c r="F305" i="80"/>
  <c r="G304" i="80"/>
  <c r="E305" i="80"/>
  <c r="D305" i="80" s="1"/>
  <c r="M304" i="80"/>
  <c r="L304" i="80"/>
  <c r="K304" i="80"/>
  <c r="E79" i="41"/>
  <c r="I296" i="76"/>
  <c r="M32" i="72"/>
  <c r="N32" i="72" s="1"/>
  <c r="T31" i="72"/>
  <c r="U31" i="72"/>
  <c r="S31" i="72"/>
  <c r="O32" i="72" s="1"/>
  <c r="AH20" i="65"/>
  <c r="AI20" i="65" s="1"/>
  <c r="AU20" i="65"/>
  <c r="AV20" i="65" s="1"/>
  <c r="U20" i="65"/>
  <c r="V20" i="65" s="1"/>
  <c r="H14" i="65"/>
  <c r="I417" i="66"/>
  <c r="F79" i="41"/>
  <c r="H78" i="41"/>
  <c r="I78" i="41" s="1"/>
  <c r="K78" i="41"/>
  <c r="G78" i="41"/>
  <c r="Q80" i="73" l="1"/>
  <c r="R80" i="73" s="1"/>
  <c r="L81" i="73" s="1"/>
  <c r="M81" i="73" s="1"/>
  <c r="X80" i="73"/>
  <c r="M305" i="80"/>
  <c r="K305" i="80"/>
  <c r="L305" i="80"/>
  <c r="H305" i="80"/>
  <c r="F306" i="80"/>
  <c r="G305" i="80"/>
  <c r="E306" i="80"/>
  <c r="D306" i="80" s="1"/>
  <c r="I305" i="80"/>
  <c r="AX20" i="65"/>
  <c r="AX21" i="65" s="1"/>
  <c r="AX22" i="65" s="1"/>
  <c r="AX23" i="65" s="1"/>
  <c r="AX24" i="65" s="1"/>
  <c r="AX25" i="65" s="1"/>
  <c r="AX26" i="65" s="1"/>
  <c r="AX27" i="65" s="1"/>
  <c r="AX28" i="65" s="1"/>
  <c r="AX29" i="65" s="1"/>
  <c r="AX30" i="65" s="1"/>
  <c r="AX31" i="65" s="1"/>
  <c r="AX32" i="65" s="1"/>
  <c r="AX33" i="65" s="1"/>
  <c r="AX34" i="65" s="1"/>
  <c r="AX35" i="65" s="1"/>
  <c r="AX36" i="65" s="1"/>
  <c r="AX37" i="65" s="1"/>
  <c r="AX38" i="65" s="1"/>
  <c r="AX39" i="65" s="1"/>
  <c r="AX40" i="65" s="1"/>
  <c r="AX41" i="65" s="1"/>
  <c r="AX42" i="65" s="1"/>
  <c r="AX43" i="65" s="1"/>
  <c r="AX44" i="65" s="1"/>
  <c r="AX45" i="65" s="1"/>
  <c r="AX46" i="65" s="1"/>
  <c r="AX47" i="65" s="1"/>
  <c r="AX48" i="65" s="1"/>
  <c r="AX49" i="65" s="1"/>
  <c r="AX50" i="65" s="1"/>
  <c r="AX51" i="65" s="1"/>
  <c r="AX52" i="65" s="1"/>
  <c r="AX53" i="65" s="1"/>
  <c r="AX54" i="65" s="1"/>
  <c r="AX55" i="65" s="1"/>
  <c r="AX56" i="65" s="1"/>
  <c r="AX57" i="65" s="1"/>
  <c r="AX58" i="65" s="1"/>
  <c r="AX59" i="65" s="1"/>
  <c r="AX60" i="65" s="1"/>
  <c r="AX61" i="65" s="1"/>
  <c r="AX62" i="65" s="1"/>
  <c r="AX63" i="65" s="1"/>
  <c r="AX64" i="65" s="1"/>
  <c r="AX65" i="65" s="1"/>
  <c r="AX66" i="65" s="1"/>
  <c r="AX67" i="65" s="1"/>
  <c r="AX68" i="65" s="1"/>
  <c r="AX69" i="65" s="1"/>
  <c r="AX70" i="65" s="1"/>
  <c r="AX71" i="65" s="1"/>
  <c r="AX72" i="65" s="1"/>
  <c r="AX73" i="65" s="1"/>
  <c r="AX74" i="65" s="1"/>
  <c r="AX75" i="65" s="1"/>
  <c r="AX76" i="65" s="1"/>
  <c r="AX77" i="65" s="1"/>
  <c r="AX78" i="65" s="1"/>
  <c r="AX79" i="65" s="1"/>
  <c r="AX80" i="65" s="1"/>
  <c r="AX81" i="65" s="1"/>
  <c r="AX82" i="65" s="1"/>
  <c r="AX83" i="65" s="1"/>
  <c r="AX84" i="65" s="1"/>
  <c r="AX85" i="65" s="1"/>
  <c r="AX86" i="65" s="1"/>
  <c r="AX87" i="65" s="1"/>
  <c r="AX88" i="65" s="1"/>
  <c r="AX89" i="65" s="1"/>
  <c r="AX90" i="65" s="1"/>
  <c r="AX91" i="65" s="1"/>
  <c r="AX92" i="65" s="1"/>
  <c r="AX93" i="65" s="1"/>
  <c r="AX94" i="65" s="1"/>
  <c r="AX95" i="65" s="1"/>
  <c r="AX96" i="65" s="1"/>
  <c r="AX97" i="65" s="1"/>
  <c r="AX98" i="65" s="1"/>
  <c r="AX99" i="65" s="1"/>
  <c r="AX100" i="65" s="1"/>
  <c r="AX101" i="65" s="1"/>
  <c r="AX102" i="65" s="1"/>
  <c r="AX103" i="65" s="1"/>
  <c r="AX104" i="65" s="1"/>
  <c r="AX105" i="65" s="1"/>
  <c r="AX106" i="65" s="1"/>
  <c r="AX107" i="65" s="1"/>
  <c r="AX108" i="65" s="1"/>
  <c r="AW20" i="65"/>
  <c r="I297" i="76"/>
  <c r="P32" i="72"/>
  <c r="Q32" i="72" s="1"/>
  <c r="R32" i="72" s="1"/>
  <c r="V31" i="72"/>
  <c r="W31" i="72" s="1"/>
  <c r="AK20" i="65"/>
  <c r="X20" i="65"/>
  <c r="AJ20" i="65"/>
  <c r="W20" i="65"/>
  <c r="AU21" i="65"/>
  <c r="F80" i="41"/>
  <c r="H79" i="41"/>
  <c r="I79" i="41" s="1"/>
  <c r="K79" i="41"/>
  <c r="G79" i="41"/>
  <c r="E80" i="41"/>
  <c r="S80" i="73" l="1"/>
  <c r="U80" i="73" s="1"/>
  <c r="N81" i="73"/>
  <c r="V80" i="73"/>
  <c r="L306" i="80"/>
  <c r="K306" i="80"/>
  <c r="M306" i="80"/>
  <c r="F307" i="80"/>
  <c r="G306" i="80"/>
  <c r="E307" i="80"/>
  <c r="D307" i="80" s="1"/>
  <c r="I306" i="80"/>
  <c r="H306" i="80"/>
  <c r="E81" i="41"/>
  <c r="AY20" i="65"/>
  <c r="I298" i="76"/>
  <c r="L33" i="72"/>
  <c r="AL20" i="65"/>
  <c r="AM20" i="65" s="1"/>
  <c r="AH21" i="65" s="1"/>
  <c r="AV21" i="65"/>
  <c r="AW21" i="65" s="1"/>
  <c r="Y20" i="65"/>
  <c r="Z20" i="65" s="1"/>
  <c r="AA20" i="65" s="1"/>
  <c r="F81" i="41"/>
  <c r="K80" i="41"/>
  <c r="G80" i="41"/>
  <c r="H80" i="41"/>
  <c r="I80" i="41" s="1"/>
  <c r="O81" i="73" l="1"/>
  <c r="T80" i="73"/>
  <c r="P81" i="73" s="1"/>
  <c r="W80" i="73"/>
  <c r="L82" i="73"/>
  <c r="M307" i="80"/>
  <c r="L307" i="80"/>
  <c r="K307" i="80"/>
  <c r="E308" i="80"/>
  <c r="D308" i="80" s="1"/>
  <c r="F308" i="80"/>
  <c r="I307" i="80"/>
  <c r="H307" i="80"/>
  <c r="G307" i="80"/>
  <c r="I299" i="76"/>
  <c r="M33" i="72"/>
  <c r="N33" i="72" s="1"/>
  <c r="T32" i="72"/>
  <c r="U32" i="72"/>
  <c r="S32" i="72"/>
  <c r="O33" i="72" s="1"/>
  <c r="AN20" i="65"/>
  <c r="AO20" i="65" s="1"/>
  <c r="AF14" i="65"/>
  <c r="J430" i="66" s="1"/>
  <c r="AU22" i="65"/>
  <c r="AV22" i="65" s="1"/>
  <c r="AU23" i="65" s="1"/>
  <c r="AV23" i="65" s="1"/>
  <c r="AU24" i="65" s="1"/>
  <c r="AV24" i="65" s="1"/>
  <c r="AU25" i="65" s="1"/>
  <c r="AV25" i="65" s="1"/>
  <c r="AU26" i="65" s="1"/>
  <c r="AV26" i="65" s="1"/>
  <c r="AU27" i="65" s="1"/>
  <c r="AV27" i="65" s="1"/>
  <c r="AU28" i="65" s="1"/>
  <c r="AV28" i="65" s="1"/>
  <c r="AU29" i="65" s="1"/>
  <c r="AV29" i="65" s="1"/>
  <c r="AU30" i="65" s="1"/>
  <c r="AV30" i="65" s="1"/>
  <c r="AU31" i="65" s="1"/>
  <c r="AV31" i="65" s="1"/>
  <c r="AU32" i="65" s="1"/>
  <c r="AV32" i="65" s="1"/>
  <c r="AU33" i="65" s="1"/>
  <c r="AV33" i="65" s="1"/>
  <c r="AU34" i="65" s="1"/>
  <c r="AV34" i="65" s="1"/>
  <c r="AU35" i="65" s="1"/>
  <c r="AV35" i="65" s="1"/>
  <c r="AU36" i="65" s="1"/>
  <c r="AV36" i="65" s="1"/>
  <c r="AU37" i="65" s="1"/>
  <c r="AV37" i="65" s="1"/>
  <c r="AU38" i="65" s="1"/>
  <c r="AV38" i="65" s="1"/>
  <c r="AU39" i="65" s="1"/>
  <c r="AV39" i="65" s="1"/>
  <c r="AU40" i="65" s="1"/>
  <c r="AV40" i="65" s="1"/>
  <c r="AU41" i="65" s="1"/>
  <c r="AV41" i="65" s="1"/>
  <c r="AU42" i="65" s="1"/>
  <c r="AV42" i="65" s="1"/>
  <c r="AU43" i="65" s="1"/>
  <c r="AV43" i="65" s="1"/>
  <c r="AU44" i="65" s="1"/>
  <c r="AV44" i="65" s="1"/>
  <c r="AU45" i="65" s="1"/>
  <c r="AV45" i="65" s="1"/>
  <c r="AU46" i="65" s="1"/>
  <c r="AV46" i="65" s="1"/>
  <c r="AU47" i="65" s="1"/>
  <c r="AV47" i="65" s="1"/>
  <c r="AU48" i="65" s="1"/>
  <c r="AV48" i="65" s="1"/>
  <c r="AU49" i="65" s="1"/>
  <c r="AV49" i="65" s="1"/>
  <c r="AU50" i="65" s="1"/>
  <c r="AV50" i="65" s="1"/>
  <c r="AU51" i="65" s="1"/>
  <c r="AV51" i="65" s="1"/>
  <c r="AU52" i="65" s="1"/>
  <c r="AV52" i="65" s="1"/>
  <c r="AU53" i="65" s="1"/>
  <c r="AV53" i="65" s="1"/>
  <c r="AU54" i="65" s="1"/>
  <c r="AV54" i="65" s="1"/>
  <c r="AU55" i="65" s="1"/>
  <c r="AV55" i="65" s="1"/>
  <c r="AU56" i="65" s="1"/>
  <c r="AV56" i="65" s="1"/>
  <c r="AU57" i="65" s="1"/>
  <c r="AV57" i="65" s="1"/>
  <c r="AU58" i="65" s="1"/>
  <c r="AV58" i="65" s="1"/>
  <c r="AU59" i="65" s="1"/>
  <c r="AV59" i="65" s="1"/>
  <c r="AU60" i="65" s="1"/>
  <c r="AV60" i="65" s="1"/>
  <c r="AU61" i="65" s="1"/>
  <c r="AV61" i="65" s="1"/>
  <c r="AU62" i="65" s="1"/>
  <c r="AV62" i="65" s="1"/>
  <c r="AU63" i="65" s="1"/>
  <c r="AV63" i="65" s="1"/>
  <c r="AU64" i="65" s="1"/>
  <c r="AV64" i="65" s="1"/>
  <c r="AU65" i="65" s="1"/>
  <c r="AV65" i="65" s="1"/>
  <c r="AU66" i="65" s="1"/>
  <c r="AV66" i="65" s="1"/>
  <c r="AU67" i="65" s="1"/>
  <c r="AV67" i="65" s="1"/>
  <c r="AU68" i="65" s="1"/>
  <c r="AV68" i="65" s="1"/>
  <c r="AU69" i="65" s="1"/>
  <c r="AV69" i="65" s="1"/>
  <c r="AU70" i="65" s="1"/>
  <c r="AV70" i="65" s="1"/>
  <c r="AU71" i="65" s="1"/>
  <c r="AV71" i="65" s="1"/>
  <c r="AU72" i="65" s="1"/>
  <c r="AV72" i="65" s="1"/>
  <c r="AU73" i="65" s="1"/>
  <c r="AV73" i="65" s="1"/>
  <c r="AU74" i="65" s="1"/>
  <c r="AV74" i="65" s="1"/>
  <c r="AU75" i="65" s="1"/>
  <c r="AV75" i="65" s="1"/>
  <c r="AU76" i="65" s="1"/>
  <c r="AV76" i="65" s="1"/>
  <c r="AU77" i="65" s="1"/>
  <c r="AV77" i="65" s="1"/>
  <c r="AU78" i="65" s="1"/>
  <c r="AV78" i="65" s="1"/>
  <c r="AU79" i="65" s="1"/>
  <c r="AV79" i="65" s="1"/>
  <c r="AU80" i="65" s="1"/>
  <c r="AV80" i="65" s="1"/>
  <c r="AU81" i="65" s="1"/>
  <c r="AV81" i="65" s="1"/>
  <c r="AU82" i="65" s="1"/>
  <c r="AV82" i="65" s="1"/>
  <c r="AU83" i="65" s="1"/>
  <c r="AV83" i="65" s="1"/>
  <c r="AU84" i="65" s="1"/>
  <c r="AV84" i="65" s="1"/>
  <c r="AU85" i="65" s="1"/>
  <c r="AV85" i="65" s="1"/>
  <c r="AU86" i="65" s="1"/>
  <c r="AV86" i="65" s="1"/>
  <c r="AU87" i="65" s="1"/>
  <c r="AV87" i="65" s="1"/>
  <c r="AU88" i="65" s="1"/>
  <c r="AV88" i="65" s="1"/>
  <c r="AU89" i="65" s="1"/>
  <c r="AV89" i="65" s="1"/>
  <c r="AU90" i="65" s="1"/>
  <c r="AV90" i="65" s="1"/>
  <c r="AU91" i="65" s="1"/>
  <c r="AV91" i="65" s="1"/>
  <c r="AU92" i="65" s="1"/>
  <c r="AV92" i="65" s="1"/>
  <c r="AU93" i="65" s="1"/>
  <c r="AV93" i="65" s="1"/>
  <c r="AU94" i="65" s="1"/>
  <c r="AV94" i="65" s="1"/>
  <c r="AU95" i="65" s="1"/>
  <c r="AV95" i="65" s="1"/>
  <c r="AU96" i="65" s="1"/>
  <c r="AV96" i="65" s="1"/>
  <c r="AU97" i="65" s="1"/>
  <c r="AV97" i="65" s="1"/>
  <c r="AU98" i="65" s="1"/>
  <c r="AV98" i="65" s="1"/>
  <c r="AU99" i="65" s="1"/>
  <c r="AV99" i="65" s="1"/>
  <c r="AU100" i="65" s="1"/>
  <c r="AV100" i="65" s="1"/>
  <c r="AU101" i="65" s="1"/>
  <c r="AV101" i="65" s="1"/>
  <c r="AU102" i="65" s="1"/>
  <c r="AV102" i="65" s="1"/>
  <c r="AU103" i="65" s="1"/>
  <c r="AV103" i="65" s="1"/>
  <c r="AU104" i="65" s="1"/>
  <c r="AV104" i="65" s="1"/>
  <c r="AU105" i="65" s="1"/>
  <c r="AV105" i="65" s="1"/>
  <c r="AU106" i="65" s="1"/>
  <c r="AV106" i="65" s="1"/>
  <c r="AU107" i="65" s="1"/>
  <c r="AV107" i="65" s="1"/>
  <c r="AU108" i="65" s="1"/>
  <c r="AV108" i="65" s="1"/>
  <c r="AC20" i="65"/>
  <c r="AD20" i="65"/>
  <c r="AI21" i="65"/>
  <c r="AB14" i="65"/>
  <c r="G430" i="66" s="1"/>
  <c r="AB20" i="65"/>
  <c r="U21" i="65"/>
  <c r="AY21" i="65"/>
  <c r="F82" i="41"/>
  <c r="H81" i="41"/>
  <c r="I81" i="41" s="1"/>
  <c r="K81" i="41"/>
  <c r="G81" i="41"/>
  <c r="E82" i="41"/>
  <c r="E83" i="41" s="1"/>
  <c r="S81" i="73" l="1"/>
  <c r="Q81" i="73"/>
  <c r="R81" i="73" s="1"/>
  <c r="X81" i="73" s="1"/>
  <c r="N82" i="73"/>
  <c r="M82" i="73"/>
  <c r="V81" i="73"/>
  <c r="G308" i="80"/>
  <c r="F309" i="80"/>
  <c r="E309" i="80"/>
  <c r="D309" i="80" s="1"/>
  <c r="I308" i="80"/>
  <c r="H308" i="80"/>
  <c r="M308" i="80"/>
  <c r="L308" i="80"/>
  <c r="K308" i="80"/>
  <c r="I300" i="76"/>
  <c r="P33" i="72"/>
  <c r="Q33" i="72" s="1"/>
  <c r="L34" i="72" s="1"/>
  <c r="V32" i="72"/>
  <c r="W32" i="72" s="1"/>
  <c r="AP20" i="65"/>
  <c r="AQ20" i="65"/>
  <c r="AJ21" i="65"/>
  <c r="AW22" i="65"/>
  <c r="AW23" i="65" s="1"/>
  <c r="AR20" i="65"/>
  <c r="AK21" i="65"/>
  <c r="V21" i="65"/>
  <c r="W21" i="65" s="1"/>
  <c r="AE20" i="65"/>
  <c r="AF20" i="65" s="1"/>
  <c r="AB15" i="65" s="1"/>
  <c r="G431" i="66" s="1"/>
  <c r="X21" i="65"/>
  <c r="F83" i="41"/>
  <c r="K82" i="41"/>
  <c r="G82" i="41"/>
  <c r="H82" i="41"/>
  <c r="I82" i="41" s="1"/>
  <c r="T81" i="73" l="1"/>
  <c r="P82" i="73" s="1"/>
  <c r="U81" i="73"/>
  <c r="W81" i="73"/>
  <c r="O82" i="73"/>
  <c r="Q82" i="73" s="1"/>
  <c r="R82" i="73" s="1"/>
  <c r="M309" i="80"/>
  <c r="L309" i="80"/>
  <c r="K309" i="80"/>
  <c r="F310" i="80"/>
  <c r="E310" i="80"/>
  <c r="D310" i="80" s="1"/>
  <c r="I309" i="80"/>
  <c r="H309" i="80"/>
  <c r="G309" i="80"/>
  <c r="I301" i="76"/>
  <c r="M34" i="72"/>
  <c r="R33" i="72"/>
  <c r="AS20" i="65"/>
  <c r="AF15" i="65" s="1"/>
  <c r="J431" i="66" s="1"/>
  <c r="AY22" i="65"/>
  <c r="Y21" i="65"/>
  <c r="Z21" i="65" s="1"/>
  <c r="U22" i="65" s="1"/>
  <c r="V22" i="65" s="1"/>
  <c r="AY23" i="65"/>
  <c r="AW24" i="65"/>
  <c r="AL21" i="65"/>
  <c r="AM21" i="65" s="1"/>
  <c r="F84" i="41"/>
  <c r="H83" i="41"/>
  <c r="I83" i="41" s="1"/>
  <c r="K83" i="41"/>
  <c r="G83" i="41"/>
  <c r="E84" i="41"/>
  <c r="S82" i="73" l="1"/>
  <c r="X82" i="73"/>
  <c r="L83" i="73"/>
  <c r="L310" i="80"/>
  <c r="M310" i="80"/>
  <c r="K310" i="80"/>
  <c r="E311" i="80"/>
  <c r="D311" i="80" s="1"/>
  <c r="F311" i="80"/>
  <c r="I310" i="80"/>
  <c r="H310" i="80"/>
  <c r="G310" i="80"/>
  <c r="E85" i="41"/>
  <c r="I302" i="76"/>
  <c r="N34" i="72"/>
  <c r="U33" i="72"/>
  <c r="T33" i="72"/>
  <c r="S33" i="72"/>
  <c r="O34" i="72" s="1"/>
  <c r="AA21" i="65"/>
  <c r="AB21" i="65" s="1"/>
  <c r="AE21" i="65" s="1"/>
  <c r="AY24" i="65"/>
  <c r="AW25" i="65"/>
  <c r="AN21" i="65"/>
  <c r="AO21" i="65" s="1"/>
  <c r="AH22" i="65"/>
  <c r="F85" i="41"/>
  <c r="E86" i="41" s="1"/>
  <c r="K84" i="41"/>
  <c r="H84" i="41"/>
  <c r="I84" i="41" s="1"/>
  <c r="G84" i="41"/>
  <c r="T82" i="73" l="1"/>
  <c r="P83" i="73" s="1"/>
  <c r="W82" i="73"/>
  <c r="M83" i="73"/>
  <c r="N83" i="73"/>
  <c r="U82" i="73"/>
  <c r="V82" i="73"/>
  <c r="H311" i="80"/>
  <c r="G311" i="80"/>
  <c r="E312" i="80"/>
  <c r="D312" i="80" s="1"/>
  <c r="I311" i="80"/>
  <c r="F312" i="80"/>
  <c r="M311" i="80"/>
  <c r="K311" i="80"/>
  <c r="L311" i="80"/>
  <c r="I303" i="76"/>
  <c r="P34" i="72"/>
  <c r="V33" i="72"/>
  <c r="W33" i="72" s="1"/>
  <c r="AC21" i="65"/>
  <c r="W22" i="65"/>
  <c r="AD21" i="65"/>
  <c r="X22" i="65"/>
  <c r="AR21" i="65"/>
  <c r="AK22" i="65"/>
  <c r="AI22" i="65"/>
  <c r="AJ22" i="65" s="1"/>
  <c r="AQ21" i="65"/>
  <c r="AP21" i="65"/>
  <c r="AW26" i="65"/>
  <c r="AY25" i="65"/>
  <c r="F86" i="41"/>
  <c r="E87" i="41" s="1"/>
  <c r="H85" i="41"/>
  <c r="I85" i="41" s="1"/>
  <c r="G85" i="41"/>
  <c r="K85" i="41"/>
  <c r="O83" i="73" l="1"/>
  <c r="I312" i="80"/>
  <c r="H312" i="80"/>
  <c r="F313" i="80"/>
  <c r="G312" i="80"/>
  <c r="E313" i="80"/>
  <c r="D313" i="80" s="1"/>
  <c r="M312" i="80"/>
  <c r="L312" i="80"/>
  <c r="K312" i="80"/>
  <c r="I304" i="76"/>
  <c r="Q34" i="72"/>
  <c r="AF21" i="65"/>
  <c r="Y22" i="65"/>
  <c r="Z22" i="65" s="1"/>
  <c r="U23" i="65" s="1"/>
  <c r="AY26" i="65"/>
  <c r="AW27" i="65"/>
  <c r="AL22" i="65"/>
  <c r="AM22" i="65" s="1"/>
  <c r="AS21" i="65"/>
  <c r="F87" i="41"/>
  <c r="H86" i="41"/>
  <c r="I86" i="41" s="1"/>
  <c r="G86" i="41"/>
  <c r="K86" i="41"/>
  <c r="Q83" i="73" l="1"/>
  <c r="R83" i="73" s="1"/>
  <c r="L313" i="80"/>
  <c r="K313" i="80"/>
  <c r="M313" i="80"/>
  <c r="H313" i="80"/>
  <c r="F314" i="80"/>
  <c r="E314" i="80"/>
  <c r="D314" i="80" s="1"/>
  <c r="I313" i="80"/>
  <c r="G313" i="80"/>
  <c r="I305" i="76"/>
  <c r="L35" i="72"/>
  <c r="R34" i="72"/>
  <c r="AA22" i="65"/>
  <c r="AB22" i="65" s="1"/>
  <c r="AH23" i="65"/>
  <c r="AN22" i="65"/>
  <c r="AY27" i="65"/>
  <c r="AW28" i="65"/>
  <c r="V23" i="65"/>
  <c r="F88" i="41"/>
  <c r="H87" i="41"/>
  <c r="I87" i="41" s="1"/>
  <c r="K87" i="41"/>
  <c r="G87" i="41"/>
  <c r="E88" i="41"/>
  <c r="X83" i="73" l="1"/>
  <c r="L84" i="73"/>
  <c r="S83" i="73"/>
  <c r="W83" i="73" s="1"/>
  <c r="K314" i="80"/>
  <c r="L314" i="80"/>
  <c r="M314" i="80"/>
  <c r="I314" i="80"/>
  <c r="F315" i="80"/>
  <c r="G314" i="80"/>
  <c r="H314" i="80"/>
  <c r="E315" i="80"/>
  <c r="D315" i="80" s="1"/>
  <c r="E89" i="41"/>
  <c r="I306" i="76"/>
  <c r="M35" i="72"/>
  <c r="N35" i="72" s="1"/>
  <c r="T34" i="72"/>
  <c r="U34" i="72"/>
  <c r="S34" i="72"/>
  <c r="O35" i="72" s="1"/>
  <c r="W23" i="65"/>
  <c r="AC22" i="65"/>
  <c r="AD22" i="65"/>
  <c r="AE22" i="65"/>
  <c r="X23" i="65"/>
  <c r="AW29" i="65"/>
  <c r="AY28" i="65"/>
  <c r="AP22" i="65"/>
  <c r="AQ22" i="65"/>
  <c r="AI23" i="65"/>
  <c r="AJ23" i="65" s="1"/>
  <c r="AO22" i="65"/>
  <c r="F89" i="41"/>
  <c r="K88" i="41"/>
  <c r="H88" i="41"/>
  <c r="I88" i="41" s="1"/>
  <c r="G88" i="41"/>
  <c r="U83" i="73" l="1"/>
  <c r="V83" i="73"/>
  <c r="N84" i="73"/>
  <c r="O84" i="73" s="1"/>
  <c r="M84" i="73"/>
  <c r="T83" i="73"/>
  <c r="P84" i="73" s="1"/>
  <c r="M315" i="80"/>
  <c r="L315" i="80"/>
  <c r="K315" i="80"/>
  <c r="I315" i="80"/>
  <c r="H315" i="80"/>
  <c r="E316" i="80"/>
  <c r="D316" i="80" s="1"/>
  <c r="G315" i="80"/>
  <c r="F316" i="80"/>
  <c r="I307" i="76"/>
  <c r="P35" i="72"/>
  <c r="Q35" i="72" s="1"/>
  <c r="L36" i="72" s="1"/>
  <c r="V34" i="72"/>
  <c r="W34" i="72" s="1"/>
  <c r="AF22" i="65"/>
  <c r="AR22" i="65"/>
  <c r="AS22" i="65" s="1"/>
  <c r="AK23" i="65"/>
  <c r="AL23" i="65" s="1"/>
  <c r="AM23" i="65" s="1"/>
  <c r="AY29" i="65"/>
  <c r="AW30" i="65"/>
  <c r="Y23" i="65"/>
  <c r="Z23" i="65" s="1"/>
  <c r="F90" i="41"/>
  <c r="G89" i="41"/>
  <c r="K89" i="41"/>
  <c r="H89" i="41"/>
  <c r="I89" i="41" s="1"/>
  <c r="E90" i="41"/>
  <c r="E91" i="41" l="1"/>
  <c r="Q84" i="73"/>
  <c r="R84" i="73" s="1"/>
  <c r="H316" i="80"/>
  <c r="F317" i="80"/>
  <c r="G316" i="80"/>
  <c r="E317" i="80"/>
  <c r="D317" i="80" s="1"/>
  <c r="I316" i="80"/>
  <c r="M316" i="80"/>
  <c r="L316" i="80"/>
  <c r="K316" i="80"/>
  <c r="I308" i="76"/>
  <c r="M36" i="72"/>
  <c r="R35" i="72"/>
  <c r="AA23" i="65"/>
  <c r="AB23" i="65" s="1"/>
  <c r="U24" i="65"/>
  <c r="AY30" i="65"/>
  <c r="AW31" i="65"/>
  <c r="AH24" i="65"/>
  <c r="AN23" i="65"/>
  <c r="F91" i="41"/>
  <c r="K90" i="41"/>
  <c r="H90" i="41"/>
  <c r="I90" i="41" s="1"/>
  <c r="G90" i="41"/>
  <c r="X84" i="73" l="1"/>
  <c r="S84" i="73"/>
  <c r="W84" i="73" s="1"/>
  <c r="L85" i="73"/>
  <c r="M317" i="80"/>
  <c r="K317" i="80"/>
  <c r="L317" i="80"/>
  <c r="F318" i="80"/>
  <c r="G317" i="80"/>
  <c r="E318" i="80"/>
  <c r="D318" i="80" s="1"/>
  <c r="H317" i="80"/>
  <c r="I317" i="80"/>
  <c r="I309" i="76"/>
  <c r="N36" i="72"/>
  <c r="U35" i="72"/>
  <c r="T35" i="72"/>
  <c r="S35" i="72"/>
  <c r="O36" i="72" s="1"/>
  <c r="AY31" i="65"/>
  <c r="AW32" i="65"/>
  <c r="V24" i="65"/>
  <c r="W24" i="65" s="1"/>
  <c r="AE23" i="65"/>
  <c r="X24" i="65"/>
  <c r="AI24" i="65"/>
  <c r="AJ24" i="65" s="1"/>
  <c r="AO23" i="65"/>
  <c r="AP23" i="65"/>
  <c r="AQ23" i="65"/>
  <c r="AD23" i="65"/>
  <c r="AC23" i="65"/>
  <c r="F92" i="41"/>
  <c r="H91" i="41"/>
  <c r="I91" i="41" s="1"/>
  <c r="K91" i="41"/>
  <c r="G91" i="41"/>
  <c r="E92" i="41"/>
  <c r="M85" i="73" l="1"/>
  <c r="N85" i="73"/>
  <c r="O85" i="73" s="1"/>
  <c r="U84" i="73"/>
  <c r="V84" i="73"/>
  <c r="T84" i="73"/>
  <c r="P85" i="73" s="1"/>
  <c r="L318" i="80"/>
  <c r="K318" i="80"/>
  <c r="M318" i="80"/>
  <c r="E319" i="80"/>
  <c r="D319" i="80" s="1"/>
  <c r="I318" i="80"/>
  <c r="H318" i="80"/>
  <c r="G318" i="80"/>
  <c r="F319" i="80"/>
  <c r="E93" i="41"/>
  <c r="I310" i="76"/>
  <c r="P36" i="72"/>
  <c r="V35" i="72"/>
  <c r="W35" i="72" s="1"/>
  <c r="AR23" i="65"/>
  <c r="AS23" i="65" s="1"/>
  <c r="AK24" i="65"/>
  <c r="Y24" i="65"/>
  <c r="Z24" i="65" s="1"/>
  <c r="AF23" i="65"/>
  <c r="AY32" i="65"/>
  <c r="AW33" i="65"/>
  <c r="F93" i="41"/>
  <c r="K92" i="41"/>
  <c r="G92" i="41"/>
  <c r="H92" i="41"/>
  <c r="I92" i="41" s="1"/>
  <c r="E94" i="41" l="1"/>
  <c r="Q85" i="73"/>
  <c r="R85" i="73" s="1"/>
  <c r="F320" i="80"/>
  <c r="E320" i="80"/>
  <c r="D320" i="80" s="1"/>
  <c r="I319" i="80"/>
  <c r="H319" i="80"/>
  <c r="G319" i="80"/>
  <c r="M319" i="80"/>
  <c r="K319" i="80"/>
  <c r="L319" i="80"/>
  <c r="I311" i="76"/>
  <c r="Q36" i="72"/>
  <c r="U25" i="65"/>
  <c r="AA24" i="65"/>
  <c r="AW34" i="65"/>
  <c r="AY33" i="65"/>
  <c r="AL24" i="65"/>
  <c r="AM24" i="65" s="1"/>
  <c r="F94" i="41"/>
  <c r="H93" i="41"/>
  <c r="I93" i="41" s="1"/>
  <c r="G93" i="41"/>
  <c r="K93" i="41"/>
  <c r="L86" i="73" l="1"/>
  <c r="X85" i="73"/>
  <c r="S85" i="73"/>
  <c r="W85" i="73" s="1"/>
  <c r="M320" i="80"/>
  <c r="L320" i="80"/>
  <c r="K320" i="80"/>
  <c r="I320" i="80"/>
  <c r="F321" i="80"/>
  <c r="E321" i="80"/>
  <c r="D321" i="80" s="1"/>
  <c r="H320" i="80"/>
  <c r="G320" i="80"/>
  <c r="I312" i="76"/>
  <c r="L37" i="72"/>
  <c r="R36" i="72"/>
  <c r="AH25" i="65"/>
  <c r="AN24" i="65"/>
  <c r="AW35" i="65"/>
  <c r="AY34" i="65"/>
  <c r="V25" i="65"/>
  <c r="W25" i="65" s="1"/>
  <c r="AB24" i="65"/>
  <c r="AD24" i="65"/>
  <c r="AC24" i="65"/>
  <c r="F95" i="41"/>
  <c r="H94" i="41"/>
  <c r="I94" i="41" s="1"/>
  <c r="K94" i="41"/>
  <c r="G94" i="41"/>
  <c r="E95" i="41"/>
  <c r="T85" i="73" l="1"/>
  <c r="P86" i="73" s="1"/>
  <c r="U85" i="73"/>
  <c r="V85" i="73"/>
  <c r="M86" i="73"/>
  <c r="N86" i="73"/>
  <c r="O86" i="73" s="1"/>
  <c r="L321" i="80"/>
  <c r="K321" i="80"/>
  <c r="M321" i="80"/>
  <c r="H321" i="80"/>
  <c r="I321" i="80"/>
  <c r="G321" i="80"/>
  <c r="F322" i="80"/>
  <c r="E322" i="80"/>
  <c r="D322" i="80" s="1"/>
  <c r="E96" i="41"/>
  <c r="I313" i="76"/>
  <c r="M37" i="72"/>
  <c r="N37" i="72" s="1"/>
  <c r="T36" i="72"/>
  <c r="U36" i="72"/>
  <c r="S36" i="72"/>
  <c r="O37" i="72" s="1"/>
  <c r="AE24" i="65"/>
  <c r="AF24" i="65" s="1"/>
  <c r="X25" i="65"/>
  <c r="Y25" i="65" s="1"/>
  <c r="Z25" i="65" s="1"/>
  <c r="AW36" i="65"/>
  <c r="AY35" i="65"/>
  <c r="AP24" i="65"/>
  <c r="AQ24" i="65"/>
  <c r="AI25" i="65"/>
  <c r="AJ25" i="65" s="1"/>
  <c r="AO24" i="65"/>
  <c r="F96" i="41"/>
  <c r="H95" i="41"/>
  <c r="I95" i="41" s="1"/>
  <c r="K95" i="41"/>
  <c r="G95" i="41"/>
  <c r="Q86" i="73" l="1"/>
  <c r="R86" i="73" s="1"/>
  <c r="X86" i="73" s="1"/>
  <c r="L87" i="73"/>
  <c r="S86" i="73"/>
  <c r="T86" i="73" s="1"/>
  <c r="P87" i="73" s="1"/>
  <c r="K322" i="80"/>
  <c r="M322" i="80"/>
  <c r="L322" i="80"/>
  <c r="I322" i="80"/>
  <c r="F323" i="80"/>
  <c r="G322" i="80"/>
  <c r="H322" i="80"/>
  <c r="E323" i="80"/>
  <c r="D323" i="80" s="1"/>
  <c r="I314" i="76"/>
  <c r="P37" i="72"/>
  <c r="V36" i="72"/>
  <c r="W36" i="72" s="1"/>
  <c r="AY36" i="65"/>
  <c r="AW37" i="65"/>
  <c r="U26" i="65"/>
  <c r="AA25" i="65"/>
  <c r="AB25" i="65" s="1"/>
  <c r="AR24" i="65"/>
  <c r="AS24" i="65" s="1"/>
  <c r="AK25" i="65"/>
  <c r="F97" i="41"/>
  <c r="K96" i="41"/>
  <c r="G96" i="41"/>
  <c r="H96" i="41"/>
  <c r="I96" i="41" s="1"/>
  <c r="E97" i="41"/>
  <c r="E98" i="41" s="1"/>
  <c r="V86" i="73" l="1"/>
  <c r="W86" i="73"/>
  <c r="U86" i="73"/>
  <c r="M87" i="73"/>
  <c r="N87" i="73"/>
  <c r="O87" i="73" s="1"/>
  <c r="Q87" i="73" s="1"/>
  <c r="R87" i="73" s="1"/>
  <c r="L88" i="73" s="1"/>
  <c r="M323" i="80"/>
  <c r="L323" i="80"/>
  <c r="K323" i="80"/>
  <c r="I323" i="80"/>
  <c r="H323" i="80"/>
  <c r="E324" i="80"/>
  <c r="D324" i="80" s="1"/>
  <c r="F324" i="80"/>
  <c r="G323" i="80"/>
  <c r="I315" i="76"/>
  <c r="Q37" i="72"/>
  <c r="AE25" i="65"/>
  <c r="X26" i="65"/>
  <c r="AL25" i="65"/>
  <c r="AM25" i="65" s="1"/>
  <c r="V26" i="65"/>
  <c r="W26" i="65" s="1"/>
  <c r="AY37" i="65"/>
  <c r="AW38" i="65"/>
  <c r="AD25" i="65"/>
  <c r="AC25" i="65"/>
  <c r="F98" i="41"/>
  <c r="H97" i="41"/>
  <c r="I97" i="41" s="1"/>
  <c r="K97" i="41"/>
  <c r="G97" i="41"/>
  <c r="S87" i="73" l="1"/>
  <c r="T87" i="73" s="1"/>
  <c r="P88" i="73" s="1"/>
  <c r="N88" i="73"/>
  <c r="M88" i="73"/>
  <c r="X87" i="73"/>
  <c r="H324" i="80"/>
  <c r="F325" i="80"/>
  <c r="G324" i="80"/>
  <c r="I324" i="80"/>
  <c r="E325" i="80"/>
  <c r="D325" i="80" s="1"/>
  <c r="M324" i="80"/>
  <c r="L324" i="80"/>
  <c r="K324" i="80"/>
  <c r="I316" i="76"/>
  <c r="L38" i="72"/>
  <c r="R37" i="72"/>
  <c r="AF25" i="65"/>
  <c r="AH26" i="65"/>
  <c r="AN25" i="65"/>
  <c r="Y26" i="65"/>
  <c r="Z26" i="65" s="1"/>
  <c r="AW39" i="65"/>
  <c r="AY38" i="65"/>
  <c r="F99" i="41"/>
  <c r="K98" i="41"/>
  <c r="G98" i="41"/>
  <c r="H98" i="41"/>
  <c r="I98" i="41" s="1"/>
  <c r="E99" i="41"/>
  <c r="O88" i="73" l="1"/>
  <c r="Q88" i="73" s="1"/>
  <c r="R88" i="73" s="1"/>
  <c r="W87" i="73"/>
  <c r="E100" i="41"/>
  <c r="V87" i="73"/>
  <c r="U87" i="73"/>
  <c r="M325" i="80"/>
  <c r="L325" i="80"/>
  <c r="K325" i="80"/>
  <c r="F326" i="80"/>
  <c r="G325" i="80"/>
  <c r="E326" i="80"/>
  <c r="D326" i="80" s="1"/>
  <c r="I325" i="80"/>
  <c r="H325" i="80"/>
  <c r="I317" i="76"/>
  <c r="M38" i="72"/>
  <c r="N38" i="72" s="1"/>
  <c r="U37" i="72"/>
  <c r="T37" i="72"/>
  <c r="S37" i="72"/>
  <c r="O38" i="72" s="1"/>
  <c r="AP25" i="65"/>
  <c r="AQ25" i="65"/>
  <c r="AI26" i="65"/>
  <c r="AJ26" i="65" s="1"/>
  <c r="U27" i="65"/>
  <c r="AO25" i="65"/>
  <c r="AY39" i="65"/>
  <c r="AW40" i="65"/>
  <c r="AA26" i="65"/>
  <c r="F100" i="41"/>
  <c r="H99" i="41"/>
  <c r="I99" i="41" s="1"/>
  <c r="K99" i="41"/>
  <c r="G99" i="41"/>
  <c r="X88" i="73" l="1"/>
  <c r="L89" i="73"/>
  <c r="S88" i="73"/>
  <c r="W88" i="73" s="1"/>
  <c r="L326" i="80"/>
  <c r="M326" i="80"/>
  <c r="K326" i="80"/>
  <c r="E327" i="80"/>
  <c r="D327" i="80" s="1"/>
  <c r="F327" i="80"/>
  <c r="I326" i="80"/>
  <c r="H326" i="80"/>
  <c r="G326" i="80"/>
  <c r="I318" i="76"/>
  <c r="P38" i="72"/>
  <c r="V37" i="72"/>
  <c r="W37" i="72" s="1"/>
  <c r="V27" i="65"/>
  <c r="W27" i="65" s="1"/>
  <c r="AR25" i="65"/>
  <c r="AS25" i="65" s="1"/>
  <c r="AK26" i="65"/>
  <c r="AW41" i="65"/>
  <c r="AY40" i="65"/>
  <c r="AB26" i="65"/>
  <c r="AD26" i="65"/>
  <c r="AC26" i="65"/>
  <c r="F101" i="41"/>
  <c r="K100" i="41"/>
  <c r="H100" i="41"/>
  <c r="I100" i="41" s="1"/>
  <c r="G100" i="41"/>
  <c r="E101" i="41"/>
  <c r="U88" i="73" l="1"/>
  <c r="V88" i="73"/>
  <c r="T88" i="73"/>
  <c r="P89" i="73" s="1"/>
  <c r="N89" i="73"/>
  <c r="O89" i="73" s="1"/>
  <c r="M89" i="73"/>
  <c r="S89" i="73"/>
  <c r="L90" i="73"/>
  <c r="G327" i="80"/>
  <c r="F328" i="80"/>
  <c r="E328" i="80"/>
  <c r="D328" i="80" s="1"/>
  <c r="I327" i="80"/>
  <c r="H327" i="80"/>
  <c r="M327" i="80"/>
  <c r="K327" i="80"/>
  <c r="L327" i="80"/>
  <c r="E102" i="41"/>
  <c r="I319" i="76"/>
  <c r="Q38" i="72"/>
  <c r="AE26" i="65"/>
  <c r="AF26" i="65" s="1"/>
  <c r="X27" i="65"/>
  <c r="Y27" i="65" s="1"/>
  <c r="Z27" i="65" s="1"/>
  <c r="AL26" i="65"/>
  <c r="AM26" i="65" s="1"/>
  <c r="AY41" i="65"/>
  <c r="AW42" i="65"/>
  <c r="F102" i="41"/>
  <c r="H101" i="41"/>
  <c r="I101" i="41" s="1"/>
  <c r="G101" i="41"/>
  <c r="K101" i="41"/>
  <c r="Q89" i="73" l="1"/>
  <c r="R89" i="73" s="1"/>
  <c r="M90" i="73"/>
  <c r="N90" i="73"/>
  <c r="O90" i="73" s="1"/>
  <c r="V89" i="73"/>
  <c r="X89" i="73"/>
  <c r="T89" i="73"/>
  <c r="P90" i="73" s="1"/>
  <c r="W89" i="73"/>
  <c r="U89" i="73"/>
  <c r="M328" i="80"/>
  <c r="L328" i="80"/>
  <c r="K328" i="80"/>
  <c r="I328" i="80"/>
  <c r="H328" i="80"/>
  <c r="G328" i="80"/>
  <c r="E329" i="80"/>
  <c r="D329" i="80" s="1"/>
  <c r="F329" i="80"/>
  <c r="I320" i="76"/>
  <c r="L39" i="72"/>
  <c r="R38" i="72"/>
  <c r="AA27" i="65"/>
  <c r="AB27" i="65" s="1"/>
  <c r="U28" i="65"/>
  <c r="AW43" i="65"/>
  <c r="AY42" i="65"/>
  <c r="AN26" i="65"/>
  <c r="AH27" i="65"/>
  <c r="F103" i="41"/>
  <c r="H102" i="41"/>
  <c r="I102" i="41" s="1"/>
  <c r="G102" i="41"/>
  <c r="K102" i="41"/>
  <c r="E103" i="41"/>
  <c r="Q90" i="73" l="1"/>
  <c r="R90" i="73" s="1"/>
  <c r="H329" i="80"/>
  <c r="E330" i="80"/>
  <c r="D330" i="80" s="1"/>
  <c r="I329" i="80"/>
  <c r="F330" i="80"/>
  <c r="G329" i="80"/>
  <c r="L329" i="80"/>
  <c r="K329" i="80"/>
  <c r="M329" i="80"/>
  <c r="E104" i="41"/>
  <c r="I321" i="76"/>
  <c r="M39" i="72"/>
  <c r="N39" i="72" s="1"/>
  <c r="S38" i="72"/>
  <c r="O39" i="72" s="1"/>
  <c r="T38" i="72"/>
  <c r="U38" i="72"/>
  <c r="AE27" i="65"/>
  <c r="X28" i="65"/>
  <c r="AO26" i="65"/>
  <c r="AP26" i="65"/>
  <c r="AQ26" i="65"/>
  <c r="AW44" i="65"/>
  <c r="AY43" i="65"/>
  <c r="V28" i="65"/>
  <c r="W28" i="65" s="1"/>
  <c r="AI27" i="65"/>
  <c r="AJ27" i="65" s="1"/>
  <c r="AC27" i="65"/>
  <c r="AD27" i="65"/>
  <c r="F104" i="41"/>
  <c r="H103" i="41"/>
  <c r="I103" i="41" s="1"/>
  <c r="K103" i="41"/>
  <c r="G103" i="41"/>
  <c r="X90" i="73" l="1"/>
  <c r="S90" i="73"/>
  <c r="L91" i="73"/>
  <c r="I330" i="80"/>
  <c r="F331" i="80"/>
  <c r="G330" i="80"/>
  <c r="E331" i="80"/>
  <c r="D331" i="80" s="1"/>
  <c r="H330" i="80"/>
  <c r="K330" i="80"/>
  <c r="M330" i="80"/>
  <c r="L330" i="80"/>
  <c r="I322" i="76"/>
  <c r="P39" i="72"/>
  <c r="V38" i="72"/>
  <c r="W38" i="72" s="1"/>
  <c r="Y28" i="65"/>
  <c r="Z28" i="65" s="1"/>
  <c r="U29" i="65" s="1"/>
  <c r="AR26" i="65"/>
  <c r="AS26" i="65" s="1"/>
  <c r="AK27" i="65"/>
  <c r="AL27" i="65" s="1"/>
  <c r="AM27" i="65" s="1"/>
  <c r="AW45" i="65"/>
  <c r="AY44" i="65"/>
  <c r="AF27" i="65"/>
  <c r="F105" i="41"/>
  <c r="K104" i="41"/>
  <c r="H104" i="41"/>
  <c r="I104" i="41" s="1"/>
  <c r="G104" i="41"/>
  <c r="E105" i="41"/>
  <c r="E106" i="41" l="1"/>
  <c r="M91" i="73"/>
  <c r="N91" i="73"/>
  <c r="O91" i="73" s="1"/>
  <c r="W90" i="73"/>
  <c r="U90" i="73"/>
  <c r="V90" i="73"/>
  <c r="T90" i="73"/>
  <c r="P91" i="73" s="1"/>
  <c r="K331" i="80"/>
  <c r="M331" i="80"/>
  <c r="L331" i="80"/>
  <c r="I331" i="80"/>
  <c r="H331" i="80"/>
  <c r="E332" i="80"/>
  <c r="D332" i="80" s="1"/>
  <c r="G331" i="80"/>
  <c r="F332" i="80"/>
  <c r="I323" i="76"/>
  <c r="Q39" i="72"/>
  <c r="AA28" i="65"/>
  <c r="AB28" i="65" s="1"/>
  <c r="AE28" i="65" s="1"/>
  <c r="AY45" i="65"/>
  <c r="AW46" i="65"/>
  <c r="AN27" i="65"/>
  <c r="AH28" i="65"/>
  <c r="V29" i="65"/>
  <c r="F106" i="41"/>
  <c r="G105" i="41"/>
  <c r="K105" i="41"/>
  <c r="H105" i="41"/>
  <c r="I105" i="41" s="1"/>
  <c r="Q91" i="73" l="1"/>
  <c r="R91" i="73" s="1"/>
  <c r="H332" i="80"/>
  <c r="F333" i="80"/>
  <c r="G332" i="80"/>
  <c r="E333" i="80"/>
  <c r="D333" i="80" s="1"/>
  <c r="I332" i="80"/>
  <c r="M332" i="80"/>
  <c r="L332" i="80"/>
  <c r="K332" i="80"/>
  <c r="I324" i="76"/>
  <c r="R39" i="72"/>
  <c r="L40" i="72"/>
  <c r="AD28" i="65"/>
  <c r="AC28" i="65"/>
  <c r="W29" i="65"/>
  <c r="X29" i="65"/>
  <c r="AO27" i="65"/>
  <c r="AP27" i="65"/>
  <c r="AQ27" i="65"/>
  <c r="AI28" i="65"/>
  <c r="AJ28" i="65" s="1"/>
  <c r="AW47" i="65"/>
  <c r="AY46" i="65"/>
  <c r="F107" i="41"/>
  <c r="K106" i="41"/>
  <c r="H106" i="41"/>
  <c r="I106" i="41" s="1"/>
  <c r="G106" i="41"/>
  <c r="E107" i="41"/>
  <c r="E108" i="41" l="1"/>
  <c r="X91" i="73"/>
  <c r="L92" i="73"/>
  <c r="S91" i="73"/>
  <c r="W91" i="73" s="1"/>
  <c r="M333" i="80"/>
  <c r="L333" i="80"/>
  <c r="K333" i="80"/>
  <c r="F334" i="80"/>
  <c r="G333" i="80"/>
  <c r="E334" i="80"/>
  <c r="D334" i="80" s="1"/>
  <c r="I333" i="80"/>
  <c r="H333" i="80"/>
  <c r="I325" i="76"/>
  <c r="M40" i="72"/>
  <c r="N40" i="72" s="1"/>
  <c r="T39" i="72"/>
  <c r="U39" i="72"/>
  <c r="S39" i="72"/>
  <c r="O40" i="72" s="1"/>
  <c r="AF28" i="65"/>
  <c r="Y29" i="65"/>
  <c r="Z29" i="65" s="1"/>
  <c r="U30" i="65" s="1"/>
  <c r="V30" i="65" s="1"/>
  <c r="AR27" i="65"/>
  <c r="AS27" i="65" s="1"/>
  <c r="AK28" i="65"/>
  <c r="AY47" i="65"/>
  <c r="AW48" i="65"/>
  <c r="F108" i="41"/>
  <c r="H107" i="41"/>
  <c r="I107" i="41" s="1"/>
  <c r="K107" i="41"/>
  <c r="G107" i="41"/>
  <c r="U91" i="73" l="1"/>
  <c r="V91" i="73"/>
  <c r="T91" i="73"/>
  <c r="P92" i="73" s="1"/>
  <c r="M92" i="73"/>
  <c r="N92" i="73"/>
  <c r="O92" i="73" s="1"/>
  <c r="M334" i="80"/>
  <c r="L334" i="80"/>
  <c r="K334" i="80"/>
  <c r="E335" i="80"/>
  <c r="D335" i="80" s="1"/>
  <c r="I334" i="80"/>
  <c r="H334" i="80"/>
  <c r="G334" i="80"/>
  <c r="F335" i="80"/>
  <c r="I326" i="76"/>
  <c r="P40" i="72"/>
  <c r="V39" i="72"/>
  <c r="W39" i="72" s="1"/>
  <c r="AA29" i="65"/>
  <c r="AB29" i="65" s="1"/>
  <c r="AE29" i="65" s="1"/>
  <c r="AY48" i="65"/>
  <c r="AW49" i="65"/>
  <c r="AL28" i="65"/>
  <c r="AM28" i="65" s="1"/>
  <c r="F109" i="41"/>
  <c r="K108" i="41"/>
  <c r="H108" i="41"/>
  <c r="I108" i="41" s="1"/>
  <c r="G108" i="41"/>
  <c r="E109" i="41"/>
  <c r="Q92" i="73" l="1"/>
  <c r="R92" i="73" s="1"/>
  <c r="X92" i="73" s="1"/>
  <c r="S92" i="73"/>
  <c r="U92" i="73" s="1"/>
  <c r="L93" i="73"/>
  <c r="F336" i="80"/>
  <c r="E336" i="80"/>
  <c r="D336" i="80" s="1"/>
  <c r="I335" i="80"/>
  <c r="H335" i="80"/>
  <c r="G335" i="80"/>
  <c r="M335" i="80"/>
  <c r="L335" i="80"/>
  <c r="K335" i="80"/>
  <c r="E110" i="41"/>
  <c r="I327" i="76"/>
  <c r="Q40" i="72"/>
  <c r="W30" i="65"/>
  <c r="X30" i="65"/>
  <c r="AC29" i="65"/>
  <c r="AD29" i="65"/>
  <c r="AN28" i="65"/>
  <c r="AH29" i="65"/>
  <c r="AW50" i="65"/>
  <c r="AY49" i="65"/>
  <c r="F110" i="41"/>
  <c r="H109" i="41"/>
  <c r="I109" i="41" s="1"/>
  <c r="G109" i="41"/>
  <c r="K109" i="41"/>
  <c r="W92" i="73" l="1"/>
  <c r="T92" i="73"/>
  <c r="P93" i="73" s="1"/>
  <c r="V92" i="73"/>
  <c r="M93" i="73"/>
  <c r="N93" i="73"/>
  <c r="O93" i="73" s="1"/>
  <c r="M336" i="80"/>
  <c r="L336" i="80"/>
  <c r="K336" i="80"/>
  <c r="I336" i="80"/>
  <c r="H336" i="80"/>
  <c r="G336" i="80"/>
  <c r="F337" i="80"/>
  <c r="E337" i="80"/>
  <c r="D337" i="80" s="1"/>
  <c r="I328" i="76"/>
  <c r="L41" i="72"/>
  <c r="R40" i="72"/>
  <c r="AF29" i="65"/>
  <c r="Y30" i="65"/>
  <c r="Z30" i="65" s="1"/>
  <c r="AA30" i="65" s="1"/>
  <c r="AY50" i="65"/>
  <c r="AW51" i="65"/>
  <c r="AP28" i="65"/>
  <c r="AQ28" i="65"/>
  <c r="AI29" i="65"/>
  <c r="AJ29" i="65" s="1"/>
  <c r="AO28" i="65"/>
  <c r="F111" i="41"/>
  <c r="H110" i="41"/>
  <c r="I110" i="41" s="1"/>
  <c r="K110" i="41"/>
  <c r="G110" i="41"/>
  <c r="E111" i="41"/>
  <c r="Q93" i="73" l="1"/>
  <c r="R93" i="73" s="1"/>
  <c r="L94" i="73"/>
  <c r="M94" i="73" s="1"/>
  <c r="X93" i="73"/>
  <c r="S93" i="73"/>
  <c r="T93" i="73" s="1"/>
  <c r="P94" i="73" s="1"/>
  <c r="L337" i="80"/>
  <c r="K337" i="80"/>
  <c r="M337" i="80"/>
  <c r="I337" i="80"/>
  <c r="H337" i="80"/>
  <c r="F338" i="80"/>
  <c r="E338" i="80"/>
  <c r="D338" i="80" s="1"/>
  <c r="G337" i="80"/>
  <c r="E112" i="41"/>
  <c r="I329" i="76"/>
  <c r="M41" i="72"/>
  <c r="N41" i="72" s="1"/>
  <c r="T40" i="72"/>
  <c r="U40" i="72"/>
  <c r="S40" i="72"/>
  <c r="O41" i="72" s="1"/>
  <c r="U31" i="65"/>
  <c r="V31" i="65" s="1"/>
  <c r="W31" i="65" s="1"/>
  <c r="AY51" i="65"/>
  <c r="AW52" i="65"/>
  <c r="AB30" i="65"/>
  <c r="AD30" i="65"/>
  <c r="AC30" i="65"/>
  <c r="AR28" i="65"/>
  <c r="AS28" i="65" s="1"/>
  <c r="AK29" i="65"/>
  <c r="F112" i="41"/>
  <c r="H111" i="41"/>
  <c r="I111" i="41" s="1"/>
  <c r="K111" i="41"/>
  <c r="G111" i="41"/>
  <c r="N94" i="73" l="1"/>
  <c r="O94" i="73" s="1"/>
  <c r="V93" i="73"/>
  <c r="W93" i="73"/>
  <c r="U93" i="73"/>
  <c r="K338" i="80"/>
  <c r="L338" i="80"/>
  <c r="M338" i="80"/>
  <c r="I338" i="80"/>
  <c r="H338" i="80"/>
  <c r="F339" i="80"/>
  <c r="G338" i="80"/>
  <c r="E339" i="80"/>
  <c r="D339" i="80" s="1"/>
  <c r="I330" i="76"/>
  <c r="P41" i="72"/>
  <c r="V40" i="72"/>
  <c r="W40" i="72" s="1"/>
  <c r="AE30" i="65"/>
  <c r="AF30" i="65" s="1"/>
  <c r="X31" i="65"/>
  <c r="Y31" i="65" s="1"/>
  <c r="Z31" i="65" s="1"/>
  <c r="AL29" i="65"/>
  <c r="AM29" i="65" s="1"/>
  <c r="AW53" i="65"/>
  <c r="AY52" i="65"/>
  <c r="F113" i="41"/>
  <c r="K112" i="41"/>
  <c r="G112" i="41"/>
  <c r="H112" i="41"/>
  <c r="I112" i="41" s="1"/>
  <c r="E113" i="41"/>
  <c r="E114" i="41" l="1"/>
  <c r="Q94" i="73"/>
  <c r="R94" i="73" s="1"/>
  <c r="S94" i="73" s="1"/>
  <c r="W94" i="73" s="1"/>
  <c r="M339" i="80"/>
  <c r="L339" i="80"/>
  <c r="K339" i="80"/>
  <c r="I339" i="80"/>
  <c r="H339" i="80"/>
  <c r="F340" i="80"/>
  <c r="G339" i="80"/>
  <c r="E340" i="80"/>
  <c r="D340" i="80" s="1"/>
  <c r="I331" i="76"/>
  <c r="Q41" i="72"/>
  <c r="AN29" i="65"/>
  <c r="AH30" i="65"/>
  <c r="U32" i="65"/>
  <c r="AA31" i="65"/>
  <c r="AW54" i="65"/>
  <c r="AY53" i="65"/>
  <c r="F114" i="41"/>
  <c r="H113" i="41"/>
  <c r="I113" i="41" s="1"/>
  <c r="K113" i="41"/>
  <c r="G113" i="41"/>
  <c r="U94" i="73" l="1"/>
  <c r="V94" i="73"/>
  <c r="X94" i="73"/>
  <c r="T94" i="73"/>
  <c r="P95" i="73" s="1"/>
  <c r="L95" i="73"/>
  <c r="M340" i="80"/>
  <c r="L340" i="80"/>
  <c r="K340" i="80"/>
  <c r="H340" i="80"/>
  <c r="F341" i="80"/>
  <c r="G340" i="80"/>
  <c r="E341" i="80"/>
  <c r="D341" i="80" s="1"/>
  <c r="I340" i="80"/>
  <c r="I332" i="76"/>
  <c r="L42" i="72"/>
  <c r="R41" i="72"/>
  <c r="V32" i="65"/>
  <c r="W32" i="65" s="1"/>
  <c r="AD31" i="65"/>
  <c r="AC31" i="65"/>
  <c r="AB31" i="65"/>
  <c r="AQ29" i="65"/>
  <c r="AP29" i="65"/>
  <c r="AI30" i="65"/>
  <c r="AJ30" i="65" s="1"/>
  <c r="AW55" i="65"/>
  <c r="AY54" i="65"/>
  <c r="AO29" i="65"/>
  <c r="F115" i="41"/>
  <c r="K114" i="41"/>
  <c r="G114" i="41"/>
  <c r="H114" i="41"/>
  <c r="I114" i="41" s="1"/>
  <c r="E115" i="41"/>
  <c r="E116" i="41" s="1"/>
  <c r="N95" i="73" l="1"/>
  <c r="O95" i="73" s="1"/>
  <c r="Q95" i="73" s="1"/>
  <c r="R95" i="73" s="1"/>
  <c r="M95" i="73"/>
  <c r="M341" i="80"/>
  <c r="L341" i="80"/>
  <c r="K341" i="80"/>
  <c r="F342" i="80"/>
  <c r="G341" i="80"/>
  <c r="E342" i="80"/>
  <c r="D342" i="80" s="1"/>
  <c r="I341" i="80"/>
  <c r="H341" i="80"/>
  <c r="I333" i="76"/>
  <c r="M42" i="72"/>
  <c r="N42" i="72" s="1"/>
  <c r="S41" i="72"/>
  <c r="O42" i="72" s="1"/>
  <c r="U41" i="72"/>
  <c r="T41" i="72"/>
  <c r="AE31" i="65"/>
  <c r="AF31" i="65" s="1"/>
  <c r="X32" i="65"/>
  <c r="AW56" i="65"/>
  <c r="AY55" i="65"/>
  <c r="AR29" i="65"/>
  <c r="AS29" i="65" s="1"/>
  <c r="AK30" i="65"/>
  <c r="AL30" i="65" s="1"/>
  <c r="AM30" i="65" s="1"/>
  <c r="F116" i="41"/>
  <c r="H115" i="41"/>
  <c r="I115" i="41" s="1"/>
  <c r="K115" i="41"/>
  <c r="G115" i="41"/>
  <c r="L96" i="73" l="1"/>
  <c r="N96" i="73" s="1"/>
  <c r="S95" i="73"/>
  <c r="W95" i="73" s="1"/>
  <c r="V95" i="73"/>
  <c r="X95" i="73"/>
  <c r="M342" i="80"/>
  <c r="L342" i="80"/>
  <c r="K342" i="80"/>
  <c r="E343" i="80"/>
  <c r="D343" i="80" s="1"/>
  <c r="F343" i="80"/>
  <c r="H342" i="80"/>
  <c r="G342" i="80"/>
  <c r="I342" i="80"/>
  <c r="I334" i="76"/>
  <c r="P42" i="72"/>
  <c r="Q42" i="72" s="1"/>
  <c r="R42" i="72" s="1"/>
  <c r="V41" i="72"/>
  <c r="W41" i="72" s="1"/>
  <c r="AW57" i="65"/>
  <c r="AY56" i="65"/>
  <c r="Y32" i="65"/>
  <c r="Z32" i="65" s="1"/>
  <c r="AH31" i="65"/>
  <c r="AN30" i="65"/>
  <c r="AO30" i="65" s="1"/>
  <c r="F117" i="41"/>
  <c r="K116" i="41"/>
  <c r="H116" i="41"/>
  <c r="I116" i="41" s="1"/>
  <c r="G116" i="41"/>
  <c r="E117" i="41"/>
  <c r="T95" i="73" l="1"/>
  <c r="P96" i="73" s="1"/>
  <c r="U95" i="73"/>
  <c r="O96" i="73"/>
  <c r="M96" i="73"/>
  <c r="Q96" i="73"/>
  <c r="R96" i="73" s="1"/>
  <c r="I343" i="80"/>
  <c r="H343" i="80"/>
  <c r="G343" i="80"/>
  <c r="F344" i="80"/>
  <c r="E344" i="80"/>
  <c r="D344" i="80" s="1"/>
  <c r="M343" i="80"/>
  <c r="L343" i="80"/>
  <c r="K343" i="80"/>
  <c r="E118" i="41"/>
  <c r="I335" i="76"/>
  <c r="L43" i="72"/>
  <c r="S42" i="72"/>
  <c r="U42" i="72"/>
  <c r="T42" i="72"/>
  <c r="AR30" i="65"/>
  <c r="AK31" i="65"/>
  <c r="AI31" i="65"/>
  <c r="AJ31" i="65" s="1"/>
  <c r="AP30" i="65"/>
  <c r="AQ30" i="65"/>
  <c r="AA32" i="65"/>
  <c r="U33" i="65"/>
  <c r="AY57" i="65"/>
  <c r="AW58" i="65"/>
  <c r="F118" i="41"/>
  <c r="H117" i="41"/>
  <c r="I117" i="41" s="1"/>
  <c r="G117" i="41"/>
  <c r="K117" i="41"/>
  <c r="E119" i="41" l="1"/>
  <c r="X96" i="73"/>
  <c r="S96" i="73"/>
  <c r="T96" i="73" s="1"/>
  <c r="P97" i="73" s="1"/>
  <c r="L97" i="73"/>
  <c r="M344" i="80"/>
  <c r="L344" i="80"/>
  <c r="K344" i="80"/>
  <c r="I344" i="80"/>
  <c r="F345" i="80"/>
  <c r="E345" i="80"/>
  <c r="D345" i="80" s="1"/>
  <c r="H344" i="80"/>
  <c r="G344" i="80"/>
  <c r="I336" i="76"/>
  <c r="M43" i="72"/>
  <c r="N43" i="72" s="1"/>
  <c r="V42" i="72"/>
  <c r="W42" i="72" s="1"/>
  <c r="O43" i="72"/>
  <c r="AL31" i="65"/>
  <c r="AM31" i="65" s="1"/>
  <c r="AN31" i="65" s="1"/>
  <c r="AQ31" i="65" s="1"/>
  <c r="AD32" i="65"/>
  <c r="AC32" i="65"/>
  <c r="V33" i="65"/>
  <c r="W33" i="65" s="1"/>
  <c r="AY58" i="65"/>
  <c r="AW59" i="65"/>
  <c r="AB32" i="65"/>
  <c r="AS30" i="65"/>
  <c r="F119" i="41"/>
  <c r="H118" i="41"/>
  <c r="I118" i="41" s="1"/>
  <c r="G118" i="41"/>
  <c r="K118" i="41"/>
  <c r="M97" i="73" l="1"/>
  <c r="N97" i="73"/>
  <c r="O97" i="73" s="1"/>
  <c r="Q97" i="73" s="1"/>
  <c r="R97" i="73" s="1"/>
  <c r="W96" i="73"/>
  <c r="U96" i="73"/>
  <c r="V96" i="73"/>
  <c r="L345" i="80"/>
  <c r="K345" i="80"/>
  <c r="M345" i="80"/>
  <c r="I345" i="80"/>
  <c r="H345" i="80"/>
  <c r="G345" i="80"/>
  <c r="F346" i="80"/>
  <c r="E346" i="80"/>
  <c r="D346" i="80" s="1"/>
  <c r="I337" i="76"/>
  <c r="P43" i="72"/>
  <c r="Q43" i="72" s="1"/>
  <c r="AH32" i="65"/>
  <c r="AI32" i="65" s="1"/>
  <c r="AJ32" i="65" s="1"/>
  <c r="AP31" i="65"/>
  <c r="AO31" i="65"/>
  <c r="AR31" i="65" s="1"/>
  <c r="AE32" i="65"/>
  <c r="AF32" i="65" s="1"/>
  <c r="X33" i="65"/>
  <c r="AW60" i="65"/>
  <c r="AY59" i="65"/>
  <c r="F120" i="41"/>
  <c r="H119" i="41"/>
  <c r="I119" i="41" s="1"/>
  <c r="K119" i="41"/>
  <c r="G119" i="41"/>
  <c r="E120" i="41"/>
  <c r="S97" i="73" l="1"/>
  <c r="U97" i="73" s="1"/>
  <c r="X97" i="73"/>
  <c r="L98" i="73"/>
  <c r="V97" i="73"/>
  <c r="K346" i="80"/>
  <c r="M346" i="80"/>
  <c r="L346" i="80"/>
  <c r="I346" i="80"/>
  <c r="H346" i="80"/>
  <c r="F347" i="80"/>
  <c r="G346" i="80"/>
  <c r="E347" i="80"/>
  <c r="D347" i="80" s="1"/>
  <c r="E121" i="41"/>
  <c r="I338" i="76"/>
  <c r="R43" i="72"/>
  <c r="L44" i="72"/>
  <c r="AS31" i="65"/>
  <c r="AK32" i="65"/>
  <c r="AL32" i="65" s="1"/>
  <c r="AM32" i="65" s="1"/>
  <c r="AW61" i="65"/>
  <c r="AY60" i="65"/>
  <c r="Y33" i="65"/>
  <c r="Z33" i="65" s="1"/>
  <c r="F121" i="41"/>
  <c r="K120" i="41"/>
  <c r="H120" i="41"/>
  <c r="I120" i="41" s="1"/>
  <c r="G120" i="41"/>
  <c r="W97" i="73" l="1"/>
  <c r="T97" i="73"/>
  <c r="P98" i="73" s="1"/>
  <c r="M98" i="73"/>
  <c r="N98" i="73"/>
  <c r="O98" i="73" s="1"/>
  <c r="Q98" i="73" s="1"/>
  <c r="R98" i="73" s="1"/>
  <c r="M347" i="80"/>
  <c r="L347" i="80"/>
  <c r="K347" i="80"/>
  <c r="I347" i="80"/>
  <c r="H347" i="80"/>
  <c r="F348" i="80"/>
  <c r="G347" i="80"/>
  <c r="E348" i="80"/>
  <c r="D348" i="80" s="1"/>
  <c r="I339" i="76"/>
  <c r="M44" i="72"/>
  <c r="N44" i="72" s="1"/>
  <c r="T43" i="72"/>
  <c r="U43" i="72"/>
  <c r="S43" i="72"/>
  <c r="AN32" i="65"/>
  <c r="AO32" i="65" s="1"/>
  <c r="AR32" i="65" s="1"/>
  <c r="AH33" i="65"/>
  <c r="AI33" i="65" s="1"/>
  <c r="U34" i="65"/>
  <c r="AA33" i="65"/>
  <c r="AY61" i="65"/>
  <c r="AW62" i="65"/>
  <c r="F122" i="41"/>
  <c r="G121" i="41"/>
  <c r="H121" i="41"/>
  <c r="I121" i="41" s="1"/>
  <c r="K121" i="41"/>
  <c r="E122" i="41"/>
  <c r="S98" i="73" l="1"/>
  <c r="U98" i="73" s="1"/>
  <c r="E123" i="41"/>
  <c r="L99" i="73"/>
  <c r="M99" i="73" s="1"/>
  <c r="X98" i="73"/>
  <c r="V98" i="73"/>
  <c r="M348" i="80"/>
  <c r="L348" i="80"/>
  <c r="K348" i="80"/>
  <c r="H348" i="80"/>
  <c r="F349" i="80"/>
  <c r="G348" i="80"/>
  <c r="E349" i="80"/>
  <c r="D349" i="80" s="1"/>
  <c r="I348" i="80"/>
  <c r="I340" i="76"/>
  <c r="V43" i="72"/>
  <c r="W43" i="72" s="1"/>
  <c r="O44" i="72"/>
  <c r="P44" i="72" s="1"/>
  <c r="Q44" i="72" s="1"/>
  <c r="AP32" i="65"/>
  <c r="AK33" i="65"/>
  <c r="AQ32" i="65"/>
  <c r="AJ33" i="65"/>
  <c r="AB33" i="65"/>
  <c r="AD33" i="65"/>
  <c r="AC33" i="65"/>
  <c r="V34" i="65"/>
  <c r="W34" i="65" s="1"/>
  <c r="AY62" i="65"/>
  <c r="AW63" i="65"/>
  <c r="F123" i="41"/>
  <c r="K122" i="41"/>
  <c r="H122" i="41"/>
  <c r="I122" i="41" s="1"/>
  <c r="G122" i="41"/>
  <c r="W98" i="73" l="1"/>
  <c r="T98" i="73"/>
  <c r="P99" i="73" s="1"/>
  <c r="N99" i="73"/>
  <c r="O99" i="73" s="1"/>
  <c r="M349" i="80"/>
  <c r="L349" i="80"/>
  <c r="K349" i="80"/>
  <c r="F350" i="80"/>
  <c r="G349" i="80"/>
  <c r="E350" i="80"/>
  <c r="D350" i="80" s="1"/>
  <c r="H349" i="80"/>
  <c r="I349" i="80"/>
  <c r="I341" i="76"/>
  <c r="L45" i="72"/>
  <c r="R44" i="72"/>
  <c r="AL33" i="65"/>
  <c r="AM33" i="65" s="1"/>
  <c r="AH34" i="65" s="1"/>
  <c r="AI34" i="65" s="1"/>
  <c r="AS32" i="65"/>
  <c r="AE33" i="65"/>
  <c r="AF33" i="65" s="1"/>
  <c r="X34" i="65"/>
  <c r="Y34" i="65" s="1"/>
  <c r="Z34" i="65" s="1"/>
  <c r="U35" i="65" s="1"/>
  <c r="V35" i="65" s="1"/>
  <c r="AY63" i="65"/>
  <c r="AW64" i="65"/>
  <c r="F124" i="41"/>
  <c r="H123" i="41"/>
  <c r="I123" i="41" s="1"/>
  <c r="K123" i="41"/>
  <c r="G123" i="41"/>
  <c r="E124" i="41"/>
  <c r="Q99" i="73" l="1"/>
  <c r="R99" i="73" s="1"/>
  <c r="S99" i="73" s="1"/>
  <c r="M350" i="80"/>
  <c r="L350" i="80"/>
  <c r="K350" i="80"/>
  <c r="E351" i="80"/>
  <c r="D351" i="80" s="1"/>
  <c r="I350" i="80"/>
  <c r="H350" i="80"/>
  <c r="G350" i="80"/>
  <c r="F351" i="80"/>
  <c r="E125" i="41"/>
  <c r="I342" i="76"/>
  <c r="M45" i="72"/>
  <c r="N45" i="72" s="1"/>
  <c r="T44" i="72"/>
  <c r="U44" i="72"/>
  <c r="S44" i="72"/>
  <c r="AN33" i="65"/>
  <c r="AJ34" i="65" s="1"/>
  <c r="AA34" i="65"/>
  <c r="AW65" i="65"/>
  <c r="AY64" i="65"/>
  <c r="F125" i="41"/>
  <c r="K124" i="41"/>
  <c r="H124" i="41"/>
  <c r="I124" i="41" s="1"/>
  <c r="G124" i="41"/>
  <c r="W99" i="73" l="1"/>
  <c r="U99" i="73"/>
  <c r="V99" i="73"/>
  <c r="X99" i="73"/>
  <c r="T99" i="73"/>
  <c r="P100" i="73" s="1"/>
  <c r="L100" i="73"/>
  <c r="F352" i="80"/>
  <c r="E352" i="80"/>
  <c r="D352" i="80" s="1"/>
  <c r="I351" i="80"/>
  <c r="H351" i="80"/>
  <c r="G351" i="80"/>
  <c r="M351" i="80"/>
  <c r="L351" i="80"/>
  <c r="K351" i="80"/>
  <c r="I343" i="76"/>
  <c r="V44" i="72"/>
  <c r="W44" i="72" s="1"/>
  <c r="O45" i="72"/>
  <c r="AO33" i="65"/>
  <c r="AK34" i="65" s="1"/>
  <c r="AL34" i="65" s="1"/>
  <c r="AM34" i="65" s="1"/>
  <c r="AQ33" i="65"/>
  <c r="AP33" i="65"/>
  <c r="AW66" i="65"/>
  <c r="AY65" i="65"/>
  <c r="AD34" i="65"/>
  <c r="AC34" i="65"/>
  <c r="AB34" i="65"/>
  <c r="W35" i="65"/>
  <c r="F126" i="41"/>
  <c r="H125" i="41"/>
  <c r="I125" i="41" s="1"/>
  <c r="G125" i="41"/>
  <c r="K125" i="41"/>
  <c r="E126" i="41"/>
  <c r="E127" i="41" s="1"/>
  <c r="M100" i="73" l="1"/>
  <c r="N100" i="73"/>
  <c r="O100" i="73" s="1"/>
  <c r="Q100" i="73" s="1"/>
  <c r="R100" i="73" s="1"/>
  <c r="M352" i="80"/>
  <c r="L352" i="80"/>
  <c r="K352" i="80"/>
  <c r="I352" i="80"/>
  <c r="H352" i="80"/>
  <c r="G352" i="80"/>
  <c r="E353" i="80"/>
  <c r="D353" i="80" s="1"/>
  <c r="F353" i="80"/>
  <c r="I344" i="76"/>
  <c r="P45" i="72"/>
  <c r="Q45" i="72" s="1"/>
  <c r="AR33" i="65"/>
  <c r="AS33" i="65" s="1"/>
  <c r="AH35" i="65"/>
  <c r="AI35" i="65" s="1"/>
  <c r="AN34" i="65"/>
  <c r="AW67" i="65"/>
  <c r="AY66" i="65"/>
  <c r="AE34" i="65"/>
  <c r="AF34" i="65" s="1"/>
  <c r="X35" i="65"/>
  <c r="F127" i="41"/>
  <c r="H126" i="41"/>
  <c r="I126" i="41" s="1"/>
  <c r="K126" i="41"/>
  <c r="G126" i="41"/>
  <c r="S100" i="73" l="1"/>
  <c r="T100" i="73" s="1"/>
  <c r="P101" i="73" s="1"/>
  <c r="X100" i="73"/>
  <c r="L101" i="73"/>
  <c r="I353" i="80"/>
  <c r="H353" i="80"/>
  <c r="F354" i="80"/>
  <c r="E354" i="80"/>
  <c r="D354" i="80" s="1"/>
  <c r="G353" i="80"/>
  <c r="L353" i="80"/>
  <c r="K353" i="80"/>
  <c r="M353" i="80"/>
  <c r="I345" i="76"/>
  <c r="R45" i="72"/>
  <c r="L46" i="72"/>
  <c r="AJ35" i="65"/>
  <c r="AP34" i="65"/>
  <c r="AQ34" i="65"/>
  <c r="AO34" i="65"/>
  <c r="AW68" i="65"/>
  <c r="AY67" i="65"/>
  <c r="Y35" i="65"/>
  <c r="Z35" i="65" s="1"/>
  <c r="F128" i="41"/>
  <c r="H127" i="41"/>
  <c r="I127" i="41" s="1"/>
  <c r="K127" i="41"/>
  <c r="G127" i="41"/>
  <c r="E128" i="41"/>
  <c r="E129" i="41" l="1"/>
  <c r="V100" i="73"/>
  <c r="M101" i="73"/>
  <c r="N101" i="73"/>
  <c r="O101" i="73" s="1"/>
  <c r="Q101" i="73" s="1"/>
  <c r="R101" i="73" s="1"/>
  <c r="W100" i="73"/>
  <c r="U100" i="73"/>
  <c r="K354" i="80"/>
  <c r="M354" i="80"/>
  <c r="L354" i="80"/>
  <c r="I354" i="80"/>
  <c r="H354" i="80"/>
  <c r="F355" i="80"/>
  <c r="G354" i="80"/>
  <c r="E355" i="80"/>
  <c r="D355" i="80" s="1"/>
  <c r="I346" i="76"/>
  <c r="M46" i="72"/>
  <c r="N46" i="72" s="1"/>
  <c r="T45" i="72"/>
  <c r="U45" i="72"/>
  <c r="S45" i="72"/>
  <c r="U36" i="65"/>
  <c r="AA35" i="65"/>
  <c r="AK35" i="65"/>
  <c r="AL35" i="65" s="1"/>
  <c r="AM35" i="65" s="1"/>
  <c r="AH36" i="65" s="1"/>
  <c r="AR34" i="65"/>
  <c r="AS34" i="65" s="1"/>
  <c r="AY68" i="65"/>
  <c r="AW69" i="65"/>
  <c r="F129" i="41"/>
  <c r="K128" i="41"/>
  <c r="G128" i="41"/>
  <c r="H128" i="41"/>
  <c r="I128" i="41" s="1"/>
  <c r="S101" i="73" l="1"/>
  <c r="U101" i="73" s="1"/>
  <c r="L102" i="73"/>
  <c r="M102" i="73" s="1"/>
  <c r="X101" i="73"/>
  <c r="V101" i="73"/>
  <c r="M355" i="80"/>
  <c r="L355" i="80"/>
  <c r="K355" i="80"/>
  <c r="I355" i="80"/>
  <c r="H355" i="80"/>
  <c r="F356" i="80"/>
  <c r="G355" i="80"/>
  <c r="E356" i="80"/>
  <c r="D356" i="80" s="1"/>
  <c r="I347" i="76"/>
  <c r="V45" i="72"/>
  <c r="W45" i="72" s="1"/>
  <c r="O46" i="72"/>
  <c r="P46" i="72" s="1"/>
  <c r="Q46" i="72" s="1"/>
  <c r="R46" i="72" s="1"/>
  <c r="AN35" i="65"/>
  <c r="AQ35" i="65" s="1"/>
  <c r="V36" i="65"/>
  <c r="W36" i="65" s="1"/>
  <c r="AC35" i="65"/>
  <c r="AD35" i="65"/>
  <c r="AB35" i="65"/>
  <c r="AI36" i="65"/>
  <c r="AY69" i="65"/>
  <c r="AW70" i="65"/>
  <c r="F130" i="41"/>
  <c r="H129" i="41"/>
  <c r="I129" i="41" s="1"/>
  <c r="K129" i="41"/>
  <c r="G129" i="41"/>
  <c r="E130" i="41"/>
  <c r="W101" i="73" l="1"/>
  <c r="N102" i="73"/>
  <c r="O102" i="73" s="1"/>
  <c r="T101" i="73"/>
  <c r="P102" i="73" s="1"/>
  <c r="M356" i="80"/>
  <c r="K356" i="80"/>
  <c r="L356" i="80"/>
  <c r="H356" i="80"/>
  <c r="F357" i="80"/>
  <c r="G356" i="80"/>
  <c r="E357" i="80"/>
  <c r="D357" i="80" s="1"/>
  <c r="I356" i="80"/>
  <c r="E131" i="41"/>
  <c r="I348" i="76"/>
  <c r="T46" i="72"/>
  <c r="U46" i="72"/>
  <c r="S46" i="72"/>
  <c r="V46" i="72" s="1"/>
  <c r="L47" i="72"/>
  <c r="AJ36" i="65"/>
  <c r="AO35" i="65"/>
  <c r="AK36" i="65" s="1"/>
  <c r="AP35" i="65"/>
  <c r="AE35" i="65"/>
  <c r="AF35" i="65" s="1"/>
  <c r="X36" i="65"/>
  <c r="Y36" i="65" s="1"/>
  <c r="Z36" i="65" s="1"/>
  <c r="AA36" i="65" s="1"/>
  <c r="AY70" i="65"/>
  <c r="AW71" i="65"/>
  <c r="F131" i="41"/>
  <c r="K130" i="41"/>
  <c r="G130" i="41"/>
  <c r="H130" i="41"/>
  <c r="I130" i="41" s="1"/>
  <c r="Q102" i="73" l="1"/>
  <c r="R102" i="73" s="1"/>
  <c r="M357" i="80"/>
  <c r="L357" i="80"/>
  <c r="K357" i="80"/>
  <c r="F358" i="80"/>
  <c r="G357" i="80"/>
  <c r="E358" i="80"/>
  <c r="D358" i="80" s="1"/>
  <c r="I357" i="80"/>
  <c r="H357" i="80"/>
  <c r="I349" i="76"/>
  <c r="W46" i="72"/>
  <c r="O47" i="72"/>
  <c r="M47" i="72"/>
  <c r="N47" i="72" s="1"/>
  <c r="AR35" i="65"/>
  <c r="AS35" i="65" s="1"/>
  <c r="AD36" i="65"/>
  <c r="AC36" i="65"/>
  <c r="U37" i="65"/>
  <c r="V37" i="65" s="1"/>
  <c r="W37" i="65" s="1"/>
  <c r="AB36" i="65"/>
  <c r="AE36" i="65" s="1"/>
  <c r="AW72" i="65"/>
  <c r="AY71" i="65"/>
  <c r="AL36" i="65"/>
  <c r="AM36" i="65" s="1"/>
  <c r="F132" i="41"/>
  <c r="H131" i="41"/>
  <c r="I131" i="41" s="1"/>
  <c r="K131" i="41"/>
  <c r="G131" i="41"/>
  <c r="E132" i="41"/>
  <c r="L103" i="73" l="1"/>
  <c r="X102" i="73"/>
  <c r="S102" i="73"/>
  <c r="W102" i="73" s="1"/>
  <c r="M358" i="80"/>
  <c r="L358" i="80"/>
  <c r="K358" i="80"/>
  <c r="E359" i="80"/>
  <c r="D359" i="80" s="1"/>
  <c r="F359" i="80"/>
  <c r="I358" i="80"/>
  <c r="H358" i="80"/>
  <c r="G358" i="80"/>
  <c r="E133" i="41"/>
  <c r="AF36" i="65"/>
  <c r="I350" i="76"/>
  <c r="P47" i="72"/>
  <c r="Q47" i="72" s="1"/>
  <c r="X37" i="65"/>
  <c r="Y37" i="65" s="1"/>
  <c r="Z37" i="65" s="1"/>
  <c r="AA37" i="65" s="1"/>
  <c r="AD37" i="65" s="1"/>
  <c r="AW73" i="65"/>
  <c r="AY72" i="65"/>
  <c r="AN36" i="65"/>
  <c r="AH37" i="65"/>
  <c r="F133" i="41"/>
  <c r="K132" i="41"/>
  <c r="H132" i="41"/>
  <c r="I132" i="41" s="1"/>
  <c r="G132" i="41"/>
  <c r="U102" i="73" l="1"/>
  <c r="V102" i="73"/>
  <c r="T102" i="73"/>
  <c r="P103" i="73" s="1"/>
  <c r="M103" i="73"/>
  <c r="N103" i="73"/>
  <c r="I359" i="80"/>
  <c r="H359" i="80"/>
  <c r="G359" i="80"/>
  <c r="F360" i="80"/>
  <c r="E360" i="80"/>
  <c r="D360" i="80" s="1"/>
  <c r="M359" i="80"/>
  <c r="L359" i="80"/>
  <c r="K359" i="80"/>
  <c r="U38" i="65"/>
  <c r="V38" i="65" s="1"/>
  <c r="W38" i="65" s="1"/>
  <c r="I351" i="76"/>
  <c r="L48" i="72"/>
  <c r="R47" i="72"/>
  <c r="S47" i="72" s="1"/>
  <c r="O48" i="72" s="1"/>
  <c r="AC37" i="65"/>
  <c r="AB37" i="65"/>
  <c r="AE37" i="65" s="1"/>
  <c r="AY73" i="65"/>
  <c r="AW74" i="65"/>
  <c r="AI37" i="65"/>
  <c r="AJ37" i="65" s="1"/>
  <c r="AQ36" i="65"/>
  <c r="AP36" i="65"/>
  <c r="AO36" i="65"/>
  <c r="F134" i="41"/>
  <c r="H133" i="41"/>
  <c r="I133" i="41" s="1"/>
  <c r="G133" i="41"/>
  <c r="K133" i="41"/>
  <c r="E134" i="41"/>
  <c r="E135" i="41" s="1"/>
  <c r="O103" i="73" l="1"/>
  <c r="M360" i="80"/>
  <c r="L360" i="80"/>
  <c r="K360" i="80"/>
  <c r="I360" i="80"/>
  <c r="F361" i="80"/>
  <c r="E361" i="80"/>
  <c r="D361" i="80" s="1"/>
  <c r="H360" i="80"/>
  <c r="G360" i="80"/>
  <c r="AF37" i="65"/>
  <c r="I352" i="76"/>
  <c r="V47" i="72"/>
  <c r="M48" i="72"/>
  <c r="N48" i="72" s="1"/>
  <c r="U47" i="72"/>
  <c r="T47" i="72"/>
  <c r="X38" i="65"/>
  <c r="Y38" i="65" s="1"/>
  <c r="Z38" i="65" s="1"/>
  <c r="U39" i="65" s="1"/>
  <c r="V39" i="65" s="1"/>
  <c r="AY74" i="65"/>
  <c r="AW75" i="65"/>
  <c r="AR36" i="65"/>
  <c r="AS36" i="65" s="1"/>
  <c r="AK37" i="65"/>
  <c r="F135" i="41"/>
  <c r="H134" i="41"/>
  <c r="I134" i="41" s="1"/>
  <c r="G134" i="41"/>
  <c r="K134" i="41"/>
  <c r="Q103" i="73" l="1"/>
  <c r="R103" i="73" s="1"/>
  <c r="S103" i="73" s="1"/>
  <c r="W103" i="73" s="1"/>
  <c r="L361" i="80"/>
  <c r="K361" i="80"/>
  <c r="M361" i="80"/>
  <c r="I361" i="80"/>
  <c r="H361" i="80"/>
  <c r="G361" i="80"/>
  <c r="F362" i="80"/>
  <c r="E362" i="80"/>
  <c r="D362" i="80" s="1"/>
  <c r="I353" i="76"/>
  <c r="W47" i="72"/>
  <c r="P48" i="72"/>
  <c r="Q48" i="72" s="1"/>
  <c r="R48" i="72" s="1"/>
  <c r="AA38" i="65"/>
  <c r="AC38" i="65" s="1"/>
  <c r="AL37" i="65"/>
  <c r="AM37" i="65" s="1"/>
  <c r="AY75" i="65"/>
  <c r="AW15" i="65" s="1"/>
  <c r="R38" i="62" s="1"/>
  <c r="N430" i="66" s="1"/>
  <c r="AW76" i="65"/>
  <c r="F136" i="41"/>
  <c r="H135" i="41"/>
  <c r="I135" i="41" s="1"/>
  <c r="K135" i="41"/>
  <c r="G135" i="41"/>
  <c r="E136" i="41"/>
  <c r="E137" i="41" s="1"/>
  <c r="U103" i="73" l="1"/>
  <c r="V103" i="73"/>
  <c r="X103" i="73"/>
  <c r="T103" i="73"/>
  <c r="P104" i="73" s="1"/>
  <c r="L104" i="73"/>
  <c r="K362" i="80"/>
  <c r="M362" i="80"/>
  <c r="L362" i="80"/>
  <c r="I362" i="80"/>
  <c r="H362" i="80"/>
  <c r="F363" i="80"/>
  <c r="G362" i="80"/>
  <c r="E363" i="80"/>
  <c r="D363" i="80" s="1"/>
  <c r="I354" i="76"/>
  <c r="L49" i="72"/>
  <c r="U48" i="72"/>
  <c r="T48" i="72"/>
  <c r="S48" i="72"/>
  <c r="O49" i="72" s="1"/>
  <c r="W39" i="65"/>
  <c r="AD38" i="65"/>
  <c r="AB38" i="65"/>
  <c r="AE38" i="65" s="1"/>
  <c r="AY76" i="65"/>
  <c r="AW77" i="65"/>
  <c r="AN37" i="65"/>
  <c r="AH38" i="65"/>
  <c r="F137" i="41"/>
  <c r="K136" i="41"/>
  <c r="H136" i="41"/>
  <c r="I136" i="41" s="1"/>
  <c r="G136" i="41"/>
  <c r="N104" i="73" l="1"/>
  <c r="O104" i="73" s="1"/>
  <c r="Q104" i="73" s="1"/>
  <c r="R104" i="73" s="1"/>
  <c r="M104" i="73"/>
  <c r="AF38" i="65"/>
  <c r="L363" i="80"/>
  <c r="K363" i="80"/>
  <c r="M363" i="80"/>
  <c r="I363" i="80"/>
  <c r="H363" i="80"/>
  <c r="F364" i="80"/>
  <c r="G363" i="80"/>
  <c r="E364" i="80"/>
  <c r="D364" i="80" s="1"/>
  <c r="I355" i="76"/>
  <c r="M49" i="72"/>
  <c r="N49" i="72" s="1"/>
  <c r="V48" i="72"/>
  <c r="W48" i="72" s="1"/>
  <c r="X39" i="65"/>
  <c r="Y39" i="65" s="1"/>
  <c r="Z39" i="65" s="1"/>
  <c r="U40" i="65" s="1"/>
  <c r="V40" i="65" s="1"/>
  <c r="AI38" i="65"/>
  <c r="AJ38" i="65" s="1"/>
  <c r="AP37" i="65"/>
  <c r="AQ37" i="65"/>
  <c r="AO37" i="65"/>
  <c r="AW78" i="65"/>
  <c r="AY77" i="65"/>
  <c r="F138" i="41"/>
  <c r="G137" i="41"/>
  <c r="K137" i="41"/>
  <c r="H137" i="41"/>
  <c r="I137" i="41" s="1"/>
  <c r="E138" i="41"/>
  <c r="S104" i="73" l="1"/>
  <c r="W104" i="73" s="1"/>
  <c r="E139" i="41"/>
  <c r="L105" i="73"/>
  <c r="M105" i="73" s="1"/>
  <c r="V104" i="73"/>
  <c r="X104" i="73"/>
  <c r="M364" i="80"/>
  <c r="L364" i="80"/>
  <c r="K364" i="80"/>
  <c r="H364" i="80"/>
  <c r="F365" i="80"/>
  <c r="G364" i="80"/>
  <c r="E365" i="80"/>
  <c r="D365" i="80" s="1"/>
  <c r="I364" i="80"/>
  <c r="AA39" i="65"/>
  <c r="AD39" i="65" s="1"/>
  <c r="I356" i="76"/>
  <c r="P49" i="72"/>
  <c r="Q49" i="72" s="1"/>
  <c r="R49" i="72" s="1"/>
  <c r="AR37" i="65"/>
  <c r="AS37" i="65" s="1"/>
  <c r="AK38" i="65"/>
  <c r="AL38" i="65" s="1"/>
  <c r="AM38" i="65" s="1"/>
  <c r="AW79" i="65"/>
  <c r="AY78" i="65"/>
  <c r="F139" i="41"/>
  <c r="K138" i="41"/>
  <c r="H138" i="41"/>
  <c r="I138" i="41" s="1"/>
  <c r="G138" i="41"/>
  <c r="T104" i="73" l="1"/>
  <c r="P105" i="73" s="1"/>
  <c r="U104" i="73"/>
  <c r="N105" i="73"/>
  <c r="O105" i="73" s="1"/>
  <c r="Q105" i="73" s="1"/>
  <c r="R105" i="73" s="1"/>
  <c r="X105" i="73" s="1"/>
  <c r="V105" i="73"/>
  <c r="M365" i="80"/>
  <c r="L365" i="80"/>
  <c r="K365" i="80"/>
  <c r="F366" i="80"/>
  <c r="G365" i="80"/>
  <c r="E366" i="80"/>
  <c r="D366" i="80" s="1"/>
  <c r="I365" i="80"/>
  <c r="H365" i="80"/>
  <c r="W40" i="65"/>
  <c r="AB39" i="65"/>
  <c r="X40" i="65" s="1"/>
  <c r="AC39" i="65"/>
  <c r="I357" i="76"/>
  <c r="L50" i="72"/>
  <c r="M50" i="72" s="1"/>
  <c r="S49" i="72"/>
  <c r="O50" i="72" s="1"/>
  <c r="T49" i="72"/>
  <c r="U49" i="72"/>
  <c r="AW80" i="65"/>
  <c r="AY79" i="65"/>
  <c r="AN38" i="65"/>
  <c r="AO38" i="65" s="1"/>
  <c r="AH39" i="65"/>
  <c r="F140" i="41"/>
  <c r="H139" i="41"/>
  <c r="I139" i="41" s="1"/>
  <c r="K139" i="41"/>
  <c r="G139" i="41"/>
  <c r="E140" i="41"/>
  <c r="E141" i="41" s="1"/>
  <c r="S105" i="73" l="1"/>
  <c r="U105" i="73" s="1"/>
  <c r="T105" i="73"/>
  <c r="P106" i="73" s="1"/>
  <c r="W105" i="73"/>
  <c r="L106" i="73"/>
  <c r="M366" i="80"/>
  <c r="L366" i="80"/>
  <c r="K366" i="80"/>
  <c r="E367" i="80"/>
  <c r="D367" i="80" s="1"/>
  <c r="I366" i="80"/>
  <c r="H366" i="80"/>
  <c r="G366" i="80"/>
  <c r="F367" i="80"/>
  <c r="Y40" i="65"/>
  <c r="Z40" i="65" s="1"/>
  <c r="U41" i="65" s="1"/>
  <c r="V41" i="65" s="1"/>
  <c r="AE39" i="65"/>
  <c r="AF39" i="65" s="1"/>
  <c r="I358" i="76"/>
  <c r="N50" i="72"/>
  <c r="V49" i="72"/>
  <c r="W49" i="72" s="1"/>
  <c r="AR38" i="65"/>
  <c r="AK39" i="65"/>
  <c r="AI39" i="65"/>
  <c r="AJ39" i="65" s="1"/>
  <c r="AQ38" i="65"/>
  <c r="AP38" i="65"/>
  <c r="AY80" i="65"/>
  <c r="AW81" i="65"/>
  <c r="F141" i="41"/>
  <c r="K140" i="41"/>
  <c r="H140" i="41"/>
  <c r="I140" i="41" s="1"/>
  <c r="G140" i="41"/>
  <c r="N106" i="73" l="1"/>
  <c r="O106" i="73" s="1"/>
  <c r="Q106" i="73" s="1"/>
  <c r="R106" i="73" s="1"/>
  <c r="X106" i="73" s="1"/>
  <c r="M106" i="73"/>
  <c r="AA40" i="65"/>
  <c r="AB40" i="65" s="1"/>
  <c r="AE40" i="65" s="1"/>
  <c r="F368" i="80"/>
  <c r="E368" i="80"/>
  <c r="D368" i="80" s="1"/>
  <c r="I367" i="80"/>
  <c r="G367" i="80"/>
  <c r="H367" i="80"/>
  <c r="M367" i="80"/>
  <c r="L367" i="80"/>
  <c r="K367" i="80"/>
  <c r="I359" i="76"/>
  <c r="P50" i="72"/>
  <c r="Q50" i="72" s="1"/>
  <c r="L51" i="72" s="1"/>
  <c r="AL39" i="65"/>
  <c r="AM39" i="65" s="1"/>
  <c r="AY81" i="65"/>
  <c r="AW82" i="65"/>
  <c r="AS38" i="65"/>
  <c r="F142" i="41"/>
  <c r="H141" i="41"/>
  <c r="I141" i="41" s="1"/>
  <c r="G141" i="41"/>
  <c r="K141" i="41"/>
  <c r="E142" i="41"/>
  <c r="S106" i="73" l="1"/>
  <c r="W106" i="73" s="1"/>
  <c r="L107" i="73"/>
  <c r="V106" i="73"/>
  <c r="N107" i="73"/>
  <c r="O107" i="73" s="1"/>
  <c r="M107" i="73"/>
  <c r="T106" i="73"/>
  <c r="P107" i="73" s="1"/>
  <c r="AD40" i="65"/>
  <c r="AC40" i="65"/>
  <c r="W41" i="65"/>
  <c r="M368" i="80"/>
  <c r="L368" i="80"/>
  <c r="K368" i="80"/>
  <c r="I368" i="80"/>
  <c r="H368" i="80"/>
  <c r="G368" i="80"/>
  <c r="F369" i="80"/>
  <c r="E369" i="80"/>
  <c r="D369" i="80" s="1"/>
  <c r="E143" i="41"/>
  <c r="X41" i="65"/>
  <c r="I360" i="76"/>
  <c r="M51" i="72"/>
  <c r="R50" i="72"/>
  <c r="S50" i="72" s="1"/>
  <c r="AH40" i="65"/>
  <c r="AN39" i="65"/>
  <c r="AO39" i="65" s="1"/>
  <c r="AY82" i="65"/>
  <c r="AW83" i="65"/>
  <c r="F143" i="41"/>
  <c r="H142" i="41"/>
  <c r="I142" i="41" s="1"/>
  <c r="K142" i="41"/>
  <c r="G142" i="41"/>
  <c r="U106" i="73" l="1"/>
  <c r="Q107" i="73"/>
  <c r="R107" i="73" s="1"/>
  <c r="Y41" i="65"/>
  <c r="Z41" i="65" s="1"/>
  <c r="AA41" i="65" s="1"/>
  <c r="AC41" i="65" s="1"/>
  <c r="AF40" i="65"/>
  <c r="L369" i="80"/>
  <c r="K369" i="80"/>
  <c r="M369" i="80"/>
  <c r="I369" i="80"/>
  <c r="H369" i="80"/>
  <c r="F370" i="80"/>
  <c r="E370" i="80"/>
  <c r="D370" i="80" s="1"/>
  <c r="G369" i="80"/>
  <c r="I361" i="76"/>
  <c r="U50" i="72"/>
  <c r="T50" i="72"/>
  <c r="N51" i="72"/>
  <c r="V50" i="72"/>
  <c r="O51" i="72"/>
  <c r="AR39" i="65"/>
  <c r="AK40" i="65"/>
  <c r="AI40" i="65"/>
  <c r="AJ40" i="65" s="1"/>
  <c r="AQ39" i="65"/>
  <c r="AP39" i="65"/>
  <c r="AW84" i="65"/>
  <c r="AY83" i="65"/>
  <c r="F144" i="41"/>
  <c r="H143" i="41"/>
  <c r="I143" i="41" s="1"/>
  <c r="K143" i="41"/>
  <c r="G143" i="41"/>
  <c r="E144" i="41"/>
  <c r="E145" i="41" s="1"/>
  <c r="X107" i="73" l="1"/>
  <c r="S107" i="73"/>
  <c r="L108" i="73"/>
  <c r="U42" i="65"/>
  <c r="V42" i="65" s="1"/>
  <c r="W42" i="65" s="1"/>
  <c r="AB41" i="65"/>
  <c r="AE41" i="65" s="1"/>
  <c r="AD41" i="65"/>
  <c r="K370" i="80"/>
  <c r="M370" i="80"/>
  <c r="L370" i="80"/>
  <c r="I370" i="80"/>
  <c r="H370" i="80"/>
  <c r="F371" i="80"/>
  <c r="G370" i="80"/>
  <c r="E371" i="80"/>
  <c r="D371" i="80" s="1"/>
  <c r="I362" i="76"/>
  <c r="W50" i="72"/>
  <c r="P51" i="72"/>
  <c r="Q51" i="72" s="1"/>
  <c r="L52" i="72" s="1"/>
  <c r="AL40" i="65"/>
  <c r="AM40" i="65" s="1"/>
  <c r="AH41" i="65" s="1"/>
  <c r="AI41" i="65" s="1"/>
  <c r="AY84" i="65"/>
  <c r="AW85" i="65"/>
  <c r="AS39" i="65"/>
  <c r="F145" i="41"/>
  <c r="K144" i="41"/>
  <c r="G144" i="41"/>
  <c r="H144" i="41"/>
  <c r="I144" i="41" s="1"/>
  <c r="N108" i="73" l="1"/>
  <c r="O108" i="73" s="1"/>
  <c r="O10" i="73"/>
  <c r="M108" i="73"/>
  <c r="W107" i="73"/>
  <c r="U107" i="73"/>
  <c r="V107" i="73"/>
  <c r="T107" i="73"/>
  <c r="P108" i="73" s="1"/>
  <c r="AF41" i="65"/>
  <c r="X42" i="65"/>
  <c r="Y42" i="65" s="1"/>
  <c r="Z42" i="65" s="1"/>
  <c r="AA42" i="65" s="1"/>
  <c r="AC42" i="65" s="1"/>
  <c r="M371" i="80"/>
  <c r="L371" i="80"/>
  <c r="K371" i="80"/>
  <c r="I371" i="80"/>
  <c r="H371" i="80"/>
  <c r="F372" i="80"/>
  <c r="G371" i="80"/>
  <c r="E372" i="80"/>
  <c r="D372" i="80" s="1"/>
  <c r="I363" i="76"/>
  <c r="M52" i="72"/>
  <c r="R51" i="72"/>
  <c r="S51" i="72" s="1"/>
  <c r="AN40" i="65"/>
  <c r="AP40" i="65" s="1"/>
  <c r="AY85" i="65"/>
  <c r="AW86" i="65"/>
  <c r="F146" i="41"/>
  <c r="H145" i="41"/>
  <c r="I145" i="41" s="1"/>
  <c r="K145" i="41"/>
  <c r="G145" i="41"/>
  <c r="E146" i="41"/>
  <c r="T10" i="73" l="1"/>
  <c r="V10" i="73" s="1"/>
  <c r="W10" i="73"/>
  <c r="Q108" i="73"/>
  <c r="R108" i="73" s="1"/>
  <c r="U43" i="65"/>
  <c r="V43" i="65" s="1"/>
  <c r="W43" i="65" s="1"/>
  <c r="AD42" i="65"/>
  <c r="AB42" i="65"/>
  <c r="AE42" i="65" s="1"/>
  <c r="M372" i="80"/>
  <c r="L372" i="80"/>
  <c r="K372" i="80"/>
  <c r="H372" i="80"/>
  <c r="F373" i="80"/>
  <c r="G372" i="80"/>
  <c r="E373" i="80"/>
  <c r="D373" i="80" s="1"/>
  <c r="I372" i="80"/>
  <c r="E147" i="41"/>
  <c r="I364" i="76"/>
  <c r="U51" i="72"/>
  <c r="T51" i="72"/>
  <c r="N52" i="72"/>
  <c r="V51" i="72"/>
  <c r="O52" i="72"/>
  <c r="AJ41" i="65"/>
  <c r="AQ40" i="65"/>
  <c r="AO40" i="65"/>
  <c r="AR40" i="65" s="1"/>
  <c r="AW87" i="65"/>
  <c r="AY86" i="65"/>
  <c r="F147" i="41"/>
  <c r="K146" i="41"/>
  <c r="G146" i="41"/>
  <c r="H146" i="41"/>
  <c r="I146" i="41" s="1"/>
  <c r="R10" i="73" l="1"/>
  <c r="X35" i="70" s="1"/>
  <c r="X108" i="73"/>
  <c r="X109" i="73" s="1"/>
  <c r="S16" i="73" s="1"/>
  <c r="X34" i="70" s="1"/>
  <c r="S108" i="73"/>
  <c r="W108" i="73" s="1"/>
  <c r="AF42" i="65"/>
  <c r="X43" i="65"/>
  <c r="Y43" i="65" s="1"/>
  <c r="Z43" i="65" s="1"/>
  <c r="U44" i="65" s="1"/>
  <c r="V44" i="65" s="1"/>
  <c r="M373" i="80"/>
  <c r="L373" i="80"/>
  <c r="K373" i="80"/>
  <c r="F374" i="80"/>
  <c r="G373" i="80"/>
  <c r="E374" i="80"/>
  <c r="D374" i="80" s="1"/>
  <c r="I373" i="80"/>
  <c r="H373" i="80"/>
  <c r="I365" i="76"/>
  <c r="W51" i="72"/>
  <c r="P52" i="72"/>
  <c r="Q52" i="72" s="1"/>
  <c r="L53" i="72" s="1"/>
  <c r="AS40" i="65"/>
  <c r="AK41" i="65"/>
  <c r="AL41" i="65" s="1"/>
  <c r="AM41" i="65" s="1"/>
  <c r="AY87" i="65"/>
  <c r="AW88" i="65"/>
  <c r="F148" i="41"/>
  <c r="H147" i="41"/>
  <c r="I147" i="41" s="1"/>
  <c r="K147" i="41"/>
  <c r="G147" i="41"/>
  <c r="E148" i="41"/>
  <c r="U108" i="73" l="1"/>
  <c r="V108" i="73"/>
  <c r="T108" i="73"/>
  <c r="AA43" i="65"/>
  <c r="W44" i="65" s="1"/>
  <c r="M374" i="80"/>
  <c r="L374" i="80"/>
  <c r="K374" i="80"/>
  <c r="E375" i="80"/>
  <c r="D375" i="80" s="1"/>
  <c r="F375" i="80"/>
  <c r="I374" i="80"/>
  <c r="H374" i="80"/>
  <c r="G374" i="80"/>
  <c r="E149" i="41"/>
  <c r="I366" i="76"/>
  <c r="M53" i="72"/>
  <c r="R52" i="72"/>
  <c r="S52" i="72" s="1"/>
  <c r="AN41" i="65"/>
  <c r="AH42" i="65"/>
  <c r="AW89" i="65"/>
  <c r="AY88" i="65"/>
  <c r="F149" i="41"/>
  <c r="K148" i="41"/>
  <c r="H148" i="41"/>
  <c r="I148" i="41" s="1"/>
  <c r="G148" i="41"/>
  <c r="AB43" i="65" l="1"/>
  <c r="AE43" i="65" s="1"/>
  <c r="AD43" i="65"/>
  <c r="AC43" i="65"/>
  <c r="I375" i="80"/>
  <c r="H375" i="80"/>
  <c r="G375" i="80"/>
  <c r="F376" i="80"/>
  <c r="E376" i="80"/>
  <c r="D376" i="80" s="1"/>
  <c r="M375" i="80"/>
  <c r="L375" i="80"/>
  <c r="K375" i="80"/>
  <c r="I367" i="76"/>
  <c r="U52" i="72"/>
  <c r="T52" i="72"/>
  <c r="N53" i="72"/>
  <c r="V52" i="72"/>
  <c r="O53" i="72"/>
  <c r="AO41" i="65"/>
  <c r="AQ41" i="65"/>
  <c r="AP41" i="65"/>
  <c r="AI42" i="65"/>
  <c r="AJ42" i="65" s="1"/>
  <c r="AY89" i="65"/>
  <c r="AW90" i="65"/>
  <c r="F150" i="41"/>
  <c r="H149" i="41"/>
  <c r="I149" i="41" s="1"/>
  <c r="G149" i="41"/>
  <c r="K149" i="41"/>
  <c r="E150" i="41"/>
  <c r="AF43" i="65" l="1"/>
  <c r="X44" i="65"/>
  <c r="Y44" i="65" s="1"/>
  <c r="Z44" i="65" s="1"/>
  <c r="AA44" i="65" s="1"/>
  <c r="AC44" i="65" s="1"/>
  <c r="M376" i="80"/>
  <c r="L376" i="80"/>
  <c r="K376" i="80"/>
  <c r="I376" i="80"/>
  <c r="F377" i="80"/>
  <c r="E377" i="80"/>
  <c r="D377" i="80" s="1"/>
  <c r="H376" i="80"/>
  <c r="G376" i="80"/>
  <c r="E151" i="41"/>
  <c r="I368" i="76"/>
  <c r="W52" i="72"/>
  <c r="P53" i="72"/>
  <c r="Q53" i="72" s="1"/>
  <c r="L54" i="72" s="1"/>
  <c r="AR41" i="65"/>
  <c r="AS41" i="65" s="1"/>
  <c r="AK42" i="65"/>
  <c r="AW91" i="65"/>
  <c r="AY90" i="65"/>
  <c r="F151" i="41"/>
  <c r="H150" i="41"/>
  <c r="I150" i="41" s="1"/>
  <c r="G150" i="41"/>
  <c r="K150" i="41"/>
  <c r="U45" i="65" l="1"/>
  <c r="V45" i="65" s="1"/>
  <c r="W45" i="65" s="1"/>
  <c r="AB44" i="65"/>
  <c r="AE44" i="65" s="1"/>
  <c r="AD44" i="65"/>
  <c r="L377" i="80"/>
  <c r="K377" i="80"/>
  <c r="M377" i="80"/>
  <c r="I377" i="80"/>
  <c r="H377" i="80"/>
  <c r="G377" i="80"/>
  <c r="F378" i="80"/>
  <c r="E378" i="80"/>
  <c r="D378" i="80" s="1"/>
  <c r="I369" i="76"/>
  <c r="M54" i="72"/>
  <c r="R53" i="72"/>
  <c r="S53" i="72" s="1"/>
  <c r="AW92" i="65"/>
  <c r="AY91" i="65"/>
  <c r="AL42" i="65"/>
  <c r="AM42" i="65" s="1"/>
  <c r="F152" i="41"/>
  <c r="H151" i="41"/>
  <c r="I151" i="41" s="1"/>
  <c r="K151" i="41"/>
  <c r="G151" i="41"/>
  <c r="E152" i="41"/>
  <c r="AF44" i="65" l="1"/>
  <c r="X45" i="65"/>
  <c r="Y45" i="65" s="1"/>
  <c r="Z45" i="65" s="1"/>
  <c r="U46" i="65" s="1"/>
  <c r="V46" i="65" s="1"/>
  <c r="K378" i="80"/>
  <c r="M378" i="80"/>
  <c r="L378" i="80"/>
  <c r="I378" i="80"/>
  <c r="H378" i="80"/>
  <c r="F379" i="80"/>
  <c r="G378" i="80"/>
  <c r="E379" i="80"/>
  <c r="D379" i="80" s="1"/>
  <c r="E153" i="41"/>
  <c r="I370" i="76"/>
  <c r="U53" i="72"/>
  <c r="T53" i="72"/>
  <c r="N54" i="72"/>
  <c r="V53" i="72"/>
  <c r="O54" i="72"/>
  <c r="AN42" i="65"/>
  <c r="AH43" i="65"/>
  <c r="AY92" i="65"/>
  <c r="AW93" i="65"/>
  <c r="F153" i="41"/>
  <c r="K152" i="41"/>
  <c r="H152" i="41"/>
  <c r="I152" i="41" s="1"/>
  <c r="G152" i="41"/>
  <c r="AA45" i="65" l="1"/>
  <c r="AB45" i="65" s="1"/>
  <c r="M379" i="80"/>
  <c r="L379" i="80"/>
  <c r="K379" i="80"/>
  <c r="I379" i="80"/>
  <c r="H379" i="80"/>
  <c r="F380" i="80"/>
  <c r="G379" i="80"/>
  <c r="E380" i="80"/>
  <c r="D380" i="80" s="1"/>
  <c r="I371" i="76"/>
  <c r="W53" i="72"/>
  <c r="P54" i="72"/>
  <c r="Q54" i="72" s="1"/>
  <c r="L55" i="72" s="1"/>
  <c r="AI43" i="65"/>
  <c r="AJ43" i="65" s="1"/>
  <c r="AP42" i="65"/>
  <c r="AQ42" i="65"/>
  <c r="AW94" i="65"/>
  <c r="AY93" i="65"/>
  <c r="AO42" i="65"/>
  <c r="F154" i="41"/>
  <c r="K153" i="41"/>
  <c r="G153" i="41"/>
  <c r="H153" i="41"/>
  <c r="I153" i="41" s="1"/>
  <c r="E154" i="41"/>
  <c r="AD45" i="65" l="1"/>
  <c r="W46" i="65"/>
  <c r="AC45" i="65"/>
  <c r="AE45" i="65"/>
  <c r="X46" i="65"/>
  <c r="M380" i="80"/>
  <c r="L380" i="80"/>
  <c r="K380" i="80"/>
  <c r="H380" i="80"/>
  <c r="F381" i="80"/>
  <c r="G380" i="80"/>
  <c r="E381" i="80"/>
  <c r="D381" i="80" s="1"/>
  <c r="I380" i="80"/>
  <c r="E155" i="41"/>
  <c r="I372" i="76"/>
  <c r="M55" i="72"/>
  <c r="R54" i="72"/>
  <c r="AY94" i="65"/>
  <c r="AW95" i="65"/>
  <c r="AR42" i="65"/>
  <c r="AS42" i="65" s="1"/>
  <c r="AK43" i="65"/>
  <c r="AL43" i="65" s="1"/>
  <c r="AM43" i="65" s="1"/>
  <c r="F155" i="41"/>
  <c r="K154" i="41"/>
  <c r="H154" i="41"/>
  <c r="I154" i="41" s="1"/>
  <c r="G154" i="41"/>
  <c r="Y46" i="65" l="1"/>
  <c r="Z46" i="65" s="1"/>
  <c r="AF45" i="65"/>
  <c r="AA46" i="65"/>
  <c r="AC46" i="65" s="1"/>
  <c r="U47" i="65"/>
  <c r="V47" i="65" s="1"/>
  <c r="F382" i="80"/>
  <c r="G381" i="80"/>
  <c r="E382" i="80"/>
  <c r="D382" i="80" s="1"/>
  <c r="H381" i="80"/>
  <c r="I381" i="80"/>
  <c r="M381" i="80"/>
  <c r="L381" i="80"/>
  <c r="K381" i="80"/>
  <c r="I373" i="76"/>
  <c r="U54" i="72"/>
  <c r="T54" i="72"/>
  <c r="N55" i="72"/>
  <c r="S54" i="72"/>
  <c r="V54" i="72" s="1"/>
  <c r="AN43" i="65"/>
  <c r="AH44" i="65"/>
  <c r="AW96" i="65"/>
  <c r="AY95" i="65"/>
  <c r="F156" i="41"/>
  <c r="H155" i="41"/>
  <c r="I155" i="41" s="1"/>
  <c r="K155" i="41"/>
  <c r="G155" i="41"/>
  <c r="E156" i="41"/>
  <c r="AD46" i="65" l="1"/>
  <c r="AB46" i="65"/>
  <c r="AE46" i="65" s="1"/>
  <c r="AF46" i="65" s="1"/>
  <c r="W47" i="65"/>
  <c r="M382" i="80"/>
  <c r="L382" i="80"/>
  <c r="K382" i="80"/>
  <c r="E383" i="80"/>
  <c r="D383" i="80" s="1"/>
  <c r="I382" i="80"/>
  <c r="H382" i="80"/>
  <c r="G382" i="80"/>
  <c r="F383" i="80"/>
  <c r="E157" i="41"/>
  <c r="I374" i="76"/>
  <c r="W54" i="72"/>
  <c r="O55" i="72"/>
  <c r="P55" i="72" s="1"/>
  <c r="Q55" i="72" s="1"/>
  <c r="L56" i="72" s="1"/>
  <c r="AY96" i="65"/>
  <c r="AW97" i="65"/>
  <c r="AP43" i="65"/>
  <c r="AQ43" i="65"/>
  <c r="AI44" i="65"/>
  <c r="AJ44" i="65" s="1"/>
  <c r="AO43" i="65"/>
  <c r="F157" i="41"/>
  <c r="K156" i="41"/>
  <c r="G156" i="41"/>
  <c r="H156" i="41"/>
  <c r="I156" i="41"/>
  <c r="X47" i="65" l="1"/>
  <c r="Y47" i="65" s="1"/>
  <c r="Z47" i="65" s="1"/>
  <c r="U48" i="65" s="1"/>
  <c r="V48" i="65" s="1"/>
  <c r="F384" i="80"/>
  <c r="E384" i="80"/>
  <c r="D384" i="80" s="1"/>
  <c r="I383" i="80"/>
  <c r="H383" i="80"/>
  <c r="G383" i="80"/>
  <c r="M383" i="80"/>
  <c r="L383" i="80"/>
  <c r="K383" i="80"/>
  <c r="I375" i="76"/>
  <c r="M56" i="72"/>
  <c r="R55" i="72"/>
  <c r="S55" i="72" s="1"/>
  <c r="AW98" i="65"/>
  <c r="AY97" i="65"/>
  <c r="AR43" i="65"/>
  <c r="AS43" i="65" s="1"/>
  <c r="AK44" i="65"/>
  <c r="F158" i="41"/>
  <c r="H157" i="41"/>
  <c r="G157" i="41"/>
  <c r="K157" i="41"/>
  <c r="I157" i="41"/>
  <c r="E158" i="41"/>
  <c r="E159" i="41" s="1"/>
  <c r="AA47" i="65" l="1"/>
  <c r="AD47" i="65" s="1"/>
  <c r="M384" i="80"/>
  <c r="L384" i="80"/>
  <c r="K384" i="80"/>
  <c r="I384" i="80"/>
  <c r="H384" i="80"/>
  <c r="G384" i="80"/>
  <c r="I376" i="76"/>
  <c r="U55" i="72"/>
  <c r="T55" i="72"/>
  <c r="N56" i="72"/>
  <c r="V55" i="72"/>
  <c r="O56" i="72"/>
  <c r="AL44" i="65"/>
  <c r="AM44" i="65" s="1"/>
  <c r="AH45" i="65" s="1"/>
  <c r="AI45" i="65" s="1"/>
  <c r="AW99" i="65"/>
  <c r="AY98" i="65"/>
  <c r="F159" i="41"/>
  <c r="H158" i="41"/>
  <c r="I158" i="41" s="1"/>
  <c r="K158" i="41"/>
  <c r="G158" i="41"/>
  <c r="W48" i="65" l="1"/>
  <c r="AC47" i="65"/>
  <c r="AB47" i="65"/>
  <c r="X48" i="65" s="1"/>
  <c r="I377" i="76"/>
  <c r="W55" i="72"/>
  <c r="P56" i="72"/>
  <c r="Q56" i="72" s="1"/>
  <c r="L57" i="72" s="1"/>
  <c r="AN44" i="65"/>
  <c r="AW100" i="65"/>
  <c r="AY99" i="65"/>
  <c r="F160" i="41"/>
  <c r="H159" i="41"/>
  <c r="I159" i="41" s="1"/>
  <c r="K159" i="41"/>
  <c r="G159" i="41"/>
  <c r="E160" i="41"/>
  <c r="E161" i="41" s="1"/>
  <c r="Y48" i="65" l="1"/>
  <c r="Z48" i="65" s="1"/>
  <c r="U49" i="65" s="1"/>
  <c r="V49" i="65" s="1"/>
  <c r="AE47" i="65"/>
  <c r="AF47" i="65" s="1"/>
  <c r="AA48" i="65"/>
  <c r="AD48" i="65" s="1"/>
  <c r="I378" i="76"/>
  <c r="R56" i="72"/>
  <c r="S56" i="72" s="1"/>
  <c r="M57" i="72"/>
  <c r="AQ44" i="65"/>
  <c r="AP44" i="65"/>
  <c r="AO44" i="65"/>
  <c r="AY100" i="65"/>
  <c r="AW101" i="65"/>
  <c r="AJ45" i="65"/>
  <c r="F161" i="41"/>
  <c r="K160" i="41"/>
  <c r="G160" i="41"/>
  <c r="H160" i="41"/>
  <c r="I160" i="41" s="1"/>
  <c r="W49" i="65" l="1"/>
  <c r="AC48" i="65"/>
  <c r="AB48" i="65"/>
  <c r="X49" i="65" s="1"/>
  <c r="I379" i="76"/>
  <c r="T56" i="72"/>
  <c r="U56" i="72"/>
  <c r="N57" i="72"/>
  <c r="V56" i="72"/>
  <c r="O57" i="72"/>
  <c r="AR44" i="65"/>
  <c r="AS44" i="65" s="1"/>
  <c r="AK45" i="65"/>
  <c r="AL45" i="65" s="1"/>
  <c r="AM45" i="65" s="1"/>
  <c r="AH46" i="65" s="1"/>
  <c r="AY101" i="65"/>
  <c r="AW102" i="65"/>
  <c r="F162" i="41"/>
  <c r="H161" i="41"/>
  <c r="I161" i="41" s="1"/>
  <c r="K161" i="41"/>
  <c r="G161" i="41"/>
  <c r="E162" i="41"/>
  <c r="AE48" i="65" l="1"/>
  <c r="AF48" i="65" s="1"/>
  <c r="Y49" i="65"/>
  <c r="Z49" i="65" s="1"/>
  <c r="U50" i="65"/>
  <c r="V50" i="65" s="1"/>
  <c r="AA49" i="65"/>
  <c r="E163" i="41"/>
  <c r="I380" i="76"/>
  <c r="W56" i="72"/>
  <c r="P57" i="72"/>
  <c r="Q57" i="72" s="1"/>
  <c r="L58" i="72" s="1"/>
  <c r="AI46" i="65"/>
  <c r="AY102" i="65"/>
  <c r="AW103" i="65"/>
  <c r="AN45" i="65"/>
  <c r="F163" i="41"/>
  <c r="K162" i="41"/>
  <c r="G162" i="41"/>
  <c r="H162" i="41"/>
  <c r="I162" i="41" s="1"/>
  <c r="AC49" i="65" l="1"/>
  <c r="AB49" i="65"/>
  <c r="AD49" i="65"/>
  <c r="W50" i="65"/>
  <c r="I381" i="76"/>
  <c r="M58" i="72"/>
  <c r="R57" i="72"/>
  <c r="S57" i="72" s="1"/>
  <c r="AQ45" i="65"/>
  <c r="AP45" i="65"/>
  <c r="AJ46" i="65"/>
  <c r="AY103" i="65"/>
  <c r="AW104" i="65"/>
  <c r="AO45" i="65"/>
  <c r="F164" i="41"/>
  <c r="H163" i="41"/>
  <c r="I163" i="41" s="1"/>
  <c r="K163" i="41"/>
  <c r="G163" i="41"/>
  <c r="E164" i="41"/>
  <c r="X50" i="65" l="1"/>
  <c r="Y50" i="65" s="1"/>
  <c r="Z50" i="65" s="1"/>
  <c r="U51" i="65" s="1"/>
  <c r="V51" i="65" s="1"/>
  <c r="AE49" i="65"/>
  <c r="AF49" i="65" s="1"/>
  <c r="E165" i="41"/>
  <c r="I382" i="76"/>
  <c r="U57" i="72"/>
  <c r="T57" i="72"/>
  <c r="N58" i="72"/>
  <c r="V57" i="72"/>
  <c r="O58" i="72"/>
  <c r="AW105" i="65"/>
  <c r="AY104" i="65"/>
  <c r="AR45" i="65"/>
  <c r="AS45" i="65" s="1"/>
  <c r="AK46" i="65"/>
  <c r="AL46" i="65" s="1"/>
  <c r="AM46" i="65" s="1"/>
  <c r="AH47" i="65" s="1"/>
  <c r="F165" i="41"/>
  <c r="K164" i="41"/>
  <c r="H164" i="41"/>
  <c r="I164" i="41" s="1"/>
  <c r="G164" i="41"/>
  <c r="AA50" i="65" l="1"/>
  <c r="I383" i="76"/>
  <c r="W57" i="72"/>
  <c r="P58" i="72"/>
  <c r="Q58" i="72" s="1"/>
  <c r="L59" i="72" s="1"/>
  <c r="AI47" i="65"/>
  <c r="AN46" i="65"/>
  <c r="AO46" i="65" s="1"/>
  <c r="AR46" i="65" s="1"/>
  <c r="AW106" i="65"/>
  <c r="AY105" i="65"/>
  <c r="F166" i="41"/>
  <c r="H165" i="41"/>
  <c r="G165" i="41"/>
  <c r="K165" i="41"/>
  <c r="I165" i="41"/>
  <c r="E166" i="41"/>
  <c r="E167" i="41" s="1"/>
  <c r="AC50" i="65" l="1"/>
  <c r="AD50" i="65"/>
  <c r="AB50" i="65"/>
  <c r="W51" i="65"/>
  <c r="M59" i="72"/>
  <c r="R58" i="72"/>
  <c r="AK47" i="65"/>
  <c r="AY106" i="65"/>
  <c r="AW107" i="65"/>
  <c r="AQ46" i="65"/>
  <c r="AP46" i="65"/>
  <c r="AS46" i="65" s="1"/>
  <c r="AJ47" i="65"/>
  <c r="F167" i="41"/>
  <c r="H166" i="41"/>
  <c r="I166" i="41" s="1"/>
  <c r="G166" i="41"/>
  <c r="K166" i="41"/>
  <c r="X51" i="65" l="1"/>
  <c r="Y51" i="65" s="1"/>
  <c r="Z51" i="65" s="1"/>
  <c r="AA51" i="65" s="1"/>
  <c r="AE50" i="65"/>
  <c r="AF50" i="65" s="1"/>
  <c r="T58" i="72"/>
  <c r="U58" i="72"/>
  <c r="N59" i="72"/>
  <c r="S58" i="72"/>
  <c r="V58" i="72" s="1"/>
  <c r="AL47" i="65"/>
  <c r="AM47" i="65" s="1"/>
  <c r="AH48" i="65" s="1"/>
  <c r="AW108" i="65"/>
  <c r="AY108" i="65" s="1"/>
  <c r="AY107" i="65"/>
  <c r="F168" i="41"/>
  <c r="H167" i="41"/>
  <c r="K167" i="41"/>
  <c r="G167" i="41"/>
  <c r="I167" i="41"/>
  <c r="E168" i="41"/>
  <c r="E169" i="41" s="1"/>
  <c r="U52" i="65" l="1"/>
  <c r="V52" i="65" s="1"/>
  <c r="W52" i="65" s="1"/>
  <c r="W58" i="72"/>
  <c r="O59" i="72"/>
  <c r="P59" i="72" s="1"/>
  <c r="Q59" i="72" s="1"/>
  <c r="L60" i="72" s="1"/>
  <c r="AI48" i="65"/>
  <c r="AD51" i="65"/>
  <c r="AC51" i="65"/>
  <c r="AB51" i="65"/>
  <c r="AN47" i="65"/>
  <c r="AO47" i="65" s="1"/>
  <c r="F169" i="41"/>
  <c r="K168" i="41"/>
  <c r="H168" i="41"/>
  <c r="I168" i="41" s="1"/>
  <c r="G168" i="41"/>
  <c r="M60" i="72" l="1"/>
  <c r="R59" i="72"/>
  <c r="S59" i="72" s="1"/>
  <c r="AE51" i="65"/>
  <c r="AF51" i="65" s="1"/>
  <c r="X52" i="65"/>
  <c r="Y52" i="65" s="1"/>
  <c r="Z52" i="65" s="1"/>
  <c r="AR47" i="65"/>
  <c r="AK48" i="65"/>
  <c r="AQ47" i="65"/>
  <c r="AP47" i="65"/>
  <c r="AJ48" i="65"/>
  <c r="F170" i="41"/>
  <c r="H169" i="41"/>
  <c r="I169" i="41" s="1"/>
  <c r="K169" i="41"/>
  <c r="G169" i="41"/>
  <c r="E170" i="41"/>
  <c r="E171" i="41" s="1"/>
  <c r="U59" i="72" l="1"/>
  <c r="T59" i="72"/>
  <c r="N60" i="72"/>
  <c r="V59" i="72"/>
  <c r="O60" i="72"/>
  <c r="AS47" i="65"/>
  <c r="AA52" i="65"/>
  <c r="U53" i="65"/>
  <c r="AL48" i="65"/>
  <c r="AM48" i="65" s="1"/>
  <c r="AN48" i="65" s="1"/>
  <c r="F171" i="41"/>
  <c r="K170" i="41"/>
  <c r="H170" i="41"/>
  <c r="I170" i="41" s="1"/>
  <c r="G170" i="41"/>
  <c r="W59" i="72" l="1"/>
  <c r="P60" i="72"/>
  <c r="Q60" i="72" s="1"/>
  <c r="L61" i="72" s="1"/>
  <c r="AP48" i="65"/>
  <c r="AQ48" i="65"/>
  <c r="AD52" i="65"/>
  <c r="AC52" i="65"/>
  <c r="AB52" i="65"/>
  <c r="V53" i="65"/>
  <c r="W53" i="65" s="1"/>
  <c r="AH49" i="65"/>
  <c r="AO48" i="65"/>
  <c r="F172" i="41"/>
  <c r="H171" i="41"/>
  <c r="I171" i="41" s="1"/>
  <c r="K171" i="41"/>
  <c r="G171" i="41"/>
  <c r="E172" i="41"/>
  <c r="E173" i="41" s="1"/>
  <c r="M61" i="72" l="1"/>
  <c r="R60" i="72"/>
  <c r="S60" i="72" s="1"/>
  <c r="W60" i="72"/>
  <c r="AE52" i="65"/>
  <c r="AF52" i="65" s="1"/>
  <c r="X53" i="65"/>
  <c r="AR48" i="65"/>
  <c r="AS48" i="65" s="1"/>
  <c r="AK49" i="65"/>
  <c r="AI49" i="65"/>
  <c r="AJ49" i="65" s="1"/>
  <c r="F173" i="41"/>
  <c r="K172" i="41"/>
  <c r="G172" i="41"/>
  <c r="H172" i="41"/>
  <c r="I172" i="41" s="1"/>
  <c r="U60" i="72" l="1"/>
  <c r="T60" i="72"/>
  <c r="N61" i="72"/>
  <c r="V60" i="72"/>
  <c r="O61" i="72"/>
  <c r="Y53" i="65"/>
  <c r="Z53" i="65" s="1"/>
  <c r="AL49" i="65"/>
  <c r="AM49" i="65" s="1"/>
  <c r="AH50" i="65" s="1"/>
  <c r="F174" i="41"/>
  <c r="H173" i="41"/>
  <c r="I173" i="41" s="1"/>
  <c r="G173" i="41"/>
  <c r="K173" i="41"/>
  <c r="E174" i="41"/>
  <c r="E175" i="41" l="1"/>
  <c r="P61" i="72"/>
  <c r="Q61" i="72" s="1"/>
  <c r="L62" i="72" s="1"/>
  <c r="AI50" i="65"/>
  <c r="AA53" i="65"/>
  <c r="U54" i="65"/>
  <c r="AN49" i="65"/>
  <c r="AO49" i="65" s="1"/>
  <c r="F175" i="41"/>
  <c r="H174" i="41"/>
  <c r="I174" i="41" s="1"/>
  <c r="K174" i="41"/>
  <c r="G174" i="41"/>
  <c r="M62" i="72" l="1"/>
  <c r="R61" i="72"/>
  <c r="S61" i="72" s="1"/>
  <c r="W61" i="72"/>
  <c r="AC53" i="65"/>
  <c r="AD53" i="65"/>
  <c r="V54" i="65"/>
  <c r="W54" i="65" s="1"/>
  <c r="AB53" i="65"/>
  <c r="AJ50" i="65"/>
  <c r="AR49" i="65"/>
  <c r="AK50" i="65"/>
  <c r="AP49" i="65"/>
  <c r="AQ49" i="65"/>
  <c r="F176" i="41"/>
  <c r="H175" i="41"/>
  <c r="I175" i="41" s="1"/>
  <c r="K175" i="41"/>
  <c r="G175" i="41"/>
  <c r="E176" i="41"/>
  <c r="E177" i="41" l="1"/>
  <c r="U61" i="72"/>
  <c r="T61" i="72"/>
  <c r="N62" i="72"/>
  <c r="V61" i="72"/>
  <c r="O62" i="72"/>
  <c r="AE53" i="65"/>
  <c r="AF53" i="65" s="1"/>
  <c r="X54" i="65"/>
  <c r="AS49" i="65"/>
  <c r="AL50" i="65"/>
  <c r="AM50" i="65" s="1"/>
  <c r="AH51" i="65" s="1"/>
  <c r="F177" i="41"/>
  <c r="K176" i="41"/>
  <c r="G176" i="41"/>
  <c r="H176" i="41"/>
  <c r="I176" i="41" s="1"/>
  <c r="P62" i="72" l="1"/>
  <c r="Q62" i="72" s="1"/>
  <c r="L63" i="72" s="1"/>
  <c r="AI51" i="65"/>
  <c r="Y54" i="65"/>
  <c r="Z54" i="65" s="1"/>
  <c r="AN50" i="65"/>
  <c r="AO50" i="65" s="1"/>
  <c r="F178" i="41"/>
  <c r="H177" i="41"/>
  <c r="I177" i="41" s="1"/>
  <c r="K177" i="41"/>
  <c r="G177" i="41"/>
  <c r="E178" i="41"/>
  <c r="E179" i="41" l="1"/>
  <c r="M63" i="72"/>
  <c r="R62" i="72"/>
  <c r="S62" i="72" s="1"/>
  <c r="W62" i="72"/>
  <c r="U55" i="65"/>
  <c r="AA54" i="65"/>
  <c r="AR50" i="65"/>
  <c r="AK51" i="65"/>
  <c r="AQ50" i="65"/>
  <c r="AP50" i="65"/>
  <c r="AJ51" i="65"/>
  <c r="F179" i="41"/>
  <c r="K178" i="41"/>
  <c r="G178" i="41"/>
  <c r="H178" i="41"/>
  <c r="I178" i="41" s="1"/>
  <c r="T62" i="72" l="1"/>
  <c r="U62" i="72"/>
  <c r="N63" i="72"/>
  <c r="V62" i="72"/>
  <c r="O63" i="72"/>
  <c r="AS50" i="65"/>
  <c r="V55" i="65"/>
  <c r="W55" i="65" s="1"/>
  <c r="AD54" i="65"/>
  <c r="AC54" i="65"/>
  <c r="AB54" i="65"/>
  <c r="AL51" i="65"/>
  <c r="AM51" i="65" s="1"/>
  <c r="AH52" i="65" s="1"/>
  <c r="F180" i="41"/>
  <c r="H179" i="41"/>
  <c r="K179" i="41"/>
  <c r="G179" i="41"/>
  <c r="I179" i="41"/>
  <c r="E180" i="41"/>
  <c r="E181" i="41" l="1"/>
  <c r="P63" i="72"/>
  <c r="Q63" i="72" s="1"/>
  <c r="L64" i="72" s="1"/>
  <c r="AE54" i="65"/>
  <c r="AF54" i="65" s="1"/>
  <c r="X55" i="65"/>
  <c r="Y55" i="65" s="1"/>
  <c r="Z55" i="65" s="1"/>
  <c r="AI52" i="65"/>
  <c r="AN51" i="65"/>
  <c r="AO51" i="65" s="1"/>
  <c r="F181" i="41"/>
  <c r="K180" i="41"/>
  <c r="H180" i="41"/>
  <c r="I180" i="41" s="1"/>
  <c r="G180" i="41"/>
  <c r="M64" i="72" l="1"/>
  <c r="R63" i="72"/>
  <c r="S63" i="72" s="1"/>
  <c r="W63" i="72"/>
  <c r="U56" i="65"/>
  <c r="AA55" i="65"/>
  <c r="AR51" i="65"/>
  <c r="AK52" i="65"/>
  <c r="AQ51" i="65"/>
  <c r="AP51" i="65"/>
  <c r="AJ52" i="65"/>
  <c r="F182" i="41"/>
  <c r="H181" i="41"/>
  <c r="I181" i="41" s="1"/>
  <c r="G181" i="41"/>
  <c r="K181" i="41"/>
  <c r="E182" i="41"/>
  <c r="E183" i="41" s="1"/>
  <c r="U63" i="72" l="1"/>
  <c r="T63" i="72"/>
  <c r="N64" i="72"/>
  <c r="V63" i="72"/>
  <c r="O64" i="72"/>
  <c r="AB55" i="65"/>
  <c r="AC55" i="65"/>
  <c r="AD55" i="65"/>
  <c r="V56" i="65"/>
  <c r="W56" i="65" s="1"/>
  <c r="AS51" i="65"/>
  <c r="AL52" i="65"/>
  <c r="AM52" i="65" s="1"/>
  <c r="AH53" i="65" s="1"/>
  <c r="F183" i="41"/>
  <c r="H182" i="41"/>
  <c r="G182" i="41"/>
  <c r="K182" i="41"/>
  <c r="I182" i="41"/>
  <c r="P64" i="72" l="1"/>
  <c r="Q64" i="72" s="1"/>
  <c r="L65" i="72" s="1"/>
  <c r="AI53" i="65"/>
  <c r="AE55" i="65"/>
  <c r="AF55" i="65" s="1"/>
  <c r="X56" i="65"/>
  <c r="AN52" i="65"/>
  <c r="AO52" i="65" s="1"/>
  <c r="F184" i="41"/>
  <c r="H183" i="41"/>
  <c r="I183" i="41" s="1"/>
  <c r="K183" i="41"/>
  <c r="G183" i="41"/>
  <c r="E184" i="41"/>
  <c r="E185" i="41" l="1"/>
  <c r="M65" i="72"/>
  <c r="R64" i="72"/>
  <c r="S64" i="72" s="1"/>
  <c r="W64" i="72"/>
  <c r="Y56" i="65"/>
  <c r="Z56" i="65" s="1"/>
  <c r="AR52" i="65"/>
  <c r="AK53" i="65"/>
  <c r="AQ52" i="65"/>
  <c r="AP52" i="65"/>
  <c r="AJ53" i="65"/>
  <c r="F185" i="41"/>
  <c r="K184" i="41"/>
  <c r="H184" i="41"/>
  <c r="I184" i="41" s="1"/>
  <c r="G184" i="41"/>
  <c r="T64" i="72" l="1"/>
  <c r="U64" i="72"/>
  <c r="N65" i="72"/>
  <c r="V64" i="72"/>
  <c r="O65" i="72"/>
  <c r="AS52" i="65"/>
  <c r="U57" i="65"/>
  <c r="AA56" i="65"/>
  <c r="AL53" i="65"/>
  <c r="AM53" i="65" s="1"/>
  <c r="AH54" i="65" s="1"/>
  <c r="F186" i="41"/>
  <c r="H185" i="41"/>
  <c r="I185" i="41" s="1"/>
  <c r="G185" i="41"/>
  <c r="K185" i="41"/>
  <c r="E186" i="41"/>
  <c r="E187" i="41" s="1"/>
  <c r="P65" i="72" l="1"/>
  <c r="Q65" i="72" s="1"/>
  <c r="L66" i="72" s="1"/>
  <c r="AI54" i="65"/>
  <c r="AC56" i="65"/>
  <c r="AD56" i="65"/>
  <c r="AB56" i="65"/>
  <c r="V57" i="65"/>
  <c r="W57" i="65" s="1"/>
  <c r="AN53" i="65"/>
  <c r="AO53" i="65" s="1"/>
  <c r="F187" i="41"/>
  <c r="K186" i="41"/>
  <c r="H186" i="41"/>
  <c r="I186" i="41" s="1"/>
  <c r="G186" i="41"/>
  <c r="M66" i="72" l="1"/>
  <c r="R65" i="72"/>
  <c r="S65" i="72" s="1"/>
  <c r="W65" i="72"/>
  <c r="AE56" i="65"/>
  <c r="AF56" i="65" s="1"/>
  <c r="X57" i="65"/>
  <c r="AR53" i="65"/>
  <c r="AK54" i="65"/>
  <c r="AQ53" i="65"/>
  <c r="AP53" i="65"/>
  <c r="AJ54" i="65"/>
  <c r="F188" i="41"/>
  <c r="H187" i="41"/>
  <c r="I187" i="41" s="1"/>
  <c r="K187" i="41"/>
  <c r="G187" i="41"/>
  <c r="E188" i="41"/>
  <c r="E189" i="41" s="1"/>
  <c r="T65" i="72" l="1"/>
  <c r="U65" i="72"/>
  <c r="N66" i="72"/>
  <c r="V65" i="72"/>
  <c r="O66" i="72"/>
  <c r="AS53" i="65"/>
  <c r="Y57" i="65"/>
  <c r="Z57" i="65" s="1"/>
  <c r="AL54" i="65"/>
  <c r="AM54" i="65" s="1"/>
  <c r="AH55" i="65" s="1"/>
  <c r="F189" i="41"/>
  <c r="K188" i="41"/>
  <c r="H188" i="41"/>
  <c r="I188" i="41" s="1"/>
  <c r="G188" i="41"/>
  <c r="P66" i="72" l="1"/>
  <c r="Q66" i="72" s="1"/>
  <c r="L67" i="72" s="1"/>
  <c r="AA57" i="65"/>
  <c r="U58" i="65"/>
  <c r="AI55" i="65"/>
  <c r="AN54" i="65"/>
  <c r="AO54" i="65" s="1"/>
  <c r="F190" i="41"/>
  <c r="H189" i="41"/>
  <c r="I189" i="41" s="1"/>
  <c r="G189" i="41"/>
  <c r="K189" i="41"/>
  <c r="E190" i="41"/>
  <c r="E191" i="41" l="1"/>
  <c r="M67" i="72"/>
  <c r="R66" i="72"/>
  <c r="S66" i="72" s="1"/>
  <c r="W66" i="72"/>
  <c r="V58" i="65"/>
  <c r="W58" i="65" s="1"/>
  <c r="AD57" i="65"/>
  <c r="AC57" i="65"/>
  <c r="AB57" i="65"/>
  <c r="AR54" i="65"/>
  <c r="AK55" i="65"/>
  <c r="AP54" i="65"/>
  <c r="AQ54" i="65"/>
  <c r="AJ55" i="65"/>
  <c r="F191" i="41"/>
  <c r="H190" i="41"/>
  <c r="I190" i="41" s="1"/>
  <c r="K190" i="41"/>
  <c r="G190" i="41"/>
  <c r="U66" i="72" l="1"/>
  <c r="T66" i="72"/>
  <c r="N67" i="72"/>
  <c r="V66" i="72"/>
  <c r="O67" i="72"/>
  <c r="AS54" i="65"/>
  <c r="AE57" i="65"/>
  <c r="AF57" i="65" s="1"/>
  <c r="X58" i="65"/>
  <c r="AL55" i="65"/>
  <c r="AM55" i="65" s="1"/>
  <c r="AN55" i="65" s="1"/>
  <c r="F192" i="41"/>
  <c r="H191" i="41"/>
  <c r="I191" i="41" s="1"/>
  <c r="K191" i="41"/>
  <c r="G191" i="41"/>
  <c r="E192" i="41"/>
  <c r="E193" i="41" s="1"/>
  <c r="P67" i="72" l="1"/>
  <c r="Q67" i="72" s="1"/>
  <c r="L68" i="72" s="1"/>
  <c r="AQ55" i="65"/>
  <c r="AP55" i="65"/>
  <c r="Y58" i="65"/>
  <c r="Z58" i="65" s="1"/>
  <c r="AH56" i="65"/>
  <c r="AO55" i="65"/>
  <c r="F193" i="41"/>
  <c r="K192" i="41"/>
  <c r="G192" i="41"/>
  <c r="H192" i="41"/>
  <c r="I192" i="41" s="1"/>
  <c r="M68" i="72" l="1"/>
  <c r="R67" i="72"/>
  <c r="S67" i="72" s="1"/>
  <c r="W67" i="72"/>
  <c r="U59" i="65"/>
  <c r="AA58" i="65"/>
  <c r="AR55" i="65"/>
  <c r="AS55" i="65" s="1"/>
  <c r="AK56" i="65"/>
  <c r="AI56" i="65"/>
  <c r="AJ56" i="65" s="1"/>
  <c r="F194" i="41"/>
  <c r="H193" i="41"/>
  <c r="I193" i="41" s="1"/>
  <c r="K193" i="41"/>
  <c r="G193" i="41"/>
  <c r="E194" i="41"/>
  <c r="E195" i="41" s="1"/>
  <c r="T67" i="72" l="1"/>
  <c r="U67" i="72"/>
  <c r="N68" i="72"/>
  <c r="V67" i="72"/>
  <c r="O68" i="72"/>
  <c r="V59" i="65"/>
  <c r="W59" i="65" s="1"/>
  <c r="AC58" i="65"/>
  <c r="AD58" i="65"/>
  <c r="AB58" i="65"/>
  <c r="AL56" i="65"/>
  <c r="AM56" i="65" s="1"/>
  <c r="AN56" i="65" s="1"/>
  <c r="F195" i="41"/>
  <c r="K194" i="41"/>
  <c r="G194" i="41"/>
  <c r="H194" i="41"/>
  <c r="I194" i="41" s="1"/>
  <c r="P68" i="72" l="1"/>
  <c r="Q68" i="72" s="1"/>
  <c r="L69" i="72" s="1"/>
  <c r="AQ56" i="65"/>
  <c r="AP56" i="65"/>
  <c r="AE58" i="65"/>
  <c r="AF58" i="65" s="1"/>
  <c r="X59" i="65"/>
  <c r="AH57" i="65"/>
  <c r="AO56" i="65"/>
  <c r="F196" i="41"/>
  <c r="H195" i="41"/>
  <c r="I195" i="41" s="1"/>
  <c r="K195" i="41"/>
  <c r="G195" i="41"/>
  <c r="E196" i="41"/>
  <c r="E197" i="41" l="1"/>
  <c r="R68" i="72"/>
  <c r="S68" i="72" s="1"/>
  <c r="M69" i="72"/>
  <c r="W68" i="72"/>
  <c r="Y59" i="65"/>
  <c r="Z59" i="65" s="1"/>
  <c r="AR56" i="65"/>
  <c r="AS56" i="65" s="1"/>
  <c r="AK57" i="65"/>
  <c r="AI57" i="65"/>
  <c r="AJ57" i="65" s="1"/>
  <c r="F197" i="41"/>
  <c r="K196" i="41"/>
  <c r="H196" i="41"/>
  <c r="I196" i="41" s="1"/>
  <c r="G196" i="41"/>
  <c r="U68" i="72" l="1"/>
  <c r="T68" i="72"/>
  <c r="N69" i="72"/>
  <c r="V68" i="72"/>
  <c r="O69" i="72"/>
  <c r="AA59" i="65"/>
  <c r="U60" i="65"/>
  <c r="AL57" i="65"/>
  <c r="AM57" i="65" s="1"/>
  <c r="AN57" i="65" s="1"/>
  <c r="AP57" i="65" s="1"/>
  <c r="F198" i="41"/>
  <c r="H197" i="41"/>
  <c r="I197" i="41" s="1"/>
  <c r="G197" i="41"/>
  <c r="K197" i="41"/>
  <c r="E198" i="41"/>
  <c r="E199" i="41" s="1"/>
  <c r="P69" i="72" l="1"/>
  <c r="Q69" i="72" s="1"/>
  <c r="L70" i="72" s="1"/>
  <c r="AQ57" i="65"/>
  <c r="V60" i="65"/>
  <c r="W60" i="65" s="1"/>
  <c r="AC59" i="65"/>
  <c r="AD59" i="65"/>
  <c r="AB59" i="65"/>
  <c r="AH58" i="65"/>
  <c r="AO57" i="65"/>
  <c r="F199" i="41"/>
  <c r="H198" i="41"/>
  <c r="I198" i="41" s="1"/>
  <c r="G198" i="41"/>
  <c r="K198" i="41"/>
  <c r="M70" i="72" l="1"/>
  <c r="R69" i="72"/>
  <c r="S69" i="72" s="1"/>
  <c r="W69" i="72"/>
  <c r="AE59" i="65"/>
  <c r="AF59" i="65" s="1"/>
  <c r="X60" i="65"/>
  <c r="Y60" i="65" s="1"/>
  <c r="Z60" i="65" s="1"/>
  <c r="AR57" i="65"/>
  <c r="AS57" i="65" s="1"/>
  <c r="AK58" i="65"/>
  <c r="AI58" i="65"/>
  <c r="AJ58" i="65" s="1"/>
  <c r="F200" i="41"/>
  <c r="H199" i="41"/>
  <c r="I199" i="41" s="1"/>
  <c r="K199" i="41"/>
  <c r="G199" i="41"/>
  <c r="E200" i="41"/>
  <c r="E201" i="41" s="1"/>
  <c r="U69" i="72" l="1"/>
  <c r="T69" i="72"/>
  <c r="N70" i="72"/>
  <c r="V69" i="72"/>
  <c r="O70" i="72"/>
  <c r="AA60" i="65"/>
  <c r="U61" i="65"/>
  <c r="AL58" i="65"/>
  <c r="AM58" i="65" s="1"/>
  <c r="AH59" i="65" s="1"/>
  <c r="F201" i="41"/>
  <c r="K200" i="41"/>
  <c r="H200" i="41"/>
  <c r="I200" i="41" s="1"/>
  <c r="G200" i="41"/>
  <c r="P70" i="72" l="1"/>
  <c r="Q70" i="72" s="1"/>
  <c r="L71" i="72" s="1"/>
  <c r="AI59" i="65"/>
  <c r="AN58" i="65"/>
  <c r="AO58" i="65" s="1"/>
  <c r="AC60" i="65"/>
  <c r="AD60" i="65"/>
  <c r="V61" i="65"/>
  <c r="W61" i="65" s="1"/>
  <c r="AB60" i="65"/>
  <c r="F202" i="41"/>
  <c r="K201" i="41"/>
  <c r="G201" i="41"/>
  <c r="H201" i="41"/>
  <c r="I201" i="41" s="1"/>
  <c r="E202" i="41"/>
  <c r="E203" i="41" l="1"/>
  <c r="M71" i="72"/>
  <c r="R70" i="72"/>
  <c r="S70" i="72" s="1"/>
  <c r="W70" i="72"/>
  <c r="AQ58" i="65"/>
  <c r="AP58" i="65"/>
  <c r="AK59" i="65"/>
  <c r="AR58" i="65"/>
  <c r="AS58" i="65" s="1"/>
  <c r="AJ59" i="65"/>
  <c r="AE60" i="65"/>
  <c r="AF60" i="65" s="1"/>
  <c r="X61" i="65"/>
  <c r="F203" i="41"/>
  <c r="K202" i="41"/>
  <c r="H202" i="41"/>
  <c r="I202" i="41" s="1"/>
  <c r="G202" i="41"/>
  <c r="T70" i="72" l="1"/>
  <c r="U70" i="72"/>
  <c r="N71" i="72"/>
  <c r="V70" i="72"/>
  <c r="O71" i="72"/>
  <c r="Y61" i="65"/>
  <c r="Z61" i="65" s="1"/>
  <c r="AL59" i="65"/>
  <c r="AM59" i="65" s="1"/>
  <c r="F204" i="41"/>
  <c r="H203" i="41"/>
  <c r="I203" i="41" s="1"/>
  <c r="K203" i="41"/>
  <c r="G203" i="41"/>
  <c r="E204" i="41"/>
  <c r="E205" i="41" l="1"/>
  <c r="P71" i="72"/>
  <c r="Q71" i="72" s="1"/>
  <c r="L72" i="72" s="1"/>
  <c r="AH60" i="65"/>
  <c r="U62" i="65"/>
  <c r="AA61" i="65"/>
  <c r="AN59" i="65"/>
  <c r="F205" i="41"/>
  <c r="K204" i="41"/>
  <c r="H204" i="41"/>
  <c r="I204" i="41" s="1"/>
  <c r="G204" i="41"/>
  <c r="M72" i="72" l="1"/>
  <c r="R71" i="72"/>
  <c r="W71" i="72"/>
  <c r="AB61" i="65"/>
  <c r="AC61" i="65"/>
  <c r="AD61" i="65"/>
  <c r="AI60" i="65"/>
  <c r="AJ60" i="65" s="1"/>
  <c r="AQ59" i="65"/>
  <c r="AP59" i="65"/>
  <c r="V62" i="65"/>
  <c r="W62" i="65" s="1"/>
  <c r="AO59" i="65"/>
  <c r="F206" i="41"/>
  <c r="H205" i="41"/>
  <c r="I205" i="41" s="1"/>
  <c r="G205" i="41"/>
  <c r="K205" i="41"/>
  <c r="E206" i="41"/>
  <c r="E207" i="41" s="1"/>
  <c r="T71" i="72" l="1"/>
  <c r="U71" i="72"/>
  <c r="S71" i="72"/>
  <c r="O72" i="72" s="1"/>
  <c r="N72" i="72"/>
  <c r="AR59" i="65"/>
  <c r="AS59" i="65" s="1"/>
  <c r="AK60" i="65"/>
  <c r="AE61" i="65"/>
  <c r="AF61" i="65" s="1"/>
  <c r="X62" i="65"/>
  <c r="Y62" i="65" s="1"/>
  <c r="Z62" i="65" s="1"/>
  <c r="F207" i="41"/>
  <c r="H206" i="41"/>
  <c r="K206" i="41"/>
  <c r="G206" i="41"/>
  <c r="I206" i="41"/>
  <c r="V71" i="72" l="1"/>
  <c r="P72" i="72"/>
  <c r="Q72" i="72" s="1"/>
  <c r="L73" i="72" s="1"/>
  <c r="U63" i="65"/>
  <c r="AA62" i="65"/>
  <c r="AL60" i="65"/>
  <c r="AM60" i="65" s="1"/>
  <c r="F208" i="41"/>
  <c r="H207" i="41"/>
  <c r="K207" i="41"/>
  <c r="I207" i="41"/>
  <c r="G207" i="41"/>
  <c r="E208" i="41"/>
  <c r="E209" i="41" l="1"/>
  <c r="M73" i="72"/>
  <c r="R72" i="72"/>
  <c r="S72" i="72" s="1"/>
  <c r="W72" i="72"/>
  <c r="AB62" i="65"/>
  <c r="AC62" i="65"/>
  <c r="AD62" i="65"/>
  <c r="V63" i="65"/>
  <c r="W63" i="65" s="1"/>
  <c r="AN60" i="65"/>
  <c r="AH61" i="65"/>
  <c r="F209" i="41"/>
  <c r="K208" i="41"/>
  <c r="G208" i="41"/>
  <c r="H208" i="41"/>
  <c r="I208" i="41" s="1"/>
  <c r="T72" i="72" l="1"/>
  <c r="U72" i="72"/>
  <c r="N73" i="72"/>
  <c r="V72" i="72"/>
  <c r="O73" i="72"/>
  <c r="AI61" i="65"/>
  <c r="AJ61" i="65" s="1"/>
  <c r="AQ60" i="65"/>
  <c r="AP60" i="65"/>
  <c r="AO60" i="65"/>
  <c r="AE62" i="65"/>
  <c r="AF62" i="65" s="1"/>
  <c r="X63" i="65"/>
  <c r="Y63" i="65" s="1"/>
  <c r="Z63" i="65" s="1"/>
  <c r="F210" i="41"/>
  <c r="H209" i="41"/>
  <c r="I209" i="41" s="1"/>
  <c r="K209" i="41"/>
  <c r="G209" i="41"/>
  <c r="E210" i="41"/>
  <c r="E211" i="41" s="1"/>
  <c r="P73" i="72" l="1"/>
  <c r="Q73" i="72" s="1"/>
  <c r="L74" i="72" s="1"/>
  <c r="AA63" i="65"/>
  <c r="AB63" i="65" s="1"/>
  <c r="U64" i="65"/>
  <c r="AR60" i="65"/>
  <c r="AS60" i="65" s="1"/>
  <c r="AK61" i="65"/>
  <c r="AL61" i="65" s="1"/>
  <c r="AM61" i="65" s="1"/>
  <c r="F211" i="41"/>
  <c r="K210" i="41"/>
  <c r="G210" i="41"/>
  <c r="H210" i="41"/>
  <c r="I210" i="41" s="1"/>
  <c r="M74" i="72" l="1"/>
  <c r="R73" i="72"/>
  <c r="S73" i="72" s="1"/>
  <c r="W73" i="72"/>
  <c r="AE63" i="65"/>
  <c r="X64" i="65"/>
  <c r="V64" i="65"/>
  <c r="W64" i="65" s="1"/>
  <c r="AH62" i="65"/>
  <c r="AN61" i="65"/>
  <c r="AO61" i="65" s="1"/>
  <c r="AR61" i="65" s="1"/>
  <c r="AD63" i="65"/>
  <c r="AC63" i="65"/>
  <c r="F212" i="41"/>
  <c r="H211" i="41"/>
  <c r="I211" i="41" s="1"/>
  <c r="K211" i="41"/>
  <c r="G211" i="41"/>
  <c r="E212" i="41"/>
  <c r="E213" i="41" s="1"/>
  <c r="U73" i="72" l="1"/>
  <c r="T73" i="72"/>
  <c r="N74" i="72"/>
  <c r="V73" i="72"/>
  <c r="O74" i="72"/>
  <c r="AK62" i="65"/>
  <c r="Y64" i="65"/>
  <c r="Z64" i="65" s="1"/>
  <c r="AI62" i="65"/>
  <c r="AJ62" i="65" s="1"/>
  <c r="AP61" i="65"/>
  <c r="AQ61" i="65"/>
  <c r="AF63" i="65"/>
  <c r="F213" i="41"/>
  <c r="K212" i="41"/>
  <c r="G212" i="41"/>
  <c r="H212" i="41"/>
  <c r="I212" i="41" s="1"/>
  <c r="P74" i="72" l="1"/>
  <c r="Q74" i="72" s="1"/>
  <c r="L75" i="72" s="1"/>
  <c r="AS61" i="65"/>
  <c r="AA64" i="65"/>
  <c r="U65" i="65"/>
  <c r="AL62" i="65"/>
  <c r="AM62" i="65" s="1"/>
  <c r="F214" i="41"/>
  <c r="H213" i="41"/>
  <c r="I213" i="41" s="1"/>
  <c r="G213" i="41"/>
  <c r="K213" i="41"/>
  <c r="E214" i="41"/>
  <c r="E215" i="41" l="1"/>
  <c r="M75" i="72"/>
  <c r="R74" i="72"/>
  <c r="W74" i="72"/>
  <c r="V65" i="65"/>
  <c r="W65" i="65" s="1"/>
  <c r="AB64" i="65"/>
  <c r="AC64" i="65"/>
  <c r="AD64" i="65"/>
  <c r="AN62" i="65"/>
  <c r="AO62" i="65" s="1"/>
  <c r="AH63" i="65"/>
  <c r="F215" i="41"/>
  <c r="H214" i="41"/>
  <c r="I214" i="41" s="1"/>
  <c r="G214" i="41"/>
  <c r="K214" i="41"/>
  <c r="T74" i="72" l="1"/>
  <c r="U74" i="72"/>
  <c r="S74" i="72"/>
  <c r="O75" i="72" s="1"/>
  <c r="N75" i="72"/>
  <c r="AR62" i="65"/>
  <c r="AK63" i="65"/>
  <c r="AE64" i="65"/>
  <c r="AF64" i="65" s="1"/>
  <c r="X65" i="65"/>
  <c r="AP62" i="65"/>
  <c r="AQ62" i="65"/>
  <c r="AI63" i="65"/>
  <c r="AJ63" i="65" s="1"/>
  <c r="F216" i="41"/>
  <c r="H215" i="41"/>
  <c r="I215" i="41" s="1"/>
  <c r="K215" i="41"/>
  <c r="G215" i="41"/>
  <c r="E216" i="41"/>
  <c r="E217" i="41" s="1"/>
  <c r="V74" i="72" l="1"/>
  <c r="P75" i="72"/>
  <c r="Q75" i="72" s="1"/>
  <c r="L76" i="72" s="1"/>
  <c r="AL63" i="65"/>
  <c r="AM63" i="65" s="1"/>
  <c r="Y65" i="65"/>
  <c r="Z65" i="65" s="1"/>
  <c r="AS62" i="65"/>
  <c r="F217" i="41"/>
  <c r="K216" i="41"/>
  <c r="H216" i="41"/>
  <c r="I216" i="41" s="1"/>
  <c r="G216" i="41"/>
  <c r="M76" i="72" l="1"/>
  <c r="R75" i="72"/>
  <c r="W75" i="72"/>
  <c r="AA65" i="65"/>
  <c r="U66" i="65"/>
  <c r="AH64" i="65"/>
  <c r="AN63" i="65"/>
  <c r="AO63" i="65" s="1"/>
  <c r="F218" i="41"/>
  <c r="H217" i="41"/>
  <c r="I217" i="41" s="1"/>
  <c r="G217" i="41"/>
  <c r="K217" i="41"/>
  <c r="E218" i="41"/>
  <c r="E219" i="41" l="1"/>
  <c r="U75" i="72"/>
  <c r="T75" i="72"/>
  <c r="N76" i="72"/>
  <c r="S75" i="72"/>
  <c r="V75" i="72" s="1"/>
  <c r="AR63" i="65"/>
  <c r="AK64" i="65"/>
  <c r="V66" i="65"/>
  <c r="W66" i="65" s="1"/>
  <c r="AP63" i="65"/>
  <c r="AQ63" i="65"/>
  <c r="AB65" i="65"/>
  <c r="AC65" i="65"/>
  <c r="AD65" i="65"/>
  <c r="AI64" i="65"/>
  <c r="AJ64" i="65" s="1"/>
  <c r="F219" i="41"/>
  <c r="K218" i="41"/>
  <c r="H218" i="41"/>
  <c r="I218" i="41" s="1"/>
  <c r="G218" i="41"/>
  <c r="O76" i="72" l="1"/>
  <c r="P76" i="72" s="1"/>
  <c r="Q76" i="72" s="1"/>
  <c r="L77" i="72" s="1"/>
  <c r="AL64" i="65"/>
  <c r="AM64" i="65" s="1"/>
  <c r="AN64" i="65" s="1"/>
  <c r="AE65" i="65"/>
  <c r="AF65" i="65" s="1"/>
  <c r="X66" i="65"/>
  <c r="AS63" i="65"/>
  <c r="F220" i="41"/>
  <c r="H219" i="41"/>
  <c r="I219" i="41" s="1"/>
  <c r="K219" i="41"/>
  <c r="G219" i="41"/>
  <c r="E220" i="41"/>
  <c r="E221" i="41" l="1"/>
  <c r="M77" i="72"/>
  <c r="R76" i="72"/>
  <c r="S76" i="72" s="1"/>
  <c r="W76" i="72"/>
  <c r="AP64" i="65"/>
  <c r="AQ64" i="65"/>
  <c r="Y66" i="65"/>
  <c r="Z66" i="65" s="1"/>
  <c r="AO64" i="65"/>
  <c r="AH65" i="65"/>
  <c r="F221" i="41"/>
  <c r="K220" i="41"/>
  <c r="H220" i="41"/>
  <c r="I220" i="41" s="1"/>
  <c r="G220" i="41"/>
  <c r="T76" i="72" l="1"/>
  <c r="U76" i="72"/>
  <c r="N77" i="72"/>
  <c r="V76" i="72"/>
  <c r="O77" i="72"/>
  <c r="AI65" i="65"/>
  <c r="AJ65" i="65" s="1"/>
  <c r="AR64" i="65"/>
  <c r="AS64" i="65" s="1"/>
  <c r="AK65" i="65"/>
  <c r="U67" i="65"/>
  <c r="AA66" i="65"/>
  <c r="F222" i="41"/>
  <c r="H221" i="41"/>
  <c r="I221" i="41" s="1"/>
  <c r="G221" i="41"/>
  <c r="K221" i="41"/>
  <c r="E222" i="41"/>
  <c r="E223" i="41" l="1"/>
  <c r="P77" i="72"/>
  <c r="Q77" i="72" s="1"/>
  <c r="L78" i="72" s="1"/>
  <c r="V67" i="65"/>
  <c r="W67" i="65" s="1"/>
  <c r="AD66" i="65"/>
  <c r="AC66" i="65"/>
  <c r="AB66" i="65"/>
  <c r="AL65" i="65"/>
  <c r="AM65" i="65" s="1"/>
  <c r="F223" i="41"/>
  <c r="H222" i="41"/>
  <c r="I222" i="41" s="1"/>
  <c r="K222" i="41"/>
  <c r="G222" i="41"/>
  <c r="M78" i="72" l="1"/>
  <c r="R77" i="72"/>
  <c r="S77" i="72" s="1"/>
  <c r="W77" i="72"/>
  <c r="AE66" i="65"/>
  <c r="AF66" i="65" s="1"/>
  <c r="X67" i="65"/>
  <c r="AN65" i="65"/>
  <c r="AH66" i="65"/>
  <c r="F224" i="41"/>
  <c r="H223" i="41"/>
  <c r="K223" i="41"/>
  <c r="G223" i="41"/>
  <c r="I223" i="41"/>
  <c r="E224" i="41"/>
  <c r="E225" i="41" l="1"/>
  <c r="N78" i="72"/>
  <c r="U77" i="72"/>
  <c r="T77" i="72"/>
  <c r="V77" i="72"/>
  <c r="O78" i="72"/>
  <c r="AQ65" i="65"/>
  <c r="AP65" i="65"/>
  <c r="AO65" i="65"/>
  <c r="AI66" i="65"/>
  <c r="AJ66" i="65" s="1"/>
  <c r="Y67" i="65"/>
  <c r="Z67" i="65" s="1"/>
  <c r="F225" i="41"/>
  <c r="K224" i="41"/>
  <c r="G224" i="41"/>
  <c r="H224" i="41"/>
  <c r="I224" i="41" s="1"/>
  <c r="P78" i="72" l="1"/>
  <c r="Q78" i="72" s="1"/>
  <c r="L79" i="72" s="1"/>
  <c r="AR65" i="65"/>
  <c r="AS65" i="65" s="1"/>
  <c r="AK66" i="65"/>
  <c r="U68" i="65"/>
  <c r="AA67" i="65"/>
  <c r="F226" i="41"/>
  <c r="H225" i="41"/>
  <c r="I225" i="41" s="1"/>
  <c r="K225" i="41"/>
  <c r="G225" i="41"/>
  <c r="E226" i="41"/>
  <c r="E227" i="41" l="1"/>
  <c r="M79" i="72"/>
  <c r="R78" i="72"/>
  <c r="S78" i="72" s="1"/>
  <c r="W78" i="72"/>
  <c r="AD67" i="65"/>
  <c r="AC67" i="65"/>
  <c r="V68" i="65"/>
  <c r="W68" i="65" s="1"/>
  <c r="AB67" i="65"/>
  <c r="AL66" i="65"/>
  <c r="AM66" i="65" s="1"/>
  <c r="F227" i="41"/>
  <c r="K226" i="41"/>
  <c r="G226" i="41"/>
  <c r="H226" i="41"/>
  <c r="I226" i="41" s="1"/>
  <c r="T78" i="72" l="1"/>
  <c r="U78" i="72"/>
  <c r="N79" i="72"/>
  <c r="V78" i="72"/>
  <c r="O79" i="72"/>
  <c r="AE67" i="65"/>
  <c r="AF67" i="65" s="1"/>
  <c r="X68" i="65"/>
  <c r="AN66" i="65"/>
  <c r="AO66" i="65" s="1"/>
  <c r="AH67" i="65"/>
  <c r="F228" i="41"/>
  <c r="H227" i="41"/>
  <c r="I227" i="41" s="1"/>
  <c r="K227" i="41"/>
  <c r="G227" i="41"/>
  <c r="E228" i="41"/>
  <c r="E229" i="41" s="1"/>
  <c r="P79" i="72" l="1"/>
  <c r="Q79" i="72" s="1"/>
  <c r="L80" i="72" s="1"/>
  <c r="AR66" i="65"/>
  <c r="AK67" i="65"/>
  <c r="AI67" i="65"/>
  <c r="AJ67" i="65" s="1"/>
  <c r="Y68" i="65"/>
  <c r="Z68" i="65" s="1"/>
  <c r="AP66" i="65"/>
  <c r="AQ66" i="65"/>
  <c r="F229" i="41"/>
  <c r="K228" i="41"/>
  <c r="H228" i="41"/>
  <c r="I228" i="41" s="1"/>
  <c r="G228" i="41"/>
  <c r="M80" i="72" l="1"/>
  <c r="R79" i="72"/>
  <c r="S79" i="72" s="1"/>
  <c r="W79" i="72"/>
  <c r="AL67" i="65"/>
  <c r="AM67" i="65" s="1"/>
  <c r="AN67" i="65" s="1"/>
  <c r="AP67" i="65" s="1"/>
  <c r="AS66" i="65"/>
  <c r="U69" i="65"/>
  <c r="AA68" i="65"/>
  <c r="AB68" i="65" s="1"/>
  <c r="F230" i="41"/>
  <c r="H229" i="41"/>
  <c r="I229" i="41" s="1"/>
  <c r="G229" i="41"/>
  <c r="K229" i="41"/>
  <c r="E230" i="41"/>
  <c r="E231" i="41" l="1"/>
  <c r="AH68" i="65"/>
  <c r="AI68" i="65" s="1"/>
  <c r="AJ68" i="65" s="1"/>
  <c r="T79" i="72"/>
  <c r="U79" i="72"/>
  <c r="N80" i="72"/>
  <c r="V79" i="72"/>
  <c r="O80" i="72"/>
  <c r="AO67" i="65"/>
  <c r="AR67" i="65" s="1"/>
  <c r="AQ67" i="65"/>
  <c r="AE68" i="65"/>
  <c r="X69" i="65"/>
  <c r="V69" i="65"/>
  <c r="W69" i="65" s="1"/>
  <c r="AD68" i="65"/>
  <c r="AC68" i="65"/>
  <c r="F231" i="41"/>
  <c r="H230" i="41"/>
  <c r="I230" i="41" s="1"/>
  <c r="G230" i="41"/>
  <c r="K230" i="41"/>
  <c r="P80" i="72" l="1"/>
  <c r="Q80" i="72" s="1"/>
  <c r="L81" i="72" s="1"/>
  <c r="AS67" i="65"/>
  <c r="AK68" i="65"/>
  <c r="AL68" i="65" s="1"/>
  <c r="AM68" i="65" s="1"/>
  <c r="AN68" i="65" s="1"/>
  <c r="AP68" i="65" s="1"/>
  <c r="Y69" i="65"/>
  <c r="Z69" i="65" s="1"/>
  <c r="U70" i="65" s="1"/>
  <c r="V70" i="65" s="1"/>
  <c r="AF68" i="65"/>
  <c r="F232" i="41"/>
  <c r="H231" i="41"/>
  <c r="I231" i="41" s="1"/>
  <c r="K231" i="41"/>
  <c r="G231" i="41"/>
  <c r="E232" i="41"/>
  <c r="E233" i="41" l="1"/>
  <c r="AH69" i="65"/>
  <c r="AI69" i="65" s="1"/>
  <c r="AJ69" i="65" s="1"/>
  <c r="M81" i="72"/>
  <c r="R80" i="72"/>
  <c r="S80" i="72" s="1"/>
  <c r="W80" i="72"/>
  <c r="AA69" i="65"/>
  <c r="AB69" i="65" s="1"/>
  <c r="AE69" i="65" s="1"/>
  <c r="AQ68" i="65"/>
  <c r="AO68" i="65"/>
  <c r="AK69" i="65" s="1"/>
  <c r="F233" i="41"/>
  <c r="K232" i="41"/>
  <c r="H232" i="41"/>
  <c r="I232" i="41" s="1"/>
  <c r="G232" i="41"/>
  <c r="U80" i="72" l="1"/>
  <c r="T80" i="72"/>
  <c r="N81" i="72"/>
  <c r="V80" i="72"/>
  <c r="O81" i="72"/>
  <c r="AC69" i="65"/>
  <c r="W70" i="65"/>
  <c r="AD69" i="65"/>
  <c r="AR68" i="65"/>
  <c r="AS68" i="65" s="1"/>
  <c r="X70" i="65"/>
  <c r="AL69" i="65"/>
  <c r="AM69" i="65" s="1"/>
  <c r="AH70" i="65" s="1"/>
  <c r="F234" i="41"/>
  <c r="H233" i="41"/>
  <c r="I233" i="41" s="1"/>
  <c r="G233" i="41"/>
  <c r="K233" i="41"/>
  <c r="E234" i="41"/>
  <c r="E235" i="41" s="1"/>
  <c r="AF69" i="65" l="1"/>
  <c r="P81" i="72"/>
  <c r="Q81" i="72" s="1"/>
  <c r="L82" i="72" s="1"/>
  <c r="Y70" i="65"/>
  <c r="Z70" i="65" s="1"/>
  <c r="U71" i="65" s="1"/>
  <c r="AI70" i="65"/>
  <c r="AN69" i="65"/>
  <c r="AO69" i="65" s="1"/>
  <c r="F235" i="41"/>
  <c r="K234" i="41"/>
  <c r="H234" i="41"/>
  <c r="I234" i="41" s="1"/>
  <c r="G234" i="41"/>
  <c r="AA70" i="65" l="1"/>
  <c r="AC70" i="65" s="1"/>
  <c r="M82" i="72"/>
  <c r="R81" i="72"/>
  <c r="S81" i="72" s="1"/>
  <c r="W81" i="72"/>
  <c r="AR69" i="65"/>
  <c r="AK70" i="65"/>
  <c r="V71" i="65"/>
  <c r="AP69" i="65"/>
  <c r="AQ69" i="65"/>
  <c r="AJ70" i="65"/>
  <c r="F236" i="41"/>
  <c r="H235" i="41"/>
  <c r="I235" i="41" s="1"/>
  <c r="K235" i="41"/>
  <c r="G235" i="41"/>
  <c r="E236" i="41"/>
  <c r="E237" i="41" s="1"/>
  <c r="W71" i="65" l="1"/>
  <c r="AD70" i="65"/>
  <c r="AB70" i="65"/>
  <c r="X71" i="65" s="1"/>
  <c r="T81" i="72"/>
  <c r="U81" i="72"/>
  <c r="N82" i="72"/>
  <c r="V81" i="72"/>
  <c r="O82" i="72"/>
  <c r="AL70" i="65"/>
  <c r="AM70" i="65" s="1"/>
  <c r="AN70" i="65" s="1"/>
  <c r="AS69" i="65"/>
  <c r="F237" i="41"/>
  <c r="K236" i="41"/>
  <c r="H236" i="41"/>
  <c r="I236" i="41" s="1"/>
  <c r="G236" i="41"/>
  <c r="AE70" i="65" l="1"/>
  <c r="AF70" i="65" s="1"/>
  <c r="P82" i="72"/>
  <c r="Q82" i="72" s="1"/>
  <c r="L83" i="72" s="1"/>
  <c r="AQ70" i="65"/>
  <c r="AP70" i="65"/>
  <c r="AO70" i="65"/>
  <c r="AH71" i="65"/>
  <c r="Y71" i="65"/>
  <c r="Z71" i="65" s="1"/>
  <c r="F238" i="41"/>
  <c r="H237" i="41"/>
  <c r="I237" i="41" s="1"/>
  <c r="G237" i="41"/>
  <c r="K237" i="41"/>
  <c r="E238" i="41"/>
  <c r="E239" i="41" l="1"/>
  <c r="M83" i="72"/>
  <c r="R82" i="72"/>
  <c r="S82" i="72" s="1"/>
  <c r="W82" i="72"/>
  <c r="U72" i="65"/>
  <c r="AA71" i="65"/>
  <c r="AR70" i="65"/>
  <c r="AS70" i="65" s="1"/>
  <c r="AK71" i="65"/>
  <c r="AI71" i="65"/>
  <c r="AJ71" i="65" s="1"/>
  <c r="F239" i="41"/>
  <c r="H238" i="41"/>
  <c r="I238" i="41" s="1"/>
  <c r="K238" i="41"/>
  <c r="G238" i="41"/>
  <c r="U82" i="72" l="1"/>
  <c r="T82" i="72"/>
  <c r="N83" i="72"/>
  <c r="V82" i="72"/>
  <c r="O83" i="72"/>
  <c r="AB71" i="65"/>
  <c r="AC71" i="65"/>
  <c r="AD71" i="65"/>
  <c r="AL71" i="65"/>
  <c r="AM71" i="65" s="1"/>
  <c r="V72" i="65"/>
  <c r="W72" i="65" s="1"/>
  <c r="F240" i="41"/>
  <c r="H239" i="41"/>
  <c r="I239" i="41" s="1"/>
  <c r="K239" i="41"/>
  <c r="G239" i="41"/>
  <c r="E240" i="41"/>
  <c r="E241" i="41" s="1"/>
  <c r="P83" i="72" l="1"/>
  <c r="Q83" i="72" s="1"/>
  <c r="L84" i="72" s="1"/>
  <c r="AH72" i="65"/>
  <c r="AN71" i="65"/>
  <c r="AE71" i="65"/>
  <c r="AF71" i="65" s="1"/>
  <c r="X72" i="65"/>
  <c r="F241" i="41"/>
  <c r="K240" i="41"/>
  <c r="G240" i="41"/>
  <c r="H240" i="41"/>
  <c r="I240" i="41" s="1"/>
  <c r="M84" i="72" l="1"/>
  <c r="R83" i="72"/>
  <c r="W83" i="72"/>
  <c r="AI72" i="65"/>
  <c r="AJ72" i="65" s="1"/>
  <c r="Y72" i="65"/>
  <c r="Z72" i="65" s="1"/>
  <c r="AP71" i="65"/>
  <c r="AQ71" i="65"/>
  <c r="AO71" i="65"/>
  <c r="F242" i="41"/>
  <c r="H241" i="41"/>
  <c r="I241" i="41" s="1"/>
  <c r="K241" i="41"/>
  <c r="G241" i="41"/>
  <c r="E242" i="41"/>
  <c r="E243" i="41" s="1"/>
  <c r="U83" i="72" l="1"/>
  <c r="T83" i="72"/>
  <c r="S83" i="72"/>
  <c r="V83" i="72" s="1"/>
  <c r="N84" i="72"/>
  <c r="AA72" i="65"/>
  <c r="U73" i="65"/>
  <c r="AR71" i="65"/>
  <c r="AS71" i="65" s="1"/>
  <c r="AK72" i="65"/>
  <c r="F243" i="41"/>
  <c r="K242" i="41"/>
  <c r="G242" i="41"/>
  <c r="H242" i="41"/>
  <c r="I242" i="41" s="1"/>
  <c r="O84" i="72" l="1"/>
  <c r="P84" i="72" s="1"/>
  <c r="Q84" i="72" s="1"/>
  <c r="L85" i="72" s="1"/>
  <c r="V73" i="65"/>
  <c r="W73" i="65" s="1"/>
  <c r="AB72" i="65"/>
  <c r="AD72" i="65"/>
  <c r="AC72" i="65"/>
  <c r="AL72" i="65"/>
  <c r="AM72" i="65" s="1"/>
  <c r="F244" i="41"/>
  <c r="H243" i="41"/>
  <c r="K243" i="41"/>
  <c r="G243" i="41"/>
  <c r="I243" i="41"/>
  <c r="E244" i="41"/>
  <c r="E245" i="41" l="1"/>
  <c r="M85" i="72"/>
  <c r="R84" i="72"/>
  <c r="W84" i="72"/>
  <c r="AH73" i="65"/>
  <c r="AN72" i="65"/>
  <c r="AE72" i="65"/>
  <c r="AF72" i="65" s="1"/>
  <c r="X73" i="65"/>
  <c r="Y73" i="65" s="1"/>
  <c r="Z73" i="65" s="1"/>
  <c r="F245" i="41"/>
  <c r="K244" i="41"/>
  <c r="G244" i="41"/>
  <c r="H244" i="41"/>
  <c r="I244" i="41" s="1"/>
  <c r="U84" i="72" l="1"/>
  <c r="T84" i="72"/>
  <c r="S84" i="72"/>
  <c r="V84" i="72" s="1"/>
  <c r="N85" i="72"/>
  <c r="U74" i="65"/>
  <c r="AA73" i="65"/>
  <c r="AQ72" i="65"/>
  <c r="AP72" i="65"/>
  <c r="AO72" i="65"/>
  <c r="AI73" i="65"/>
  <c r="AJ73" i="65" s="1"/>
  <c r="F246" i="41"/>
  <c r="H245" i="41"/>
  <c r="G245" i="41"/>
  <c r="K245" i="41"/>
  <c r="I245" i="41"/>
  <c r="E246" i="41"/>
  <c r="E247" i="41" l="1"/>
  <c r="O85" i="72"/>
  <c r="P85" i="72" s="1"/>
  <c r="Q85" i="72" s="1"/>
  <c r="L86" i="72" s="1"/>
  <c r="AR72" i="65"/>
  <c r="AS72" i="65" s="1"/>
  <c r="AK73" i="65"/>
  <c r="AD73" i="65"/>
  <c r="AC73" i="65"/>
  <c r="AB73" i="65"/>
  <c r="V74" i="65"/>
  <c r="W74" i="65" s="1"/>
  <c r="F247" i="41"/>
  <c r="H246" i="41"/>
  <c r="K246" i="41"/>
  <c r="G246" i="41"/>
  <c r="I246" i="41"/>
  <c r="R85" i="72" l="1"/>
  <c r="T85" i="72" s="1"/>
  <c r="M86" i="72"/>
  <c r="W85" i="72"/>
  <c r="AE73" i="65"/>
  <c r="AF73" i="65" s="1"/>
  <c r="X74" i="65"/>
  <c r="AL73" i="65"/>
  <c r="AM73" i="65" s="1"/>
  <c r="F248" i="41"/>
  <c r="H247" i="41"/>
  <c r="K247" i="41"/>
  <c r="G247" i="41"/>
  <c r="I247" i="41"/>
  <c r="E248" i="41"/>
  <c r="N86" i="72" l="1"/>
  <c r="E249" i="41"/>
  <c r="S85" i="72"/>
  <c r="V85" i="72" s="1"/>
  <c r="U85" i="72"/>
  <c r="O86" i="72"/>
  <c r="AN73" i="65"/>
  <c r="AH74" i="65"/>
  <c r="Y74" i="65"/>
  <c r="Z74" i="65" s="1"/>
  <c r="F249" i="41"/>
  <c r="K248" i="41"/>
  <c r="H248" i="41"/>
  <c r="G248" i="41"/>
  <c r="I248" i="41"/>
  <c r="P86" i="72" l="1"/>
  <c r="Q86" i="72" s="1"/>
  <c r="AA74" i="65"/>
  <c r="AB74" i="65" s="1"/>
  <c r="U75" i="65"/>
  <c r="AQ73" i="65"/>
  <c r="AP73" i="65"/>
  <c r="AI74" i="65"/>
  <c r="AJ74" i="65" s="1"/>
  <c r="AO73" i="65"/>
  <c r="F250" i="41"/>
  <c r="H249" i="41"/>
  <c r="I249" i="41" s="1"/>
  <c r="G249" i="41"/>
  <c r="K249" i="41"/>
  <c r="E250" i="41"/>
  <c r="E251" i="41" l="1"/>
  <c r="L87" i="72"/>
  <c r="R86" i="72"/>
  <c r="S86" i="72" s="1"/>
  <c r="W86" i="72"/>
  <c r="AE74" i="65"/>
  <c r="X75" i="65"/>
  <c r="V75" i="65"/>
  <c r="W75" i="65" s="1"/>
  <c r="AR73" i="65"/>
  <c r="AS73" i="65" s="1"/>
  <c r="AK74" i="65"/>
  <c r="AD74" i="65"/>
  <c r="AC74" i="65"/>
  <c r="F251" i="41"/>
  <c r="K250" i="41"/>
  <c r="H250" i="41"/>
  <c r="I250" i="41" s="1"/>
  <c r="G250" i="41"/>
  <c r="T86" i="72" l="1"/>
  <c r="U86" i="72"/>
  <c r="M87" i="72"/>
  <c r="N87" i="72" s="1"/>
  <c r="V86" i="72"/>
  <c r="O87" i="72"/>
  <c r="Y75" i="65"/>
  <c r="Z75" i="65" s="1"/>
  <c r="AA75" i="65" s="1"/>
  <c r="AL74" i="65"/>
  <c r="AM74" i="65" s="1"/>
  <c r="AF74" i="65"/>
  <c r="F252" i="41"/>
  <c r="H251" i="41"/>
  <c r="K251" i="41"/>
  <c r="G251" i="41"/>
  <c r="I251" i="41"/>
  <c r="E252" i="41"/>
  <c r="E253" i="41" s="1"/>
  <c r="U76" i="65" l="1"/>
  <c r="V76" i="65" s="1"/>
  <c r="W76" i="65" s="1"/>
  <c r="P87" i="72"/>
  <c r="Q87" i="72" s="1"/>
  <c r="AB75" i="65"/>
  <c r="AE75" i="65" s="1"/>
  <c r="AH75" i="65"/>
  <c r="AN74" i="65"/>
  <c r="AO74" i="65" s="1"/>
  <c r="AC75" i="65"/>
  <c r="AD75" i="65"/>
  <c r="F253" i="41"/>
  <c r="K252" i="41"/>
  <c r="H252" i="41"/>
  <c r="I252" i="41" s="1"/>
  <c r="G252" i="41"/>
  <c r="L88" i="72" l="1"/>
  <c r="R87" i="72"/>
  <c r="S87" i="72" s="1"/>
  <c r="W87" i="72"/>
  <c r="X76" i="65"/>
  <c r="Y76" i="65" s="1"/>
  <c r="Z76" i="65" s="1"/>
  <c r="AR74" i="65"/>
  <c r="AK75" i="65"/>
  <c r="AI75" i="65"/>
  <c r="AJ75" i="65" s="1"/>
  <c r="AP74" i="65"/>
  <c r="AQ74" i="65"/>
  <c r="AF75" i="65"/>
  <c r="F254" i="41"/>
  <c r="H253" i="41"/>
  <c r="I253" i="41" s="1"/>
  <c r="G253" i="41"/>
  <c r="K253" i="41"/>
  <c r="E254" i="41"/>
  <c r="E255" i="41" s="1"/>
  <c r="U87" i="72" l="1"/>
  <c r="T87" i="72"/>
  <c r="M88" i="72"/>
  <c r="N88" i="72" s="1"/>
  <c r="V87" i="72"/>
  <c r="O88" i="72"/>
  <c r="AL75" i="65"/>
  <c r="AM75" i="65" s="1"/>
  <c r="AH76" i="65" s="1"/>
  <c r="AI76" i="65" s="1"/>
  <c r="U77" i="65"/>
  <c r="AA76" i="65"/>
  <c r="AB76" i="65" s="1"/>
  <c r="AS74" i="65"/>
  <c r="F255" i="41"/>
  <c r="H254" i="41"/>
  <c r="I254" i="41" s="1"/>
  <c r="K254" i="41"/>
  <c r="G254" i="41"/>
  <c r="P88" i="72" l="1"/>
  <c r="Q88" i="72" s="1"/>
  <c r="AN75" i="65"/>
  <c r="AO75" i="65" s="1"/>
  <c r="AR75" i="65" s="1"/>
  <c r="V77" i="65"/>
  <c r="W77" i="65" s="1"/>
  <c r="AE76" i="65"/>
  <c r="X77" i="65"/>
  <c r="AD76" i="65"/>
  <c r="AC76" i="65"/>
  <c r="F256" i="41"/>
  <c r="H255" i="41"/>
  <c r="I255" i="41" s="1"/>
  <c r="K255" i="41"/>
  <c r="G255" i="41"/>
  <c r="E256" i="41"/>
  <c r="E257" i="41" l="1"/>
  <c r="R88" i="72"/>
  <c r="S88" i="72" s="1"/>
  <c r="L89" i="72"/>
  <c r="W88" i="72"/>
  <c r="AQ75" i="65"/>
  <c r="AP75" i="65"/>
  <c r="AS75" i="65" s="1"/>
  <c r="AJ76" i="65"/>
  <c r="AK76" i="65"/>
  <c r="AF76" i="65"/>
  <c r="Y77" i="65"/>
  <c r="Z77" i="65" s="1"/>
  <c r="F257" i="41"/>
  <c r="K256" i="41"/>
  <c r="G256" i="41"/>
  <c r="H256" i="41"/>
  <c r="I256" i="41" s="1"/>
  <c r="M89" i="72" l="1"/>
  <c r="N89" i="72" s="1"/>
  <c r="U88" i="72"/>
  <c r="T88" i="72"/>
  <c r="V88" i="72"/>
  <c r="O89" i="72"/>
  <c r="AL76" i="65"/>
  <c r="AM76" i="65" s="1"/>
  <c r="AH77" i="65" s="1"/>
  <c r="AA77" i="65"/>
  <c r="U78" i="65"/>
  <c r="F258" i="41"/>
  <c r="H257" i="41"/>
  <c r="I257" i="41" s="1"/>
  <c r="K257" i="41"/>
  <c r="G257" i="41"/>
  <c r="E258" i="41"/>
  <c r="E259" i="41" s="1"/>
  <c r="AN76" i="65" l="1"/>
  <c r="AO76" i="65" s="1"/>
  <c r="AR76" i="65" s="1"/>
  <c r="P89" i="72"/>
  <c r="Q89" i="72" s="1"/>
  <c r="L90" i="72" s="1"/>
  <c r="AI77" i="65"/>
  <c r="AD77" i="65"/>
  <c r="AC77" i="65"/>
  <c r="V78" i="65"/>
  <c r="W78" i="65" s="1"/>
  <c r="AB77" i="65"/>
  <c r="F259" i="41"/>
  <c r="K258" i="41"/>
  <c r="G258" i="41"/>
  <c r="H258" i="41"/>
  <c r="I258" i="41" s="1"/>
  <c r="AP76" i="65" l="1"/>
  <c r="AJ77" i="65"/>
  <c r="AQ76" i="65"/>
  <c r="AS76" i="65" s="1"/>
  <c r="M90" i="72"/>
  <c r="R89" i="72"/>
  <c r="W89" i="72"/>
  <c r="AK77" i="65"/>
  <c r="AE77" i="65"/>
  <c r="AF77" i="65" s="1"/>
  <c r="X78" i="65"/>
  <c r="F260" i="41"/>
  <c r="H259" i="41"/>
  <c r="I259" i="41" s="1"/>
  <c r="K259" i="41"/>
  <c r="G259" i="41"/>
  <c r="E260" i="41"/>
  <c r="E261" i="41" s="1"/>
  <c r="AL77" i="65" l="1"/>
  <c r="AM77" i="65" s="1"/>
  <c r="T89" i="72"/>
  <c r="U89" i="72"/>
  <c r="N90" i="72"/>
  <c r="S89" i="72"/>
  <c r="V89" i="72" s="1"/>
  <c r="Y78" i="65"/>
  <c r="Z78" i="65" s="1"/>
  <c r="F261" i="41"/>
  <c r="K260" i="41"/>
  <c r="H260" i="41"/>
  <c r="I260" i="41" s="1"/>
  <c r="G260" i="41"/>
  <c r="AN77" i="65" l="1"/>
  <c r="AP77" i="65" s="1"/>
  <c r="AH78" i="65"/>
  <c r="AI78" i="65" s="1"/>
  <c r="O90" i="72"/>
  <c r="P90" i="72" s="1"/>
  <c r="Q90" i="72" s="1"/>
  <c r="L91" i="72" s="1"/>
  <c r="AA78" i="65"/>
  <c r="U79" i="65"/>
  <c r="F262" i="41"/>
  <c r="H261" i="41"/>
  <c r="G261" i="41"/>
  <c r="K261" i="41"/>
  <c r="I261" i="41"/>
  <c r="E262" i="41"/>
  <c r="AJ78" i="65" l="1"/>
  <c r="AQ77" i="65"/>
  <c r="AO77" i="65"/>
  <c r="AR77" i="65" s="1"/>
  <c r="AS77" i="65"/>
  <c r="E263" i="41"/>
  <c r="M91" i="72"/>
  <c r="R90" i="72"/>
  <c r="S90" i="72" s="1"/>
  <c r="W90" i="72"/>
  <c r="V79" i="65"/>
  <c r="W79" i="65" s="1"/>
  <c r="AB78" i="65"/>
  <c r="AD78" i="65"/>
  <c r="AC78" i="65"/>
  <c r="F263" i="41"/>
  <c r="H262" i="41"/>
  <c r="I262" i="41"/>
  <c r="K262" i="41"/>
  <c r="G262" i="41"/>
  <c r="AK78" i="65" l="1"/>
  <c r="AL78" i="65" s="1"/>
  <c r="AM78" i="65" s="1"/>
  <c r="AH79" i="65" s="1"/>
  <c r="AI79" i="65" s="1"/>
  <c r="T90" i="72"/>
  <c r="U90" i="72"/>
  <c r="N91" i="72"/>
  <c r="V90" i="72"/>
  <c r="O91" i="72"/>
  <c r="AE78" i="65"/>
  <c r="AF78" i="65" s="1"/>
  <c r="X79" i="65"/>
  <c r="Y79" i="65" s="1"/>
  <c r="Z79" i="65" s="1"/>
  <c r="F264" i="41"/>
  <c r="H263" i="41"/>
  <c r="K263" i="41"/>
  <c r="G263" i="41"/>
  <c r="I263" i="41"/>
  <c r="E264" i="41"/>
  <c r="E265" i="41" l="1"/>
  <c r="AN78" i="65"/>
  <c r="AJ79" i="65" s="1"/>
  <c r="P91" i="72"/>
  <c r="Q91" i="72" s="1"/>
  <c r="L92" i="72" s="1"/>
  <c r="U80" i="65"/>
  <c r="AA79" i="65"/>
  <c r="AS78" i="65"/>
  <c r="F265" i="41"/>
  <c r="K264" i="41"/>
  <c r="H264" i="41"/>
  <c r="G264" i="41"/>
  <c r="I264" i="41"/>
  <c r="AO78" i="65" l="1"/>
  <c r="AR78" i="65" s="1"/>
  <c r="AP78" i="65"/>
  <c r="AQ78" i="65"/>
  <c r="M92" i="72"/>
  <c r="R91" i="72"/>
  <c r="S91" i="72" s="1"/>
  <c r="W91" i="72"/>
  <c r="AC79" i="65"/>
  <c r="AD79" i="65"/>
  <c r="V80" i="65"/>
  <c r="W80" i="65" s="1"/>
  <c r="AB79" i="65"/>
  <c r="F266" i="41"/>
  <c r="I265" i="41"/>
  <c r="K265" i="41"/>
  <c r="H265" i="41"/>
  <c r="G265" i="41"/>
  <c r="E266" i="41"/>
  <c r="E267" i="41" s="1"/>
  <c r="AK79" i="65" l="1"/>
  <c r="AL79" i="65" s="1"/>
  <c r="AM79" i="65" s="1"/>
  <c r="AN79" i="65" s="1"/>
  <c r="AO79" i="65" s="1"/>
  <c r="U91" i="72"/>
  <c r="T91" i="72"/>
  <c r="N92" i="72"/>
  <c r="V91" i="72"/>
  <c r="O92" i="72"/>
  <c r="AE79" i="65"/>
  <c r="AF79" i="65" s="1"/>
  <c r="X80" i="65"/>
  <c r="F267" i="41"/>
  <c r="K266" i="41"/>
  <c r="H266" i="41"/>
  <c r="G266" i="41"/>
  <c r="I266" i="41"/>
  <c r="AP79" i="65" l="1"/>
  <c r="AQ79" i="65"/>
  <c r="AH80" i="65"/>
  <c r="AI80" i="65" s="1"/>
  <c r="AJ80" i="65" s="1"/>
  <c r="P92" i="72"/>
  <c r="Q92" i="72" s="1"/>
  <c r="L93" i="72" s="1"/>
  <c r="AR79" i="65"/>
  <c r="AK80" i="65"/>
  <c r="AS79" i="65"/>
  <c r="Y80" i="65"/>
  <c r="Z80" i="65" s="1"/>
  <c r="F268" i="41"/>
  <c r="H267" i="41"/>
  <c r="K267" i="41"/>
  <c r="I267" i="41"/>
  <c r="G267" i="41"/>
  <c r="E268" i="41"/>
  <c r="AL80" i="65" l="1"/>
  <c r="AM80" i="65" s="1"/>
  <c r="AN80" i="65" s="1"/>
  <c r="AO80" i="65" s="1"/>
  <c r="E269" i="41"/>
  <c r="M93" i="72"/>
  <c r="R92" i="72"/>
  <c r="W92" i="72"/>
  <c r="AH81" i="65"/>
  <c r="U81" i="65"/>
  <c r="AA80" i="65"/>
  <c r="AB80" i="65" s="1"/>
  <c r="F269" i="41"/>
  <c r="K268" i="41"/>
  <c r="H268" i="41"/>
  <c r="G268" i="41"/>
  <c r="I268" i="41"/>
  <c r="T92" i="72" l="1"/>
  <c r="U92" i="72"/>
  <c r="S92" i="72"/>
  <c r="O93" i="72" s="1"/>
  <c r="N93" i="72"/>
  <c r="AE80" i="65"/>
  <c r="X81" i="65"/>
  <c r="AR80" i="65"/>
  <c r="AK81" i="65"/>
  <c r="AI81" i="65"/>
  <c r="AJ81" i="65" s="1"/>
  <c r="V81" i="65"/>
  <c r="W81" i="65" s="1"/>
  <c r="AD80" i="65"/>
  <c r="AC80" i="65"/>
  <c r="AQ80" i="65"/>
  <c r="AP80" i="65"/>
  <c r="F270" i="41"/>
  <c r="H269" i="41"/>
  <c r="G269" i="41"/>
  <c r="K269" i="41"/>
  <c r="I269" i="41"/>
  <c r="E270" i="41"/>
  <c r="E271" i="41" l="1"/>
  <c r="V92" i="72"/>
  <c r="P93" i="72"/>
  <c r="Q93" i="72" s="1"/>
  <c r="L94" i="72" s="1"/>
  <c r="AL81" i="65"/>
  <c r="AM81" i="65" s="1"/>
  <c r="AN81" i="65" s="1"/>
  <c r="AS80" i="65"/>
  <c r="Y81" i="65"/>
  <c r="Z81" i="65" s="1"/>
  <c r="AF80" i="65"/>
  <c r="F271" i="41"/>
  <c r="H270" i="41"/>
  <c r="K270" i="41"/>
  <c r="I270" i="41"/>
  <c r="G270" i="41"/>
  <c r="AH82" i="65" l="1"/>
  <c r="AI82" i="65" s="1"/>
  <c r="AJ82" i="65" s="1"/>
  <c r="M94" i="72"/>
  <c r="R93" i="72"/>
  <c r="S93" i="72" s="1"/>
  <c r="W93" i="72"/>
  <c r="AP81" i="65"/>
  <c r="AQ81" i="65"/>
  <c r="AO81" i="65"/>
  <c r="U82" i="65"/>
  <c r="AA81" i="65"/>
  <c r="AB81" i="65" s="1"/>
  <c r="F272" i="41"/>
  <c r="H271" i="41"/>
  <c r="K271" i="41"/>
  <c r="G271" i="41"/>
  <c r="I271" i="41"/>
  <c r="E272" i="41"/>
  <c r="E273" i="41" l="1"/>
  <c r="U93" i="72"/>
  <c r="T93" i="72"/>
  <c r="N94" i="72"/>
  <c r="V93" i="72"/>
  <c r="O94" i="72"/>
  <c r="AE81" i="65"/>
  <c r="X82" i="65"/>
  <c r="AR81" i="65"/>
  <c r="AS81" i="65" s="1"/>
  <c r="AK82" i="65"/>
  <c r="V82" i="65"/>
  <c r="W82" i="65" s="1"/>
  <c r="AC81" i="65"/>
  <c r="AD81" i="65"/>
  <c r="F273" i="41"/>
  <c r="K272" i="41"/>
  <c r="G272" i="41"/>
  <c r="H272" i="41"/>
  <c r="I272" i="41"/>
  <c r="P94" i="72" l="1"/>
  <c r="Q94" i="72" s="1"/>
  <c r="L95" i="72" s="1"/>
  <c r="AL82" i="65"/>
  <c r="AM82" i="65" s="1"/>
  <c r="Y82" i="65"/>
  <c r="Z82" i="65" s="1"/>
  <c r="AF81" i="65"/>
  <c r="F274" i="41"/>
  <c r="H273" i="41"/>
  <c r="K273" i="41"/>
  <c r="I273" i="41"/>
  <c r="G273" i="41"/>
  <c r="E274" i="41"/>
  <c r="E275" i="41" l="1"/>
  <c r="W94" i="72"/>
  <c r="M95" i="72"/>
  <c r="R94" i="72"/>
  <c r="U83" i="65"/>
  <c r="AA82" i="65"/>
  <c r="AH83" i="65"/>
  <c r="AN82" i="65"/>
  <c r="F275" i="41"/>
  <c r="K274" i="41"/>
  <c r="G274" i="41"/>
  <c r="H274" i="41"/>
  <c r="I274" i="41"/>
  <c r="U94" i="72" l="1"/>
  <c r="T94" i="72"/>
  <c r="N95" i="72"/>
  <c r="S94" i="72"/>
  <c r="AC82" i="65"/>
  <c r="AD82" i="65"/>
  <c r="AP82" i="65"/>
  <c r="AQ82" i="65"/>
  <c r="V83" i="65"/>
  <c r="W83" i="65" s="1"/>
  <c r="AI83" i="65"/>
  <c r="AJ83" i="65" s="1"/>
  <c r="AO82" i="65"/>
  <c r="AB82" i="65"/>
  <c r="F276" i="41"/>
  <c r="H275" i="41"/>
  <c r="K275" i="41"/>
  <c r="I275" i="41"/>
  <c r="G275" i="41"/>
  <c r="E276" i="41"/>
  <c r="E277" i="41" l="1"/>
  <c r="V94" i="72"/>
  <c r="O95" i="72"/>
  <c r="AR82" i="65"/>
  <c r="AS82" i="65" s="1"/>
  <c r="AK83" i="65"/>
  <c r="AL83" i="65" s="1"/>
  <c r="AM83" i="65" s="1"/>
  <c r="AH84" i="65" s="1"/>
  <c r="AE82" i="65"/>
  <c r="AF82" i="65" s="1"/>
  <c r="X83" i="65"/>
  <c r="Y83" i="65" s="1"/>
  <c r="Z83" i="65" s="1"/>
  <c r="F277" i="41"/>
  <c r="K276" i="41"/>
  <c r="G276" i="41"/>
  <c r="I276" i="41"/>
  <c r="H276" i="41"/>
  <c r="P95" i="72" l="1"/>
  <c r="Q95" i="72" s="1"/>
  <c r="U84" i="65"/>
  <c r="AA83" i="65"/>
  <c r="AI84" i="65"/>
  <c r="AN83" i="65"/>
  <c r="AO83" i="65" s="1"/>
  <c r="F278" i="41"/>
  <c r="H277" i="41"/>
  <c r="G277" i="41"/>
  <c r="K277" i="41"/>
  <c r="I277" i="41"/>
  <c r="E278" i="41"/>
  <c r="E279" i="41" l="1"/>
  <c r="W95" i="72"/>
  <c r="L96" i="72"/>
  <c r="M96" i="72" s="1"/>
  <c r="R95" i="72"/>
  <c r="S95" i="72" s="1"/>
  <c r="AJ84" i="65"/>
  <c r="AR83" i="65"/>
  <c r="AK84" i="65"/>
  <c r="AB83" i="65"/>
  <c r="AD83" i="65"/>
  <c r="AC83" i="65"/>
  <c r="V84" i="65"/>
  <c r="W84" i="65" s="1"/>
  <c r="AQ83" i="65"/>
  <c r="AP83" i="65"/>
  <c r="F279" i="41"/>
  <c r="H278" i="41"/>
  <c r="I278" i="41"/>
  <c r="K278" i="41"/>
  <c r="G278" i="41"/>
  <c r="U95" i="72" l="1"/>
  <c r="N96" i="72"/>
  <c r="T95" i="72"/>
  <c r="V95" i="72"/>
  <c r="O96" i="72"/>
  <c r="AL84" i="65"/>
  <c r="AM84" i="65" s="1"/>
  <c r="AN84" i="65" s="1"/>
  <c r="AP84" i="65" s="1"/>
  <c r="AE83" i="65"/>
  <c r="AF83" i="65" s="1"/>
  <c r="X84" i="65"/>
  <c r="AS83" i="65"/>
  <c r="F280" i="41"/>
  <c r="H279" i="41"/>
  <c r="K279" i="41"/>
  <c r="I279" i="41"/>
  <c r="G279" i="41"/>
  <c r="E280" i="41"/>
  <c r="E281" i="41" s="1"/>
  <c r="AH85" i="65" l="1"/>
  <c r="AI85" i="65" s="1"/>
  <c r="AJ85" i="65" s="1"/>
  <c r="P96" i="72"/>
  <c r="Q96" i="72" s="1"/>
  <c r="W96" i="72" s="1"/>
  <c r="L97" i="72"/>
  <c r="M97" i="72" s="1"/>
  <c r="AQ84" i="65"/>
  <c r="AO84" i="65"/>
  <c r="AR84" i="65" s="1"/>
  <c r="Y84" i="65"/>
  <c r="Z84" i="65" s="1"/>
  <c r="F281" i="41"/>
  <c r="K280" i="41"/>
  <c r="H280" i="41"/>
  <c r="G280" i="41"/>
  <c r="I280" i="41"/>
  <c r="R96" i="72" l="1"/>
  <c r="N97" i="72" s="1"/>
  <c r="AS84" i="65"/>
  <c r="AK85" i="65"/>
  <c r="AL85" i="65" s="1"/>
  <c r="AM85" i="65" s="1"/>
  <c r="AH86" i="65" s="1"/>
  <c r="AI86" i="65" s="1"/>
  <c r="AA84" i="65"/>
  <c r="U85" i="65"/>
  <c r="F282" i="41"/>
  <c r="K281" i="41"/>
  <c r="H281" i="41"/>
  <c r="G281" i="41"/>
  <c r="I281" i="41"/>
  <c r="E282" i="41"/>
  <c r="E283" i="41" l="1"/>
  <c r="U96" i="72"/>
  <c r="T96" i="72"/>
  <c r="S96" i="72"/>
  <c r="O97" i="72" s="1"/>
  <c r="AN85" i="65"/>
  <c r="AP85" i="65" s="1"/>
  <c r="AC84" i="65"/>
  <c r="AD84" i="65"/>
  <c r="V85" i="65"/>
  <c r="W85" i="65" s="1"/>
  <c r="AB84" i="65"/>
  <c r="F283" i="41"/>
  <c r="K282" i="41"/>
  <c r="H282" i="41"/>
  <c r="G282" i="41"/>
  <c r="I282" i="41"/>
  <c r="V96" i="72" l="1"/>
  <c r="P97" i="72"/>
  <c r="Q97" i="72" s="1"/>
  <c r="AJ86" i="65"/>
  <c r="AO85" i="65"/>
  <c r="AR85" i="65" s="1"/>
  <c r="AQ85" i="65"/>
  <c r="AE84" i="65"/>
  <c r="AF84" i="65" s="1"/>
  <c r="X85" i="65"/>
  <c r="Y85" i="65" s="1"/>
  <c r="Z85" i="65" s="1"/>
  <c r="F284" i="41"/>
  <c r="H283" i="41"/>
  <c r="K283" i="41"/>
  <c r="G283" i="41"/>
  <c r="I283" i="41"/>
  <c r="E284" i="41"/>
  <c r="AS85" i="65" l="1"/>
  <c r="E285" i="41"/>
  <c r="W97" i="72"/>
  <c r="L98" i="72"/>
  <c r="R97" i="72"/>
  <c r="AK86" i="65"/>
  <c r="AL86" i="65" s="1"/>
  <c r="AM86" i="65" s="1"/>
  <c r="AH87" i="65" s="1"/>
  <c r="AI87" i="65" s="1"/>
  <c r="AA85" i="65"/>
  <c r="U86" i="65"/>
  <c r="F285" i="41"/>
  <c r="K284" i="41"/>
  <c r="H284" i="41"/>
  <c r="G284" i="41"/>
  <c r="I284" i="41"/>
  <c r="AN86" i="65" l="1"/>
  <c r="AP86" i="65" s="1"/>
  <c r="T97" i="72"/>
  <c r="U97" i="72"/>
  <c r="S97" i="72"/>
  <c r="M98" i="72"/>
  <c r="N98" i="72" s="1"/>
  <c r="AD85" i="65"/>
  <c r="AC85" i="65"/>
  <c r="AB85" i="65"/>
  <c r="V86" i="65"/>
  <c r="W86" i="65" s="1"/>
  <c r="F286" i="41"/>
  <c r="H285" i="41"/>
  <c r="K285" i="41"/>
  <c r="G285" i="41"/>
  <c r="I285" i="41"/>
  <c r="E286" i="41"/>
  <c r="E287" i="41" s="1"/>
  <c r="AO86" i="65" l="1"/>
  <c r="AR86" i="65" s="1"/>
  <c r="AJ87" i="65"/>
  <c r="AQ86" i="65"/>
  <c r="V97" i="72"/>
  <c r="O98" i="72"/>
  <c r="AE85" i="65"/>
  <c r="AF85" i="65" s="1"/>
  <c r="X86" i="65"/>
  <c r="F287" i="41"/>
  <c r="H286" i="41"/>
  <c r="K286" i="41"/>
  <c r="I286" i="41"/>
  <c r="G286" i="41"/>
  <c r="AS86" i="65" l="1"/>
  <c r="AK87" i="65"/>
  <c r="AL87" i="65" s="1"/>
  <c r="AM87" i="65" s="1"/>
  <c r="P98" i="72"/>
  <c r="Q98" i="72" s="1"/>
  <c r="Y86" i="65"/>
  <c r="Z86" i="65" s="1"/>
  <c r="F288" i="41"/>
  <c r="H287" i="41"/>
  <c r="K287" i="41"/>
  <c r="G287" i="41"/>
  <c r="I287" i="41"/>
  <c r="E288" i="41"/>
  <c r="E289" i="41" l="1"/>
  <c r="W98" i="72"/>
  <c r="L99" i="72"/>
  <c r="R98" i="72"/>
  <c r="S98" i="72" s="1"/>
  <c r="U87" i="65"/>
  <c r="AA86" i="65"/>
  <c r="AH88" i="65"/>
  <c r="AN87" i="65"/>
  <c r="AO87" i="65" s="1"/>
  <c r="F289" i="41"/>
  <c r="K288" i="41"/>
  <c r="G288" i="41"/>
  <c r="H288" i="41"/>
  <c r="I288" i="41"/>
  <c r="V98" i="72" l="1"/>
  <c r="O99" i="72"/>
  <c r="M99" i="72"/>
  <c r="N99" i="72" s="1"/>
  <c r="T98" i="72"/>
  <c r="U98" i="72"/>
  <c r="AR87" i="65"/>
  <c r="AK88" i="65"/>
  <c r="AI88" i="65"/>
  <c r="AJ88" i="65" s="1"/>
  <c r="AB86" i="65"/>
  <c r="AD86" i="65"/>
  <c r="AC86" i="65"/>
  <c r="AP87" i="65"/>
  <c r="AQ87" i="65"/>
  <c r="V87" i="65"/>
  <c r="W87" i="65" s="1"/>
  <c r="F290" i="41"/>
  <c r="H289" i="41"/>
  <c r="K289" i="41"/>
  <c r="I289" i="41"/>
  <c r="G289" i="41"/>
  <c r="E290" i="41"/>
  <c r="E291" i="41" l="1"/>
  <c r="P99" i="72"/>
  <c r="Q99" i="72" s="1"/>
  <c r="AL88" i="65"/>
  <c r="AM88" i="65" s="1"/>
  <c r="AN88" i="65" s="1"/>
  <c r="AQ88" i="65" s="1"/>
  <c r="AE86" i="65"/>
  <c r="AF86" i="65" s="1"/>
  <c r="X87" i="65"/>
  <c r="AS87" i="65"/>
  <c r="F291" i="41"/>
  <c r="K290" i="41"/>
  <c r="G290" i="41"/>
  <c r="H290" i="41"/>
  <c r="I290" i="41"/>
  <c r="AH89" i="65" l="1"/>
  <c r="AI89" i="65" s="1"/>
  <c r="AJ89" i="65" s="1"/>
  <c r="W99" i="72"/>
  <c r="L100" i="72"/>
  <c r="R99" i="72"/>
  <c r="AO88" i="65"/>
  <c r="AR88" i="65" s="1"/>
  <c r="AP88" i="65"/>
  <c r="Y87" i="65"/>
  <c r="Z87" i="65" s="1"/>
  <c r="F292" i="41"/>
  <c r="H291" i="41"/>
  <c r="K291" i="41"/>
  <c r="I291" i="41"/>
  <c r="G291" i="41"/>
  <c r="E292" i="41"/>
  <c r="AS88" i="65" l="1"/>
  <c r="E293" i="41"/>
  <c r="M100" i="72"/>
  <c r="N100" i="72" s="1"/>
  <c r="T99" i="72"/>
  <c r="U99" i="72"/>
  <c r="S99" i="72"/>
  <c r="AK89" i="65"/>
  <c r="AL89" i="65" s="1"/>
  <c r="AM89" i="65" s="1"/>
  <c r="U88" i="65"/>
  <c r="AA87" i="65"/>
  <c r="F293" i="41"/>
  <c r="K292" i="41"/>
  <c r="G292" i="41"/>
  <c r="H292" i="41"/>
  <c r="I292" i="41"/>
  <c r="V99" i="72" l="1"/>
  <c r="O100" i="72"/>
  <c r="AN89" i="65"/>
  <c r="AH90" i="65"/>
  <c r="V88" i="65"/>
  <c r="W88" i="65" s="1"/>
  <c r="AD87" i="65"/>
  <c r="AC87" i="65"/>
  <c r="AB87" i="65"/>
  <c r="F294" i="41"/>
  <c r="H293" i="41"/>
  <c r="K293" i="41"/>
  <c r="G293" i="41"/>
  <c r="I293" i="41"/>
  <c r="E294" i="41"/>
  <c r="E295" i="41" s="1"/>
  <c r="P100" i="72" l="1"/>
  <c r="Q100" i="72" s="1"/>
  <c r="AI90" i="65"/>
  <c r="AJ90" i="65" s="1"/>
  <c r="AO89" i="65"/>
  <c r="AQ89" i="65"/>
  <c r="AP89" i="65"/>
  <c r="AE87" i="65"/>
  <c r="AF87" i="65" s="1"/>
  <c r="X88" i="65"/>
  <c r="F295" i="41"/>
  <c r="H294" i="41"/>
  <c r="I294" i="41"/>
  <c r="G294" i="41"/>
  <c r="K294" i="41"/>
  <c r="L101" i="72" l="1"/>
  <c r="R100" i="72"/>
  <c r="S100" i="72" s="1"/>
  <c r="W100" i="72"/>
  <c r="AR89" i="65"/>
  <c r="AK90" i="65"/>
  <c r="AL90" i="65" s="1"/>
  <c r="AM90" i="65" s="1"/>
  <c r="Y88" i="65"/>
  <c r="Z88" i="65" s="1"/>
  <c r="AS89" i="65"/>
  <c r="F296" i="41"/>
  <c r="H295" i="41"/>
  <c r="K295" i="41"/>
  <c r="G295" i="41"/>
  <c r="I295" i="41"/>
  <c r="E296" i="41"/>
  <c r="E297" i="41" l="1"/>
  <c r="U100" i="72"/>
  <c r="T100" i="72"/>
  <c r="M101" i="72"/>
  <c r="N101" i="72" s="1"/>
  <c r="V100" i="72"/>
  <c r="O101" i="72"/>
  <c r="AA88" i="65"/>
  <c r="U89" i="65"/>
  <c r="AH91" i="65"/>
  <c r="AN90" i="65"/>
  <c r="AO90" i="65" s="1"/>
  <c r="F297" i="41"/>
  <c r="K296" i="41"/>
  <c r="H296" i="41"/>
  <c r="G296" i="41"/>
  <c r="I296" i="41"/>
  <c r="P101" i="72" l="1"/>
  <c r="Q101" i="72" s="1"/>
  <c r="R101" i="72" s="1"/>
  <c r="AR90" i="65"/>
  <c r="AK91" i="65"/>
  <c r="AQ90" i="65"/>
  <c r="AP90" i="65"/>
  <c r="AB88" i="65"/>
  <c r="AD88" i="65"/>
  <c r="AC88" i="65"/>
  <c r="AI91" i="65"/>
  <c r="AJ91" i="65" s="1"/>
  <c r="V89" i="65"/>
  <c r="W89" i="65" s="1"/>
  <c r="F298" i="41"/>
  <c r="K297" i="41"/>
  <c r="I297" i="41"/>
  <c r="H297" i="41"/>
  <c r="G297" i="41"/>
  <c r="E298" i="41"/>
  <c r="L102" i="72" l="1"/>
  <c r="E299" i="41"/>
  <c r="T101" i="72"/>
  <c r="U101" i="72"/>
  <c r="M102" i="72"/>
  <c r="N102" i="72" s="1"/>
  <c r="W101" i="72"/>
  <c r="S101" i="72"/>
  <c r="AL91" i="65"/>
  <c r="AM91" i="65" s="1"/>
  <c r="AH92" i="65" s="1"/>
  <c r="AI92" i="65" s="1"/>
  <c r="AE88" i="65"/>
  <c r="AF88" i="65" s="1"/>
  <c r="X89" i="65"/>
  <c r="AS90" i="65"/>
  <c r="F299" i="41"/>
  <c r="K298" i="41"/>
  <c r="H298" i="41"/>
  <c r="G298" i="41"/>
  <c r="I298" i="41"/>
  <c r="AN91" i="65" l="1"/>
  <c r="AO91" i="65" s="1"/>
  <c r="V101" i="72"/>
  <c r="O102" i="72"/>
  <c r="Y89" i="65"/>
  <c r="Z89" i="65" s="1"/>
  <c r="F300" i="41"/>
  <c r="H299" i="41"/>
  <c r="K299" i="41"/>
  <c r="G299" i="41"/>
  <c r="I299" i="41"/>
  <c r="E300" i="41"/>
  <c r="E301" i="41" l="1"/>
  <c r="AJ92" i="65"/>
  <c r="AQ91" i="65"/>
  <c r="AP91" i="65"/>
  <c r="P102" i="72"/>
  <c r="Q102" i="72" s="1"/>
  <c r="U90" i="65"/>
  <c r="AA89" i="65"/>
  <c r="AR91" i="65"/>
  <c r="AS91" i="65" s="1"/>
  <c r="AK92" i="65"/>
  <c r="F301" i="41"/>
  <c r="K300" i="41"/>
  <c r="H300" i="41"/>
  <c r="I300" i="41"/>
  <c r="G300" i="41"/>
  <c r="R102" i="72" l="1"/>
  <c r="S102" i="72" s="1"/>
  <c r="L103" i="72"/>
  <c r="W102" i="72"/>
  <c r="AD89" i="65"/>
  <c r="AC89" i="65"/>
  <c r="AB89" i="65"/>
  <c r="AL92" i="65"/>
  <c r="AM92" i="65" s="1"/>
  <c r="V90" i="65"/>
  <c r="W90" i="65" s="1"/>
  <c r="F302" i="41"/>
  <c r="H301" i="41"/>
  <c r="K301" i="41"/>
  <c r="I301" i="41"/>
  <c r="G301" i="41"/>
  <c r="E302" i="41"/>
  <c r="E303" i="41" s="1"/>
  <c r="M103" i="72" l="1"/>
  <c r="U102" i="72"/>
  <c r="T102" i="72"/>
  <c r="N103" i="72"/>
  <c r="V102" i="72"/>
  <c r="O103" i="72"/>
  <c r="AE89" i="65"/>
  <c r="AF89" i="65" s="1"/>
  <c r="X90" i="65"/>
  <c r="AH93" i="65"/>
  <c r="AN92" i="65"/>
  <c r="F303" i="41"/>
  <c r="H302" i="41"/>
  <c r="K302" i="41"/>
  <c r="I302" i="41"/>
  <c r="G302" i="41"/>
  <c r="P103" i="72" l="1"/>
  <c r="Q103" i="72" s="1"/>
  <c r="L104" i="72" s="1"/>
  <c r="AI93" i="65"/>
  <c r="AJ93" i="65" s="1"/>
  <c r="AO92" i="65"/>
  <c r="AQ92" i="65"/>
  <c r="AP92" i="65"/>
  <c r="Y90" i="65"/>
  <c r="Z90" i="65" s="1"/>
  <c r="F304" i="41"/>
  <c r="H303" i="41"/>
  <c r="K303" i="41"/>
  <c r="G303" i="41"/>
  <c r="I303" i="41"/>
  <c r="E304" i="41"/>
  <c r="E305" i="41" l="1"/>
  <c r="M104" i="72"/>
  <c r="R103" i="72"/>
  <c r="W103" i="72"/>
  <c r="AR92" i="65"/>
  <c r="AS92" i="65" s="1"/>
  <c r="AK93" i="65"/>
  <c r="AL93" i="65" s="1"/>
  <c r="AM93" i="65" s="1"/>
  <c r="AA90" i="65"/>
  <c r="U91" i="65"/>
  <c r="F305" i="41"/>
  <c r="K304" i="41"/>
  <c r="G304" i="41"/>
  <c r="H304" i="41"/>
  <c r="I304" i="41"/>
  <c r="T103" i="72" l="1"/>
  <c r="U103" i="72"/>
  <c r="N104" i="72"/>
  <c r="S103" i="72"/>
  <c r="V103" i="72" s="1"/>
  <c r="AN93" i="65"/>
  <c r="AH94" i="65"/>
  <c r="AD90" i="65"/>
  <c r="AC90" i="65"/>
  <c r="V91" i="65"/>
  <c r="W91" i="65" s="1"/>
  <c r="AB90" i="65"/>
  <c r="F306" i="41"/>
  <c r="H305" i="41"/>
  <c r="K305" i="41"/>
  <c r="I305" i="41"/>
  <c r="G305" i="41"/>
  <c r="E306" i="41"/>
  <c r="O104" i="72" l="1"/>
  <c r="E307" i="41"/>
  <c r="P104" i="72"/>
  <c r="Q104" i="72" s="1"/>
  <c r="L105" i="72" s="1"/>
  <c r="AI94" i="65"/>
  <c r="AJ94" i="65" s="1"/>
  <c r="AP93" i="65"/>
  <c r="AQ93" i="65"/>
  <c r="AE90" i="65"/>
  <c r="AF90" i="65" s="1"/>
  <c r="X91" i="65"/>
  <c r="AO93" i="65"/>
  <c r="F307" i="41"/>
  <c r="K306" i="41"/>
  <c r="G306" i="41"/>
  <c r="H306" i="41"/>
  <c r="I306" i="41"/>
  <c r="M105" i="72" l="1"/>
  <c r="R104" i="72"/>
  <c r="W104" i="72"/>
  <c r="AR93" i="65"/>
  <c r="AS93" i="65" s="1"/>
  <c r="AK94" i="65"/>
  <c r="AL94" i="65" s="1"/>
  <c r="AM94" i="65" s="1"/>
  <c r="Y91" i="65"/>
  <c r="Z91" i="65" s="1"/>
  <c r="F308" i="41"/>
  <c r="H307" i="41"/>
  <c r="K307" i="41"/>
  <c r="I307" i="41"/>
  <c r="G307" i="41"/>
  <c r="E308" i="41"/>
  <c r="E309" i="41" l="1"/>
  <c r="U104" i="72"/>
  <c r="T104" i="72"/>
  <c r="N105" i="72"/>
  <c r="S104" i="72"/>
  <c r="O105" i="72" s="1"/>
  <c r="AA91" i="65"/>
  <c r="U92" i="65"/>
  <c r="AH95" i="65"/>
  <c r="AN94" i="65"/>
  <c r="AO94" i="65" s="1"/>
  <c r="F309" i="41"/>
  <c r="K308" i="41"/>
  <c r="I308" i="41"/>
  <c r="H308" i="41"/>
  <c r="G308" i="41"/>
  <c r="V104" i="72" l="1"/>
  <c r="P105" i="72"/>
  <c r="Q105" i="72" s="1"/>
  <c r="L106" i="72" s="1"/>
  <c r="AR94" i="65"/>
  <c r="AK95" i="65"/>
  <c r="V92" i="65"/>
  <c r="W92" i="65" s="1"/>
  <c r="AI95" i="65"/>
  <c r="AJ95" i="65" s="1"/>
  <c r="AD91" i="65"/>
  <c r="AC91" i="65"/>
  <c r="AP94" i="65"/>
  <c r="AQ94" i="65"/>
  <c r="AB91" i="65"/>
  <c r="F310" i="41"/>
  <c r="H309" i="41"/>
  <c r="K309" i="41"/>
  <c r="G309" i="41"/>
  <c r="I309" i="41"/>
  <c r="E310" i="41"/>
  <c r="E311" i="41" l="1"/>
  <c r="M106" i="72"/>
  <c r="R105" i="72"/>
  <c r="W105" i="72"/>
  <c r="AE91" i="65"/>
  <c r="AF91" i="65" s="1"/>
  <c r="X92" i="65"/>
  <c r="AL95" i="65"/>
  <c r="AM95" i="65" s="1"/>
  <c r="AS94" i="65"/>
  <c r="F311" i="41"/>
  <c r="H310" i="41"/>
  <c r="I310" i="41"/>
  <c r="K310" i="41"/>
  <c r="G310" i="41"/>
  <c r="U105" i="72" l="1"/>
  <c r="T105" i="72"/>
  <c r="N106" i="72"/>
  <c r="S105" i="72"/>
  <c r="V105" i="72" s="1"/>
  <c r="AN95" i="65"/>
  <c r="AH96" i="65"/>
  <c r="Y92" i="65"/>
  <c r="Z92" i="65" s="1"/>
  <c r="F312" i="41"/>
  <c r="H311" i="41"/>
  <c r="K311" i="41"/>
  <c r="G311" i="41"/>
  <c r="I311" i="41"/>
  <c r="E312" i="41"/>
  <c r="E313" i="41" l="1"/>
  <c r="O106" i="72"/>
  <c r="P106" i="72" s="1"/>
  <c r="Q106" i="72" s="1"/>
  <c r="L107" i="72" s="1"/>
  <c r="AI96" i="65"/>
  <c r="AJ96" i="65" s="1"/>
  <c r="AP95" i="65"/>
  <c r="AQ95" i="65"/>
  <c r="AA92" i="65"/>
  <c r="U93" i="65"/>
  <c r="AO95" i="65"/>
  <c r="F313" i="41"/>
  <c r="K312" i="41"/>
  <c r="H312" i="41"/>
  <c r="G312" i="41"/>
  <c r="I312" i="41"/>
  <c r="M107" i="72" l="1"/>
  <c r="R106" i="72"/>
  <c r="S106" i="72" s="1"/>
  <c r="W106" i="72"/>
  <c r="AC92" i="65"/>
  <c r="AD92" i="65"/>
  <c r="AB92" i="65"/>
  <c r="V93" i="65"/>
  <c r="W93" i="65" s="1"/>
  <c r="AR95" i="65"/>
  <c r="AS95" i="65" s="1"/>
  <c r="AK96" i="65"/>
  <c r="F314" i="41"/>
  <c r="H313" i="41"/>
  <c r="G313" i="41"/>
  <c r="I313" i="41"/>
  <c r="K313" i="41"/>
  <c r="E314" i="41"/>
  <c r="E315" i="41" s="1"/>
  <c r="T106" i="72" l="1"/>
  <c r="U106" i="72"/>
  <c r="N107" i="72"/>
  <c r="V106" i="72"/>
  <c r="O107" i="72"/>
  <c r="AE92" i="65"/>
  <c r="AF92" i="65" s="1"/>
  <c r="X93" i="65"/>
  <c r="AL96" i="65"/>
  <c r="AM96" i="65" s="1"/>
  <c r="F315" i="41"/>
  <c r="K314" i="41"/>
  <c r="H314" i="41"/>
  <c r="G314" i="41"/>
  <c r="I314" i="41"/>
  <c r="P107" i="72" l="1"/>
  <c r="Q107" i="72" s="1"/>
  <c r="L108" i="72" s="1"/>
  <c r="AH97" i="65"/>
  <c r="AN96" i="65"/>
  <c r="Y93" i="65"/>
  <c r="Z93" i="65" s="1"/>
  <c r="F316" i="41"/>
  <c r="H315" i="41"/>
  <c r="K315" i="41"/>
  <c r="G315" i="41"/>
  <c r="I315" i="41"/>
  <c r="E316" i="41"/>
  <c r="E317" i="41" l="1"/>
  <c r="M108" i="72"/>
  <c r="O10" i="72"/>
  <c r="R107" i="72"/>
  <c r="S107" i="72" s="1"/>
  <c r="W107" i="72"/>
  <c r="AI97" i="65"/>
  <c r="AJ97" i="65" s="1"/>
  <c r="AQ96" i="65"/>
  <c r="AP96" i="65"/>
  <c r="AO96" i="65"/>
  <c r="U94" i="65"/>
  <c r="AA93" i="65"/>
  <c r="AB93" i="65" s="1"/>
  <c r="F317" i="41"/>
  <c r="K316" i="41"/>
  <c r="H316" i="41"/>
  <c r="G316" i="41"/>
  <c r="I316" i="41"/>
  <c r="T10" i="72" l="1"/>
  <c r="V10" i="72" s="1"/>
  <c r="R10" i="72" s="1"/>
  <c r="X22" i="70" s="1"/>
  <c r="T107" i="72"/>
  <c r="U107" i="72"/>
  <c r="N108" i="72"/>
  <c r="V107" i="72"/>
  <c r="O108" i="72"/>
  <c r="P108" i="72" s="1"/>
  <c r="Q108" i="72" s="1"/>
  <c r="V94" i="65"/>
  <c r="W94" i="65" s="1"/>
  <c r="AR96" i="65"/>
  <c r="AS96" i="65" s="1"/>
  <c r="AK97" i="65"/>
  <c r="AE93" i="65"/>
  <c r="X94" i="65"/>
  <c r="AC93" i="65"/>
  <c r="AD93" i="65"/>
  <c r="F318" i="41"/>
  <c r="H317" i="41"/>
  <c r="G317" i="41"/>
  <c r="K317" i="41"/>
  <c r="I317" i="41"/>
  <c r="E318" i="41"/>
  <c r="E319" i="41" l="1"/>
  <c r="R108" i="72"/>
  <c r="S108" i="72" s="1"/>
  <c r="V108" i="72" s="1"/>
  <c r="W108" i="72"/>
  <c r="W109" i="72" s="1"/>
  <c r="S16" i="72" s="1"/>
  <c r="X21" i="70" s="1"/>
  <c r="AF93" i="65"/>
  <c r="Y94" i="65"/>
  <c r="Z94" i="65" s="1"/>
  <c r="AL97" i="65"/>
  <c r="AM97" i="65" s="1"/>
  <c r="F319" i="41"/>
  <c r="H318" i="41"/>
  <c r="K318" i="41"/>
  <c r="I318" i="41"/>
  <c r="G318" i="41"/>
  <c r="U108" i="72" l="1"/>
  <c r="T108" i="72"/>
  <c r="AN97" i="65"/>
  <c r="AH98" i="65"/>
  <c r="AA94" i="65"/>
  <c r="U95" i="65"/>
  <c r="F320" i="41"/>
  <c r="H319" i="41"/>
  <c r="K319" i="41"/>
  <c r="G319" i="41"/>
  <c r="I319" i="41"/>
  <c r="E320" i="41"/>
  <c r="E321" i="41" l="1"/>
  <c r="AD94" i="65"/>
  <c r="AC94" i="65"/>
  <c r="AI98" i="65"/>
  <c r="AJ98" i="65" s="1"/>
  <c r="AQ97" i="65"/>
  <c r="AP97" i="65"/>
  <c r="V95" i="65"/>
  <c r="W95" i="65" s="1"/>
  <c r="AB94" i="65"/>
  <c r="AO97" i="65"/>
  <c r="F321" i="41"/>
  <c r="K320" i="41"/>
  <c r="H320" i="41"/>
  <c r="I320" i="41"/>
  <c r="G320" i="41"/>
  <c r="AR97" i="65" l="1"/>
  <c r="AS97" i="65" s="1"/>
  <c r="AK98" i="65"/>
  <c r="AE94" i="65"/>
  <c r="AF94" i="65" s="1"/>
  <c r="X95" i="65"/>
  <c r="F322" i="41"/>
  <c r="H321" i="41"/>
  <c r="K321" i="41"/>
  <c r="I321" i="41"/>
  <c r="G321" i="41"/>
  <c r="E322" i="41"/>
  <c r="E323" i="41" l="1"/>
  <c r="AL98" i="65"/>
  <c r="AM98" i="65" s="1"/>
  <c r="Y95" i="65"/>
  <c r="Z95" i="65" s="1"/>
  <c r="F323" i="41"/>
  <c r="K322" i="41"/>
  <c r="G322" i="41"/>
  <c r="H322" i="41"/>
  <c r="I322" i="41"/>
  <c r="U96" i="65" l="1"/>
  <c r="AA95" i="65"/>
  <c r="AH99" i="65"/>
  <c r="AN98" i="65"/>
  <c r="AO98" i="65" s="1"/>
  <c r="F324" i="41"/>
  <c r="H323" i="41"/>
  <c r="K323" i="41"/>
  <c r="G323" i="41"/>
  <c r="I323" i="41"/>
  <c r="E324" i="41"/>
  <c r="E325" i="41" l="1"/>
  <c r="AR98" i="65"/>
  <c r="AK99" i="65"/>
  <c r="AD95" i="65"/>
  <c r="AC95" i="65"/>
  <c r="AQ98" i="65"/>
  <c r="AP98" i="65"/>
  <c r="V96" i="65"/>
  <c r="W96" i="65" s="1"/>
  <c r="AI99" i="65"/>
  <c r="AJ99" i="65" s="1"/>
  <c r="AB95" i="65"/>
  <c r="F325" i="41"/>
  <c r="K324" i="41"/>
  <c r="G324" i="41"/>
  <c r="H324" i="41"/>
  <c r="I324" i="41"/>
  <c r="AL99" i="65" l="1"/>
  <c r="AM99" i="65" s="1"/>
  <c r="AN99" i="65" s="1"/>
  <c r="AQ99" i="65" s="1"/>
  <c r="AE95" i="65"/>
  <c r="AF95" i="65" s="1"/>
  <c r="X96" i="65"/>
  <c r="AS98" i="65"/>
  <c r="F326" i="41"/>
  <c r="H325" i="41"/>
  <c r="K325" i="41"/>
  <c r="G325" i="41"/>
  <c r="I325" i="41"/>
  <c r="E326" i="41"/>
  <c r="AH100" i="65" l="1"/>
  <c r="AI100" i="65" s="1"/>
  <c r="AJ100" i="65" s="1"/>
  <c r="E327" i="41"/>
  <c r="AP99" i="65"/>
  <c r="AO99" i="65"/>
  <c r="AR99" i="65" s="1"/>
  <c r="AS99" i="65" s="1"/>
  <c r="Y96" i="65"/>
  <c r="Z96" i="65" s="1"/>
  <c r="F327" i="41"/>
  <c r="H326" i="41"/>
  <c r="K326" i="41"/>
  <c r="I326" i="41"/>
  <c r="G326" i="41"/>
  <c r="AK100" i="65" l="1"/>
  <c r="AL100" i="65" s="1"/>
  <c r="AM100" i="65" s="1"/>
  <c r="U97" i="65"/>
  <c r="AA96" i="65"/>
  <c r="AB96" i="65" s="1"/>
  <c r="F328" i="41"/>
  <c r="H327" i="41"/>
  <c r="K327" i="41"/>
  <c r="G327" i="41"/>
  <c r="I327" i="41"/>
  <c r="E328" i="41"/>
  <c r="E329" i="41" l="1"/>
  <c r="AH101" i="65"/>
  <c r="AI101" i="65" s="1"/>
  <c r="AN100" i="65"/>
  <c r="AO100" i="65" s="1"/>
  <c r="AK101" i="65" s="1"/>
  <c r="AE96" i="65"/>
  <c r="X97" i="65"/>
  <c r="AC96" i="65"/>
  <c r="AD96" i="65"/>
  <c r="V97" i="65"/>
  <c r="W97" i="65" s="1"/>
  <c r="F329" i="41"/>
  <c r="K328" i="41"/>
  <c r="H328" i="41"/>
  <c r="G328" i="41"/>
  <c r="I328" i="41"/>
  <c r="Y97" i="65" l="1"/>
  <c r="Z97" i="65" s="1"/>
  <c r="AJ101" i="65"/>
  <c r="AL101" i="65" s="1"/>
  <c r="AM101" i="65" s="1"/>
  <c r="AN101" i="65" s="1"/>
  <c r="AP100" i="65"/>
  <c r="AQ100" i="65"/>
  <c r="AR100" i="65"/>
  <c r="AS100" i="65" s="1"/>
  <c r="AA97" i="65"/>
  <c r="U98" i="65"/>
  <c r="AF96" i="65"/>
  <c r="F330" i="41"/>
  <c r="I329" i="41"/>
  <c r="H329" i="41"/>
  <c r="G329" i="41"/>
  <c r="K329" i="41"/>
  <c r="E330" i="41"/>
  <c r="E331" i="41" s="1"/>
  <c r="AH102" i="65" l="1"/>
  <c r="AI102" i="65" s="1"/>
  <c r="AJ102" i="65" s="1"/>
  <c r="V98" i="65"/>
  <c r="W98" i="65" s="1"/>
  <c r="AQ101" i="65"/>
  <c r="AP101" i="65"/>
  <c r="AB97" i="65"/>
  <c r="AD97" i="65"/>
  <c r="AC97" i="65"/>
  <c r="AO101" i="65"/>
  <c r="F331" i="41"/>
  <c r="K330" i="41"/>
  <c r="H330" i="41"/>
  <c r="G330" i="41"/>
  <c r="I330" i="41"/>
  <c r="AE97" i="65" l="1"/>
  <c r="X98" i="65"/>
  <c r="Y98" i="65" s="1"/>
  <c r="Z98" i="65" s="1"/>
  <c r="AR101" i="65"/>
  <c r="AS101" i="65" s="1"/>
  <c r="AK102" i="65"/>
  <c r="AL102" i="65" s="1"/>
  <c r="AM102" i="65" s="1"/>
  <c r="AF97" i="65"/>
  <c r="F332" i="41"/>
  <c r="H331" i="41"/>
  <c r="K331" i="41"/>
  <c r="I331" i="41"/>
  <c r="G331" i="41"/>
  <c r="E332" i="41"/>
  <c r="E333" i="41" l="1"/>
  <c r="AH103" i="65"/>
  <c r="AI103" i="65" s="1"/>
  <c r="AN102" i="65"/>
  <c r="AO102" i="65" s="1"/>
  <c r="U99" i="65"/>
  <c r="V99" i="65" s="1"/>
  <c r="U100" i="65" s="1"/>
  <c r="AA98" i="65"/>
  <c r="AB98" i="65" s="1"/>
  <c r="F333" i="41"/>
  <c r="K332" i="41"/>
  <c r="H332" i="41"/>
  <c r="G332" i="41"/>
  <c r="I332" i="41"/>
  <c r="AE98" i="65" l="1"/>
  <c r="X99" i="65"/>
  <c r="AK103" i="65"/>
  <c r="AR102" i="65"/>
  <c r="AC98" i="65"/>
  <c r="AD98" i="65"/>
  <c r="W99" i="65"/>
  <c r="V100" i="65"/>
  <c r="U101" i="65" s="1"/>
  <c r="AA100" i="65"/>
  <c r="AJ103" i="65"/>
  <c r="AQ102" i="65"/>
  <c r="AP102" i="65"/>
  <c r="F334" i="41"/>
  <c r="G333" i="41"/>
  <c r="K333" i="41"/>
  <c r="H333" i="41"/>
  <c r="I333" i="41"/>
  <c r="E334" i="41"/>
  <c r="E335" i="41" l="1"/>
  <c r="AL103" i="65"/>
  <c r="AM103" i="65" s="1"/>
  <c r="AH104" i="65" s="1"/>
  <c r="V101" i="65"/>
  <c r="U102" i="65" s="1"/>
  <c r="AA101" i="65"/>
  <c r="AS102" i="65"/>
  <c r="Y99" i="65"/>
  <c r="Z99" i="65" s="1"/>
  <c r="AD100" i="65"/>
  <c r="AC100" i="65"/>
  <c r="AF98" i="65"/>
  <c r="F335" i="41"/>
  <c r="K334" i="41"/>
  <c r="H334" i="41"/>
  <c r="I334" i="41"/>
  <c r="G334" i="41"/>
  <c r="AN103" i="65" l="1"/>
  <c r="AO103" i="65" s="1"/>
  <c r="AA99" i="65"/>
  <c r="AB99" i="65" s="1"/>
  <c r="V102" i="65"/>
  <c r="U103" i="65" s="1"/>
  <c r="AA102" i="65"/>
  <c r="AC101" i="65"/>
  <c r="AD101" i="65"/>
  <c r="AI104" i="65"/>
  <c r="F336" i="41"/>
  <c r="K335" i="41"/>
  <c r="H335" i="41"/>
  <c r="G335" i="41"/>
  <c r="I335" i="41"/>
  <c r="E336" i="41"/>
  <c r="AQ103" i="65" l="1"/>
  <c r="AP103" i="65"/>
  <c r="AJ104" i="65"/>
  <c r="E337" i="41"/>
  <c r="AE99" i="65"/>
  <c r="X100" i="65"/>
  <c r="AD102" i="65"/>
  <c r="AC102" i="65"/>
  <c r="V103" i="65"/>
  <c r="U104" i="65" s="1"/>
  <c r="AA103" i="65"/>
  <c r="AD99" i="65"/>
  <c r="AC99" i="65"/>
  <c r="W100" i="65"/>
  <c r="W101" i="65" s="1"/>
  <c r="AR103" i="65"/>
  <c r="AS103" i="65" s="1"/>
  <c r="AK104" i="65"/>
  <c r="F337" i="41"/>
  <c r="K336" i="41"/>
  <c r="G336" i="41"/>
  <c r="H336" i="41"/>
  <c r="I336" i="41"/>
  <c r="AA104" i="65" l="1"/>
  <c r="V104" i="65"/>
  <c r="U105" i="65" s="1"/>
  <c r="Y100" i="65"/>
  <c r="Z100" i="65" s="1"/>
  <c r="AD103" i="65"/>
  <c r="AC103" i="65"/>
  <c r="W102" i="65"/>
  <c r="AF99" i="65"/>
  <c r="AL104" i="65"/>
  <c r="AM104" i="65" s="1"/>
  <c r="F338" i="41"/>
  <c r="K337" i="41"/>
  <c r="H337" i="41"/>
  <c r="G337" i="41"/>
  <c r="I337" i="41"/>
  <c r="E338" i="41"/>
  <c r="E339" i="41" s="1"/>
  <c r="V105" i="65" l="1"/>
  <c r="U106" i="65" s="1"/>
  <c r="AA105" i="65"/>
  <c r="AB100" i="65"/>
  <c r="AF100" i="65"/>
  <c r="W103" i="65"/>
  <c r="AD104" i="65"/>
  <c r="AC104" i="65"/>
  <c r="AH105" i="65"/>
  <c r="AN104" i="65"/>
  <c r="F339" i="41"/>
  <c r="K338" i="41"/>
  <c r="G338" i="41"/>
  <c r="H338" i="41"/>
  <c r="I338" i="41"/>
  <c r="AE100" i="65" l="1"/>
  <c r="X101" i="65"/>
  <c r="W104" i="65"/>
  <c r="V106" i="65"/>
  <c r="U107" i="65" s="1"/>
  <c r="AA106" i="65"/>
  <c r="AD105" i="65"/>
  <c r="AC105" i="65"/>
  <c r="AQ104" i="65"/>
  <c r="AP104" i="65"/>
  <c r="AI105" i="65"/>
  <c r="AJ105" i="65" s="1"/>
  <c r="AO104" i="65"/>
  <c r="F340" i="41"/>
  <c r="K339" i="41"/>
  <c r="H339" i="41"/>
  <c r="I339" i="41"/>
  <c r="G339" i="41"/>
  <c r="E340" i="41"/>
  <c r="E341" i="41" l="1"/>
  <c r="V107" i="65"/>
  <c r="U108" i="65" s="1"/>
  <c r="AA107" i="65"/>
  <c r="AD106" i="65"/>
  <c r="AC106" i="65"/>
  <c r="Y101" i="65"/>
  <c r="Z101" i="65" s="1"/>
  <c r="W105" i="65"/>
  <c r="AR104" i="65"/>
  <c r="AS104" i="65" s="1"/>
  <c r="AK105" i="65"/>
  <c r="AL105" i="65" s="1"/>
  <c r="AM105" i="65" s="1"/>
  <c r="F341" i="41"/>
  <c r="K340" i="41"/>
  <c r="H340" i="41"/>
  <c r="I340" i="41"/>
  <c r="G340" i="41"/>
  <c r="AF101" i="65" l="1"/>
  <c r="AB101" i="65"/>
  <c r="V108" i="65"/>
  <c r="AA108" i="65"/>
  <c r="AC107" i="65"/>
  <c r="AD107" i="65"/>
  <c r="W106" i="65"/>
  <c r="AN105" i="65"/>
  <c r="AO105" i="65" s="1"/>
  <c r="AH106" i="65"/>
  <c r="F342" i="41"/>
  <c r="K341" i="41"/>
  <c r="G341" i="41"/>
  <c r="H341" i="41"/>
  <c r="I341" i="41"/>
  <c r="E342" i="41"/>
  <c r="E343" i="41" s="1"/>
  <c r="AC108" i="65" l="1"/>
  <c r="AD108" i="65"/>
  <c r="AE101" i="65"/>
  <c r="X102" i="65"/>
  <c r="W107" i="65"/>
  <c r="AR105" i="65"/>
  <c r="AK106" i="65"/>
  <c r="AI106" i="65"/>
  <c r="AJ106" i="65" s="1"/>
  <c r="AQ105" i="65"/>
  <c r="AP105" i="65"/>
  <c r="F343" i="41"/>
  <c r="H342" i="41"/>
  <c r="I342" i="41"/>
  <c r="K342" i="41"/>
  <c r="G342" i="41"/>
  <c r="Y102" i="65" l="1"/>
  <c r="Z102" i="65" s="1"/>
  <c r="W108" i="65"/>
  <c r="AS105" i="65"/>
  <c r="AL106" i="65"/>
  <c r="AM106" i="65" s="1"/>
  <c r="F344" i="41"/>
  <c r="K343" i="41"/>
  <c r="H343" i="41"/>
  <c r="G343" i="41"/>
  <c r="I343" i="41"/>
  <c r="E344" i="41"/>
  <c r="E345" i="41" l="1"/>
  <c r="AB102" i="65"/>
  <c r="AF102" i="65"/>
  <c r="AN106" i="65"/>
  <c r="AP106" i="65" s="1"/>
  <c r="AH107" i="65"/>
  <c r="AI107" i="65" s="1"/>
  <c r="F345" i="41"/>
  <c r="K344" i="41"/>
  <c r="H344" i="41"/>
  <c r="G344" i="41"/>
  <c r="I344" i="41"/>
  <c r="AJ107" i="65" l="1"/>
  <c r="AO106" i="65"/>
  <c r="AR106" i="65" s="1"/>
  <c r="AQ106" i="65"/>
  <c r="AE102" i="65"/>
  <c r="X103" i="65"/>
  <c r="F346" i="41"/>
  <c r="H345" i="41"/>
  <c r="I345" i="41"/>
  <c r="K345" i="41"/>
  <c r="G345" i="41"/>
  <c r="E346" i="41"/>
  <c r="E347" i="41" l="1"/>
  <c r="AS106" i="65"/>
  <c r="AK107" i="65"/>
  <c r="AL107" i="65" s="1"/>
  <c r="AM107" i="65" s="1"/>
  <c r="AN107" i="65" s="1"/>
  <c r="AQ107" i="65" s="1"/>
  <c r="Y103" i="65"/>
  <c r="Z103" i="65" s="1"/>
  <c r="AH108" i="65"/>
  <c r="AI108" i="65" s="1"/>
  <c r="F347" i="41"/>
  <c r="K346" i="41"/>
  <c r="G346" i="41"/>
  <c r="I346" i="41"/>
  <c r="H346" i="41"/>
  <c r="AP107" i="65" l="1"/>
  <c r="AO107" i="65"/>
  <c r="AK108" i="65" s="1"/>
  <c r="AJ108" i="65"/>
  <c r="AF103" i="65"/>
  <c r="AB103" i="65"/>
  <c r="F348" i="41"/>
  <c r="K347" i="41"/>
  <c r="H347" i="41"/>
  <c r="G347" i="41"/>
  <c r="I347" i="41"/>
  <c r="E348" i="41"/>
  <c r="E349" i="41" l="1"/>
  <c r="AR107" i="65"/>
  <c r="AS107" i="65" s="1"/>
  <c r="AL108" i="65"/>
  <c r="AM108" i="65" s="1"/>
  <c r="AN108" i="65" s="1"/>
  <c r="AP108" i="65" s="1"/>
  <c r="AE103" i="65"/>
  <c r="X104" i="65"/>
  <c r="F349" i="41"/>
  <c r="K348" i="41"/>
  <c r="H348" i="41"/>
  <c r="I348" i="41"/>
  <c r="G348" i="41"/>
  <c r="AQ108" i="65" l="1"/>
  <c r="AO108" i="65"/>
  <c r="AR108" i="65" s="1"/>
  <c r="AS108" i="65" s="1"/>
  <c r="AS109" i="65" s="1"/>
  <c r="AJ15" i="65" s="1"/>
  <c r="AF16" i="65" s="1"/>
  <c r="J432" i="66" s="1"/>
  <c r="Y104" i="65"/>
  <c r="Z104" i="65" s="1"/>
  <c r="F350" i="41"/>
  <c r="K349" i="41"/>
  <c r="G349" i="41"/>
  <c r="I349" i="41"/>
  <c r="H349" i="41"/>
  <c r="E350" i="41"/>
  <c r="E351" i="41" l="1"/>
  <c r="R37" i="62"/>
  <c r="L547" i="66" s="1"/>
  <c r="AB104" i="65"/>
  <c r="AF104" i="65"/>
  <c r="F351" i="41"/>
  <c r="K350" i="41"/>
  <c r="H350" i="41"/>
  <c r="I350" i="41"/>
  <c r="G350" i="41"/>
  <c r="AE104" i="65" l="1"/>
  <c r="X105" i="65"/>
  <c r="F352" i="41"/>
  <c r="K351" i="41"/>
  <c r="H351" i="41"/>
  <c r="G351" i="41"/>
  <c r="I351" i="41"/>
  <c r="E352" i="41"/>
  <c r="E353" i="41" s="1"/>
  <c r="Y105" i="65" l="1"/>
  <c r="Z105" i="65" s="1"/>
  <c r="F353" i="41"/>
  <c r="K352" i="41"/>
  <c r="G352" i="41"/>
  <c r="I352" i="41"/>
  <c r="H352" i="41"/>
  <c r="AF105" i="65" l="1"/>
  <c r="AB105" i="65"/>
  <c r="F354" i="41"/>
  <c r="K353" i="41"/>
  <c r="H353" i="41"/>
  <c r="I353" i="41"/>
  <c r="G353" i="41"/>
  <c r="E354" i="41"/>
  <c r="E355" i="41" s="1"/>
  <c r="AE105" i="65" l="1"/>
  <c r="X106" i="65"/>
  <c r="F355" i="41"/>
  <c r="K354" i="41"/>
  <c r="G354" i="41"/>
  <c r="H354" i="41"/>
  <c r="I354" i="41"/>
  <c r="Y106" i="65" l="1"/>
  <c r="Z106" i="65" s="1"/>
  <c r="F356" i="41"/>
  <c r="K355" i="41"/>
  <c r="H355" i="41"/>
  <c r="I355" i="41"/>
  <c r="G355" i="41"/>
  <c r="E356" i="41"/>
  <c r="E357" i="41" s="1"/>
  <c r="AF106" i="65" l="1"/>
  <c r="AB106" i="65"/>
  <c r="F357" i="41"/>
  <c r="K356" i="41"/>
  <c r="G356" i="41"/>
  <c r="H356" i="41"/>
  <c r="I356" i="41"/>
  <c r="AE106" i="65" l="1"/>
  <c r="X107" i="65"/>
  <c r="F358" i="41"/>
  <c r="K357" i="41"/>
  <c r="H357" i="41"/>
  <c r="G357" i="41"/>
  <c r="I357" i="41"/>
  <c r="E358" i="41"/>
  <c r="E359" i="41" s="1"/>
  <c r="Y107" i="65" l="1"/>
  <c r="Z107" i="65" s="1"/>
  <c r="F359" i="41"/>
  <c r="H358" i="41"/>
  <c r="I358" i="41"/>
  <c r="K358" i="41"/>
  <c r="G358" i="41"/>
  <c r="AF107" i="65" l="1"/>
  <c r="AB107" i="65"/>
  <c r="F360" i="41"/>
  <c r="K359" i="41"/>
  <c r="H359" i="41"/>
  <c r="G359" i="41"/>
  <c r="I359" i="41"/>
  <c r="E360" i="41"/>
  <c r="E361" i="41" s="1"/>
  <c r="AE107" i="65" l="1"/>
  <c r="X108" i="65"/>
  <c r="Y108" i="65" s="1"/>
  <c r="Z108" i="65" s="1"/>
  <c r="F361" i="41"/>
  <c r="K360" i="41"/>
  <c r="G360" i="41"/>
  <c r="H360" i="41"/>
  <c r="I360" i="41"/>
  <c r="AF108" i="65" l="1"/>
  <c r="AF109" i="65" s="1"/>
  <c r="AB16" i="65" s="1"/>
  <c r="AB108" i="65"/>
  <c r="AE108" i="65" s="1"/>
  <c r="F362" i="41"/>
  <c r="H361" i="41"/>
  <c r="I361" i="41"/>
  <c r="G361" i="41"/>
  <c r="K361" i="41"/>
  <c r="E362" i="41"/>
  <c r="E363" i="41" s="1"/>
  <c r="G432" i="66" l="1"/>
  <c r="R36" i="62"/>
  <c r="J546" i="66" s="1"/>
  <c r="F363" i="41"/>
  <c r="K362" i="41"/>
  <c r="G362" i="41"/>
  <c r="H362" i="41"/>
  <c r="I362" i="41"/>
  <c r="F364" i="41" l="1"/>
  <c r="K363" i="41"/>
  <c r="H363" i="41"/>
  <c r="I363" i="41"/>
  <c r="G363" i="41"/>
  <c r="E364" i="41"/>
  <c r="E365" i="41" s="1"/>
  <c r="F365" i="41" l="1"/>
  <c r="K364" i="41"/>
  <c r="H364" i="41"/>
  <c r="I364" i="41"/>
  <c r="G364" i="41"/>
  <c r="F366" i="41" l="1"/>
  <c r="K365" i="41"/>
  <c r="G365" i="41"/>
  <c r="H365" i="41"/>
  <c r="I365" i="41"/>
  <c r="E366" i="41"/>
  <c r="E367" i="41" s="1"/>
  <c r="F367" i="41" l="1"/>
  <c r="I366" i="41"/>
  <c r="K366" i="41"/>
  <c r="H366" i="41"/>
  <c r="G366" i="41"/>
  <c r="F368" i="41" l="1"/>
  <c r="K367" i="41"/>
  <c r="H367" i="41"/>
  <c r="I367" i="41"/>
  <c r="G367" i="41"/>
  <c r="E368" i="41"/>
  <c r="E369" i="41" s="1"/>
  <c r="F369" i="41" l="1"/>
  <c r="K368" i="41"/>
  <c r="G368" i="41"/>
  <c r="I368" i="41"/>
  <c r="H368" i="41"/>
  <c r="F370" i="41" l="1"/>
  <c r="K369" i="41"/>
  <c r="H369" i="41"/>
  <c r="G369" i="41"/>
  <c r="I369" i="41"/>
  <c r="E370" i="41"/>
  <c r="E371" i="41" s="1"/>
  <c r="F371" i="41" l="1"/>
  <c r="K370" i="41"/>
  <c r="G370" i="41"/>
  <c r="H370" i="41"/>
  <c r="I370" i="41"/>
  <c r="F372" i="41" l="1"/>
  <c r="K371" i="41"/>
  <c r="H371" i="41"/>
  <c r="G371" i="41"/>
  <c r="I371" i="41"/>
  <c r="E372" i="41"/>
  <c r="E373" i="41" s="1"/>
  <c r="F373" i="41" l="1"/>
  <c r="K372" i="41"/>
  <c r="I372" i="41"/>
  <c r="H372" i="41"/>
  <c r="G372" i="41"/>
  <c r="F374" i="41" l="1"/>
  <c r="K373" i="41"/>
  <c r="H373" i="41"/>
  <c r="I373" i="41"/>
  <c r="G373" i="41"/>
  <c r="E374" i="41"/>
  <c r="E375" i="41" s="1"/>
  <c r="F375" i="41" l="1"/>
  <c r="I374" i="41"/>
  <c r="H374" i="41"/>
  <c r="G374" i="41"/>
  <c r="K374" i="41"/>
  <c r="F376" i="41" l="1"/>
  <c r="K375" i="41"/>
  <c r="H375" i="41"/>
  <c r="G375" i="41"/>
  <c r="I375" i="41"/>
  <c r="E376" i="41"/>
  <c r="E377" i="41" s="1"/>
  <c r="F377" i="41" l="1"/>
  <c r="K376" i="41"/>
  <c r="I376" i="41"/>
  <c r="H376" i="41"/>
  <c r="G376" i="41"/>
  <c r="F378" i="41" l="1"/>
  <c r="H377" i="41"/>
  <c r="G377" i="41"/>
  <c r="I377" i="41"/>
  <c r="K377" i="41"/>
  <c r="E378" i="41"/>
  <c r="E379" i="41" s="1"/>
  <c r="F379" i="41" l="1"/>
  <c r="K378" i="41"/>
  <c r="G378" i="41"/>
  <c r="H378" i="41"/>
  <c r="I378" i="41"/>
  <c r="F380" i="41" l="1"/>
  <c r="K379" i="41"/>
  <c r="H379" i="41"/>
  <c r="G379" i="41"/>
  <c r="I379" i="41"/>
  <c r="E380" i="41"/>
  <c r="E381" i="41" s="1"/>
  <c r="F381" i="41" l="1"/>
  <c r="K380" i="41"/>
  <c r="H380" i="41"/>
  <c r="G380" i="41"/>
  <c r="I380" i="41"/>
  <c r="I381" i="41" l="1"/>
  <c r="K381" i="41"/>
  <c r="K18" i="41" s="1"/>
  <c r="G381" i="41"/>
  <c r="K17" i="41" s="1"/>
  <c r="H381" i="41"/>
  <c r="B5" i="48" l="1"/>
  <c r="B5" i="41"/>
  <c r="B5" i="57"/>
  <c r="B5" i="52"/>
  <c r="F4" i="39"/>
  <c r="B5" i="39"/>
  <c r="B5" i="54"/>
  <c r="B5" i="30"/>
  <c r="G34" i="56"/>
  <c r="B78" i="56"/>
  <c r="G34" i="50"/>
  <c r="B78" i="50"/>
  <c r="B5" i="44"/>
  <c r="B5" i="40"/>
  <c r="B5" i="45"/>
  <c r="B5" i="55"/>
  <c r="B5" i="53"/>
  <c r="U2" i="74" l="1"/>
  <c r="U4" i="74" s="1"/>
  <c r="D21" i="78"/>
  <c r="D22" i="78" s="1"/>
  <c r="D23" i="78" s="1"/>
  <c r="D24" i="78" s="1"/>
  <c r="D25" i="78" s="1"/>
  <c r="D26" i="78" s="1"/>
  <c r="D27" i="78" s="1"/>
  <c r="D28" i="78" s="1"/>
  <c r="D29" i="78" s="1"/>
  <c r="D30" i="78" s="1"/>
  <c r="D31" i="78" s="1"/>
  <c r="D32" i="78" s="1"/>
  <c r="D33" i="78" s="1"/>
  <c r="D34" i="78" s="1"/>
  <c r="D35" i="78" s="1"/>
  <c r="D36" i="78" s="1"/>
  <c r="D37" i="78" s="1"/>
  <c r="D38" i="78" s="1"/>
  <c r="D39" i="78" s="1"/>
  <c r="D40" i="78" s="1"/>
  <c r="D41" i="78" s="1"/>
  <c r="D42" i="78" s="1"/>
  <c r="D43" i="78" s="1"/>
  <c r="D44" i="78" s="1"/>
  <c r="D45" i="78" s="1"/>
  <c r="D46" i="78" s="1"/>
  <c r="D47" i="78" s="1"/>
  <c r="D48" i="78" s="1"/>
  <c r="D49" i="78" s="1"/>
  <c r="D50" i="78" s="1"/>
  <c r="D51" i="78" s="1"/>
  <c r="D52" i="78" s="1"/>
  <c r="D53" i="78" s="1"/>
  <c r="D54" i="78" s="1"/>
  <c r="D55" i="78" s="1"/>
  <c r="D56" i="78" s="1"/>
  <c r="D57" i="78" s="1"/>
  <c r="D58" i="78" s="1"/>
  <c r="D59" i="78" s="1"/>
  <c r="D60" i="78" s="1"/>
  <c r="D61" i="78" s="1"/>
  <c r="D62" i="78" s="1"/>
  <c r="D63" i="78" s="1"/>
  <c r="D64" i="78" s="1"/>
  <c r="D65" i="78" s="1"/>
  <c r="D66" i="78" s="1"/>
  <c r="D67" i="78" s="1"/>
  <c r="D68" i="78" s="1"/>
  <c r="D69" i="78" s="1"/>
  <c r="D70" i="78" s="1"/>
  <c r="D71" i="78" s="1"/>
  <c r="D72" i="78" s="1"/>
  <c r="D73" i="78" s="1"/>
  <c r="D74" i="78" s="1"/>
  <c r="D75" i="78" s="1"/>
  <c r="D76" i="78" s="1"/>
  <c r="D77" i="78" s="1"/>
  <c r="D78" i="78" s="1"/>
  <c r="D79" i="78" s="1"/>
  <c r="D80" i="78" s="1"/>
  <c r="D81" i="78" s="1"/>
  <c r="D82" i="78" s="1"/>
  <c r="D83" i="78" s="1"/>
  <c r="D84" i="78" s="1"/>
  <c r="D85" i="78" s="1"/>
  <c r="D86" i="78" s="1"/>
  <c r="D87" i="78" s="1"/>
  <c r="D88" i="78" s="1"/>
  <c r="D89" i="78" s="1"/>
  <c r="D90" i="78" s="1"/>
  <c r="D91" i="78" s="1"/>
  <c r="D92" i="78" s="1"/>
  <c r="D93" i="78" s="1"/>
  <c r="D94" i="78" s="1"/>
  <c r="D95" i="78" s="1"/>
  <c r="D96" i="78" s="1"/>
  <c r="D97" i="78" s="1"/>
  <c r="D98" i="78" s="1"/>
  <c r="D99" i="78" s="1"/>
  <c r="D100" i="78" s="1"/>
  <c r="D101" i="78" s="1"/>
  <c r="D102" i="78" s="1"/>
  <c r="D103" i="78" s="1"/>
  <c r="D104" i="78" s="1"/>
  <c r="D105" i="78" s="1"/>
  <c r="D106" i="78" s="1"/>
  <c r="D107" i="78" s="1"/>
  <c r="D108" i="78" s="1"/>
  <c r="D109" i="78" s="1"/>
  <c r="D110" i="78" s="1"/>
  <c r="D111" i="78" s="1"/>
  <c r="D112" i="78" s="1"/>
  <c r="D113" i="78" s="1"/>
  <c r="D114" i="78" s="1"/>
  <c r="D115" i="78" s="1"/>
  <c r="D116" i="78" s="1"/>
  <c r="D117" i="78" s="1"/>
  <c r="D118" i="78" s="1"/>
  <c r="D119" i="78" s="1"/>
  <c r="D120" i="78" s="1"/>
  <c r="D121" i="78" s="1"/>
  <c r="D122" i="78" s="1"/>
  <c r="D123" i="78" s="1"/>
  <c r="D124" i="78" s="1"/>
  <c r="D125" i="78" s="1"/>
  <c r="D126" i="78" s="1"/>
  <c r="D127" i="78" s="1"/>
  <c r="D128" i="78" s="1"/>
  <c r="D129" i="78" s="1"/>
  <c r="D130" i="78" s="1"/>
  <c r="D131" i="78" s="1"/>
  <c r="D132" i="78" s="1"/>
  <c r="D133" i="78" s="1"/>
  <c r="D134" i="78" s="1"/>
  <c r="D135" i="78" s="1"/>
  <c r="D136" i="78" s="1"/>
  <c r="D137" i="78" s="1"/>
  <c r="D138" i="78" s="1"/>
  <c r="D139" i="78" s="1"/>
  <c r="D140" i="78" s="1"/>
  <c r="D141" i="78" s="1"/>
  <c r="D142" i="78" s="1"/>
  <c r="D143" i="78" s="1"/>
  <c r="D144" i="78" s="1"/>
  <c r="D145" i="78" s="1"/>
  <c r="D146" i="78" s="1"/>
  <c r="D147" i="78" s="1"/>
  <c r="D148" i="78" s="1"/>
  <c r="D149" i="78" s="1"/>
  <c r="D150" i="78" s="1"/>
  <c r="R24" i="74"/>
  <c r="J14" i="74"/>
  <c r="I14" i="69"/>
  <c r="AA4" i="54"/>
  <c r="AA5" i="54" s="1"/>
  <c r="R4" i="55"/>
  <c r="G13" i="55" s="1"/>
  <c r="F23" i="39"/>
  <c r="B7" i="44"/>
  <c r="F5" i="39"/>
  <c r="AA4" i="52"/>
  <c r="R4" i="53"/>
  <c r="AO12" i="78" l="1"/>
  <c r="X12" i="78" s="1"/>
  <c r="U3" i="74"/>
  <c r="U22" i="54"/>
  <c r="J13" i="55"/>
  <c r="R9" i="55" s="1"/>
  <c r="H23" i="39"/>
  <c r="L12" i="48"/>
  <c r="R5" i="55"/>
  <c r="F27" i="55"/>
  <c r="G29" i="55" s="1"/>
  <c r="G30" i="55" s="1"/>
  <c r="R5" i="53"/>
  <c r="G13" i="53"/>
  <c r="E169" i="56" s="1"/>
  <c r="D184" i="56" s="1"/>
  <c r="G186" i="56" s="1"/>
  <c r="AA5" i="52"/>
  <c r="U22" i="52"/>
  <c r="U21" i="44"/>
  <c r="B8" i="44"/>
  <c r="AO10" i="78" l="1"/>
  <c r="M37" i="55"/>
  <c r="M31" i="55"/>
  <c r="M35" i="55"/>
  <c r="M29" i="55"/>
  <c r="Q10" i="55"/>
  <c r="N22" i="55" s="1"/>
  <c r="M30" i="55"/>
  <c r="M36" i="55"/>
  <c r="N12" i="48"/>
  <c r="U20" i="48"/>
  <c r="U19" i="48"/>
  <c r="G18" i="48"/>
  <c r="J169" i="56"/>
  <c r="G32" i="55"/>
  <c r="G35" i="55" s="1"/>
  <c r="G36" i="55" s="1"/>
  <c r="G37" i="55" s="1"/>
  <c r="W4" i="56"/>
  <c r="W6" i="56"/>
  <c r="G187" i="56"/>
  <c r="G189" i="56"/>
  <c r="F27" i="53"/>
  <c r="G29" i="53" s="1"/>
  <c r="J13" i="53"/>
  <c r="X10" i="78" l="1"/>
  <c r="Q21" i="55"/>
  <c r="R21" i="55" s="1"/>
  <c r="Q22" i="55"/>
  <c r="N14" i="55"/>
  <c r="H22" i="55" s="1"/>
  <c r="N21" i="55"/>
  <c r="O21" i="55" s="1"/>
  <c r="Q14" i="55"/>
  <c r="J22" i="55" s="1"/>
  <c r="F21" i="48"/>
  <c r="I23" i="48" s="1"/>
  <c r="I24" i="48" s="1"/>
  <c r="I25" i="48" s="1"/>
  <c r="I19" i="48"/>
  <c r="G34" i="55"/>
  <c r="G32" i="53"/>
  <c r="G30" i="53"/>
  <c r="G191" i="56"/>
  <c r="G192" i="56"/>
  <c r="G193" i="56" s="1"/>
  <c r="G194" i="56" s="1"/>
  <c r="R9" i="53"/>
  <c r="Q10" i="53"/>
  <c r="Q22" i="53" s="1"/>
  <c r="G38" i="55"/>
  <c r="G39" i="55"/>
  <c r="O22" i="55" l="1"/>
  <c r="O23" i="55" s="1"/>
  <c r="M24" i="55" s="1"/>
  <c r="Q20" i="55"/>
  <c r="R22" i="55"/>
  <c r="D267" i="56"/>
  <c r="H21" i="55"/>
  <c r="I38" i="55" s="1"/>
  <c r="N20" i="55"/>
  <c r="J21" i="55"/>
  <c r="I28" i="48"/>
  <c r="I26" i="48"/>
  <c r="N14" i="53"/>
  <c r="Q21" i="53"/>
  <c r="R22" i="53" s="1"/>
  <c r="Q14" i="53"/>
  <c r="N22" i="53"/>
  <c r="D264" i="56" s="1"/>
  <c r="N21" i="53"/>
  <c r="G195" i="56"/>
  <c r="G196" i="56"/>
  <c r="G34" i="53"/>
  <c r="G35" i="53"/>
  <c r="G36" i="53" s="1"/>
  <c r="G37" i="53" s="1"/>
  <c r="N267" i="56" l="1"/>
  <c r="R23" i="55"/>
  <c r="P24" i="55" s="1"/>
  <c r="J38" i="55"/>
  <c r="H271" i="56"/>
  <c r="D263" i="56"/>
  <c r="E263" i="56" s="1"/>
  <c r="H272" i="56"/>
  <c r="D266" i="56"/>
  <c r="E266" i="56" s="1"/>
  <c r="O22" i="53"/>
  <c r="N264" i="56" s="1"/>
  <c r="G38" i="53"/>
  <c r="G39" i="53"/>
  <c r="R21" i="53"/>
  <c r="Q20" i="53"/>
  <c r="J22" i="53"/>
  <c r="J178" i="56" s="1"/>
  <c r="J21" i="53"/>
  <c r="J177" i="56" s="1"/>
  <c r="N20" i="53"/>
  <c r="H22" i="53"/>
  <c r="H178" i="56" s="1"/>
  <c r="H21" i="53"/>
  <c r="H177" i="56" s="1"/>
  <c r="O21" i="53"/>
  <c r="N263" i="56" l="1"/>
  <c r="O263" i="56" s="1"/>
  <c r="J38" i="53"/>
  <c r="K272" i="56"/>
  <c r="K271" i="56"/>
  <c r="R23" i="53"/>
  <c r="P24" i="53" s="1"/>
  <c r="N266" i="56"/>
  <c r="O266" i="56" s="1"/>
  <c r="O23" i="53"/>
  <c r="M24" i="53" s="1"/>
  <c r="I38" i="53"/>
  <c r="I195" i="56" s="1"/>
  <c r="J195" i="56" l="1"/>
  <c r="J39" i="53"/>
  <c r="J32" i="55" s="1"/>
  <c r="M38" i="55"/>
  <c r="I39" i="53"/>
  <c r="I32" i="55" s="1"/>
  <c r="M32" i="55"/>
  <c r="D145" i="56" l="1"/>
  <c r="L145" i="56" s="1"/>
  <c r="N145" i="56" s="1"/>
  <c r="J34" i="55"/>
  <c r="D146" i="56"/>
  <c r="L146" i="56" s="1"/>
  <c r="N146" i="56" s="1"/>
  <c r="J189" i="56"/>
  <c r="J30" i="55"/>
  <c r="I33" i="55" s="1"/>
  <c r="I34" i="55" s="1"/>
  <c r="I30" i="55"/>
  <c r="I189" i="56"/>
  <c r="I29" i="55"/>
  <c r="J33" i="55" l="1"/>
  <c r="J190" i="56" s="1"/>
  <c r="N38" i="55"/>
  <c r="O35" i="55" s="1"/>
  <c r="O38" i="55"/>
  <c r="J37" i="55" s="1"/>
  <c r="J194" i="56" s="1"/>
  <c r="K35" i="54"/>
  <c r="J191" i="56"/>
  <c r="L19" i="55"/>
  <c r="I190" i="56"/>
  <c r="O32" i="55"/>
  <c r="I37" i="55" s="1"/>
  <c r="H35" i="54"/>
  <c r="I191" i="56"/>
  <c r="N32" i="55"/>
  <c r="R23" i="54" l="1"/>
  <c r="F103" i="56" s="1"/>
  <c r="N35" i="55"/>
  <c r="N36" i="55" s="1"/>
  <c r="I194" i="56"/>
  <c r="N29" i="55"/>
  <c r="O29" i="55"/>
  <c r="J2" i="63"/>
  <c r="N2" i="63" s="1"/>
  <c r="N17" i="54" l="1"/>
  <c r="I117" i="56" s="1"/>
  <c r="S24" i="54"/>
  <c r="S27" i="54" s="1"/>
  <c r="X27" i="54" s="1"/>
  <c r="R24" i="54"/>
  <c r="R26" i="54" s="1"/>
  <c r="O36" i="55"/>
  <c r="J35" i="55" s="1"/>
  <c r="J192" i="56" s="1"/>
  <c r="N37" i="55"/>
  <c r="O37" i="55"/>
  <c r="J36" i="55" s="1"/>
  <c r="N30" i="55"/>
  <c r="O30" i="55"/>
  <c r="I35" i="55" s="1"/>
  <c r="R13" i="62"/>
  <c r="Q13" i="62"/>
  <c r="A22" i="64"/>
  <c r="B22" i="64" s="1"/>
  <c r="D22" i="64" s="1"/>
  <c r="N5" i="65" l="1"/>
  <c r="O13" i="65" s="1"/>
  <c r="X15" i="65" s="1"/>
  <c r="X16" i="65" s="1"/>
  <c r="G371" i="66"/>
  <c r="N5" i="64"/>
  <c r="G251" i="66"/>
  <c r="S26" i="54"/>
  <c r="V28" i="54" s="1"/>
  <c r="W34" i="54" s="1"/>
  <c r="S30" i="54"/>
  <c r="S28" i="54"/>
  <c r="S29" i="54"/>
  <c r="R28" i="54"/>
  <c r="R29" i="54"/>
  <c r="R27" i="54"/>
  <c r="W27" i="54" s="1"/>
  <c r="R30" i="54"/>
  <c r="J193" i="56"/>
  <c r="J196" i="56" s="1"/>
  <c r="J39" i="55"/>
  <c r="I192" i="56"/>
  <c r="O31" i="55"/>
  <c r="I36" i="55" s="1"/>
  <c r="N31" i="55"/>
  <c r="C22" i="64"/>
  <c r="A23" i="64"/>
  <c r="B23" i="64" s="1"/>
  <c r="D23" i="64" s="1"/>
  <c r="L28" i="65" l="1"/>
  <c r="X14" i="65"/>
  <c r="R32" i="62" s="1"/>
  <c r="D430" i="66" s="1"/>
  <c r="L83" i="65"/>
  <c r="L106" i="65"/>
  <c r="L103" i="65"/>
  <c r="L97" i="65"/>
  <c r="L74" i="65"/>
  <c r="L36" i="65"/>
  <c r="L102" i="65"/>
  <c r="L81" i="65"/>
  <c r="L71" i="65"/>
  <c r="L46" i="65"/>
  <c r="L20" i="65"/>
  <c r="M20" i="65"/>
  <c r="L63" i="65"/>
  <c r="L84" i="65"/>
  <c r="L91" i="65"/>
  <c r="L30" i="65"/>
  <c r="L98" i="65"/>
  <c r="L27" i="65"/>
  <c r="L93" i="65"/>
  <c r="L23" i="65"/>
  <c r="L70" i="65"/>
  <c r="L22" i="65"/>
  <c r="L100" i="65"/>
  <c r="L25" i="65"/>
  <c r="L89" i="65"/>
  <c r="L49" i="65"/>
  <c r="L101" i="65"/>
  <c r="L61" i="65"/>
  <c r="L39" i="65"/>
  <c r="L76" i="65"/>
  <c r="L99" i="65"/>
  <c r="L86" i="65"/>
  <c r="L77" i="65"/>
  <c r="L75" i="65"/>
  <c r="L47" i="65"/>
  <c r="L52" i="65"/>
  <c r="L107" i="65"/>
  <c r="L79" i="65"/>
  <c r="L31" i="65"/>
  <c r="L73" i="65"/>
  <c r="L72" i="65"/>
  <c r="L37" i="65"/>
  <c r="L40" i="65"/>
  <c r="L87" i="65"/>
  <c r="L24" i="65"/>
  <c r="L56" i="65"/>
  <c r="L43" i="65"/>
  <c r="L32" i="65"/>
  <c r="L48" i="65"/>
  <c r="L42" i="65"/>
  <c r="L33" i="65"/>
  <c r="L21" i="65"/>
  <c r="L104" i="65"/>
  <c r="L58" i="65"/>
  <c r="L60" i="65"/>
  <c r="L108" i="65"/>
  <c r="L53" i="65"/>
  <c r="L80" i="65"/>
  <c r="L26" i="65"/>
  <c r="L54" i="65"/>
  <c r="L62" i="65"/>
  <c r="R33" i="62"/>
  <c r="D431" i="66" s="1"/>
  <c r="L35" i="65"/>
  <c r="L88" i="65"/>
  <c r="L95" i="65"/>
  <c r="L94" i="65"/>
  <c r="L92" i="65"/>
  <c r="L85" i="65"/>
  <c r="L105" i="65"/>
  <c r="L41" i="65"/>
  <c r="W28" i="54"/>
  <c r="L78" i="65"/>
  <c r="L68" i="65"/>
  <c r="L65" i="65"/>
  <c r="L90" i="65"/>
  <c r="L57" i="65"/>
  <c r="L34" i="65"/>
  <c r="L64" i="65"/>
  <c r="L29" i="65"/>
  <c r="L50" i="65"/>
  <c r="L45" i="65"/>
  <c r="L69" i="65"/>
  <c r="L66" i="65"/>
  <c r="L82" i="65"/>
  <c r="L44" i="65"/>
  <c r="L55" i="65"/>
  <c r="L59" i="65"/>
  <c r="L51" i="65"/>
  <c r="L67" i="65"/>
  <c r="L96" i="65"/>
  <c r="L38" i="65"/>
  <c r="R24" i="62"/>
  <c r="F383" i="66" s="1"/>
  <c r="V29" i="54"/>
  <c r="W29" i="54" s="1"/>
  <c r="V30" i="54"/>
  <c r="X30" i="54" s="1"/>
  <c r="I193" i="56"/>
  <c r="I196" i="56" s="1"/>
  <c r="X28" i="54"/>
  <c r="I39" i="55"/>
  <c r="C23" i="64"/>
  <c r="E22" i="64"/>
  <c r="F22" i="64" s="1"/>
  <c r="A24" i="64"/>
  <c r="B24" i="64" s="1"/>
  <c r="D24" i="64" s="1"/>
  <c r="F21" i="64"/>
  <c r="G21" i="64" s="1"/>
  <c r="H20" i="64" s="1"/>
  <c r="W30" i="54" l="1"/>
  <c r="W31" i="54" s="1"/>
  <c r="X29" i="54"/>
  <c r="V34" i="54" s="1"/>
  <c r="O20" i="65"/>
  <c r="M21" i="65"/>
  <c r="M22" i="65" s="1"/>
  <c r="N20" i="65"/>
  <c r="O14" i="65" s="1"/>
  <c r="R25" i="62" s="1"/>
  <c r="R34" i="62"/>
  <c r="D432" i="66" s="1"/>
  <c r="U34" i="54"/>
  <c r="C24" i="64"/>
  <c r="G22" i="64"/>
  <c r="A25" i="64"/>
  <c r="B25" i="64" s="1"/>
  <c r="D25" i="64" s="1"/>
  <c r="X31" i="54" l="1"/>
  <c r="W32" i="54" s="1"/>
  <c r="N21" i="65"/>
  <c r="O21" i="65"/>
  <c r="M23" i="65"/>
  <c r="O22" i="65"/>
  <c r="N22" i="65"/>
  <c r="P20" i="65"/>
  <c r="O15" i="65" s="1"/>
  <c r="R26" i="62" s="1"/>
  <c r="H545" i="66"/>
  <c r="C25" i="64"/>
  <c r="A26" i="64"/>
  <c r="B26" i="64" s="1"/>
  <c r="D26" i="64" s="1"/>
  <c r="E23" i="64"/>
  <c r="E24" i="64"/>
  <c r="F24" i="64" s="1"/>
  <c r="H21" i="64"/>
  <c r="S32" i="54" l="1"/>
  <c r="S33" i="54" s="1"/>
  <c r="S34" i="54" s="1"/>
  <c r="S35" i="54" s="1"/>
  <c r="K15" i="54" s="1"/>
  <c r="I116" i="56" s="1"/>
  <c r="P21" i="65"/>
  <c r="P22" i="65"/>
  <c r="N23" i="65"/>
  <c r="O23" i="65"/>
  <c r="M24" i="65"/>
  <c r="Q20" i="65"/>
  <c r="H383" i="66"/>
  <c r="H542" i="66"/>
  <c r="N103" i="56"/>
  <c r="W35" i="54"/>
  <c r="N16" i="54" s="1"/>
  <c r="C26" i="64"/>
  <c r="F23" i="64"/>
  <c r="G23" i="64" s="1"/>
  <c r="A27" i="64"/>
  <c r="B27" i="64" s="1"/>
  <c r="D27" i="64" s="1"/>
  <c r="E25" i="64"/>
  <c r="F25" i="64" s="1"/>
  <c r="Q21" i="65" l="1"/>
  <c r="Q22" i="65" s="1"/>
  <c r="P23" i="65"/>
  <c r="N24" i="65"/>
  <c r="O24" i="65"/>
  <c r="M25" i="65"/>
  <c r="H113" i="56"/>
  <c r="E113" i="56"/>
  <c r="C113" i="56"/>
  <c r="L113" i="56"/>
  <c r="C27" i="64"/>
  <c r="H22" i="64"/>
  <c r="G24" i="64"/>
  <c r="A28" i="64"/>
  <c r="B28" i="64" s="1"/>
  <c r="D28" i="64" s="1"/>
  <c r="E26" i="64"/>
  <c r="Q23" i="65" l="1"/>
  <c r="P24" i="65"/>
  <c r="M26" i="65"/>
  <c r="N25" i="65"/>
  <c r="O25" i="65"/>
  <c r="C28" i="64"/>
  <c r="F26" i="64"/>
  <c r="A29" i="64"/>
  <c r="B29" i="64" s="1"/>
  <c r="D29" i="64" s="1"/>
  <c r="E27" i="64"/>
  <c r="F27" i="64" s="1"/>
  <c r="H23" i="64"/>
  <c r="G25" i="64"/>
  <c r="Q24" i="65" l="1"/>
  <c r="P25" i="65"/>
  <c r="M27" i="65"/>
  <c r="N26" i="65"/>
  <c r="O26" i="65"/>
  <c r="C29" i="64"/>
  <c r="A30" i="64"/>
  <c r="B30" i="64" s="1"/>
  <c r="D30" i="64" s="1"/>
  <c r="E28" i="64"/>
  <c r="F28" i="64" s="1"/>
  <c r="H24" i="64"/>
  <c r="G26" i="64"/>
  <c r="Q25" i="65" l="1"/>
  <c r="P26" i="65"/>
  <c r="M28" i="65"/>
  <c r="O27" i="65"/>
  <c r="N27" i="65"/>
  <c r="C30" i="64"/>
  <c r="H25" i="64"/>
  <c r="G27" i="64"/>
  <c r="E29" i="64"/>
  <c r="F29" i="64" s="1"/>
  <c r="A31" i="64"/>
  <c r="B31" i="64" s="1"/>
  <c r="D31" i="64" s="1"/>
  <c r="Q26" i="65" l="1"/>
  <c r="P27" i="65"/>
  <c r="N28" i="65"/>
  <c r="M29" i="65"/>
  <c r="O28" i="65"/>
  <c r="C31" i="64"/>
  <c r="E30" i="64"/>
  <c r="F30" i="64" s="1"/>
  <c r="H26" i="64"/>
  <c r="G28" i="64"/>
  <c r="A32" i="64"/>
  <c r="B32" i="64" s="1"/>
  <c r="D32" i="64" s="1"/>
  <c r="Q27" i="65" l="1"/>
  <c r="P28" i="65"/>
  <c r="N29" i="65"/>
  <c r="O29" i="65"/>
  <c r="M30" i="65"/>
  <c r="C32" i="64"/>
  <c r="E31" i="64"/>
  <c r="F31" i="64" s="1"/>
  <c r="A33" i="64"/>
  <c r="B33" i="64" s="1"/>
  <c r="D33" i="64" s="1"/>
  <c r="H27" i="64"/>
  <c r="G29" i="64"/>
  <c r="Q28" i="65" l="1"/>
  <c r="P29" i="65"/>
  <c r="O30" i="65"/>
  <c r="N30" i="65"/>
  <c r="M31" i="65"/>
  <c r="C33" i="64"/>
  <c r="H28" i="64"/>
  <c r="G30" i="64"/>
  <c r="E32" i="64"/>
  <c r="F32" i="64" s="1"/>
  <c r="A34" i="64"/>
  <c r="B34" i="64" s="1"/>
  <c r="D34" i="64" s="1"/>
  <c r="Q29" i="65" l="1"/>
  <c r="P30" i="65"/>
  <c r="N31" i="65"/>
  <c r="O31" i="65"/>
  <c r="M32" i="65"/>
  <c r="C34" i="64"/>
  <c r="E33" i="64"/>
  <c r="F33" i="64" s="1"/>
  <c r="A35" i="64"/>
  <c r="B35" i="64" s="1"/>
  <c r="D35" i="64" s="1"/>
  <c r="H29" i="64"/>
  <c r="G31" i="64"/>
  <c r="Q30" i="65" l="1"/>
  <c r="P31" i="65"/>
  <c r="N32" i="65"/>
  <c r="O32" i="65"/>
  <c r="M33" i="65"/>
  <c r="C35" i="64"/>
  <c r="H30" i="64"/>
  <c r="G32" i="64"/>
  <c r="A36" i="64"/>
  <c r="B36" i="64" s="1"/>
  <c r="D36" i="64" s="1"/>
  <c r="E34" i="64"/>
  <c r="F34" i="64" s="1"/>
  <c r="Q31" i="65" l="1"/>
  <c r="P32" i="65"/>
  <c r="N33" i="65"/>
  <c r="O33" i="65"/>
  <c r="M34" i="65"/>
  <c r="C36" i="64"/>
  <c r="E35" i="64"/>
  <c r="F35" i="64" s="1"/>
  <c r="A37" i="64"/>
  <c r="B37" i="64" s="1"/>
  <c r="D37" i="64" s="1"/>
  <c r="H31" i="64"/>
  <c r="G33" i="64"/>
  <c r="Q32" i="65" l="1"/>
  <c r="P33" i="65"/>
  <c r="O34" i="65"/>
  <c r="N34" i="65"/>
  <c r="M35" i="65"/>
  <c r="C37" i="64"/>
  <c r="H32" i="64"/>
  <c r="G34" i="64"/>
  <c r="E36" i="64"/>
  <c r="F36" i="64" s="1"/>
  <c r="A38" i="64"/>
  <c r="B38" i="64" s="1"/>
  <c r="D38" i="64" s="1"/>
  <c r="Q33" i="65" l="1"/>
  <c r="P34" i="65"/>
  <c r="N35" i="65"/>
  <c r="O35" i="65"/>
  <c r="M36" i="65"/>
  <c r="C38" i="64"/>
  <c r="A39" i="64"/>
  <c r="B39" i="64" s="1"/>
  <c r="D39" i="64" s="1"/>
  <c r="H33" i="64"/>
  <c r="G35" i="64"/>
  <c r="E37" i="64"/>
  <c r="F37" i="64" s="1"/>
  <c r="Q34" i="65" l="1"/>
  <c r="P35" i="65"/>
  <c r="O36" i="65"/>
  <c r="N36" i="65"/>
  <c r="M37" i="65"/>
  <c r="C39" i="64"/>
  <c r="H34" i="64"/>
  <c r="G36" i="64"/>
  <c r="A40" i="64"/>
  <c r="B40" i="64" s="1"/>
  <c r="D40" i="64" s="1"/>
  <c r="E38" i="64"/>
  <c r="F38" i="64" s="1"/>
  <c r="Q35" i="65" l="1"/>
  <c r="P36" i="65"/>
  <c r="N37" i="65"/>
  <c r="O37" i="65"/>
  <c r="M38" i="65"/>
  <c r="C40" i="64"/>
  <c r="E39" i="64"/>
  <c r="F39" i="64" s="1"/>
  <c r="A41" i="64"/>
  <c r="B41" i="64" s="1"/>
  <c r="D41" i="64" s="1"/>
  <c r="H35" i="64"/>
  <c r="G37" i="64"/>
  <c r="Q36" i="65" l="1"/>
  <c r="P37" i="65"/>
  <c r="N38" i="65"/>
  <c r="O38" i="65"/>
  <c r="M39" i="65"/>
  <c r="C41" i="64"/>
  <c r="H36" i="64"/>
  <c r="G38" i="64"/>
  <c r="A42" i="64"/>
  <c r="B42" i="64" s="1"/>
  <c r="D42" i="64" s="1"/>
  <c r="E40" i="64"/>
  <c r="F40" i="64" s="1"/>
  <c r="Q37" i="65" l="1"/>
  <c r="P38" i="65"/>
  <c r="N39" i="65"/>
  <c r="O39" i="65"/>
  <c r="M40" i="65"/>
  <c r="C42" i="64"/>
  <c r="E41" i="64"/>
  <c r="F41" i="64" s="1"/>
  <c r="A43" i="64"/>
  <c r="B43" i="64" s="1"/>
  <c r="D43" i="64" s="1"/>
  <c r="H37" i="64"/>
  <c r="G39" i="64"/>
  <c r="Q38" i="65" l="1"/>
  <c r="P39" i="65"/>
  <c r="N40" i="65"/>
  <c r="O40" i="65"/>
  <c r="M41" i="65"/>
  <c r="C43" i="64"/>
  <c r="A44" i="64"/>
  <c r="B44" i="64" s="1"/>
  <c r="D44" i="64" s="1"/>
  <c r="E42" i="64"/>
  <c r="F42" i="64" s="1"/>
  <c r="H38" i="64"/>
  <c r="G40" i="64"/>
  <c r="G41" i="64" s="1"/>
  <c r="Q39" i="65" l="1"/>
  <c r="P40" i="65"/>
  <c r="O41" i="65"/>
  <c r="N41" i="65"/>
  <c r="M42" i="65"/>
  <c r="G42" i="64"/>
  <c r="H41" i="64" s="1"/>
  <c r="C44" i="64"/>
  <c r="H39" i="64"/>
  <c r="H40" i="64"/>
  <c r="A45" i="64"/>
  <c r="B45" i="64" s="1"/>
  <c r="D45" i="64" s="1"/>
  <c r="E43" i="64"/>
  <c r="F43" i="64" s="1"/>
  <c r="Q40" i="65" l="1"/>
  <c r="P41" i="65"/>
  <c r="N42" i="65"/>
  <c r="O42" i="65"/>
  <c r="M43" i="65"/>
  <c r="C45" i="64"/>
  <c r="G43" i="64"/>
  <c r="E44" i="64"/>
  <c r="F44" i="64" s="1"/>
  <c r="A46" i="64"/>
  <c r="B46" i="64" s="1"/>
  <c r="D46" i="64" s="1"/>
  <c r="Q41" i="65" l="1"/>
  <c r="P42" i="65"/>
  <c r="O43" i="65"/>
  <c r="N43" i="65"/>
  <c r="M44" i="65"/>
  <c r="C46" i="64"/>
  <c r="H42" i="64"/>
  <c r="G44" i="64"/>
  <c r="E45" i="64"/>
  <c r="F45" i="64" s="1"/>
  <c r="A47" i="64"/>
  <c r="B47" i="64" s="1"/>
  <c r="D47" i="64" s="1"/>
  <c r="Q42" i="65" l="1"/>
  <c r="P43" i="65"/>
  <c r="M45" i="65"/>
  <c r="O44" i="65"/>
  <c r="N44" i="65"/>
  <c r="C47" i="64"/>
  <c r="H43" i="64"/>
  <c r="G45" i="64"/>
  <c r="E46" i="64"/>
  <c r="F46" i="64" s="1"/>
  <c r="A48" i="64"/>
  <c r="B48" i="64" s="1"/>
  <c r="D48" i="64" s="1"/>
  <c r="Q43" i="65" l="1"/>
  <c r="P44" i="65"/>
  <c r="N45" i="65"/>
  <c r="O45" i="65"/>
  <c r="M46" i="65"/>
  <c r="C48" i="64"/>
  <c r="H44" i="64"/>
  <c r="G46" i="64"/>
  <c r="E47" i="64"/>
  <c r="F47" i="64" s="1"/>
  <c r="A49" i="64"/>
  <c r="B49" i="64" s="1"/>
  <c r="D49" i="64" s="1"/>
  <c r="Q44" i="65" l="1"/>
  <c r="P45" i="65"/>
  <c r="O46" i="65"/>
  <c r="N46" i="65"/>
  <c r="M47" i="65"/>
  <c r="C49" i="64"/>
  <c r="H45" i="64"/>
  <c r="G47" i="64"/>
  <c r="E48" i="64"/>
  <c r="F48" i="64" s="1"/>
  <c r="A50" i="64"/>
  <c r="B50" i="64" s="1"/>
  <c r="D50" i="64" s="1"/>
  <c r="Q45" i="65" l="1"/>
  <c r="P46" i="65"/>
  <c r="O47" i="65"/>
  <c r="N47" i="65"/>
  <c r="M48" i="65"/>
  <c r="C50" i="64"/>
  <c r="H46" i="64"/>
  <c r="G48" i="64"/>
  <c r="E49" i="64"/>
  <c r="F49" i="64" s="1"/>
  <c r="A51" i="64"/>
  <c r="B51" i="64" s="1"/>
  <c r="D51" i="64" s="1"/>
  <c r="Q46" i="65" l="1"/>
  <c r="P47" i="65"/>
  <c r="O48" i="65"/>
  <c r="N48" i="65"/>
  <c r="M49" i="65"/>
  <c r="C51" i="64"/>
  <c r="H47" i="64"/>
  <c r="G49" i="64"/>
  <c r="E50" i="64"/>
  <c r="F50" i="64" s="1"/>
  <c r="A52" i="64"/>
  <c r="B52" i="64" s="1"/>
  <c r="D52" i="64" s="1"/>
  <c r="Q47" i="65" l="1"/>
  <c r="P48" i="65"/>
  <c r="O49" i="65"/>
  <c r="N49" i="65"/>
  <c r="M50" i="65"/>
  <c r="C52" i="64"/>
  <c r="H48" i="64"/>
  <c r="G50" i="64"/>
  <c r="E51" i="64"/>
  <c r="F51" i="64" s="1"/>
  <c r="A53" i="64"/>
  <c r="B53" i="64" s="1"/>
  <c r="D53" i="64" s="1"/>
  <c r="Q48" i="65" l="1"/>
  <c r="P49" i="65"/>
  <c r="O50" i="65"/>
  <c r="M51" i="65"/>
  <c r="N50" i="65"/>
  <c r="C53" i="64"/>
  <c r="H49" i="64"/>
  <c r="G51" i="64"/>
  <c r="E52" i="64"/>
  <c r="F52" i="64" s="1"/>
  <c r="A54" i="64"/>
  <c r="B54" i="64" s="1"/>
  <c r="D54" i="64" s="1"/>
  <c r="Q49" i="65" l="1"/>
  <c r="P50" i="65"/>
  <c r="M52" i="65"/>
  <c r="O51" i="65"/>
  <c r="N51" i="65"/>
  <c r="C54" i="64"/>
  <c r="H50" i="64"/>
  <c r="G52" i="64"/>
  <c r="E53" i="64"/>
  <c r="F53" i="64" s="1"/>
  <c r="A55" i="64"/>
  <c r="B55" i="64" s="1"/>
  <c r="D55" i="64" s="1"/>
  <c r="Q50" i="65" l="1"/>
  <c r="P51" i="65"/>
  <c r="O52" i="65"/>
  <c r="N52" i="65"/>
  <c r="M53" i="65"/>
  <c r="C55" i="64"/>
  <c r="H51" i="64"/>
  <c r="G53" i="64"/>
  <c r="E54" i="64"/>
  <c r="F54" i="64" s="1"/>
  <c r="A56" i="64"/>
  <c r="B56" i="64" s="1"/>
  <c r="D56" i="64" s="1"/>
  <c r="Q51" i="65" l="1"/>
  <c r="P52" i="65"/>
  <c r="N53" i="65"/>
  <c r="O53" i="65"/>
  <c r="M54" i="65"/>
  <c r="C56" i="64"/>
  <c r="H52" i="64"/>
  <c r="G54" i="64"/>
  <c r="E55" i="64"/>
  <c r="F55" i="64" s="1"/>
  <c r="A57" i="64"/>
  <c r="B57" i="64" s="1"/>
  <c r="D57" i="64" s="1"/>
  <c r="Q52" i="65" l="1"/>
  <c r="P53" i="65"/>
  <c r="N54" i="65"/>
  <c r="O54" i="65"/>
  <c r="M55" i="65"/>
  <c r="C57" i="64"/>
  <c r="H53" i="64"/>
  <c r="G55" i="64"/>
  <c r="E56" i="64"/>
  <c r="F56" i="64" s="1"/>
  <c r="A58" i="64"/>
  <c r="B58" i="64" s="1"/>
  <c r="D58" i="64" s="1"/>
  <c r="Q53" i="65" l="1"/>
  <c r="P54" i="65"/>
  <c r="O55" i="65"/>
  <c r="N55" i="65"/>
  <c r="M56" i="65"/>
  <c r="C58" i="64"/>
  <c r="H54" i="64"/>
  <c r="G56" i="64"/>
  <c r="E57" i="64"/>
  <c r="F57" i="64" s="1"/>
  <c r="A59" i="64"/>
  <c r="B59" i="64" s="1"/>
  <c r="D59" i="64" s="1"/>
  <c r="Q54" i="65" l="1"/>
  <c r="P55" i="65"/>
  <c r="N56" i="65"/>
  <c r="O56" i="65"/>
  <c r="M57" i="65"/>
  <c r="C59" i="64"/>
  <c r="H55" i="64"/>
  <c r="G57" i="64"/>
  <c r="A60" i="64"/>
  <c r="B60" i="64" s="1"/>
  <c r="D60" i="64" s="1"/>
  <c r="E58" i="64"/>
  <c r="F58" i="64" s="1"/>
  <c r="Q55" i="65" l="1"/>
  <c r="P56" i="65"/>
  <c r="N57" i="65"/>
  <c r="O57" i="65"/>
  <c r="M58" i="65"/>
  <c r="C60" i="64"/>
  <c r="H56" i="64"/>
  <c r="G58" i="64"/>
  <c r="A61" i="64"/>
  <c r="B61" i="64" s="1"/>
  <c r="D61" i="64" s="1"/>
  <c r="E59" i="64"/>
  <c r="F59" i="64" s="1"/>
  <c r="Q56" i="65" l="1"/>
  <c r="P57" i="65"/>
  <c r="N58" i="65"/>
  <c r="O58" i="65"/>
  <c r="M59" i="65"/>
  <c r="C61" i="64"/>
  <c r="H57" i="64"/>
  <c r="G59" i="64"/>
  <c r="A62" i="64"/>
  <c r="B62" i="64" s="1"/>
  <c r="D62" i="64" s="1"/>
  <c r="E60" i="64"/>
  <c r="F60" i="64" s="1"/>
  <c r="Q57" i="65" l="1"/>
  <c r="P58" i="65"/>
  <c r="N59" i="65"/>
  <c r="O59" i="65"/>
  <c r="M60" i="65"/>
  <c r="C62" i="64"/>
  <c r="H58" i="64"/>
  <c r="G60" i="64"/>
  <c r="A63" i="64"/>
  <c r="B63" i="64" s="1"/>
  <c r="D63" i="64" s="1"/>
  <c r="E61" i="64"/>
  <c r="F61" i="64" s="1"/>
  <c r="Q58" i="65" l="1"/>
  <c r="P59" i="65"/>
  <c r="N60" i="65"/>
  <c r="O60" i="65"/>
  <c r="M61" i="65"/>
  <c r="H59" i="64"/>
  <c r="G61" i="64"/>
  <c r="H60" i="64" s="1"/>
  <c r="C63" i="64"/>
  <c r="A64" i="64"/>
  <c r="B64" i="64" s="1"/>
  <c r="D64" i="64" s="1"/>
  <c r="E62" i="64"/>
  <c r="F62" i="64" s="1"/>
  <c r="Q59" i="65" l="1"/>
  <c r="P60" i="65"/>
  <c r="N61" i="65"/>
  <c r="O61" i="65"/>
  <c r="M62" i="65"/>
  <c r="G62" i="64"/>
  <c r="C64" i="64"/>
  <c r="A65" i="64"/>
  <c r="B65" i="64" s="1"/>
  <c r="D65" i="64" s="1"/>
  <c r="E63" i="64"/>
  <c r="F63" i="64" s="1"/>
  <c r="Q60" i="65" l="1"/>
  <c r="P61" i="65"/>
  <c r="O62" i="65"/>
  <c r="N62" i="65"/>
  <c r="M63" i="65"/>
  <c r="H61" i="64"/>
  <c r="G63" i="64"/>
  <c r="C65" i="64"/>
  <c r="A66" i="64"/>
  <c r="B66" i="64" s="1"/>
  <c r="D66" i="64" s="1"/>
  <c r="E64" i="64"/>
  <c r="F64" i="64" s="1"/>
  <c r="Q61" i="65" l="1"/>
  <c r="P62" i="65"/>
  <c r="N63" i="65"/>
  <c r="M64" i="65"/>
  <c r="O63" i="65"/>
  <c r="H62" i="64"/>
  <c r="G64" i="64"/>
  <c r="C66" i="64"/>
  <c r="A67" i="64"/>
  <c r="B67" i="64" s="1"/>
  <c r="D67" i="64" s="1"/>
  <c r="E65" i="64"/>
  <c r="F65" i="64" s="1"/>
  <c r="Q62" i="65" l="1"/>
  <c r="P63" i="65"/>
  <c r="M65" i="65"/>
  <c r="N64" i="65"/>
  <c r="O64" i="65"/>
  <c r="H63" i="64"/>
  <c r="G65" i="64"/>
  <c r="C67" i="64"/>
  <c r="A68" i="64"/>
  <c r="B68" i="64" s="1"/>
  <c r="D68" i="64" s="1"/>
  <c r="E66" i="64"/>
  <c r="F66" i="64" s="1"/>
  <c r="Q63" i="65" l="1"/>
  <c r="P64" i="65"/>
  <c r="O65" i="65"/>
  <c r="M66" i="65"/>
  <c r="N65" i="65"/>
  <c r="H64" i="64"/>
  <c r="G66" i="64"/>
  <c r="C68" i="64"/>
  <c r="A69" i="64"/>
  <c r="B69" i="64" s="1"/>
  <c r="D69" i="64" s="1"/>
  <c r="E67" i="64"/>
  <c r="F67" i="64" s="1"/>
  <c r="Q64" i="65" l="1"/>
  <c r="P65" i="65"/>
  <c r="M67" i="65"/>
  <c r="O66" i="65"/>
  <c r="N66" i="65"/>
  <c r="H65" i="64"/>
  <c r="G67" i="64"/>
  <c r="C69" i="64"/>
  <c r="A70" i="64"/>
  <c r="B70" i="64" s="1"/>
  <c r="D70" i="64" s="1"/>
  <c r="E68" i="64"/>
  <c r="F68" i="64" s="1"/>
  <c r="Q65" i="65" l="1"/>
  <c r="P66" i="65"/>
  <c r="M68" i="65"/>
  <c r="N67" i="65"/>
  <c r="O67" i="65"/>
  <c r="H66" i="64"/>
  <c r="G68" i="64"/>
  <c r="C70" i="64"/>
  <c r="A71" i="64"/>
  <c r="B71" i="64" s="1"/>
  <c r="D71" i="64" s="1"/>
  <c r="E69" i="64"/>
  <c r="F69" i="64" s="1"/>
  <c r="Q66" i="65" l="1"/>
  <c r="P67" i="65"/>
  <c r="M69" i="65"/>
  <c r="O68" i="65"/>
  <c r="N68" i="65"/>
  <c r="H67" i="64"/>
  <c r="G69" i="64"/>
  <c r="C71" i="64"/>
  <c r="A72" i="64"/>
  <c r="B72" i="64" s="1"/>
  <c r="D72" i="64" s="1"/>
  <c r="E70" i="64"/>
  <c r="F70" i="64" s="1"/>
  <c r="Q67" i="65" l="1"/>
  <c r="P68" i="65"/>
  <c r="M70" i="65"/>
  <c r="O69" i="65"/>
  <c r="N69" i="65"/>
  <c r="H68" i="64"/>
  <c r="G70" i="64"/>
  <c r="C72" i="64"/>
  <c r="A73" i="64"/>
  <c r="B73" i="64" s="1"/>
  <c r="D73" i="64" s="1"/>
  <c r="E71" i="64"/>
  <c r="F71" i="64" s="1"/>
  <c r="Q68" i="65" l="1"/>
  <c r="P69" i="65"/>
  <c r="M71" i="65"/>
  <c r="N70" i="65"/>
  <c r="O70" i="65"/>
  <c r="H69" i="64"/>
  <c r="G71" i="64"/>
  <c r="C73" i="64"/>
  <c r="A74" i="64"/>
  <c r="B74" i="64" s="1"/>
  <c r="D74" i="64" s="1"/>
  <c r="E72" i="64"/>
  <c r="F72" i="64" s="1"/>
  <c r="Q69" i="65" l="1"/>
  <c r="P70" i="65"/>
  <c r="N71" i="65"/>
  <c r="M72" i="65"/>
  <c r="O71" i="65"/>
  <c r="H70" i="64"/>
  <c r="G72" i="64"/>
  <c r="C74" i="64"/>
  <c r="A75" i="64"/>
  <c r="B75" i="64" s="1"/>
  <c r="D75" i="64" s="1"/>
  <c r="E73" i="64"/>
  <c r="F73" i="64" s="1"/>
  <c r="Q70" i="65" l="1"/>
  <c r="P71" i="65"/>
  <c r="M73" i="65"/>
  <c r="N72" i="65"/>
  <c r="O72" i="65"/>
  <c r="H71" i="64"/>
  <c r="G73" i="64"/>
  <c r="C75" i="64"/>
  <c r="A76" i="64"/>
  <c r="B76" i="64" s="1"/>
  <c r="D76" i="64" s="1"/>
  <c r="E74" i="64"/>
  <c r="F74" i="64" s="1"/>
  <c r="Q71" i="65" l="1"/>
  <c r="P72" i="65"/>
  <c r="M74" i="65"/>
  <c r="O73" i="65"/>
  <c r="N73" i="65"/>
  <c r="H72" i="64"/>
  <c r="G74" i="64"/>
  <c r="C76" i="64"/>
  <c r="A77" i="64"/>
  <c r="B77" i="64" s="1"/>
  <c r="D77" i="64" s="1"/>
  <c r="E75" i="64"/>
  <c r="F75" i="64" s="1"/>
  <c r="Q72" i="65" l="1"/>
  <c r="P73" i="65"/>
  <c r="M75" i="65"/>
  <c r="N74" i="65"/>
  <c r="O74" i="65"/>
  <c r="H73" i="64"/>
  <c r="G75" i="64"/>
  <c r="C77" i="64"/>
  <c r="A78" i="64"/>
  <c r="B78" i="64" s="1"/>
  <c r="D78" i="64" s="1"/>
  <c r="E76" i="64"/>
  <c r="F76" i="64" s="1"/>
  <c r="Q73" i="65" l="1"/>
  <c r="P74" i="65"/>
  <c r="M76" i="65"/>
  <c r="O75" i="65"/>
  <c r="N75" i="65"/>
  <c r="H74" i="64"/>
  <c r="G76" i="64"/>
  <c r="C78" i="64"/>
  <c r="A79" i="64"/>
  <c r="B79" i="64" s="1"/>
  <c r="D79" i="64" s="1"/>
  <c r="E77" i="64"/>
  <c r="F77" i="64" s="1"/>
  <c r="Q74" i="65" l="1"/>
  <c r="P75" i="65"/>
  <c r="M77" i="65"/>
  <c r="N76" i="65"/>
  <c r="O76" i="65"/>
  <c r="H75" i="64"/>
  <c r="G77" i="64"/>
  <c r="C79" i="64"/>
  <c r="A80" i="64"/>
  <c r="B80" i="64" s="1"/>
  <c r="D80" i="64" s="1"/>
  <c r="E78" i="64"/>
  <c r="F78" i="64" s="1"/>
  <c r="Q75" i="65" l="1"/>
  <c r="Q15" i="65" s="1"/>
  <c r="R29" i="62" s="1"/>
  <c r="P76" i="65"/>
  <c r="N77" i="65"/>
  <c r="M78" i="65"/>
  <c r="O77" i="65"/>
  <c r="H76" i="64"/>
  <c r="G78" i="64"/>
  <c r="C80" i="64"/>
  <c r="A81" i="64"/>
  <c r="B81" i="64" s="1"/>
  <c r="D81" i="64" s="1"/>
  <c r="E79" i="64"/>
  <c r="F79" i="64" s="1"/>
  <c r="L390" i="66" l="1"/>
  <c r="L542" i="66"/>
  <c r="Q76" i="65"/>
  <c r="P77" i="65"/>
  <c r="M79" i="65"/>
  <c r="O78" i="65"/>
  <c r="N78" i="65"/>
  <c r="H77" i="64"/>
  <c r="G79" i="64"/>
  <c r="C81" i="64"/>
  <c r="A82" i="64"/>
  <c r="B82" i="64" s="1"/>
  <c r="D82" i="64" s="1"/>
  <c r="E80" i="64"/>
  <c r="F80" i="64" s="1"/>
  <c r="Q77" i="65" l="1"/>
  <c r="P78" i="65"/>
  <c r="M80" i="65"/>
  <c r="O79" i="65"/>
  <c r="N79" i="65"/>
  <c r="H78" i="64"/>
  <c r="G80" i="64"/>
  <c r="C82" i="64"/>
  <c r="A83" i="64"/>
  <c r="B83" i="64" s="1"/>
  <c r="D83" i="64" s="1"/>
  <c r="E81" i="64"/>
  <c r="F81" i="64" s="1"/>
  <c r="Q78" i="65" l="1"/>
  <c r="P79" i="65"/>
  <c r="M81" i="65"/>
  <c r="N80" i="65"/>
  <c r="O80" i="65"/>
  <c r="H79" i="64"/>
  <c r="G81" i="64"/>
  <c r="H80" i="64" s="1"/>
  <c r="C83" i="64"/>
  <c r="A84" i="64"/>
  <c r="B84" i="64" s="1"/>
  <c r="D84" i="64" s="1"/>
  <c r="E82" i="64"/>
  <c r="F82" i="64" s="1"/>
  <c r="Q79" i="65" l="1"/>
  <c r="P80" i="65"/>
  <c r="M82" i="65"/>
  <c r="O81" i="65"/>
  <c r="N81" i="65"/>
  <c r="G82" i="64"/>
  <c r="C84" i="64"/>
  <c r="A85" i="64"/>
  <c r="B85" i="64" s="1"/>
  <c r="D85" i="64" s="1"/>
  <c r="E83" i="64"/>
  <c r="F83" i="64" s="1"/>
  <c r="Q80" i="65" l="1"/>
  <c r="P81" i="65"/>
  <c r="N82" i="65"/>
  <c r="M83" i="65"/>
  <c r="O82" i="65"/>
  <c r="H81" i="64"/>
  <c r="G83" i="64"/>
  <c r="C85" i="64"/>
  <c r="A86" i="64"/>
  <c r="B86" i="64" s="1"/>
  <c r="D86" i="64" s="1"/>
  <c r="E84" i="64"/>
  <c r="F84" i="64" s="1"/>
  <c r="Q81" i="65" l="1"/>
  <c r="P82" i="65"/>
  <c r="M84" i="65"/>
  <c r="O83" i="65"/>
  <c r="N83" i="65"/>
  <c r="H82" i="64"/>
  <c r="G84" i="64"/>
  <c r="C86" i="64"/>
  <c r="A87" i="64"/>
  <c r="B87" i="64" s="1"/>
  <c r="D87" i="64" s="1"/>
  <c r="E85" i="64"/>
  <c r="F85" i="64" s="1"/>
  <c r="Q82" i="65" l="1"/>
  <c r="P83" i="65"/>
  <c r="M85" i="65"/>
  <c r="O84" i="65"/>
  <c r="N84" i="65"/>
  <c r="H83" i="64"/>
  <c r="G85" i="64"/>
  <c r="C87" i="64"/>
  <c r="A88" i="64"/>
  <c r="B88" i="64" s="1"/>
  <c r="D88" i="64" s="1"/>
  <c r="E86" i="64"/>
  <c r="F86" i="64" s="1"/>
  <c r="Q83" i="65" l="1"/>
  <c r="P84" i="65"/>
  <c r="N85" i="65"/>
  <c r="M86" i="65"/>
  <c r="O85" i="65"/>
  <c r="H84" i="64"/>
  <c r="G86" i="64"/>
  <c r="C88" i="64"/>
  <c r="A89" i="64"/>
  <c r="B89" i="64" s="1"/>
  <c r="D89" i="64" s="1"/>
  <c r="E87" i="64"/>
  <c r="F87" i="64" s="1"/>
  <c r="Q84" i="65" l="1"/>
  <c r="P85" i="65"/>
  <c r="M87" i="65"/>
  <c r="N86" i="65"/>
  <c r="O86" i="65"/>
  <c r="H85" i="64"/>
  <c r="G87" i="64"/>
  <c r="C89" i="64"/>
  <c r="A90" i="64"/>
  <c r="B90" i="64" s="1"/>
  <c r="D90" i="64" s="1"/>
  <c r="E88" i="64"/>
  <c r="F88" i="64" s="1"/>
  <c r="Q85" i="65" l="1"/>
  <c r="P86" i="65"/>
  <c r="M88" i="65"/>
  <c r="O87" i="65"/>
  <c r="N87" i="65"/>
  <c r="H86" i="64"/>
  <c r="G88" i="64"/>
  <c r="C90" i="64"/>
  <c r="A91" i="64"/>
  <c r="B91" i="64" s="1"/>
  <c r="D91" i="64" s="1"/>
  <c r="E89" i="64"/>
  <c r="F89" i="64" s="1"/>
  <c r="Q86" i="65" l="1"/>
  <c r="P87" i="65"/>
  <c r="M89" i="65"/>
  <c r="O88" i="65"/>
  <c r="N88" i="65"/>
  <c r="H87" i="64"/>
  <c r="G89" i="64"/>
  <c r="C91" i="64"/>
  <c r="A92" i="64"/>
  <c r="B92" i="64" s="1"/>
  <c r="D92" i="64" s="1"/>
  <c r="E90" i="64"/>
  <c r="F90" i="64" s="1"/>
  <c r="Q87" i="65" l="1"/>
  <c r="P88" i="65"/>
  <c r="N89" i="65"/>
  <c r="M90" i="65"/>
  <c r="O89" i="65"/>
  <c r="H88" i="64"/>
  <c r="G90" i="64"/>
  <c r="C92" i="64"/>
  <c r="A93" i="64"/>
  <c r="B93" i="64" s="1"/>
  <c r="D93" i="64" s="1"/>
  <c r="E91" i="64"/>
  <c r="F91" i="64" s="1"/>
  <c r="Q88" i="65" l="1"/>
  <c r="P89" i="65"/>
  <c r="M91" i="65"/>
  <c r="N90" i="65"/>
  <c r="O90" i="65"/>
  <c r="H89" i="64"/>
  <c r="G91" i="64"/>
  <c r="C93" i="64"/>
  <c r="A94" i="64"/>
  <c r="B94" i="64" s="1"/>
  <c r="D94" i="64" s="1"/>
  <c r="E92" i="64"/>
  <c r="F92" i="64" s="1"/>
  <c r="Q89" i="65" l="1"/>
  <c r="P90" i="65"/>
  <c r="M92" i="65"/>
  <c r="N91" i="65"/>
  <c r="O91" i="65"/>
  <c r="H90" i="64"/>
  <c r="G92" i="64"/>
  <c r="C94" i="64"/>
  <c r="A95" i="64"/>
  <c r="B95" i="64" s="1"/>
  <c r="D95" i="64" s="1"/>
  <c r="E93" i="64"/>
  <c r="F93" i="64" s="1"/>
  <c r="Q90" i="65" l="1"/>
  <c r="P91" i="65"/>
  <c r="N92" i="65"/>
  <c r="M93" i="65"/>
  <c r="O92" i="65"/>
  <c r="H91" i="64"/>
  <c r="G93" i="64"/>
  <c r="C95" i="64"/>
  <c r="A96" i="64"/>
  <c r="B96" i="64" s="1"/>
  <c r="D96" i="64" s="1"/>
  <c r="E94" i="64"/>
  <c r="F94" i="64" s="1"/>
  <c r="Q91" i="65" l="1"/>
  <c r="P92" i="65"/>
  <c r="M94" i="65"/>
  <c r="N93" i="65"/>
  <c r="O93" i="65"/>
  <c r="H92" i="64"/>
  <c r="G94" i="64"/>
  <c r="C96" i="64"/>
  <c r="A97" i="64"/>
  <c r="B97" i="64" s="1"/>
  <c r="D97" i="64" s="1"/>
  <c r="E95" i="64"/>
  <c r="F95" i="64" s="1"/>
  <c r="Q92" i="65" l="1"/>
  <c r="P93" i="65"/>
  <c r="M95" i="65"/>
  <c r="N94" i="65"/>
  <c r="O94" i="65"/>
  <c r="H93" i="64"/>
  <c r="G95" i="64"/>
  <c r="C97" i="64"/>
  <c r="A98" i="64"/>
  <c r="B98" i="64" s="1"/>
  <c r="D98" i="64" s="1"/>
  <c r="E96" i="64"/>
  <c r="F96" i="64" s="1"/>
  <c r="Q93" i="65" l="1"/>
  <c r="P94" i="65"/>
  <c r="M96" i="65"/>
  <c r="O95" i="65"/>
  <c r="N95" i="65"/>
  <c r="H94" i="64"/>
  <c r="G96" i="64"/>
  <c r="C98" i="64"/>
  <c r="A99" i="64"/>
  <c r="B99" i="64" s="1"/>
  <c r="D99" i="64" s="1"/>
  <c r="E97" i="64"/>
  <c r="F97" i="64" s="1"/>
  <c r="Q94" i="65" l="1"/>
  <c r="P95" i="65"/>
  <c r="N96" i="65"/>
  <c r="M97" i="65"/>
  <c r="O96" i="65"/>
  <c r="H95" i="64"/>
  <c r="G97" i="64"/>
  <c r="C99" i="64"/>
  <c r="A100" i="64"/>
  <c r="B100" i="64" s="1"/>
  <c r="D100" i="64" s="1"/>
  <c r="E98" i="64"/>
  <c r="F98" i="64" s="1"/>
  <c r="Q95" i="65" l="1"/>
  <c r="P96" i="65"/>
  <c r="N97" i="65"/>
  <c r="M98" i="65"/>
  <c r="O97" i="65"/>
  <c r="H96" i="64"/>
  <c r="G98" i="64"/>
  <c r="C100" i="64"/>
  <c r="A101" i="64"/>
  <c r="B101" i="64" s="1"/>
  <c r="D101" i="64" s="1"/>
  <c r="E99" i="64"/>
  <c r="F99" i="64" s="1"/>
  <c r="Q96" i="65" l="1"/>
  <c r="P97" i="65"/>
  <c r="N98" i="65"/>
  <c r="M99" i="65"/>
  <c r="O98" i="65"/>
  <c r="H97" i="64"/>
  <c r="G99" i="64"/>
  <c r="C101" i="64"/>
  <c r="A102" i="64"/>
  <c r="B102" i="64" s="1"/>
  <c r="D102" i="64" s="1"/>
  <c r="E100" i="64"/>
  <c r="F100" i="64" s="1"/>
  <c r="Q97" i="65" l="1"/>
  <c r="P98" i="65"/>
  <c r="O99" i="65"/>
  <c r="M100" i="65"/>
  <c r="N99" i="65"/>
  <c r="H98" i="64"/>
  <c r="G100" i="64"/>
  <c r="C102" i="64"/>
  <c r="A103" i="64"/>
  <c r="B103" i="64" s="1"/>
  <c r="D103" i="64" s="1"/>
  <c r="E101" i="64"/>
  <c r="F101" i="64" s="1"/>
  <c r="Q98" i="65" l="1"/>
  <c r="P99" i="65"/>
  <c r="O100" i="65"/>
  <c r="M101" i="65"/>
  <c r="N100" i="65"/>
  <c r="H99" i="64"/>
  <c r="G101" i="64"/>
  <c r="C103" i="64"/>
  <c r="A104" i="64"/>
  <c r="B104" i="64" s="1"/>
  <c r="D104" i="64" s="1"/>
  <c r="E102" i="64"/>
  <c r="F102" i="64" s="1"/>
  <c r="Q99" i="65" l="1"/>
  <c r="Q14" i="65" s="1"/>
  <c r="R28" i="62" s="1"/>
  <c r="J542" i="66" s="1"/>
  <c r="P100" i="65"/>
  <c r="M102" i="65"/>
  <c r="N101" i="65"/>
  <c r="O101" i="65"/>
  <c r="H100" i="64"/>
  <c r="G102" i="64"/>
  <c r="C104" i="64"/>
  <c r="A105" i="64"/>
  <c r="B105" i="64" s="1"/>
  <c r="D105" i="64" s="1"/>
  <c r="E103" i="64"/>
  <c r="F103" i="64" s="1"/>
  <c r="K386" i="66" l="1"/>
  <c r="Q100" i="65"/>
  <c r="P101" i="65"/>
  <c r="N102" i="65"/>
  <c r="O102" i="65"/>
  <c r="M103" i="65"/>
  <c r="H101" i="64"/>
  <c r="G103" i="64"/>
  <c r="C105" i="64"/>
  <c r="A106" i="64"/>
  <c r="B106" i="64" s="1"/>
  <c r="D106" i="64" s="1"/>
  <c r="E104" i="64"/>
  <c r="F104" i="64" s="1"/>
  <c r="Q101" i="65" l="1"/>
  <c r="P102" i="65"/>
  <c r="M104" i="65"/>
  <c r="O103" i="65"/>
  <c r="N103" i="65"/>
  <c r="H102" i="64"/>
  <c r="G104" i="64"/>
  <c r="C106" i="64"/>
  <c r="A107" i="64"/>
  <c r="B107" i="64" s="1"/>
  <c r="D107" i="64" s="1"/>
  <c r="E105" i="64"/>
  <c r="F105" i="64" s="1"/>
  <c r="Q102" i="65" l="1"/>
  <c r="P103" i="65"/>
  <c r="M105" i="65"/>
  <c r="N104" i="65"/>
  <c r="O104" i="65"/>
  <c r="H103" i="64"/>
  <c r="G105" i="64"/>
  <c r="C107" i="64"/>
  <c r="A108" i="64"/>
  <c r="B108" i="64" s="1"/>
  <c r="D108" i="64" s="1"/>
  <c r="E106" i="64"/>
  <c r="F106" i="64" s="1"/>
  <c r="Q103" i="65" l="1"/>
  <c r="P104" i="65"/>
  <c r="M106" i="65"/>
  <c r="O105" i="65"/>
  <c r="N105" i="65"/>
  <c r="H104" i="64"/>
  <c r="G106" i="64"/>
  <c r="C108" i="64"/>
  <c r="E107" i="64"/>
  <c r="F107" i="64" s="1"/>
  <c r="Q104" i="65" l="1"/>
  <c r="P105" i="65"/>
  <c r="M107" i="65"/>
  <c r="O106" i="65"/>
  <c r="N106" i="65"/>
  <c r="H105" i="64"/>
  <c r="G107" i="64"/>
  <c r="D109" i="64"/>
  <c r="C109" i="64"/>
  <c r="D14" i="64" s="1"/>
  <c r="B109" i="64"/>
  <c r="D13" i="64" s="1"/>
  <c r="Q105" i="65" l="1"/>
  <c r="P106" i="65"/>
  <c r="M108" i="65"/>
  <c r="N107" i="65"/>
  <c r="O107" i="65"/>
  <c r="H106" i="64"/>
  <c r="E108" i="64"/>
  <c r="F108" i="64" s="1"/>
  <c r="D15" i="64"/>
  <c r="Q106" i="65" l="1"/>
  <c r="P107" i="65"/>
  <c r="N108" i="65"/>
  <c r="O108" i="65"/>
  <c r="G108" i="64"/>
  <c r="E109" i="64"/>
  <c r="H15" i="64" s="1"/>
  <c r="Q107" i="65" l="1"/>
  <c r="P108" i="65"/>
  <c r="H107" i="64"/>
  <c r="H108" i="64"/>
  <c r="Q108" i="65" l="1"/>
  <c r="H109" i="64"/>
  <c r="H13" i="64" s="1"/>
  <c r="H14" i="64" l="1"/>
  <c r="U20" i="64"/>
  <c r="V20" i="64" s="1"/>
  <c r="AU20" i="64"/>
  <c r="AH20" i="64"/>
  <c r="AI20" i="64" s="1"/>
  <c r="O13" i="64"/>
  <c r="J258" i="66"/>
  <c r="I297" i="66"/>
  <c r="X14" i="64" l="1"/>
  <c r="J32" i="62" s="1"/>
  <c r="D310" i="66" s="1"/>
  <c r="AV20" i="64"/>
  <c r="AW20" i="64" s="1"/>
  <c r="AU21" i="64"/>
  <c r="AV21" i="64" s="1"/>
  <c r="W20" i="64"/>
  <c r="AK20" i="64"/>
  <c r="AX20" i="64"/>
  <c r="AX21" i="64" s="1"/>
  <c r="AX22" i="64" s="1"/>
  <c r="AX23" i="64" s="1"/>
  <c r="AX24" i="64" s="1"/>
  <c r="AX25" i="64" s="1"/>
  <c r="AX26" i="64" s="1"/>
  <c r="AX27" i="64" s="1"/>
  <c r="AX28" i="64" s="1"/>
  <c r="AX29" i="64" s="1"/>
  <c r="AX30" i="64" s="1"/>
  <c r="AX31" i="64" s="1"/>
  <c r="AX32" i="64" s="1"/>
  <c r="AX33" i="64" s="1"/>
  <c r="AX34" i="64" s="1"/>
  <c r="AX35" i="64" s="1"/>
  <c r="AX36" i="64" s="1"/>
  <c r="AX37" i="64" s="1"/>
  <c r="AX38" i="64" s="1"/>
  <c r="AX39" i="64" s="1"/>
  <c r="AX40" i="64" s="1"/>
  <c r="AX41" i="64" s="1"/>
  <c r="AX42" i="64" s="1"/>
  <c r="AX43" i="64" s="1"/>
  <c r="AX44" i="64" s="1"/>
  <c r="AX45" i="64" s="1"/>
  <c r="AX46" i="64" s="1"/>
  <c r="AX47" i="64" s="1"/>
  <c r="AX48" i="64" s="1"/>
  <c r="AX49" i="64" s="1"/>
  <c r="AX50" i="64" s="1"/>
  <c r="AX51" i="64" s="1"/>
  <c r="AX52" i="64" s="1"/>
  <c r="AX53" i="64" s="1"/>
  <c r="AX54" i="64" s="1"/>
  <c r="AX55" i="64" s="1"/>
  <c r="AX56" i="64" s="1"/>
  <c r="AX57" i="64" s="1"/>
  <c r="AX58" i="64" s="1"/>
  <c r="AX59" i="64" s="1"/>
  <c r="AX60" i="64" s="1"/>
  <c r="AX61" i="64" s="1"/>
  <c r="AX62" i="64" s="1"/>
  <c r="AX63" i="64" s="1"/>
  <c r="AX64" i="64" s="1"/>
  <c r="AX65" i="64" s="1"/>
  <c r="AX66" i="64" s="1"/>
  <c r="AX67" i="64" s="1"/>
  <c r="AX68" i="64" s="1"/>
  <c r="AX69" i="64" s="1"/>
  <c r="AX70" i="64" s="1"/>
  <c r="AX71" i="64" s="1"/>
  <c r="AX72" i="64" s="1"/>
  <c r="AX73" i="64" s="1"/>
  <c r="AX74" i="64" s="1"/>
  <c r="AX75" i="64" s="1"/>
  <c r="AX76" i="64" s="1"/>
  <c r="AX77" i="64" s="1"/>
  <c r="AX78" i="64" s="1"/>
  <c r="AX79" i="64" s="1"/>
  <c r="AX80" i="64" s="1"/>
  <c r="AX81" i="64" s="1"/>
  <c r="AX82" i="64" s="1"/>
  <c r="AX83" i="64" s="1"/>
  <c r="AX84" i="64" s="1"/>
  <c r="AX85" i="64" s="1"/>
  <c r="AX86" i="64" s="1"/>
  <c r="AX87" i="64" s="1"/>
  <c r="AX88" i="64" s="1"/>
  <c r="AX89" i="64" s="1"/>
  <c r="AX90" i="64" s="1"/>
  <c r="AX91" i="64" s="1"/>
  <c r="AX92" i="64" s="1"/>
  <c r="AX93" i="64" s="1"/>
  <c r="AX94" i="64" s="1"/>
  <c r="AX95" i="64" s="1"/>
  <c r="AX96" i="64" s="1"/>
  <c r="AX97" i="64" s="1"/>
  <c r="AX98" i="64" s="1"/>
  <c r="AX99" i="64" s="1"/>
  <c r="AX100" i="64" s="1"/>
  <c r="AX101" i="64" s="1"/>
  <c r="AX102" i="64" s="1"/>
  <c r="AX103" i="64" s="1"/>
  <c r="AX104" i="64" s="1"/>
  <c r="AX105" i="64" s="1"/>
  <c r="AX106" i="64" s="1"/>
  <c r="AX107" i="64" s="1"/>
  <c r="AX108" i="64" s="1"/>
  <c r="AJ20" i="64"/>
  <c r="X20" i="64"/>
  <c r="X15" i="64"/>
  <c r="X16" i="64" s="1"/>
  <c r="J34" i="62" s="1"/>
  <c r="H536" i="66" s="1"/>
  <c r="L98" i="64"/>
  <c r="J24" i="62"/>
  <c r="F263" i="66" s="1"/>
  <c r="L25" i="64"/>
  <c r="L76" i="64"/>
  <c r="L60" i="64"/>
  <c r="L35" i="64"/>
  <c r="L26" i="64"/>
  <c r="L103" i="64"/>
  <c r="L24" i="64"/>
  <c r="L28" i="64"/>
  <c r="L85" i="64"/>
  <c r="L33" i="64"/>
  <c r="L79" i="64"/>
  <c r="L61" i="64"/>
  <c r="L54" i="64"/>
  <c r="L63" i="64"/>
  <c r="L96" i="64"/>
  <c r="L41" i="64"/>
  <c r="L81" i="64"/>
  <c r="M20" i="64"/>
  <c r="L72" i="64"/>
  <c r="L77" i="64"/>
  <c r="L100" i="64"/>
  <c r="L45" i="64"/>
  <c r="L22" i="64"/>
  <c r="L88" i="64"/>
  <c r="L92" i="64"/>
  <c r="L71" i="64"/>
  <c r="L107" i="64"/>
  <c r="L65" i="64"/>
  <c r="L52" i="64"/>
  <c r="L30" i="64"/>
  <c r="L73" i="64"/>
  <c r="L108" i="64"/>
  <c r="L20" i="64"/>
  <c r="L50" i="64"/>
  <c r="L37" i="64"/>
  <c r="L80" i="64"/>
  <c r="L105" i="64"/>
  <c r="L86" i="64"/>
  <c r="L66" i="64"/>
  <c r="L89" i="64"/>
  <c r="L57" i="64"/>
  <c r="L62" i="64"/>
  <c r="L91" i="64"/>
  <c r="L53" i="64"/>
  <c r="L102" i="64"/>
  <c r="L90" i="64"/>
  <c r="L101" i="64"/>
  <c r="L70" i="64"/>
  <c r="L51" i="64"/>
  <c r="L78" i="64"/>
  <c r="L58" i="64"/>
  <c r="L68" i="64"/>
  <c r="L83" i="64"/>
  <c r="L84" i="64"/>
  <c r="L64" i="64"/>
  <c r="L75" i="64"/>
  <c r="L42" i="64"/>
  <c r="L40" i="64"/>
  <c r="L21" i="64"/>
  <c r="L99" i="64"/>
  <c r="L43" i="64"/>
  <c r="L93" i="64"/>
  <c r="L67" i="64"/>
  <c r="L44" i="64"/>
  <c r="L31" i="64"/>
  <c r="L69" i="64"/>
  <c r="L46" i="64"/>
  <c r="L106" i="64"/>
  <c r="L32" i="64"/>
  <c r="L38" i="64"/>
  <c r="L104" i="64"/>
  <c r="L95" i="64"/>
  <c r="L87" i="64"/>
  <c r="L82" i="64"/>
  <c r="L34" i="64"/>
  <c r="L47" i="64"/>
  <c r="L27" i="64"/>
  <c r="L55" i="64"/>
  <c r="L23" i="64"/>
  <c r="L56" i="64"/>
  <c r="L49" i="64"/>
  <c r="L48" i="64"/>
  <c r="L94" i="64"/>
  <c r="L74" i="64"/>
  <c r="L36" i="64"/>
  <c r="L29" i="64"/>
  <c r="L97" i="64"/>
  <c r="L39" i="64"/>
  <c r="L59" i="64"/>
  <c r="AW21" i="64" l="1"/>
  <c r="AL20" i="64"/>
  <c r="AM20" i="64" s="1"/>
  <c r="AU22" i="64"/>
  <c r="Y20" i="64"/>
  <c r="Z20" i="64" s="1"/>
  <c r="AA20" i="64" s="1"/>
  <c r="AC20" i="64" s="1"/>
  <c r="AY20" i="64"/>
  <c r="D312" i="66"/>
  <c r="J33" i="62"/>
  <c r="D311" i="66" s="1"/>
  <c r="O20" i="64"/>
  <c r="N20" i="64"/>
  <c r="M21" i="64"/>
  <c r="AB14" i="64" l="1"/>
  <c r="G310" i="66" s="1"/>
  <c r="U21" i="64"/>
  <c r="V21" i="64" s="1"/>
  <c r="W21" i="64" s="1"/>
  <c r="AF14" i="64"/>
  <c r="J310" i="66" s="1"/>
  <c r="AH21" i="64"/>
  <c r="AI21" i="64" s="1"/>
  <c r="AN20" i="64"/>
  <c r="AO20" i="64" s="1"/>
  <c r="AK21" i="64" s="1"/>
  <c r="M22" i="64"/>
  <c r="O21" i="64"/>
  <c r="N21" i="64"/>
  <c r="O14" i="64"/>
  <c r="J25" i="62" s="1"/>
  <c r="P20" i="64"/>
  <c r="AY21" i="64"/>
  <c r="AD20" i="64"/>
  <c r="AB20" i="64"/>
  <c r="AE20" i="64" s="1"/>
  <c r="AJ21" i="64" l="1"/>
  <c r="AL21" i="64" s="1"/>
  <c r="AM21" i="64" s="1"/>
  <c r="AQ20" i="64"/>
  <c r="AP20" i="64"/>
  <c r="AR20" i="64"/>
  <c r="Q20" i="64"/>
  <c r="O15" i="64"/>
  <c r="J26" i="62" s="1"/>
  <c r="P21" i="64"/>
  <c r="M23" i="64"/>
  <c r="N22" i="64"/>
  <c r="O22" i="64"/>
  <c r="X21" i="64"/>
  <c r="AF20" i="64"/>
  <c r="AB15" i="64" s="1"/>
  <c r="G311" i="66" s="1"/>
  <c r="AS20" i="64" l="1"/>
  <c r="AF15" i="64" s="1"/>
  <c r="J311" i="66" s="1"/>
  <c r="P22" i="64"/>
  <c r="Q21" i="64"/>
  <c r="M24" i="64"/>
  <c r="N23" i="64"/>
  <c r="O23" i="64"/>
  <c r="H263" i="66"/>
  <c r="H533" i="66"/>
  <c r="AV22" i="64"/>
  <c r="AW22" i="64" s="1"/>
  <c r="AH22" i="64"/>
  <c r="AI22" i="64" s="1"/>
  <c r="AN21" i="64"/>
  <c r="AO21" i="64" s="1"/>
  <c r="AR21" i="64" s="1"/>
  <c r="Q22" i="64" l="1"/>
  <c r="P23" i="64"/>
  <c r="M25" i="64"/>
  <c r="N24" i="64"/>
  <c r="O24" i="64"/>
  <c r="AJ22" i="64"/>
  <c r="AU23" i="64"/>
  <c r="AY22" i="64"/>
  <c r="AP21" i="64"/>
  <c r="AQ21" i="64"/>
  <c r="AK22" i="64"/>
  <c r="Y21" i="64"/>
  <c r="Q23" i="64" l="1"/>
  <c r="P24" i="64"/>
  <c r="M26" i="64"/>
  <c r="O25" i="64"/>
  <c r="N25" i="64"/>
  <c r="AL22" i="64"/>
  <c r="AM22" i="64" s="1"/>
  <c r="AN22" i="64" s="1"/>
  <c r="AS21" i="64"/>
  <c r="Z21" i="64"/>
  <c r="AA21" i="64" s="1"/>
  <c r="Q24" i="64" l="1"/>
  <c r="P25" i="64"/>
  <c r="M27" i="64"/>
  <c r="N26" i="64"/>
  <c r="O26" i="64"/>
  <c r="AH23" i="64"/>
  <c r="AI23" i="64" s="1"/>
  <c r="AJ23" i="64" s="1"/>
  <c r="AV23" i="64"/>
  <c r="AW23" i="64" s="1"/>
  <c r="AO22" i="64"/>
  <c r="AK23" i="64" s="1"/>
  <c r="AQ22" i="64"/>
  <c r="AP22" i="64"/>
  <c r="U22" i="64"/>
  <c r="V22" i="64" s="1"/>
  <c r="W22" i="64" s="1"/>
  <c r="AD21" i="64"/>
  <c r="AB21" i="64"/>
  <c r="AE21" i="64" s="1"/>
  <c r="AC21" i="64"/>
  <c r="Q25" i="64" l="1"/>
  <c r="P26" i="64"/>
  <c r="M28" i="64"/>
  <c r="O27" i="64"/>
  <c r="N27" i="64"/>
  <c r="AU24" i="64"/>
  <c r="AY23" i="64"/>
  <c r="AR22" i="64"/>
  <c r="AS22" i="64" s="1"/>
  <c r="AL23" i="64"/>
  <c r="X22" i="64"/>
  <c r="Q26" i="64" l="1"/>
  <c r="P27" i="64"/>
  <c r="M29" i="64"/>
  <c r="N28" i="64"/>
  <c r="O28" i="64"/>
  <c r="AM23" i="64"/>
  <c r="AH24" i="64" s="1"/>
  <c r="AF21" i="64"/>
  <c r="Y22" i="64"/>
  <c r="Q27" i="64" l="1"/>
  <c r="P28" i="64"/>
  <c r="M30" i="64"/>
  <c r="N29" i="64"/>
  <c r="O29" i="64"/>
  <c r="AV24" i="64"/>
  <c r="AW24" i="64" s="1"/>
  <c r="AN23" i="64"/>
  <c r="AO23" i="64" s="1"/>
  <c r="AI24" i="64"/>
  <c r="Z22" i="64"/>
  <c r="Q28" i="64" l="1"/>
  <c r="P29" i="64"/>
  <c r="M31" i="64"/>
  <c r="O30" i="64"/>
  <c r="N30" i="64"/>
  <c r="AU25" i="64"/>
  <c r="AP23" i="64"/>
  <c r="AQ23" i="64"/>
  <c r="AJ24" i="64"/>
  <c r="AR23" i="64"/>
  <c r="AK24" i="64"/>
  <c r="U23" i="64"/>
  <c r="V23" i="64" s="1"/>
  <c r="AA22" i="64"/>
  <c r="Q29" i="64" l="1"/>
  <c r="P30" i="64"/>
  <c r="M32" i="64"/>
  <c r="N31" i="64"/>
  <c r="O31" i="64"/>
  <c r="AY24" i="64"/>
  <c r="AS23" i="64"/>
  <c r="AL24" i="64"/>
  <c r="AB22" i="64"/>
  <c r="AE22" i="64" s="1"/>
  <c r="AD22" i="64"/>
  <c r="W23" i="64"/>
  <c r="AC22" i="64"/>
  <c r="Q30" i="64" l="1"/>
  <c r="P31" i="64"/>
  <c r="M33" i="64"/>
  <c r="N32" i="64"/>
  <c r="O32" i="64"/>
  <c r="AM24" i="64"/>
  <c r="AH25" i="64" s="1"/>
  <c r="X23" i="64"/>
  <c r="Q31" i="64" l="1"/>
  <c r="P32" i="64"/>
  <c r="M34" i="64"/>
  <c r="N33" i="64"/>
  <c r="O33" i="64"/>
  <c r="AV25" i="64"/>
  <c r="AW25" i="64" s="1"/>
  <c r="AN24" i="64"/>
  <c r="AO24" i="64" s="1"/>
  <c r="AR24" i="64" s="1"/>
  <c r="AI25" i="64"/>
  <c r="AF22" i="64"/>
  <c r="Y23" i="64"/>
  <c r="Q32" i="64" l="1"/>
  <c r="P33" i="64"/>
  <c r="M35" i="64"/>
  <c r="O34" i="64"/>
  <c r="N34" i="64"/>
  <c r="AU26" i="64"/>
  <c r="AJ25" i="64"/>
  <c r="AK25" i="64"/>
  <c r="AP24" i="64"/>
  <c r="AQ24" i="64"/>
  <c r="Z23" i="64"/>
  <c r="Q33" i="64" l="1"/>
  <c r="P34" i="64"/>
  <c r="M36" i="64"/>
  <c r="O35" i="64"/>
  <c r="N35" i="64"/>
  <c r="AY25" i="64"/>
  <c r="AL25" i="64"/>
  <c r="AM25" i="64" s="1"/>
  <c r="AN25" i="64" s="1"/>
  <c r="AS24" i="64"/>
  <c r="AA23" i="64"/>
  <c r="AB23" i="64" s="1"/>
  <c r="AE23" i="64" s="1"/>
  <c r="U24" i="64"/>
  <c r="Q34" i="64" l="1"/>
  <c r="P35" i="64"/>
  <c r="M37" i="64"/>
  <c r="O36" i="64"/>
  <c r="N36" i="64"/>
  <c r="AH26" i="64"/>
  <c r="AI26" i="64" s="1"/>
  <c r="AJ26" i="64" s="1"/>
  <c r="AQ25" i="64"/>
  <c r="AP25" i="64"/>
  <c r="AO25" i="64"/>
  <c r="AK26" i="64" s="1"/>
  <c r="X24" i="64"/>
  <c r="V24" i="64"/>
  <c r="W24" i="64" s="1"/>
  <c r="AD23" i="64"/>
  <c r="AC23" i="64"/>
  <c r="Q35" i="64" l="1"/>
  <c r="P36" i="64"/>
  <c r="M38" i="64"/>
  <c r="N37" i="64"/>
  <c r="O37" i="64"/>
  <c r="AV26" i="64"/>
  <c r="AW26" i="64" s="1"/>
  <c r="AR25" i="64"/>
  <c r="AS25" i="64" s="1"/>
  <c r="AL26" i="64"/>
  <c r="Y24" i="64"/>
  <c r="AF23" i="64"/>
  <c r="Q36" i="64" l="1"/>
  <c r="P37" i="64"/>
  <c r="M39" i="64"/>
  <c r="O38" i="64"/>
  <c r="N38" i="64"/>
  <c r="AU27" i="64"/>
  <c r="AY26" i="64"/>
  <c r="AM26" i="64"/>
  <c r="AN26" i="64" s="1"/>
  <c r="Z24" i="64"/>
  <c r="Q37" i="64" l="1"/>
  <c r="P38" i="64"/>
  <c r="M40" i="64"/>
  <c r="N39" i="64"/>
  <c r="O39" i="64"/>
  <c r="AH27" i="64"/>
  <c r="AI27" i="64" s="1"/>
  <c r="AP26" i="64"/>
  <c r="AQ26" i="64"/>
  <c r="AO26" i="64"/>
  <c r="U25" i="64"/>
  <c r="AA24" i="64"/>
  <c r="Q38" i="64" l="1"/>
  <c r="P39" i="64"/>
  <c r="M41" i="64"/>
  <c r="O40" i="64"/>
  <c r="N40" i="64"/>
  <c r="AV27" i="64"/>
  <c r="AW27" i="64" s="1"/>
  <c r="AJ27" i="64"/>
  <c r="AR26" i="64"/>
  <c r="AS26" i="64" s="1"/>
  <c r="AK27" i="64"/>
  <c r="AD24" i="64"/>
  <c r="AC24" i="64"/>
  <c r="AB24" i="64"/>
  <c r="AE24" i="64" s="1"/>
  <c r="V25" i="64"/>
  <c r="Q39" i="64" l="1"/>
  <c r="P40" i="64"/>
  <c r="M42" i="64"/>
  <c r="O41" i="64"/>
  <c r="N41" i="64"/>
  <c r="AU28" i="64"/>
  <c r="AL27" i="64"/>
  <c r="W25" i="64"/>
  <c r="AF24" i="64"/>
  <c r="X25" i="64"/>
  <c r="Q40" i="64" l="1"/>
  <c r="P41" i="64"/>
  <c r="M43" i="64"/>
  <c r="O42" i="64"/>
  <c r="N42" i="64"/>
  <c r="AY27" i="64"/>
  <c r="AM27" i="64"/>
  <c r="AH28" i="64" s="1"/>
  <c r="Y25" i="64"/>
  <c r="Z25" i="64" s="1"/>
  <c r="U26" i="64" s="1"/>
  <c r="Q41" i="64" l="1"/>
  <c r="P42" i="64"/>
  <c r="M44" i="64"/>
  <c r="N43" i="64"/>
  <c r="O43" i="64"/>
  <c r="AN27" i="64"/>
  <c r="AO27" i="64" s="1"/>
  <c r="AI28" i="64"/>
  <c r="AA25" i="64"/>
  <c r="V26" i="64"/>
  <c r="Q42" i="64" l="1"/>
  <c r="P43" i="64"/>
  <c r="M45" i="64"/>
  <c r="N44" i="64"/>
  <c r="O44" i="64"/>
  <c r="AV28" i="64"/>
  <c r="AW28" i="64" s="1"/>
  <c r="AP27" i="64"/>
  <c r="AQ27" i="64"/>
  <c r="AJ28" i="64"/>
  <c r="AR27" i="64"/>
  <c r="AK28" i="64"/>
  <c r="W26" i="64"/>
  <c r="AB25" i="64"/>
  <c r="AE25" i="64" s="1"/>
  <c r="AD25" i="64"/>
  <c r="AC25" i="64"/>
  <c r="Q43" i="64" l="1"/>
  <c r="P44" i="64"/>
  <c r="M46" i="64"/>
  <c r="N45" i="64"/>
  <c r="O45" i="64"/>
  <c r="AU29" i="64"/>
  <c r="AS27" i="64"/>
  <c r="AL28" i="64"/>
  <c r="AF25" i="64"/>
  <c r="X26" i="64"/>
  <c r="Q44" i="64" l="1"/>
  <c r="P45" i="64"/>
  <c r="M47" i="64"/>
  <c r="O46" i="64"/>
  <c r="N46" i="64"/>
  <c r="AY28" i="64"/>
  <c r="AM28" i="64"/>
  <c r="AH29" i="64" s="1"/>
  <c r="Y26" i="64"/>
  <c r="Z26" i="64" s="1"/>
  <c r="Q45" i="64" l="1"/>
  <c r="P46" i="64"/>
  <c r="M48" i="64"/>
  <c r="N47" i="64"/>
  <c r="O47" i="64"/>
  <c r="AN28" i="64"/>
  <c r="AO28" i="64" s="1"/>
  <c r="AI29" i="64"/>
  <c r="U27" i="64"/>
  <c r="AA26" i="64"/>
  <c r="Q46" i="64" l="1"/>
  <c r="P47" i="64"/>
  <c r="M49" i="64"/>
  <c r="O48" i="64"/>
  <c r="N48" i="64"/>
  <c r="AV29" i="64"/>
  <c r="AW29" i="64" s="1"/>
  <c r="AQ28" i="64"/>
  <c r="AP28" i="64"/>
  <c r="AJ29" i="64"/>
  <c r="AR28" i="64"/>
  <c r="AK29" i="64"/>
  <c r="AB26" i="64"/>
  <c r="AE26" i="64" s="1"/>
  <c r="AC26" i="64"/>
  <c r="AD26" i="64"/>
  <c r="V27" i="64"/>
  <c r="W27" i="64" s="1"/>
  <c r="Q47" i="64" l="1"/>
  <c r="P48" i="64"/>
  <c r="M50" i="64"/>
  <c r="N49" i="64"/>
  <c r="O49" i="64"/>
  <c r="AU30" i="64"/>
  <c r="AS28" i="64"/>
  <c r="AL29" i="64"/>
  <c r="AF26" i="64"/>
  <c r="X27" i="64"/>
  <c r="Q48" i="64" l="1"/>
  <c r="P49" i="64"/>
  <c r="M51" i="64"/>
  <c r="O50" i="64"/>
  <c r="N50" i="64"/>
  <c r="AY29" i="64"/>
  <c r="AM29" i="64"/>
  <c r="AH30" i="64" s="1"/>
  <c r="Y27" i="64"/>
  <c r="Z27" i="64" s="1"/>
  <c r="Q49" i="64" l="1"/>
  <c r="P50" i="64"/>
  <c r="M52" i="64"/>
  <c r="N51" i="64"/>
  <c r="O51" i="64"/>
  <c r="AN29" i="64"/>
  <c r="AO29" i="64" s="1"/>
  <c r="AI30" i="64"/>
  <c r="U28" i="64"/>
  <c r="AA27" i="64"/>
  <c r="Q50" i="64" l="1"/>
  <c r="P51" i="64"/>
  <c r="M53" i="64"/>
  <c r="O52" i="64"/>
  <c r="N52" i="64"/>
  <c r="AV30" i="64"/>
  <c r="AW30" i="64" s="1"/>
  <c r="AP29" i="64"/>
  <c r="AQ29" i="64"/>
  <c r="AJ30" i="64"/>
  <c r="AR29" i="64"/>
  <c r="AK30" i="64"/>
  <c r="AB27" i="64"/>
  <c r="AE27" i="64" s="1"/>
  <c r="AD27" i="64"/>
  <c r="AC27" i="64"/>
  <c r="V28" i="64"/>
  <c r="W28" i="64" s="1"/>
  <c r="Q51" i="64" l="1"/>
  <c r="P52" i="64"/>
  <c r="M54" i="64"/>
  <c r="N53" i="64"/>
  <c r="O53" i="64"/>
  <c r="AU31" i="64"/>
  <c r="AS29" i="64"/>
  <c r="AL30" i="64"/>
  <c r="AF27" i="64"/>
  <c r="X28" i="64"/>
  <c r="Q52" i="64" l="1"/>
  <c r="P53" i="64"/>
  <c r="M55" i="64"/>
  <c r="N54" i="64"/>
  <c r="O54" i="64"/>
  <c r="AY30" i="64"/>
  <c r="AM30" i="64"/>
  <c r="AH31" i="64" s="1"/>
  <c r="Y28" i="64"/>
  <c r="Z28" i="64" s="1"/>
  <c r="Q53" i="64" l="1"/>
  <c r="P54" i="64"/>
  <c r="M56" i="64"/>
  <c r="O55" i="64"/>
  <c r="N55" i="64"/>
  <c r="AN30" i="64"/>
  <c r="AO30" i="64" s="1"/>
  <c r="AI31" i="64"/>
  <c r="AA28" i="64"/>
  <c r="AB28" i="64" s="1"/>
  <c r="AE28" i="64" s="1"/>
  <c r="U29" i="64"/>
  <c r="Q54" i="64" l="1"/>
  <c r="P55" i="64"/>
  <c r="M57" i="64"/>
  <c r="O56" i="64"/>
  <c r="N56" i="64"/>
  <c r="AV31" i="64"/>
  <c r="AW31" i="64" s="1"/>
  <c r="AQ30" i="64"/>
  <c r="AP30" i="64"/>
  <c r="AJ31" i="64"/>
  <c r="AR30" i="64"/>
  <c r="AK31" i="64"/>
  <c r="X29" i="64"/>
  <c r="V29" i="64"/>
  <c r="W29" i="64" s="1"/>
  <c r="AC28" i="64"/>
  <c r="AD28" i="64"/>
  <c r="Q55" i="64" l="1"/>
  <c r="P56" i="64"/>
  <c r="M58" i="64"/>
  <c r="N57" i="64"/>
  <c r="O57" i="64"/>
  <c r="AU32" i="64"/>
  <c r="AS30" i="64"/>
  <c r="AL31" i="64"/>
  <c r="Y29" i="64"/>
  <c r="Z29" i="64" s="1"/>
  <c r="U30" i="64" s="1"/>
  <c r="V30" i="64" s="1"/>
  <c r="AF28" i="64"/>
  <c r="Q56" i="64" l="1"/>
  <c r="P57" i="64"/>
  <c r="M59" i="64"/>
  <c r="O58" i="64"/>
  <c r="N58" i="64"/>
  <c r="AY31" i="64"/>
  <c r="AM31" i="64"/>
  <c r="AN31" i="64" s="1"/>
  <c r="AA29" i="64"/>
  <c r="AB29" i="64" s="1"/>
  <c r="AE29" i="64" s="1"/>
  <c r="Q57" i="64" l="1"/>
  <c r="P58" i="64"/>
  <c r="M60" i="64"/>
  <c r="N59" i="64"/>
  <c r="O59" i="64"/>
  <c r="AH32" i="64"/>
  <c r="AI32" i="64" s="1"/>
  <c r="AO31" i="64"/>
  <c r="AP31" i="64"/>
  <c r="AQ31" i="64"/>
  <c r="W30" i="64"/>
  <c r="AC29" i="64"/>
  <c r="AD29" i="64"/>
  <c r="X30" i="64"/>
  <c r="Q58" i="64" l="1"/>
  <c r="P59" i="64"/>
  <c r="M61" i="64"/>
  <c r="O60" i="64"/>
  <c r="N60" i="64"/>
  <c r="AV32" i="64"/>
  <c r="AW32" i="64" s="1"/>
  <c r="AJ32" i="64"/>
  <c r="AR31" i="64"/>
  <c r="AS31" i="64" s="1"/>
  <c r="AK32" i="64"/>
  <c r="Y30" i="64"/>
  <c r="Z30" i="64" s="1"/>
  <c r="AA30" i="64" s="1"/>
  <c r="AF29" i="64"/>
  <c r="Q59" i="64" l="1"/>
  <c r="P60" i="64"/>
  <c r="M62" i="64"/>
  <c r="O61" i="64"/>
  <c r="N61" i="64"/>
  <c r="AU33" i="64"/>
  <c r="AL32" i="64"/>
  <c r="U31" i="64"/>
  <c r="V31" i="64" s="1"/>
  <c r="W31" i="64" s="1"/>
  <c r="AD30" i="64"/>
  <c r="AC30" i="64"/>
  <c r="AB30" i="64"/>
  <c r="AE30" i="64" s="1"/>
  <c r="Q60" i="64" l="1"/>
  <c r="P61" i="64"/>
  <c r="M63" i="64"/>
  <c r="O62" i="64"/>
  <c r="N62" i="64"/>
  <c r="AY32" i="64"/>
  <c r="AM32" i="64"/>
  <c r="AN32" i="64" s="1"/>
  <c r="AF30" i="64"/>
  <c r="X31" i="64"/>
  <c r="Q61" i="64" l="1"/>
  <c r="P62" i="64"/>
  <c r="M64" i="64"/>
  <c r="O63" i="64"/>
  <c r="N63" i="64"/>
  <c r="AH33" i="64"/>
  <c r="AI33" i="64" s="1"/>
  <c r="AO32" i="64"/>
  <c r="AQ32" i="64"/>
  <c r="AP32" i="64"/>
  <c r="Y31" i="64"/>
  <c r="Z31" i="64" s="1"/>
  <c r="Q62" i="64" l="1"/>
  <c r="P63" i="64"/>
  <c r="M65" i="64"/>
  <c r="N64" i="64"/>
  <c r="O64" i="64"/>
  <c r="AV33" i="64"/>
  <c r="AW33" i="64" s="1"/>
  <c r="AJ33" i="64"/>
  <c r="AR32" i="64"/>
  <c r="AS32" i="64" s="1"/>
  <c r="AK33" i="64"/>
  <c r="AA31" i="64"/>
  <c r="AB31" i="64" s="1"/>
  <c r="AE31" i="64" s="1"/>
  <c r="U32" i="64"/>
  <c r="Q63" i="64" l="1"/>
  <c r="P64" i="64"/>
  <c r="M66" i="64"/>
  <c r="N65" i="64"/>
  <c r="O65" i="64"/>
  <c r="AU34" i="64"/>
  <c r="AY33" i="64"/>
  <c r="AL33" i="64"/>
  <c r="X32" i="64"/>
  <c r="V32" i="64"/>
  <c r="W32" i="64" s="1"/>
  <c r="AC31" i="64"/>
  <c r="AD31" i="64"/>
  <c r="Q64" i="64" l="1"/>
  <c r="P65" i="64"/>
  <c r="M67" i="64"/>
  <c r="O66" i="64"/>
  <c r="N66" i="64"/>
  <c r="AM33" i="64"/>
  <c r="AN33" i="64" s="1"/>
  <c r="Y32" i="64"/>
  <c r="Z32" i="64" s="1"/>
  <c r="AF31" i="64"/>
  <c r="Q65" i="64" l="1"/>
  <c r="P66" i="64"/>
  <c r="M68" i="64"/>
  <c r="N67" i="64"/>
  <c r="O67" i="64"/>
  <c r="AV34" i="64"/>
  <c r="AW34" i="64" s="1"/>
  <c r="AH34" i="64"/>
  <c r="AI34" i="64" s="1"/>
  <c r="AO33" i="64"/>
  <c r="AP33" i="64"/>
  <c r="AQ33" i="64"/>
  <c r="AA32" i="64"/>
  <c r="U33" i="64"/>
  <c r="Q66" i="64" l="1"/>
  <c r="P67" i="64"/>
  <c r="M69" i="64"/>
  <c r="N68" i="64"/>
  <c r="O68" i="64"/>
  <c r="AU35" i="64"/>
  <c r="AY34" i="64"/>
  <c r="AJ34" i="64"/>
  <c r="AR33" i="64"/>
  <c r="AS33" i="64" s="1"/>
  <c r="AK34" i="64"/>
  <c r="V33" i="64"/>
  <c r="W33" i="64" s="1"/>
  <c r="AB32" i="64"/>
  <c r="AE32" i="64" s="1"/>
  <c r="AC32" i="64"/>
  <c r="AD32" i="64"/>
  <c r="Q67" i="64" l="1"/>
  <c r="P68" i="64"/>
  <c r="M70" i="64"/>
  <c r="N69" i="64"/>
  <c r="O69" i="64"/>
  <c r="AL34" i="64"/>
  <c r="AF32" i="64"/>
  <c r="X33" i="64"/>
  <c r="Q68" i="64" l="1"/>
  <c r="P69" i="64"/>
  <c r="M71" i="64"/>
  <c r="N70" i="64"/>
  <c r="O70" i="64"/>
  <c r="AV35" i="64"/>
  <c r="AW35" i="64" s="1"/>
  <c r="AM34" i="64"/>
  <c r="AH35" i="64" s="1"/>
  <c r="Y33" i="64"/>
  <c r="Z33" i="64" s="1"/>
  <c r="Q69" i="64" l="1"/>
  <c r="P70" i="64"/>
  <c r="M72" i="64"/>
  <c r="O71" i="64"/>
  <c r="N71" i="64"/>
  <c r="AU36" i="64"/>
  <c r="AY35" i="64"/>
  <c r="AN34" i="64"/>
  <c r="AO34" i="64" s="1"/>
  <c r="AI35" i="64"/>
  <c r="U34" i="64"/>
  <c r="AA33" i="64"/>
  <c r="Q70" i="64" l="1"/>
  <c r="P71" i="64"/>
  <c r="M73" i="64"/>
  <c r="O72" i="64"/>
  <c r="N72" i="64"/>
  <c r="AP34" i="64"/>
  <c r="AQ34" i="64"/>
  <c r="AJ35" i="64"/>
  <c r="AR34" i="64"/>
  <c r="AK35" i="64"/>
  <c r="V34" i="64"/>
  <c r="W34" i="64" s="1"/>
  <c r="AD33" i="64"/>
  <c r="AC33" i="64"/>
  <c r="AB33" i="64"/>
  <c r="AE33" i="64" s="1"/>
  <c r="Q71" i="64" l="1"/>
  <c r="P72" i="64"/>
  <c r="M74" i="64"/>
  <c r="O73" i="64"/>
  <c r="N73" i="64"/>
  <c r="AV36" i="64"/>
  <c r="AW36" i="64" s="1"/>
  <c r="AS34" i="64"/>
  <c r="AL35" i="64"/>
  <c r="AM35" i="64" s="1"/>
  <c r="AH36" i="64" s="1"/>
  <c r="AF33" i="64"/>
  <c r="X34" i="64"/>
  <c r="Y34" i="64" s="1"/>
  <c r="Z34" i="64" s="1"/>
  <c r="U35" i="64" s="1"/>
  <c r="V35" i="64" s="1"/>
  <c r="Q72" i="64" l="1"/>
  <c r="P73" i="64"/>
  <c r="M75" i="64"/>
  <c r="N74" i="64"/>
  <c r="O74" i="64"/>
  <c r="AU37" i="64"/>
  <c r="AN35" i="64"/>
  <c r="AA34" i="64"/>
  <c r="AB34" i="64" s="1"/>
  <c r="AE34" i="64" s="1"/>
  <c r="Q73" i="64" l="1"/>
  <c r="P74" i="64"/>
  <c r="M76" i="64"/>
  <c r="N75" i="64"/>
  <c r="O75" i="64"/>
  <c r="AY36" i="64"/>
  <c r="AO35" i="64"/>
  <c r="AP35" i="64"/>
  <c r="AQ35" i="64"/>
  <c r="AI36" i="64"/>
  <c r="W35" i="64"/>
  <c r="X35" i="64"/>
  <c r="AD34" i="64"/>
  <c r="AC34" i="64"/>
  <c r="Q74" i="64" l="1"/>
  <c r="P75" i="64"/>
  <c r="M77" i="64"/>
  <c r="N76" i="64"/>
  <c r="O76" i="64"/>
  <c r="AJ36" i="64"/>
  <c r="AR35" i="64"/>
  <c r="AS35" i="64" s="1"/>
  <c r="AK36" i="64"/>
  <c r="Y35" i="64"/>
  <c r="Z35" i="64" s="1"/>
  <c r="U36" i="64" s="1"/>
  <c r="AF34" i="64"/>
  <c r="Q75" i="64" l="1"/>
  <c r="Q15" i="64" s="1"/>
  <c r="J29" i="62" s="1"/>
  <c r="P76" i="64"/>
  <c r="M78" i="64"/>
  <c r="N77" i="64"/>
  <c r="O77" i="64"/>
  <c r="AA35" i="64"/>
  <c r="AC35" i="64" s="1"/>
  <c r="AV37" i="64"/>
  <c r="AW37" i="64" s="1"/>
  <c r="AL36" i="64"/>
  <c r="AM36" i="64" s="1"/>
  <c r="AH37" i="64" s="1"/>
  <c r="V36" i="64"/>
  <c r="L270" i="66" l="1"/>
  <c r="L533" i="66"/>
  <c r="Q76" i="64"/>
  <c r="P77" i="64"/>
  <c r="M79" i="64"/>
  <c r="N78" i="64"/>
  <c r="O78" i="64"/>
  <c r="W36" i="64"/>
  <c r="AB35" i="64"/>
  <c r="AE35" i="64" s="1"/>
  <c r="AD35" i="64"/>
  <c r="AU38" i="64"/>
  <c r="AN36" i="64"/>
  <c r="AF35" i="64" l="1"/>
  <c r="Q77" i="64"/>
  <c r="P78" i="64"/>
  <c r="M80" i="64"/>
  <c r="N79" i="64"/>
  <c r="O79" i="64"/>
  <c r="X36" i="64"/>
  <c r="Y36" i="64" s="1"/>
  <c r="Z36" i="64" s="1"/>
  <c r="AY37" i="64"/>
  <c r="AO36" i="64"/>
  <c r="AQ36" i="64"/>
  <c r="AP36" i="64"/>
  <c r="AI37" i="64"/>
  <c r="Q78" i="64" l="1"/>
  <c r="P79" i="64"/>
  <c r="M81" i="64"/>
  <c r="O80" i="64"/>
  <c r="N80" i="64"/>
  <c r="AJ37" i="64"/>
  <c r="AR36" i="64"/>
  <c r="AS36" i="64" s="1"/>
  <c r="AK37" i="64"/>
  <c r="AA36" i="64"/>
  <c r="U37" i="64"/>
  <c r="Q79" i="64" l="1"/>
  <c r="P80" i="64"/>
  <c r="M82" i="64"/>
  <c r="N81" i="64"/>
  <c r="O81" i="64"/>
  <c r="AV38" i="64"/>
  <c r="AW38" i="64" s="1"/>
  <c r="AL37" i="64"/>
  <c r="AM37" i="64" s="1"/>
  <c r="AH38" i="64" s="1"/>
  <c r="AC36" i="64"/>
  <c r="AD36" i="64"/>
  <c r="V37" i="64"/>
  <c r="AB36" i="64"/>
  <c r="AE36" i="64" s="1"/>
  <c r="Q80" i="64" l="1"/>
  <c r="P81" i="64"/>
  <c r="M83" i="64"/>
  <c r="O82" i="64"/>
  <c r="N82" i="64"/>
  <c r="AU39" i="64"/>
  <c r="AN37" i="64"/>
  <c r="W37" i="64"/>
  <c r="AF36" i="64"/>
  <c r="X37" i="64"/>
  <c r="Q81" i="64" l="1"/>
  <c r="P82" i="64"/>
  <c r="M84" i="64"/>
  <c r="O83" i="64"/>
  <c r="N83" i="64"/>
  <c r="AY38" i="64"/>
  <c r="AO37" i="64"/>
  <c r="AP37" i="64"/>
  <c r="AQ37" i="64"/>
  <c r="AI38" i="64"/>
  <c r="Y37" i="64"/>
  <c r="Z37" i="64" s="1"/>
  <c r="Q82" i="64" l="1"/>
  <c r="P83" i="64"/>
  <c r="M85" i="64"/>
  <c r="N84" i="64"/>
  <c r="O84" i="64"/>
  <c r="AJ38" i="64"/>
  <c r="AR37" i="64"/>
  <c r="AS37" i="64" s="1"/>
  <c r="AK38" i="64"/>
  <c r="U38" i="64"/>
  <c r="AA37" i="64"/>
  <c r="Q83" i="64" l="1"/>
  <c r="P84" i="64"/>
  <c r="M86" i="64"/>
  <c r="O85" i="64"/>
  <c r="N85" i="64"/>
  <c r="AV39" i="64"/>
  <c r="AW39" i="64" s="1"/>
  <c r="AL38" i="64"/>
  <c r="AM38" i="64" s="1"/>
  <c r="AH39" i="64" s="1"/>
  <c r="V38" i="64"/>
  <c r="W38" i="64" s="1"/>
  <c r="AD37" i="64"/>
  <c r="AC37" i="64"/>
  <c r="AB37" i="64"/>
  <c r="AE37" i="64" s="1"/>
  <c r="Q84" i="64" l="1"/>
  <c r="P85" i="64"/>
  <c r="M87" i="64"/>
  <c r="O86" i="64"/>
  <c r="N86" i="64"/>
  <c r="AU40" i="64"/>
  <c r="AN38" i="64"/>
  <c r="AF37" i="64"/>
  <c r="X38" i="64"/>
  <c r="Y38" i="64" s="1"/>
  <c r="Z38" i="64" s="1"/>
  <c r="Q85" i="64" l="1"/>
  <c r="P86" i="64"/>
  <c r="M88" i="64"/>
  <c r="N87" i="64"/>
  <c r="O87" i="64"/>
  <c r="AY39" i="64"/>
  <c r="AO38" i="64"/>
  <c r="AP38" i="64"/>
  <c r="AQ38" i="64"/>
  <c r="AI39" i="64"/>
  <c r="U39" i="64"/>
  <c r="AA38" i="64"/>
  <c r="Q86" i="64" l="1"/>
  <c r="P87" i="64"/>
  <c r="M89" i="64"/>
  <c r="N88" i="64"/>
  <c r="O88" i="64"/>
  <c r="AJ39" i="64"/>
  <c r="AR38" i="64"/>
  <c r="AS38" i="64" s="1"/>
  <c r="AK39" i="64"/>
  <c r="AC38" i="64"/>
  <c r="AD38" i="64"/>
  <c r="AB38" i="64"/>
  <c r="AE38" i="64" s="1"/>
  <c r="V39" i="64"/>
  <c r="Q87" i="64" l="1"/>
  <c r="P88" i="64"/>
  <c r="M90" i="64"/>
  <c r="N89" i="64"/>
  <c r="O89" i="64"/>
  <c r="AV40" i="64"/>
  <c r="AW40" i="64" s="1"/>
  <c r="AL39" i="64"/>
  <c r="AM39" i="64" s="1"/>
  <c r="AH40" i="64" s="1"/>
  <c r="W39" i="64"/>
  <c r="AF38" i="64"/>
  <c r="X39" i="64"/>
  <c r="Q88" i="64" l="1"/>
  <c r="P89" i="64"/>
  <c r="M91" i="64"/>
  <c r="O90" i="64"/>
  <c r="N90" i="64"/>
  <c r="AU41" i="64"/>
  <c r="AN39" i="64"/>
  <c r="Y39" i="64"/>
  <c r="Z39" i="64" s="1"/>
  <c r="AA39" i="64" s="1"/>
  <c r="Q89" i="64" l="1"/>
  <c r="P90" i="64"/>
  <c r="M92" i="64"/>
  <c r="N91" i="64"/>
  <c r="O91" i="64"/>
  <c r="AY40" i="64"/>
  <c r="AO39" i="64"/>
  <c r="AQ39" i="64"/>
  <c r="AP39" i="64"/>
  <c r="AI40" i="64"/>
  <c r="AC39" i="64"/>
  <c r="AD39" i="64"/>
  <c r="AB39" i="64"/>
  <c r="AE39" i="64" s="1"/>
  <c r="U40" i="64"/>
  <c r="Q90" i="64" l="1"/>
  <c r="P91" i="64"/>
  <c r="M93" i="64"/>
  <c r="N92" i="64"/>
  <c r="O92" i="64"/>
  <c r="AJ40" i="64"/>
  <c r="AR39" i="64"/>
  <c r="AS39" i="64" s="1"/>
  <c r="AK40" i="64"/>
  <c r="AF39" i="64"/>
  <c r="X40" i="64"/>
  <c r="V40" i="64"/>
  <c r="Q91" i="64" l="1"/>
  <c r="P92" i="64"/>
  <c r="M94" i="64"/>
  <c r="O93" i="64"/>
  <c r="N93" i="64"/>
  <c r="AV41" i="64"/>
  <c r="AW41" i="64" s="1"/>
  <c r="AL40" i="64"/>
  <c r="AM40" i="64" s="1"/>
  <c r="AH41" i="64" s="1"/>
  <c r="W40" i="64"/>
  <c r="Q92" i="64" l="1"/>
  <c r="P93" i="64"/>
  <c r="M95" i="64"/>
  <c r="N94" i="64"/>
  <c r="O94" i="64"/>
  <c r="AU42" i="64"/>
  <c r="AN40" i="64"/>
  <c r="AQ40" i="64" s="1"/>
  <c r="AI41" i="64"/>
  <c r="Y40" i="64"/>
  <c r="Z40" i="64" s="1"/>
  <c r="AA40" i="64" s="1"/>
  <c r="Q93" i="64" l="1"/>
  <c r="P94" i="64"/>
  <c r="M96" i="64"/>
  <c r="N95" i="64"/>
  <c r="O95" i="64"/>
  <c r="AY41" i="64"/>
  <c r="AO40" i="64"/>
  <c r="AK41" i="64" s="1"/>
  <c r="AP40" i="64"/>
  <c r="AJ41" i="64"/>
  <c r="AC40" i="64"/>
  <c r="AD40" i="64"/>
  <c r="AB40" i="64"/>
  <c r="AE40" i="64" s="1"/>
  <c r="U41" i="64"/>
  <c r="Q94" i="64" l="1"/>
  <c r="P95" i="64"/>
  <c r="M97" i="64"/>
  <c r="O96" i="64"/>
  <c r="N96" i="64"/>
  <c r="AR40" i="64"/>
  <c r="AS40" i="64" s="1"/>
  <c r="AL41" i="64"/>
  <c r="AM41" i="64" s="1"/>
  <c r="AH42" i="64" s="1"/>
  <c r="AF40" i="64"/>
  <c r="X41" i="64"/>
  <c r="V41" i="64"/>
  <c r="Q95" i="64" l="1"/>
  <c r="P96" i="64"/>
  <c r="M98" i="64"/>
  <c r="O97" i="64"/>
  <c r="N97" i="64"/>
  <c r="AV42" i="64"/>
  <c r="AW42" i="64" s="1"/>
  <c r="AN41" i="64"/>
  <c r="W41" i="64"/>
  <c r="Q96" i="64" l="1"/>
  <c r="P97" i="64"/>
  <c r="M99" i="64"/>
  <c r="O98" i="64"/>
  <c r="N98" i="64"/>
  <c r="AU43" i="64"/>
  <c r="AO41" i="64"/>
  <c r="AP41" i="64"/>
  <c r="AQ41" i="64"/>
  <c r="AI42" i="64"/>
  <c r="Y41" i="64"/>
  <c r="Z41" i="64" s="1"/>
  <c r="AA41" i="64" s="1"/>
  <c r="Q97" i="64" l="1"/>
  <c r="P98" i="64"/>
  <c r="M100" i="64"/>
  <c r="N99" i="64"/>
  <c r="O99" i="64"/>
  <c r="AY42" i="64"/>
  <c r="AJ42" i="64"/>
  <c r="AR41" i="64"/>
  <c r="AS41" i="64" s="1"/>
  <c r="AK42" i="64"/>
  <c r="AD41" i="64"/>
  <c r="AC41" i="64"/>
  <c r="AB41" i="64"/>
  <c r="AE41" i="64" s="1"/>
  <c r="U42" i="64"/>
  <c r="Q98" i="64" l="1"/>
  <c r="P99" i="64"/>
  <c r="M101" i="64"/>
  <c r="N100" i="64"/>
  <c r="O100" i="64"/>
  <c r="AL42" i="64"/>
  <c r="AM42" i="64" s="1"/>
  <c r="AH43" i="64" s="1"/>
  <c r="V42" i="64"/>
  <c r="AF41" i="64"/>
  <c r="X42" i="64"/>
  <c r="Q99" i="64" l="1"/>
  <c r="Q14" i="64" s="1"/>
  <c r="J28" i="62" s="1"/>
  <c r="K266" i="66" s="1"/>
  <c r="P100" i="64"/>
  <c r="M102" i="64"/>
  <c r="N101" i="64"/>
  <c r="O101" i="64"/>
  <c r="AV43" i="64"/>
  <c r="AW43" i="64" s="1"/>
  <c r="AN42" i="64"/>
  <c r="W42" i="64"/>
  <c r="Q100" i="64" l="1"/>
  <c r="J533" i="66"/>
  <c r="P101" i="64"/>
  <c r="M103" i="64"/>
  <c r="O102" i="64"/>
  <c r="N102" i="64"/>
  <c r="AU44" i="64"/>
  <c r="AO42" i="64"/>
  <c r="AP42" i="64"/>
  <c r="AQ42" i="64"/>
  <c r="AI43" i="64"/>
  <c r="Y42" i="64"/>
  <c r="Z42" i="64" s="1"/>
  <c r="Q101" i="64" l="1"/>
  <c r="P102" i="64"/>
  <c r="M104" i="64"/>
  <c r="N103" i="64"/>
  <c r="O103" i="64"/>
  <c r="AY43" i="64"/>
  <c r="AJ43" i="64"/>
  <c r="AR42" i="64"/>
  <c r="AS42" i="64" s="1"/>
  <c r="AK43" i="64"/>
  <c r="U43" i="64"/>
  <c r="AA42" i="64"/>
  <c r="Q102" i="64" l="1"/>
  <c r="P103" i="64"/>
  <c r="M105" i="64"/>
  <c r="N104" i="64"/>
  <c r="O104" i="64"/>
  <c r="AL43" i="64"/>
  <c r="AM43" i="64" s="1"/>
  <c r="AH44" i="64" s="1"/>
  <c r="AC42" i="64"/>
  <c r="AD42" i="64"/>
  <c r="V43" i="64"/>
  <c r="W43" i="64" s="1"/>
  <c r="AB42" i="64"/>
  <c r="AE42" i="64" s="1"/>
  <c r="Q103" i="64" l="1"/>
  <c r="P104" i="64"/>
  <c r="M106" i="64"/>
  <c r="N105" i="64"/>
  <c r="O105" i="64"/>
  <c r="AV44" i="64"/>
  <c r="AW44" i="64" s="1"/>
  <c r="AN43" i="64"/>
  <c r="AF42" i="64"/>
  <c r="X43" i="64"/>
  <c r="Y43" i="64" s="1"/>
  <c r="Z43" i="64" s="1"/>
  <c r="Q104" i="64" l="1"/>
  <c r="P105" i="64"/>
  <c r="M107" i="64"/>
  <c r="N106" i="64"/>
  <c r="O106" i="64"/>
  <c r="AU45" i="64"/>
  <c r="AY44" i="64"/>
  <c r="AO43" i="64"/>
  <c r="AQ43" i="64"/>
  <c r="AP43" i="64"/>
  <c r="AI44" i="64"/>
  <c r="AA43" i="64"/>
  <c r="U44" i="64"/>
  <c r="Q105" i="64" l="1"/>
  <c r="P106" i="64"/>
  <c r="M108" i="64"/>
  <c r="O107" i="64"/>
  <c r="N107" i="64"/>
  <c r="AJ44" i="64"/>
  <c r="AR43" i="64"/>
  <c r="AS43" i="64" s="1"/>
  <c r="AK44" i="64"/>
  <c r="AC43" i="64"/>
  <c r="AD43" i="64"/>
  <c r="V44" i="64"/>
  <c r="AB43" i="64"/>
  <c r="AE43" i="64" s="1"/>
  <c r="Q106" i="64" l="1"/>
  <c r="P107" i="64"/>
  <c r="N108" i="64"/>
  <c r="O108" i="64"/>
  <c r="AV45" i="64"/>
  <c r="AW45" i="64" s="1"/>
  <c r="AL44" i="64"/>
  <c r="AM44" i="64" s="1"/>
  <c r="W44" i="64"/>
  <c r="X44" i="64"/>
  <c r="AF43" i="64"/>
  <c r="Q107" i="64" l="1"/>
  <c r="P108" i="64"/>
  <c r="AN44" i="64"/>
  <c r="AP44" i="64" s="1"/>
  <c r="AH45" i="64"/>
  <c r="AI45" i="64" s="1"/>
  <c r="AU46" i="64"/>
  <c r="AY45" i="64"/>
  <c r="Y44" i="64"/>
  <c r="Z44" i="64" s="1"/>
  <c r="U45" i="64" s="1"/>
  <c r="Q108" i="64" l="1"/>
  <c r="AO44" i="64"/>
  <c r="AK45" i="64" s="1"/>
  <c r="AQ44" i="64"/>
  <c r="AJ45" i="64"/>
  <c r="V45" i="64"/>
  <c r="AA44" i="64"/>
  <c r="AR44" i="64" l="1"/>
  <c r="AS44" i="64" s="1"/>
  <c r="AV46" i="64"/>
  <c r="AW46" i="64" s="1"/>
  <c r="AL45" i="64"/>
  <c r="AM45" i="64" s="1"/>
  <c r="AH46" i="64" s="1"/>
  <c r="AD44" i="64"/>
  <c r="AC44" i="64"/>
  <c r="W45" i="64"/>
  <c r="AB44" i="64"/>
  <c r="AE44" i="64" s="1"/>
  <c r="AU47" i="64" l="1"/>
  <c r="AY46" i="64"/>
  <c r="AN45" i="64"/>
  <c r="AF44" i="64"/>
  <c r="X45" i="64"/>
  <c r="AO45" i="64" l="1"/>
  <c r="AQ45" i="64"/>
  <c r="AP45" i="64"/>
  <c r="AI46" i="64"/>
  <c r="Y45" i="64"/>
  <c r="Z45" i="64" s="1"/>
  <c r="AV47" i="64" l="1"/>
  <c r="AW47" i="64" s="1"/>
  <c r="AJ46" i="64"/>
  <c r="AR45" i="64"/>
  <c r="AS45" i="64" s="1"/>
  <c r="AK46" i="64"/>
  <c r="U46" i="64"/>
  <c r="AA45" i="64"/>
  <c r="AU48" i="64" l="1"/>
  <c r="AL46" i="64"/>
  <c r="AM46" i="64" s="1"/>
  <c r="AH47" i="64" s="1"/>
  <c r="AC45" i="64"/>
  <c r="AD45" i="64"/>
  <c r="AB45" i="64"/>
  <c r="AE45" i="64" s="1"/>
  <c r="V46" i="64"/>
  <c r="AF45" i="64" l="1"/>
  <c r="AY47" i="64"/>
  <c r="AN46" i="64"/>
  <c r="X46" i="64"/>
  <c r="W46" i="64"/>
  <c r="AO46" i="64" l="1"/>
  <c r="AP46" i="64"/>
  <c r="AQ46" i="64"/>
  <c r="AI47" i="64"/>
  <c r="Y46" i="64"/>
  <c r="Z46" i="64" s="1"/>
  <c r="U47" i="64" s="1"/>
  <c r="V47" i="64" s="1"/>
  <c r="AA46" i="64" l="1"/>
  <c r="AC46" i="64" s="1"/>
  <c r="AV48" i="64"/>
  <c r="AW48" i="64" s="1"/>
  <c r="AJ47" i="64"/>
  <c r="AR46" i="64"/>
  <c r="AS46" i="64" s="1"/>
  <c r="AK47" i="64"/>
  <c r="AB46" i="64" l="1"/>
  <c r="AE46" i="64" s="1"/>
  <c r="W47" i="64"/>
  <c r="AD46" i="64"/>
  <c r="AF46" i="64" s="1"/>
  <c r="AU49" i="64"/>
  <c r="AL47" i="64"/>
  <c r="AM47" i="64" s="1"/>
  <c r="AH48" i="64" s="1"/>
  <c r="X47" i="64" l="1"/>
  <c r="Y47" i="64" s="1"/>
  <c r="Z47" i="64" s="1"/>
  <c r="AA47" i="64" s="1"/>
  <c r="AY48" i="64"/>
  <c r="AN47" i="64"/>
  <c r="U48" i="64"/>
  <c r="AB47" i="64" l="1"/>
  <c r="AE47" i="64" s="1"/>
  <c r="AQ47" i="64"/>
  <c r="AP47" i="64"/>
  <c r="AO47" i="64"/>
  <c r="AI48" i="64"/>
  <c r="V48" i="64"/>
  <c r="W48" i="64" s="1"/>
  <c r="AD47" i="64"/>
  <c r="AC47" i="64"/>
  <c r="AF47" i="64" s="1"/>
  <c r="X48" i="64" l="1"/>
  <c r="Y48" i="64" s="1"/>
  <c r="Z48" i="64" s="1"/>
  <c r="AA48" i="64" s="1"/>
  <c r="AV49" i="64"/>
  <c r="AW49" i="64" s="1"/>
  <c r="AJ48" i="64"/>
  <c r="AR47" i="64"/>
  <c r="AS47" i="64" s="1"/>
  <c r="AK48" i="64"/>
  <c r="AU50" i="64" l="1"/>
  <c r="AL48" i="64"/>
  <c r="AM48" i="64" s="1"/>
  <c r="AH49" i="64" s="1"/>
  <c r="AC48" i="64"/>
  <c r="AD48" i="64"/>
  <c r="U49" i="64"/>
  <c r="AB48" i="64"/>
  <c r="AE48" i="64" s="1"/>
  <c r="AF48" i="64" s="1"/>
  <c r="AY49" i="64" l="1"/>
  <c r="AN48" i="64"/>
  <c r="V49" i="64"/>
  <c r="X49" i="64"/>
  <c r="AO48" i="64" l="1"/>
  <c r="AP48" i="64"/>
  <c r="AQ48" i="64"/>
  <c r="AI49" i="64"/>
  <c r="W49" i="64"/>
  <c r="Y49" i="64" s="1"/>
  <c r="Z49" i="64" s="1"/>
  <c r="U50" i="64" s="1"/>
  <c r="AV50" i="64" l="1"/>
  <c r="AW50" i="64" s="1"/>
  <c r="AJ49" i="64"/>
  <c r="AR48" i="64"/>
  <c r="AS48" i="64" s="1"/>
  <c r="AK49" i="64"/>
  <c r="V50" i="64"/>
  <c r="AA49" i="64"/>
  <c r="AU51" i="64" l="1"/>
  <c r="AL49" i="64"/>
  <c r="AM49" i="64" s="1"/>
  <c r="AH50" i="64" s="1"/>
  <c r="AD49" i="64"/>
  <c r="AC49" i="64"/>
  <c r="W50" i="64"/>
  <c r="AB49" i="64"/>
  <c r="AE49" i="64" s="1"/>
  <c r="AF49" i="64" l="1"/>
  <c r="AY50" i="64"/>
  <c r="AN49" i="64"/>
  <c r="X50" i="64"/>
  <c r="Y50" i="64" s="1"/>
  <c r="Z50" i="64" s="1"/>
  <c r="U51" i="64" s="1"/>
  <c r="AO49" i="64" l="1"/>
  <c r="AP49" i="64"/>
  <c r="AQ49" i="64"/>
  <c r="AI50" i="64"/>
  <c r="V51" i="64"/>
  <c r="AA50" i="64"/>
  <c r="AV51" i="64" l="1"/>
  <c r="AW51" i="64" s="1"/>
  <c r="AJ50" i="64"/>
  <c r="AR49" i="64"/>
  <c r="AS49" i="64" s="1"/>
  <c r="AK50" i="64"/>
  <c r="AD50" i="64"/>
  <c r="AC50" i="64"/>
  <c r="W51" i="64"/>
  <c r="AB50" i="64"/>
  <c r="AE50" i="64" s="1"/>
  <c r="AF50" i="64" l="1"/>
  <c r="AU52" i="64"/>
  <c r="AL50" i="64"/>
  <c r="AM50" i="64" s="1"/>
  <c r="AH51" i="64" s="1"/>
  <c r="X51" i="64"/>
  <c r="Y51" i="64" s="1"/>
  <c r="Z51" i="64" s="1"/>
  <c r="U52" i="64" s="1"/>
  <c r="AY51" i="64" l="1"/>
  <c r="AN50" i="64"/>
  <c r="V52" i="64"/>
  <c r="AA51" i="64"/>
  <c r="AO50" i="64" l="1"/>
  <c r="AQ50" i="64"/>
  <c r="AP50" i="64"/>
  <c r="AI51" i="64"/>
  <c r="AD51" i="64"/>
  <c r="AC51" i="64"/>
  <c r="W52" i="64"/>
  <c r="AB51" i="64"/>
  <c r="AE51" i="64" s="1"/>
  <c r="AF51" i="64" l="1"/>
  <c r="AV52" i="64"/>
  <c r="AW52" i="64" s="1"/>
  <c r="AJ51" i="64"/>
  <c r="AR50" i="64"/>
  <c r="AS50" i="64" s="1"/>
  <c r="AK51" i="64"/>
  <c r="X52" i="64"/>
  <c r="Y52" i="64" s="1"/>
  <c r="Z52" i="64" s="1"/>
  <c r="U53" i="64" s="1"/>
  <c r="AU53" i="64" l="1"/>
  <c r="AL51" i="64"/>
  <c r="AM51" i="64" s="1"/>
  <c r="AH52" i="64" s="1"/>
  <c r="AA52" i="64"/>
  <c r="AB52" i="64" s="1"/>
  <c r="AE52" i="64" s="1"/>
  <c r="V53" i="64"/>
  <c r="AN51" i="64" l="1"/>
  <c r="AQ51" i="64" s="1"/>
  <c r="AY52" i="64"/>
  <c r="AI52" i="64"/>
  <c r="AD52" i="64"/>
  <c r="AC52" i="64"/>
  <c r="AF52" i="64" s="1"/>
  <c r="W53" i="64"/>
  <c r="X53" i="64"/>
  <c r="AO51" i="64" l="1"/>
  <c r="AK52" i="64" s="1"/>
  <c r="AP51" i="64"/>
  <c r="AJ52" i="64"/>
  <c r="Y53" i="64"/>
  <c r="Z53" i="64" s="1"/>
  <c r="U54" i="64" s="1"/>
  <c r="AR51" i="64" l="1"/>
  <c r="AS51" i="64" s="1"/>
  <c r="AV53" i="64"/>
  <c r="AW53" i="64" s="1"/>
  <c r="AL52" i="64"/>
  <c r="AM52" i="64" s="1"/>
  <c r="AH53" i="64" s="1"/>
  <c r="AA53" i="64"/>
  <c r="AB53" i="64" s="1"/>
  <c r="AE53" i="64" s="1"/>
  <c r="V54" i="64"/>
  <c r="AU54" i="64" l="1"/>
  <c r="AN52" i="64"/>
  <c r="AD53" i="64"/>
  <c r="AC53" i="64"/>
  <c r="AF53" i="64" s="1"/>
  <c r="W54" i="64"/>
  <c r="X54" i="64"/>
  <c r="AY53" i="64" l="1"/>
  <c r="AP52" i="64"/>
  <c r="AQ52" i="64"/>
  <c r="AO52" i="64"/>
  <c r="AI53" i="64"/>
  <c r="Y54" i="64"/>
  <c r="Z54" i="64" s="1"/>
  <c r="U55" i="64" s="1"/>
  <c r="AJ53" i="64" l="1"/>
  <c r="AR52" i="64"/>
  <c r="AK53" i="64"/>
  <c r="AS52" i="64"/>
  <c r="AA54" i="64"/>
  <c r="AB54" i="64" s="1"/>
  <c r="AE54" i="64" s="1"/>
  <c r="V55" i="64"/>
  <c r="AV54" i="64" l="1"/>
  <c r="AW54" i="64" s="1"/>
  <c r="AL53" i="64"/>
  <c r="AM53" i="64" s="1"/>
  <c r="AH54" i="64" s="1"/>
  <c r="AD54" i="64"/>
  <c r="AC54" i="64"/>
  <c r="AF54" i="64" s="1"/>
  <c r="W55" i="64"/>
  <c r="X55" i="64"/>
  <c r="AU55" i="64" l="1"/>
  <c r="AN53" i="64"/>
  <c r="Y55" i="64"/>
  <c r="Z55" i="64" s="1"/>
  <c r="U56" i="64" s="1"/>
  <c r="AY54" i="64" l="1"/>
  <c r="AO53" i="64"/>
  <c r="AQ53" i="64"/>
  <c r="AP53" i="64"/>
  <c r="AI54" i="64"/>
  <c r="V56" i="64"/>
  <c r="AA55" i="64"/>
  <c r="AJ54" i="64" l="1"/>
  <c r="AR53" i="64"/>
  <c r="AS53" i="64" s="1"/>
  <c r="AK54" i="64"/>
  <c r="AC55" i="64"/>
  <c r="AD55" i="64"/>
  <c r="W56" i="64"/>
  <c r="AB55" i="64"/>
  <c r="AE55" i="64" s="1"/>
  <c r="AF55" i="64" l="1"/>
  <c r="AV55" i="64"/>
  <c r="AW55" i="64" s="1"/>
  <c r="AL54" i="64"/>
  <c r="AM54" i="64" s="1"/>
  <c r="AH55" i="64" s="1"/>
  <c r="X56" i="64"/>
  <c r="Y56" i="64" s="1"/>
  <c r="Z56" i="64" s="1"/>
  <c r="U57" i="64" s="1"/>
  <c r="AU56" i="64" l="1"/>
  <c r="AN54" i="64"/>
  <c r="AA56" i="64"/>
  <c r="AB56" i="64" s="1"/>
  <c r="AE56" i="64" s="1"/>
  <c r="V57" i="64"/>
  <c r="AY55" i="64" l="1"/>
  <c r="AQ54" i="64"/>
  <c r="AP54" i="64"/>
  <c r="AO54" i="64"/>
  <c r="AI55" i="64"/>
  <c r="AC56" i="64"/>
  <c r="AD56" i="64"/>
  <c r="W57" i="64"/>
  <c r="X57" i="64"/>
  <c r="AF56" i="64" l="1"/>
  <c r="AJ55" i="64"/>
  <c r="AR54" i="64"/>
  <c r="AS54" i="64" s="1"/>
  <c r="AK55" i="64"/>
  <c r="Y57" i="64"/>
  <c r="Z57" i="64" s="1"/>
  <c r="U58" i="64" s="1"/>
  <c r="AV56" i="64" l="1"/>
  <c r="AW56" i="64" s="1"/>
  <c r="AL55" i="64"/>
  <c r="AM55" i="64" s="1"/>
  <c r="AH56" i="64" s="1"/>
  <c r="V58" i="64"/>
  <c r="AA57" i="64"/>
  <c r="AU57" i="64" l="1"/>
  <c r="AN55" i="64"/>
  <c r="AC57" i="64"/>
  <c r="AD57" i="64"/>
  <c r="W58" i="64"/>
  <c r="AB57" i="64"/>
  <c r="AE57" i="64" s="1"/>
  <c r="AF57" i="64" l="1"/>
  <c r="AY56" i="64"/>
  <c r="AO55" i="64"/>
  <c r="AQ55" i="64"/>
  <c r="AP55" i="64"/>
  <c r="AI56" i="64"/>
  <c r="X58" i="64"/>
  <c r="Y58" i="64" s="1"/>
  <c r="Z58" i="64" s="1"/>
  <c r="U59" i="64" s="1"/>
  <c r="AJ56" i="64" l="1"/>
  <c r="AR55" i="64"/>
  <c r="AS55" i="64" s="1"/>
  <c r="AK56" i="64"/>
  <c r="AA58" i="64"/>
  <c r="AB58" i="64" s="1"/>
  <c r="AE58" i="64" s="1"/>
  <c r="V59" i="64"/>
  <c r="AV57" i="64" l="1"/>
  <c r="AW57" i="64" s="1"/>
  <c r="AL56" i="64"/>
  <c r="AM56" i="64" s="1"/>
  <c r="AH57" i="64" s="1"/>
  <c r="AD58" i="64"/>
  <c r="AC58" i="64"/>
  <c r="AF58" i="64" s="1"/>
  <c r="W59" i="64"/>
  <c r="X59" i="64"/>
  <c r="AU58" i="64" l="1"/>
  <c r="AN56" i="64"/>
  <c r="Y59" i="64"/>
  <c r="Z59" i="64" s="1"/>
  <c r="U60" i="64" s="1"/>
  <c r="AY57" i="64" l="1"/>
  <c r="AQ56" i="64"/>
  <c r="AP56" i="64"/>
  <c r="AO56" i="64"/>
  <c r="AI57" i="64"/>
  <c r="V60" i="64"/>
  <c r="AA59" i="64"/>
  <c r="AJ57" i="64" l="1"/>
  <c r="AR56" i="64"/>
  <c r="AS56" i="64" s="1"/>
  <c r="AK57" i="64"/>
  <c r="AC59" i="64"/>
  <c r="AD59" i="64"/>
  <c r="W60" i="64"/>
  <c r="AB59" i="64"/>
  <c r="AE59" i="64" s="1"/>
  <c r="AF59" i="64" l="1"/>
  <c r="AV58" i="64"/>
  <c r="AW58" i="64" s="1"/>
  <c r="AL57" i="64"/>
  <c r="AM57" i="64" s="1"/>
  <c r="AH58" i="64" s="1"/>
  <c r="X60" i="64"/>
  <c r="Y60" i="64" s="1"/>
  <c r="Z60" i="64" s="1"/>
  <c r="U61" i="64" s="1"/>
  <c r="AU59" i="64" l="1"/>
  <c r="AN57" i="64"/>
  <c r="AA60" i="64"/>
  <c r="AC60" i="64" s="1"/>
  <c r="V61" i="64"/>
  <c r="AY58" i="64" l="1"/>
  <c r="AP57" i="64"/>
  <c r="AQ57" i="64"/>
  <c r="AO57" i="64"/>
  <c r="AI58" i="64"/>
  <c r="AB60" i="64"/>
  <c r="AE60" i="64" s="1"/>
  <c r="W61" i="64"/>
  <c r="AD60" i="64"/>
  <c r="AF60" i="64" l="1"/>
  <c r="AJ58" i="64"/>
  <c r="AR57" i="64"/>
  <c r="AS57" i="64" s="1"/>
  <c r="AK58" i="64"/>
  <c r="X61" i="64"/>
  <c r="Y61" i="64" s="1"/>
  <c r="Z61" i="64" s="1"/>
  <c r="AV59" i="64" l="1"/>
  <c r="AW59" i="64" s="1"/>
  <c r="AL58" i="64"/>
  <c r="AM58" i="64" s="1"/>
  <c r="AH59" i="64" s="1"/>
  <c r="U62" i="64"/>
  <c r="AA61" i="64"/>
  <c r="AB61" i="64" s="1"/>
  <c r="AE61" i="64" s="1"/>
  <c r="AU60" i="64" l="1"/>
  <c r="AN58" i="64"/>
  <c r="AD61" i="64"/>
  <c r="AC61" i="64"/>
  <c r="AF61" i="64" s="1"/>
  <c r="V62" i="64"/>
  <c r="X62" i="64"/>
  <c r="AY59" i="64" l="1"/>
  <c r="AP58" i="64"/>
  <c r="AQ58" i="64"/>
  <c r="AO58" i="64"/>
  <c r="AI59" i="64"/>
  <c r="W62" i="64"/>
  <c r="Y62" i="64" s="1"/>
  <c r="Z62" i="64" s="1"/>
  <c r="U63" i="64" s="1"/>
  <c r="AJ59" i="64" l="1"/>
  <c r="AR58" i="64"/>
  <c r="AK59" i="64"/>
  <c r="AS58" i="64"/>
  <c r="V63" i="64"/>
  <c r="AA62" i="64"/>
  <c r="AV60" i="64" l="1"/>
  <c r="AW60" i="64" s="1"/>
  <c r="AL59" i="64"/>
  <c r="AM59" i="64" s="1"/>
  <c r="AH60" i="64" s="1"/>
  <c r="AD62" i="64"/>
  <c r="AC62" i="64"/>
  <c r="AB62" i="64"/>
  <c r="AE62" i="64" s="1"/>
  <c r="W63" i="64"/>
  <c r="AF62" i="64" l="1"/>
  <c r="AN59" i="64"/>
  <c r="AQ59" i="64" s="1"/>
  <c r="AU61" i="64"/>
  <c r="AI60" i="64"/>
  <c r="X63" i="64"/>
  <c r="Y63" i="64" s="1"/>
  <c r="Z63" i="64" s="1"/>
  <c r="U64" i="64" s="1"/>
  <c r="AO59" i="64" l="1"/>
  <c r="AK60" i="64" s="1"/>
  <c r="AP59" i="64"/>
  <c r="AY60" i="64"/>
  <c r="AJ60" i="64"/>
  <c r="V64" i="64"/>
  <c r="AA63" i="64"/>
  <c r="AB63" i="64" s="1"/>
  <c r="AE63" i="64" s="1"/>
  <c r="AR59" i="64" l="1"/>
  <c r="AS59" i="64" s="1"/>
  <c r="AL60" i="64"/>
  <c r="AM60" i="64" s="1"/>
  <c r="AH61" i="64" s="1"/>
  <c r="AC63" i="64"/>
  <c r="AD63" i="64"/>
  <c r="W64" i="64"/>
  <c r="X64" i="64"/>
  <c r="AF63" i="64" l="1"/>
  <c r="AN60" i="64"/>
  <c r="AQ60" i="64" s="1"/>
  <c r="AV61" i="64"/>
  <c r="AW61" i="64" s="1"/>
  <c r="AI61" i="64"/>
  <c r="Y64" i="64"/>
  <c r="Z64" i="64" s="1"/>
  <c r="U65" i="64" s="1"/>
  <c r="AP60" i="64" l="1"/>
  <c r="AO60" i="64"/>
  <c r="AR60" i="64" s="1"/>
  <c r="AS60" i="64" s="1"/>
  <c r="AU62" i="64"/>
  <c r="AJ61" i="64"/>
  <c r="AA64" i="64"/>
  <c r="AB64" i="64" s="1"/>
  <c r="AE64" i="64" s="1"/>
  <c r="V65" i="64"/>
  <c r="AK61" i="64" l="1"/>
  <c r="AL61" i="64" s="1"/>
  <c r="AM61" i="64" s="1"/>
  <c r="AH62" i="64" s="1"/>
  <c r="AY61" i="64"/>
  <c r="AD64" i="64"/>
  <c r="AC64" i="64"/>
  <c r="AF64" i="64" s="1"/>
  <c r="W65" i="64"/>
  <c r="X65" i="64"/>
  <c r="AN61" i="64" l="1"/>
  <c r="AO61" i="64" s="1"/>
  <c r="AI62" i="64"/>
  <c r="Y65" i="64"/>
  <c r="Z65" i="64" s="1"/>
  <c r="U66" i="64" s="1"/>
  <c r="AQ61" i="64" l="1"/>
  <c r="AP61" i="64"/>
  <c r="AV62" i="64"/>
  <c r="AW62" i="64" s="1"/>
  <c r="AJ62" i="64"/>
  <c r="AR61" i="64"/>
  <c r="AS61" i="64" s="1"/>
  <c r="AK62" i="64"/>
  <c r="V66" i="64"/>
  <c r="AA65" i="64"/>
  <c r="AU63" i="64" l="1"/>
  <c r="AL62" i="64"/>
  <c r="AM62" i="64" s="1"/>
  <c r="AH63" i="64" s="1"/>
  <c r="AD65" i="64"/>
  <c r="AC65" i="64"/>
  <c r="W66" i="64"/>
  <c r="AB65" i="64"/>
  <c r="AE65" i="64" s="1"/>
  <c r="AF65" i="64" l="1"/>
  <c r="AY62" i="64"/>
  <c r="AN62" i="64"/>
  <c r="X66" i="64"/>
  <c r="Y66" i="64" s="1"/>
  <c r="Z66" i="64" s="1"/>
  <c r="U67" i="64" s="1"/>
  <c r="AO62" i="64" l="1"/>
  <c r="AQ62" i="64"/>
  <c r="AP62" i="64"/>
  <c r="AI63" i="64"/>
  <c r="AA66" i="64"/>
  <c r="AB66" i="64" s="1"/>
  <c r="AE66" i="64" s="1"/>
  <c r="V67" i="64"/>
  <c r="AV63" i="64" l="1"/>
  <c r="AW63" i="64" s="1"/>
  <c r="AJ63" i="64"/>
  <c r="AR62" i="64"/>
  <c r="AS62" i="64" s="1"/>
  <c r="AK63" i="64"/>
  <c r="AD66" i="64"/>
  <c r="AC66" i="64"/>
  <c r="AF66" i="64" s="1"/>
  <c r="W67" i="64"/>
  <c r="X67" i="64"/>
  <c r="AU64" i="64" l="1"/>
  <c r="AL63" i="64"/>
  <c r="AM63" i="64" s="1"/>
  <c r="AH64" i="64" s="1"/>
  <c r="Y67" i="64"/>
  <c r="Z67" i="64" s="1"/>
  <c r="U68" i="64" s="1"/>
  <c r="AY63" i="64" l="1"/>
  <c r="AN63" i="64"/>
  <c r="V68" i="64"/>
  <c r="AA67" i="64"/>
  <c r="AB67" i="64" s="1"/>
  <c r="AE67" i="64" s="1"/>
  <c r="AQ63" i="64" l="1"/>
  <c r="AP63" i="64"/>
  <c r="AO63" i="64"/>
  <c r="AI64" i="64"/>
  <c r="AC67" i="64"/>
  <c r="AD67" i="64"/>
  <c r="W68" i="64"/>
  <c r="X68" i="64"/>
  <c r="AF67" i="64" l="1"/>
  <c r="AV64" i="64"/>
  <c r="AW64" i="64" s="1"/>
  <c r="AJ64" i="64"/>
  <c r="AR63" i="64"/>
  <c r="AS63" i="64" s="1"/>
  <c r="AK64" i="64"/>
  <c r="Y68" i="64"/>
  <c r="Z68" i="64" s="1"/>
  <c r="U69" i="64" s="1"/>
  <c r="AU65" i="64" l="1"/>
  <c r="AL64" i="64"/>
  <c r="AM64" i="64" s="1"/>
  <c r="AH65" i="64" s="1"/>
  <c r="V69" i="64"/>
  <c r="AA68" i="64"/>
  <c r="AB68" i="64" s="1"/>
  <c r="AE68" i="64" s="1"/>
  <c r="AY64" i="64" l="1"/>
  <c r="AN64" i="64"/>
  <c r="AC68" i="64"/>
  <c r="AD68" i="64"/>
  <c r="W69" i="64"/>
  <c r="X69" i="64"/>
  <c r="AF68" i="64" l="1"/>
  <c r="AQ64" i="64"/>
  <c r="AP64" i="64"/>
  <c r="AO64" i="64"/>
  <c r="AI65" i="64"/>
  <c r="Y69" i="64"/>
  <c r="Z69" i="64" s="1"/>
  <c r="U70" i="64" s="1"/>
  <c r="AV65" i="64" l="1"/>
  <c r="AW65" i="64" s="1"/>
  <c r="AJ65" i="64"/>
  <c r="AR64" i="64"/>
  <c r="AS64" i="64" s="1"/>
  <c r="AK65" i="64"/>
  <c r="V70" i="64"/>
  <c r="AA69" i="64"/>
  <c r="AU66" i="64" l="1"/>
  <c r="AL65" i="64"/>
  <c r="AM65" i="64" s="1"/>
  <c r="AH66" i="64" s="1"/>
  <c r="AC69" i="64"/>
  <c r="AD69" i="64"/>
  <c r="W70" i="64"/>
  <c r="AB69" i="64"/>
  <c r="AE69" i="64" s="1"/>
  <c r="AF69" i="64" l="1"/>
  <c r="AY65" i="64"/>
  <c r="AN65" i="64"/>
  <c r="X70" i="64"/>
  <c r="Y70" i="64" s="1"/>
  <c r="Z70" i="64" s="1"/>
  <c r="U71" i="64" s="1"/>
  <c r="AQ65" i="64" l="1"/>
  <c r="AP65" i="64"/>
  <c r="AO65" i="64"/>
  <c r="AI66" i="64"/>
  <c r="V71" i="64"/>
  <c r="AA70" i="64"/>
  <c r="AB70" i="64" s="1"/>
  <c r="AE70" i="64" s="1"/>
  <c r="AV66" i="64" l="1"/>
  <c r="AW66" i="64" s="1"/>
  <c r="AJ66" i="64"/>
  <c r="AR65" i="64"/>
  <c r="AS65" i="64" s="1"/>
  <c r="AK66" i="64"/>
  <c r="AC70" i="64"/>
  <c r="AD70" i="64"/>
  <c r="W71" i="64"/>
  <c r="X71" i="64"/>
  <c r="AF70" i="64" l="1"/>
  <c r="AU67" i="64"/>
  <c r="AL66" i="64"/>
  <c r="AM66" i="64" s="1"/>
  <c r="AH67" i="64" s="1"/>
  <c r="Y71" i="64"/>
  <c r="Z71" i="64" s="1"/>
  <c r="U72" i="64" s="1"/>
  <c r="AY66" i="64" l="1"/>
  <c r="AN66" i="64"/>
  <c r="V72" i="64"/>
  <c r="AA71" i="64"/>
  <c r="AB71" i="64" s="1"/>
  <c r="AE71" i="64" s="1"/>
  <c r="AQ66" i="64" l="1"/>
  <c r="AP66" i="64"/>
  <c r="AO66" i="64"/>
  <c r="AI67" i="64"/>
  <c r="AD71" i="64"/>
  <c r="AC71" i="64"/>
  <c r="W72" i="64"/>
  <c r="X72" i="64"/>
  <c r="AF71" i="64" l="1"/>
  <c r="AV67" i="64"/>
  <c r="AW67" i="64" s="1"/>
  <c r="AJ67" i="64"/>
  <c r="AR66" i="64"/>
  <c r="AS66" i="64" s="1"/>
  <c r="AK67" i="64"/>
  <c r="Y72" i="64"/>
  <c r="Z72" i="64" s="1"/>
  <c r="U73" i="64" s="1"/>
  <c r="AU68" i="64" l="1"/>
  <c r="AL67" i="64"/>
  <c r="AM67" i="64" s="1"/>
  <c r="AH68" i="64" s="1"/>
  <c r="V73" i="64"/>
  <c r="AA72" i="64"/>
  <c r="AB72" i="64" s="1"/>
  <c r="AE72" i="64" s="1"/>
  <c r="AY67" i="64" l="1"/>
  <c r="AN67" i="64"/>
  <c r="AD72" i="64"/>
  <c r="AC72" i="64"/>
  <c r="AF72" i="64" s="1"/>
  <c r="W73" i="64"/>
  <c r="X73" i="64"/>
  <c r="AO67" i="64" l="1"/>
  <c r="AP67" i="64"/>
  <c r="AQ67" i="64"/>
  <c r="AI68" i="64"/>
  <c r="Y73" i="64"/>
  <c r="Z73" i="64" s="1"/>
  <c r="U74" i="64" s="1"/>
  <c r="AV68" i="64" l="1"/>
  <c r="AW68" i="64" s="1"/>
  <c r="AJ68" i="64"/>
  <c r="AR67" i="64"/>
  <c r="AS67" i="64" s="1"/>
  <c r="AK68" i="64"/>
  <c r="V74" i="64"/>
  <c r="AA73" i="64"/>
  <c r="AB73" i="64" s="1"/>
  <c r="AE73" i="64" s="1"/>
  <c r="AU69" i="64" l="1"/>
  <c r="AL68" i="64"/>
  <c r="AM68" i="64" s="1"/>
  <c r="AH69" i="64" s="1"/>
  <c r="AC73" i="64"/>
  <c r="AD73" i="64"/>
  <c r="W74" i="64"/>
  <c r="X74" i="64"/>
  <c r="AF73" i="64" l="1"/>
  <c r="AY68" i="64"/>
  <c r="AN68" i="64"/>
  <c r="Y74" i="64"/>
  <c r="Z74" i="64" s="1"/>
  <c r="U75" i="64" s="1"/>
  <c r="AQ68" i="64" l="1"/>
  <c r="AP68" i="64"/>
  <c r="AO68" i="64"/>
  <c r="AI69" i="64"/>
  <c r="V75" i="64"/>
  <c r="AA74" i="64"/>
  <c r="AB74" i="64" s="1"/>
  <c r="AE74" i="64" s="1"/>
  <c r="AV69" i="64" l="1"/>
  <c r="AW69" i="64" s="1"/>
  <c r="AJ69" i="64"/>
  <c r="AR68" i="64"/>
  <c r="AS68" i="64" s="1"/>
  <c r="AK69" i="64"/>
  <c r="AC74" i="64"/>
  <c r="AD74" i="64"/>
  <c r="W75" i="64"/>
  <c r="X75" i="64"/>
  <c r="AF74" i="64" l="1"/>
  <c r="AU70" i="64"/>
  <c r="AL69" i="64"/>
  <c r="AM69" i="64" s="1"/>
  <c r="AH70" i="64" s="1"/>
  <c r="Y75" i="64"/>
  <c r="Z75" i="64" s="1"/>
  <c r="U76" i="64" s="1"/>
  <c r="AY69" i="64" l="1"/>
  <c r="AN69" i="64"/>
  <c r="V76" i="64"/>
  <c r="AA75" i="64"/>
  <c r="AB75" i="64" s="1"/>
  <c r="AE75" i="64" s="1"/>
  <c r="AO69" i="64" l="1"/>
  <c r="AQ69" i="64"/>
  <c r="AP69" i="64"/>
  <c r="AI70" i="64"/>
  <c r="AD75" i="64"/>
  <c r="AC75" i="64"/>
  <c r="AF75" i="64" s="1"/>
  <c r="W76" i="64"/>
  <c r="X76" i="64"/>
  <c r="AV70" i="64" l="1"/>
  <c r="AW70" i="64" s="1"/>
  <c r="AJ70" i="64"/>
  <c r="AR69" i="64"/>
  <c r="AS69" i="64" s="1"/>
  <c r="AK70" i="64"/>
  <c r="Y76" i="64"/>
  <c r="Z76" i="64" s="1"/>
  <c r="U77" i="64" s="1"/>
  <c r="AU71" i="64" l="1"/>
  <c r="AL70" i="64"/>
  <c r="AM70" i="64" s="1"/>
  <c r="AH71" i="64" s="1"/>
  <c r="V77" i="64"/>
  <c r="AA76" i="64"/>
  <c r="AB76" i="64" s="1"/>
  <c r="AE76" i="64" s="1"/>
  <c r="AY70" i="64" l="1"/>
  <c r="AN70" i="64"/>
  <c r="AD76" i="64"/>
  <c r="AC76" i="64"/>
  <c r="AF76" i="64" s="1"/>
  <c r="W77" i="64"/>
  <c r="X77" i="64"/>
  <c r="AO70" i="64" l="1"/>
  <c r="AP70" i="64"/>
  <c r="AQ70" i="64"/>
  <c r="AI71" i="64"/>
  <c r="Y77" i="64"/>
  <c r="Z77" i="64" s="1"/>
  <c r="U78" i="64" s="1"/>
  <c r="AV71" i="64" l="1"/>
  <c r="AW71" i="64" s="1"/>
  <c r="AJ71" i="64"/>
  <c r="AR70" i="64"/>
  <c r="AS70" i="64" s="1"/>
  <c r="AK71" i="64"/>
  <c r="V78" i="64"/>
  <c r="AA77" i="64"/>
  <c r="AB77" i="64" s="1"/>
  <c r="AE77" i="64" s="1"/>
  <c r="AU72" i="64" l="1"/>
  <c r="AL71" i="64"/>
  <c r="AM71" i="64" s="1"/>
  <c r="AH72" i="64" s="1"/>
  <c r="AC77" i="64"/>
  <c r="AD77" i="64"/>
  <c r="W78" i="64"/>
  <c r="X78" i="64"/>
  <c r="AF77" i="64" l="1"/>
  <c r="AY71" i="64"/>
  <c r="AN71" i="64"/>
  <c r="Y78" i="64"/>
  <c r="Z78" i="64" s="1"/>
  <c r="U79" i="64" s="1"/>
  <c r="AO71" i="64" l="1"/>
  <c r="AP71" i="64"/>
  <c r="AQ71" i="64"/>
  <c r="AI72" i="64"/>
  <c r="V79" i="64"/>
  <c r="AA78" i="64"/>
  <c r="AB78" i="64" s="1"/>
  <c r="AE78" i="64" s="1"/>
  <c r="AV72" i="64" l="1"/>
  <c r="AW72" i="64" s="1"/>
  <c r="AJ72" i="64"/>
  <c r="AR71" i="64"/>
  <c r="AS71" i="64" s="1"/>
  <c r="AK72" i="64"/>
  <c r="AD78" i="64"/>
  <c r="AC78" i="64"/>
  <c r="AF78" i="64" s="1"/>
  <c r="W79" i="64"/>
  <c r="X79" i="64"/>
  <c r="AU73" i="64" l="1"/>
  <c r="AL72" i="64"/>
  <c r="AM72" i="64" s="1"/>
  <c r="AH73" i="64" s="1"/>
  <c r="Y79" i="64"/>
  <c r="Z79" i="64" s="1"/>
  <c r="U80" i="64" s="1"/>
  <c r="AY72" i="64" l="1"/>
  <c r="AN72" i="64"/>
  <c r="V80" i="64"/>
  <c r="AA79" i="64"/>
  <c r="AB79" i="64" s="1"/>
  <c r="AE79" i="64" s="1"/>
  <c r="AO72" i="64" l="1"/>
  <c r="AQ72" i="64"/>
  <c r="AP72" i="64"/>
  <c r="AI73" i="64"/>
  <c r="AD79" i="64"/>
  <c r="AC79" i="64"/>
  <c r="AF79" i="64" s="1"/>
  <c r="W80" i="64"/>
  <c r="X80" i="64"/>
  <c r="AV73" i="64" l="1"/>
  <c r="AW73" i="64" s="1"/>
  <c r="AJ73" i="64"/>
  <c r="AR72" i="64"/>
  <c r="AS72" i="64" s="1"/>
  <c r="AK73" i="64"/>
  <c r="Y80" i="64"/>
  <c r="Z80" i="64" s="1"/>
  <c r="U81" i="64" s="1"/>
  <c r="AU74" i="64" l="1"/>
  <c r="AL73" i="64"/>
  <c r="AM73" i="64" s="1"/>
  <c r="AH74" i="64" s="1"/>
  <c r="V81" i="64"/>
  <c r="AA80" i="64"/>
  <c r="AB80" i="64" s="1"/>
  <c r="AE80" i="64" s="1"/>
  <c r="AY73" i="64" l="1"/>
  <c r="AN73" i="64"/>
  <c r="AD80" i="64"/>
  <c r="AC80" i="64"/>
  <c r="AF80" i="64" s="1"/>
  <c r="W81" i="64"/>
  <c r="X81" i="64"/>
  <c r="AQ73" i="64" l="1"/>
  <c r="AP73" i="64"/>
  <c r="AO73" i="64"/>
  <c r="AI74" i="64"/>
  <c r="Y81" i="64"/>
  <c r="Z81" i="64" s="1"/>
  <c r="U82" i="64" s="1"/>
  <c r="AV74" i="64" l="1"/>
  <c r="AW74" i="64" s="1"/>
  <c r="AJ74" i="64"/>
  <c r="AR73" i="64"/>
  <c r="AS73" i="64" s="1"/>
  <c r="AK74" i="64"/>
  <c r="V82" i="64"/>
  <c r="AA81" i="64"/>
  <c r="AB81" i="64" s="1"/>
  <c r="AE81" i="64" s="1"/>
  <c r="AU75" i="64" l="1"/>
  <c r="AL74" i="64"/>
  <c r="AM74" i="64" s="1"/>
  <c r="AH75" i="64" s="1"/>
  <c r="AD81" i="64"/>
  <c r="AC81" i="64"/>
  <c r="AF81" i="64" s="1"/>
  <c r="W82" i="64"/>
  <c r="X82" i="64"/>
  <c r="AY74" i="64" l="1"/>
  <c r="AN74" i="64"/>
  <c r="Y82" i="64"/>
  <c r="Z82" i="64" s="1"/>
  <c r="U83" i="64" s="1"/>
  <c r="AO74" i="64" l="1"/>
  <c r="AQ74" i="64"/>
  <c r="AP74" i="64"/>
  <c r="AI75" i="64"/>
  <c r="V83" i="64"/>
  <c r="AA82" i="64"/>
  <c r="AB82" i="64" s="1"/>
  <c r="AE82" i="64" s="1"/>
  <c r="AV75" i="64" l="1"/>
  <c r="AW75" i="64" s="1"/>
  <c r="AJ75" i="64"/>
  <c r="AR74" i="64"/>
  <c r="AS74" i="64" s="1"/>
  <c r="AK75" i="64"/>
  <c r="AD82" i="64"/>
  <c r="AC82" i="64"/>
  <c r="AF82" i="64" s="1"/>
  <c r="W83" i="64"/>
  <c r="X83" i="64"/>
  <c r="AU76" i="64" l="1"/>
  <c r="AL75" i="64"/>
  <c r="AM75" i="64" s="1"/>
  <c r="AH76" i="64" s="1"/>
  <c r="Y83" i="64"/>
  <c r="Z83" i="64" s="1"/>
  <c r="U84" i="64" s="1"/>
  <c r="AY75" i="64" l="1"/>
  <c r="AW15" i="64" s="1"/>
  <c r="J38" i="62" s="1"/>
  <c r="N310" i="66" s="1"/>
  <c r="AN75" i="64"/>
  <c r="AA83" i="64"/>
  <c r="AB83" i="64" s="1"/>
  <c r="AE83" i="64" s="1"/>
  <c r="V84" i="64"/>
  <c r="AQ75" i="64" l="1"/>
  <c r="AP75" i="64"/>
  <c r="AO75" i="64"/>
  <c r="AI76" i="64"/>
  <c r="AD83" i="64"/>
  <c r="AC83" i="64"/>
  <c r="AF83" i="64" s="1"/>
  <c r="W84" i="64"/>
  <c r="X84" i="64"/>
  <c r="AV76" i="64" l="1"/>
  <c r="AW76" i="64" s="1"/>
  <c r="AJ76" i="64"/>
  <c r="AR75" i="64"/>
  <c r="AS75" i="64" s="1"/>
  <c r="AK76" i="64"/>
  <c r="Y84" i="64"/>
  <c r="Z84" i="64" s="1"/>
  <c r="U85" i="64" s="1"/>
  <c r="AU77" i="64" l="1"/>
  <c r="AL76" i="64"/>
  <c r="AM76" i="64" s="1"/>
  <c r="AH77" i="64" s="1"/>
  <c r="V85" i="64"/>
  <c r="AA84" i="64"/>
  <c r="AY76" i="64" l="1"/>
  <c r="AN76" i="64"/>
  <c r="AC84" i="64"/>
  <c r="AD84" i="64"/>
  <c r="W85" i="64"/>
  <c r="AB84" i="64"/>
  <c r="AE84" i="64" s="1"/>
  <c r="AF84" i="64" l="1"/>
  <c r="AO76" i="64"/>
  <c r="AP76" i="64"/>
  <c r="AQ76" i="64"/>
  <c r="AI77" i="64"/>
  <c r="X85" i="64"/>
  <c r="Y85" i="64" s="1"/>
  <c r="Z85" i="64" s="1"/>
  <c r="U86" i="64" s="1"/>
  <c r="AV77" i="64" l="1"/>
  <c r="AW77" i="64" s="1"/>
  <c r="AJ77" i="64"/>
  <c r="AR76" i="64"/>
  <c r="AS76" i="64" s="1"/>
  <c r="AK77" i="64"/>
  <c r="V86" i="64"/>
  <c r="AA85" i="64"/>
  <c r="AB85" i="64" s="1"/>
  <c r="AE85" i="64" s="1"/>
  <c r="AU78" i="64" l="1"/>
  <c r="AL77" i="64"/>
  <c r="AM77" i="64" s="1"/>
  <c r="AH78" i="64" s="1"/>
  <c r="AD85" i="64"/>
  <c r="AC85" i="64"/>
  <c r="AF85" i="64" s="1"/>
  <c r="W86" i="64"/>
  <c r="X86" i="64"/>
  <c r="AY77" i="64" l="1"/>
  <c r="AN77" i="64"/>
  <c r="Y86" i="64"/>
  <c r="Z86" i="64" s="1"/>
  <c r="U87" i="64" s="1"/>
  <c r="AO77" i="64" l="1"/>
  <c r="AP77" i="64"/>
  <c r="AQ77" i="64"/>
  <c r="AI78" i="64"/>
  <c r="V87" i="64"/>
  <c r="AA86" i="64"/>
  <c r="AV78" i="64" l="1"/>
  <c r="AW78" i="64" s="1"/>
  <c r="AJ78" i="64"/>
  <c r="AR77" i="64"/>
  <c r="AS77" i="64" s="1"/>
  <c r="AK78" i="64"/>
  <c r="AD86" i="64"/>
  <c r="AC86" i="64"/>
  <c r="W87" i="64"/>
  <c r="AB86" i="64"/>
  <c r="AE86" i="64" s="1"/>
  <c r="AF86" i="64" l="1"/>
  <c r="AU79" i="64"/>
  <c r="AL78" i="64"/>
  <c r="AM78" i="64" s="1"/>
  <c r="AH79" i="64" s="1"/>
  <c r="X87" i="64"/>
  <c r="Y87" i="64" s="1"/>
  <c r="Z87" i="64" s="1"/>
  <c r="U88" i="64" s="1"/>
  <c r="AY78" i="64" l="1"/>
  <c r="AN78" i="64"/>
  <c r="V88" i="64"/>
  <c r="AA87" i="64"/>
  <c r="AB87" i="64" s="1"/>
  <c r="AE87" i="64" s="1"/>
  <c r="AQ78" i="64" l="1"/>
  <c r="AP78" i="64"/>
  <c r="AO78" i="64"/>
  <c r="AI79" i="64"/>
  <c r="AC87" i="64"/>
  <c r="AD87" i="64"/>
  <c r="W88" i="64"/>
  <c r="X88" i="64"/>
  <c r="AF87" i="64" l="1"/>
  <c r="AV79" i="64"/>
  <c r="AW79" i="64" s="1"/>
  <c r="AJ79" i="64"/>
  <c r="AR78" i="64"/>
  <c r="AS78" i="64" s="1"/>
  <c r="AK79" i="64"/>
  <c r="Y88" i="64"/>
  <c r="Z88" i="64" s="1"/>
  <c r="U89" i="64" s="1"/>
  <c r="AU80" i="64" l="1"/>
  <c r="AL79" i="64"/>
  <c r="AM79" i="64" s="1"/>
  <c r="AH80" i="64" s="1"/>
  <c r="V89" i="64"/>
  <c r="AA88" i="64"/>
  <c r="AB88" i="64" s="1"/>
  <c r="AE88" i="64" s="1"/>
  <c r="AY79" i="64" l="1"/>
  <c r="AN79" i="64"/>
  <c r="AC88" i="64"/>
  <c r="AD88" i="64"/>
  <c r="W89" i="64"/>
  <c r="X89" i="64"/>
  <c r="AF88" i="64" l="1"/>
  <c r="AQ79" i="64"/>
  <c r="AP79" i="64"/>
  <c r="AO79" i="64"/>
  <c r="AI80" i="64"/>
  <c r="Y89" i="64"/>
  <c r="Z89" i="64" s="1"/>
  <c r="U90" i="64" s="1"/>
  <c r="AV80" i="64" l="1"/>
  <c r="AW80" i="64" s="1"/>
  <c r="AJ80" i="64"/>
  <c r="AR79" i="64"/>
  <c r="AS79" i="64" s="1"/>
  <c r="AK80" i="64"/>
  <c r="V90" i="64"/>
  <c r="AA89" i="64"/>
  <c r="AB89" i="64" s="1"/>
  <c r="AE89" i="64" s="1"/>
  <c r="AU81" i="64" l="1"/>
  <c r="AL80" i="64"/>
  <c r="AM80" i="64" s="1"/>
  <c r="AH81" i="64" s="1"/>
  <c r="AD89" i="64"/>
  <c r="AC89" i="64"/>
  <c r="AF89" i="64" s="1"/>
  <c r="W90" i="64"/>
  <c r="X90" i="64"/>
  <c r="AY80" i="64" l="1"/>
  <c r="AN80" i="64"/>
  <c r="Y90" i="64"/>
  <c r="Z90" i="64" s="1"/>
  <c r="U91" i="64" s="1"/>
  <c r="AO80" i="64" l="1"/>
  <c r="AP80" i="64"/>
  <c r="AQ80" i="64"/>
  <c r="AI81" i="64"/>
  <c r="V91" i="64"/>
  <c r="AA90" i="64"/>
  <c r="AB90" i="64" s="1"/>
  <c r="AE90" i="64" s="1"/>
  <c r="AV81" i="64" l="1"/>
  <c r="AW81" i="64" s="1"/>
  <c r="AJ81" i="64"/>
  <c r="AR80" i="64"/>
  <c r="AS80" i="64" s="1"/>
  <c r="AK81" i="64"/>
  <c r="AD90" i="64"/>
  <c r="AC90" i="64"/>
  <c r="AF90" i="64" s="1"/>
  <c r="W91" i="64"/>
  <c r="X91" i="64"/>
  <c r="AU82" i="64" l="1"/>
  <c r="AL81" i="64"/>
  <c r="AM81" i="64" s="1"/>
  <c r="AH82" i="64" s="1"/>
  <c r="Y91" i="64"/>
  <c r="Z91" i="64" s="1"/>
  <c r="U92" i="64" s="1"/>
  <c r="AY81" i="64" l="1"/>
  <c r="AN81" i="64"/>
  <c r="V92" i="64"/>
  <c r="AA91" i="64"/>
  <c r="AB91" i="64" s="1"/>
  <c r="AE91" i="64" s="1"/>
  <c r="AP81" i="64" l="1"/>
  <c r="AQ81" i="64"/>
  <c r="AO81" i="64"/>
  <c r="AI82" i="64"/>
  <c r="AD91" i="64"/>
  <c r="AC91" i="64"/>
  <c r="W92" i="64"/>
  <c r="X92" i="64"/>
  <c r="AF91" i="64" l="1"/>
  <c r="AV82" i="64"/>
  <c r="AW82" i="64" s="1"/>
  <c r="AJ82" i="64"/>
  <c r="AR81" i="64"/>
  <c r="AS81" i="64" s="1"/>
  <c r="AK82" i="64"/>
  <c r="Y92" i="64"/>
  <c r="Z92" i="64" s="1"/>
  <c r="U93" i="64" s="1"/>
  <c r="AU83" i="64" l="1"/>
  <c r="AL82" i="64"/>
  <c r="AM82" i="64" s="1"/>
  <c r="AH83" i="64" s="1"/>
  <c r="V93" i="64"/>
  <c r="AA92" i="64"/>
  <c r="AB92" i="64" s="1"/>
  <c r="AE92" i="64" s="1"/>
  <c r="AY82" i="64" l="1"/>
  <c r="AN82" i="64"/>
  <c r="AC92" i="64"/>
  <c r="AD92" i="64"/>
  <c r="W93" i="64"/>
  <c r="X93" i="64"/>
  <c r="AF92" i="64" l="1"/>
  <c r="AP82" i="64"/>
  <c r="AQ82" i="64"/>
  <c r="AO82" i="64"/>
  <c r="AI83" i="64"/>
  <c r="Y93" i="64"/>
  <c r="Z93" i="64" s="1"/>
  <c r="U94" i="64" s="1"/>
  <c r="AV83" i="64" l="1"/>
  <c r="AW83" i="64" s="1"/>
  <c r="AJ83" i="64"/>
  <c r="AR82" i="64"/>
  <c r="AS82" i="64" s="1"/>
  <c r="AK83" i="64"/>
  <c r="V94" i="64"/>
  <c r="AA93" i="64"/>
  <c r="AB93" i="64" s="1"/>
  <c r="AE93" i="64" s="1"/>
  <c r="AU84" i="64" l="1"/>
  <c r="AL83" i="64"/>
  <c r="AM83" i="64" s="1"/>
  <c r="AH84" i="64" s="1"/>
  <c r="AD93" i="64"/>
  <c r="AC93" i="64"/>
  <c r="AF93" i="64" s="1"/>
  <c r="W94" i="64"/>
  <c r="X94" i="64"/>
  <c r="AY83" i="64" l="1"/>
  <c r="AN83" i="64"/>
  <c r="Y94" i="64"/>
  <c r="Z94" i="64" s="1"/>
  <c r="U95" i="64" s="1"/>
  <c r="AP83" i="64" l="1"/>
  <c r="AQ83" i="64"/>
  <c r="AO83" i="64"/>
  <c r="AI84" i="64"/>
  <c r="V95" i="64"/>
  <c r="AA94" i="64"/>
  <c r="AB94" i="64" s="1"/>
  <c r="AE94" i="64" s="1"/>
  <c r="AV84" i="64" l="1"/>
  <c r="AW84" i="64" s="1"/>
  <c r="AJ84" i="64"/>
  <c r="AR83" i="64"/>
  <c r="AS83" i="64" s="1"/>
  <c r="AK84" i="64"/>
  <c r="AC94" i="64"/>
  <c r="AD94" i="64"/>
  <c r="W95" i="64"/>
  <c r="X95" i="64"/>
  <c r="AF94" i="64" l="1"/>
  <c r="AU85" i="64"/>
  <c r="AL84" i="64"/>
  <c r="AM84" i="64" s="1"/>
  <c r="AH85" i="64" s="1"/>
  <c r="Y95" i="64"/>
  <c r="Z95" i="64" s="1"/>
  <c r="U96" i="64" s="1"/>
  <c r="AY84" i="64" l="1"/>
  <c r="AN84" i="64"/>
  <c r="V96" i="64"/>
  <c r="AA95" i="64"/>
  <c r="AB95" i="64" s="1"/>
  <c r="AE95" i="64" s="1"/>
  <c r="AO84" i="64" l="1"/>
  <c r="AP84" i="64"/>
  <c r="AQ84" i="64"/>
  <c r="AI85" i="64"/>
  <c r="AD95" i="64"/>
  <c r="AC95" i="64"/>
  <c r="AF95" i="64" s="1"/>
  <c r="W96" i="64"/>
  <c r="X96" i="64"/>
  <c r="AV85" i="64" l="1"/>
  <c r="AW85" i="64" s="1"/>
  <c r="AJ85" i="64"/>
  <c r="AR84" i="64"/>
  <c r="AS84" i="64" s="1"/>
  <c r="AK85" i="64"/>
  <c r="Y96" i="64"/>
  <c r="Z96" i="64" s="1"/>
  <c r="U97" i="64" s="1"/>
  <c r="AU86" i="64" l="1"/>
  <c r="AL85" i="64"/>
  <c r="AM85" i="64" s="1"/>
  <c r="AH86" i="64" s="1"/>
  <c r="V97" i="64"/>
  <c r="AA96" i="64"/>
  <c r="AB96" i="64" s="1"/>
  <c r="AE96" i="64" s="1"/>
  <c r="AY85" i="64" l="1"/>
  <c r="AN85" i="64"/>
  <c r="AD96" i="64"/>
  <c r="AC96" i="64"/>
  <c r="AF96" i="64" s="1"/>
  <c r="W97" i="64"/>
  <c r="X97" i="64"/>
  <c r="AO85" i="64" l="1"/>
  <c r="AP85" i="64"/>
  <c r="AQ85" i="64"/>
  <c r="AI86" i="64"/>
  <c r="Y97" i="64"/>
  <c r="Z97" i="64" s="1"/>
  <c r="U98" i="64" s="1"/>
  <c r="AV86" i="64" l="1"/>
  <c r="AW86" i="64" s="1"/>
  <c r="AJ86" i="64"/>
  <c r="AR85" i="64"/>
  <c r="AS85" i="64" s="1"/>
  <c r="AK86" i="64"/>
  <c r="V98" i="64"/>
  <c r="AA97" i="64"/>
  <c r="AB97" i="64" s="1"/>
  <c r="AE97" i="64" s="1"/>
  <c r="AU87" i="64" l="1"/>
  <c r="AL86" i="64"/>
  <c r="AM86" i="64" s="1"/>
  <c r="AH87" i="64" s="1"/>
  <c r="AD97" i="64"/>
  <c r="AC97" i="64"/>
  <c r="AF97" i="64" s="1"/>
  <c r="W98" i="64"/>
  <c r="X98" i="64"/>
  <c r="AY86" i="64" l="1"/>
  <c r="AN86" i="64"/>
  <c r="Y98" i="64"/>
  <c r="Z98" i="64" s="1"/>
  <c r="U99" i="64" s="1"/>
  <c r="AO86" i="64" l="1"/>
  <c r="AP86" i="64"/>
  <c r="AQ86" i="64"/>
  <c r="AI87" i="64"/>
  <c r="V99" i="64"/>
  <c r="AA98" i="64"/>
  <c r="AB98" i="64" s="1"/>
  <c r="AE98" i="64" s="1"/>
  <c r="AV87" i="64" l="1"/>
  <c r="AW87" i="64" s="1"/>
  <c r="AJ87" i="64"/>
  <c r="AR86" i="64"/>
  <c r="AS86" i="64" s="1"/>
  <c r="AK87" i="64"/>
  <c r="AD98" i="64"/>
  <c r="AC98" i="64"/>
  <c r="W99" i="64"/>
  <c r="X99" i="64"/>
  <c r="AF98" i="64" l="1"/>
  <c r="AU88" i="64"/>
  <c r="AY87" i="64"/>
  <c r="AL87" i="64"/>
  <c r="AM87" i="64" s="1"/>
  <c r="AH88" i="64" s="1"/>
  <c r="Y99" i="64"/>
  <c r="Z99" i="64" s="1"/>
  <c r="U100" i="64" s="1"/>
  <c r="AN87" i="64" l="1"/>
  <c r="V100" i="64"/>
  <c r="AA99" i="64"/>
  <c r="AB99" i="64" s="1"/>
  <c r="AE99" i="64" s="1"/>
  <c r="AV88" i="64" l="1"/>
  <c r="AW88" i="64" s="1"/>
  <c r="AQ87" i="64"/>
  <c r="AP87" i="64"/>
  <c r="AO87" i="64"/>
  <c r="AI88" i="64"/>
  <c r="AC99" i="64"/>
  <c r="AD99" i="64"/>
  <c r="W100" i="64"/>
  <c r="X100" i="64"/>
  <c r="AF99" i="64" l="1"/>
  <c r="AU89" i="64"/>
  <c r="AY88" i="64"/>
  <c r="AJ88" i="64"/>
  <c r="AR87" i="64"/>
  <c r="AS87" i="64" s="1"/>
  <c r="AK88" i="64"/>
  <c r="Y100" i="64"/>
  <c r="Z100" i="64" s="1"/>
  <c r="U101" i="64" s="1"/>
  <c r="AL88" i="64" l="1"/>
  <c r="AM88" i="64" s="1"/>
  <c r="AH89" i="64" s="1"/>
  <c r="V101" i="64"/>
  <c r="AA100" i="64"/>
  <c r="AB100" i="64" s="1"/>
  <c r="AE100" i="64" s="1"/>
  <c r="AF100" i="64"/>
  <c r="AV89" i="64" l="1"/>
  <c r="AW89" i="64" s="1"/>
  <c r="AN88" i="64"/>
  <c r="AD100" i="64"/>
  <c r="AC100" i="64"/>
  <c r="W101" i="64"/>
  <c r="X101" i="64"/>
  <c r="AU90" i="64" l="1"/>
  <c r="AY89" i="64"/>
  <c r="AP88" i="64"/>
  <c r="AQ88" i="64"/>
  <c r="AO88" i="64"/>
  <c r="AI89" i="64"/>
  <c r="Y101" i="64"/>
  <c r="Z101" i="64" s="1"/>
  <c r="U102" i="64" s="1"/>
  <c r="AJ89" i="64" l="1"/>
  <c r="AR88" i="64"/>
  <c r="AS88" i="64" s="1"/>
  <c r="AK89" i="64"/>
  <c r="V102" i="64"/>
  <c r="AA101" i="64"/>
  <c r="AB101" i="64" s="1"/>
  <c r="AE101" i="64" s="1"/>
  <c r="AF101" i="64"/>
  <c r="AV90" i="64" l="1"/>
  <c r="AW90" i="64" s="1"/>
  <c r="AL89" i="64"/>
  <c r="AM89" i="64" s="1"/>
  <c r="AH90" i="64" s="1"/>
  <c r="AC101" i="64"/>
  <c r="AD101" i="64"/>
  <c r="W102" i="64"/>
  <c r="X102" i="64"/>
  <c r="AU91" i="64" l="1"/>
  <c r="AN89" i="64"/>
  <c r="Y102" i="64"/>
  <c r="Z102" i="64" s="1"/>
  <c r="U103" i="64" s="1"/>
  <c r="AY90" i="64" l="1"/>
  <c r="AO89" i="64"/>
  <c r="AP89" i="64"/>
  <c r="AQ89" i="64"/>
  <c r="AI90" i="64"/>
  <c r="V103" i="64"/>
  <c r="AA102" i="64"/>
  <c r="AB102" i="64" s="1"/>
  <c r="AE102" i="64" s="1"/>
  <c r="AF102" i="64"/>
  <c r="AJ90" i="64" l="1"/>
  <c r="AR89" i="64"/>
  <c r="AS89" i="64" s="1"/>
  <c r="AK90" i="64"/>
  <c r="AD102" i="64"/>
  <c r="AC102" i="64"/>
  <c r="W103" i="64"/>
  <c r="X103" i="64"/>
  <c r="AV91" i="64" l="1"/>
  <c r="AW91" i="64" s="1"/>
  <c r="AL90" i="64"/>
  <c r="AM90" i="64" s="1"/>
  <c r="AH91" i="64" s="1"/>
  <c r="Y103" i="64"/>
  <c r="Z103" i="64" s="1"/>
  <c r="U104" i="64" s="1"/>
  <c r="AU92" i="64" l="1"/>
  <c r="AN90" i="64"/>
  <c r="V104" i="64"/>
  <c r="AA103" i="64"/>
  <c r="AF103" i="64"/>
  <c r="AY91" i="64" l="1"/>
  <c r="AO90" i="64"/>
  <c r="AQ90" i="64"/>
  <c r="AP90" i="64"/>
  <c r="AI91" i="64"/>
  <c r="AD103" i="64"/>
  <c r="AC103" i="64"/>
  <c r="W104" i="64"/>
  <c r="AB103" i="64"/>
  <c r="AE103" i="64" s="1"/>
  <c r="AJ91" i="64" l="1"/>
  <c r="AR90" i="64"/>
  <c r="AS90" i="64" s="1"/>
  <c r="AK91" i="64"/>
  <c r="X104" i="64"/>
  <c r="Y104" i="64" s="1"/>
  <c r="Z104" i="64" s="1"/>
  <c r="U105" i="64" s="1"/>
  <c r="AV92" i="64" l="1"/>
  <c r="AW92" i="64" s="1"/>
  <c r="AL91" i="64"/>
  <c r="AM91" i="64" s="1"/>
  <c r="AH92" i="64" s="1"/>
  <c r="V105" i="64"/>
  <c r="AA104" i="64"/>
  <c r="AB104" i="64" s="1"/>
  <c r="AE104" i="64" s="1"/>
  <c r="AF104" i="64"/>
  <c r="AU93" i="64" l="1"/>
  <c r="AN91" i="64"/>
  <c r="AC104" i="64"/>
  <c r="AD104" i="64"/>
  <c r="W105" i="64"/>
  <c r="X105" i="64"/>
  <c r="AY92" i="64" l="1"/>
  <c r="AO91" i="64"/>
  <c r="AP91" i="64"/>
  <c r="AQ91" i="64"/>
  <c r="AI92" i="64"/>
  <c r="Y105" i="64"/>
  <c r="Z105" i="64" s="1"/>
  <c r="U106" i="64" s="1"/>
  <c r="AJ92" i="64" l="1"/>
  <c r="AR91" i="64"/>
  <c r="AS91" i="64" s="1"/>
  <c r="AK92" i="64"/>
  <c r="V106" i="64"/>
  <c r="AA105" i="64"/>
  <c r="AB105" i="64" s="1"/>
  <c r="AE105" i="64" s="1"/>
  <c r="AF105" i="64"/>
  <c r="AV93" i="64" l="1"/>
  <c r="AW93" i="64" s="1"/>
  <c r="AL92" i="64"/>
  <c r="AM92" i="64" s="1"/>
  <c r="AH93" i="64" s="1"/>
  <c r="AC105" i="64"/>
  <c r="AD105" i="64"/>
  <c r="W106" i="64"/>
  <c r="X106" i="64"/>
  <c r="AU94" i="64" l="1"/>
  <c r="AN92" i="64"/>
  <c r="Y106" i="64"/>
  <c r="Z106" i="64" s="1"/>
  <c r="U107" i="64" s="1"/>
  <c r="AY93" i="64" l="1"/>
  <c r="AO92" i="64"/>
  <c r="AP92" i="64"/>
  <c r="AQ92" i="64"/>
  <c r="AI93" i="64"/>
  <c r="V107" i="64"/>
  <c r="AA106" i="64"/>
  <c r="AB106" i="64" s="1"/>
  <c r="AE106" i="64" s="1"/>
  <c r="AF106" i="64"/>
  <c r="AJ93" i="64" l="1"/>
  <c r="AR92" i="64"/>
  <c r="AS92" i="64" s="1"/>
  <c r="AK93" i="64"/>
  <c r="AC106" i="64"/>
  <c r="AD106" i="64"/>
  <c r="W107" i="64"/>
  <c r="X107" i="64"/>
  <c r="AV94" i="64" l="1"/>
  <c r="AW94" i="64" s="1"/>
  <c r="AL93" i="64"/>
  <c r="AM93" i="64" s="1"/>
  <c r="AH94" i="64" s="1"/>
  <c r="Y107" i="64"/>
  <c r="Z107" i="64" s="1"/>
  <c r="U108" i="64" s="1"/>
  <c r="AU95" i="64" l="1"/>
  <c r="AN93" i="64"/>
  <c r="V108" i="64"/>
  <c r="AA107" i="64"/>
  <c r="AB107" i="64" s="1"/>
  <c r="AE107" i="64" s="1"/>
  <c r="AF107" i="64"/>
  <c r="AY94" i="64" l="1"/>
  <c r="AO93" i="64"/>
  <c r="AP93" i="64"/>
  <c r="AQ93" i="64"/>
  <c r="AI94" i="64"/>
  <c r="AC107" i="64"/>
  <c r="AD107" i="64"/>
  <c r="W108" i="64"/>
  <c r="X108" i="64"/>
  <c r="AV95" i="64" l="1"/>
  <c r="AW95" i="64" s="1"/>
  <c r="AJ94" i="64"/>
  <c r="AR93" i="64"/>
  <c r="AS93" i="64" s="1"/>
  <c r="AK94" i="64"/>
  <c r="Y108" i="64"/>
  <c r="Z108" i="64" s="1"/>
  <c r="AF108" i="64" s="1"/>
  <c r="AF109" i="64" s="1"/>
  <c r="AB16" i="64" s="1"/>
  <c r="J36" i="62" l="1"/>
  <c r="J537" i="66" s="1"/>
  <c r="G312" i="66"/>
  <c r="AA108" i="64"/>
  <c r="AC108" i="64" s="1"/>
  <c r="AU96" i="64"/>
  <c r="AY95" i="64"/>
  <c r="AL94" i="64"/>
  <c r="AM94" i="64" s="1"/>
  <c r="AH95" i="64" s="1"/>
  <c r="AD108" i="64" l="1"/>
  <c r="AB108" i="64"/>
  <c r="AE108" i="64" s="1"/>
  <c r="AN94" i="64"/>
  <c r="AV96" i="64" l="1"/>
  <c r="AW96" i="64" s="1"/>
  <c r="AP94" i="64"/>
  <c r="AQ94" i="64"/>
  <c r="AO94" i="64"/>
  <c r="AI95" i="64"/>
  <c r="AU97" i="64" l="1"/>
  <c r="AJ95" i="64"/>
  <c r="AR94" i="64"/>
  <c r="AS94" i="64" s="1"/>
  <c r="AK95" i="64"/>
  <c r="AY96" i="64" l="1"/>
  <c r="AL95" i="64"/>
  <c r="AM95" i="64" s="1"/>
  <c r="AH96" i="64" s="1"/>
  <c r="AN95" i="64" l="1"/>
  <c r="AO95" i="64" s="1"/>
  <c r="AI96" i="64"/>
  <c r="AP95" i="64" l="1"/>
  <c r="AQ95" i="64"/>
  <c r="AV97" i="64"/>
  <c r="AW97" i="64" s="1"/>
  <c r="AJ96" i="64"/>
  <c r="AR95" i="64"/>
  <c r="AS95" i="64" s="1"/>
  <c r="AK96" i="64"/>
  <c r="AU98" i="64" l="1"/>
  <c r="AL96" i="64"/>
  <c r="AM96" i="64" s="1"/>
  <c r="AH97" i="64" s="1"/>
  <c r="AY97" i="64" l="1"/>
  <c r="AN96" i="64"/>
  <c r="AP96" i="64" l="1"/>
  <c r="AQ96" i="64"/>
  <c r="AO96" i="64"/>
  <c r="AI97" i="64"/>
  <c r="AV98" i="64" l="1"/>
  <c r="AW98" i="64" s="1"/>
  <c r="AJ97" i="64"/>
  <c r="AR96" i="64"/>
  <c r="AS96" i="64" s="1"/>
  <c r="AK97" i="64"/>
  <c r="AU99" i="64" l="1"/>
  <c r="AL97" i="64"/>
  <c r="AM97" i="64" s="1"/>
  <c r="AH98" i="64" s="1"/>
  <c r="AY98" i="64" l="1"/>
  <c r="AN97" i="64"/>
  <c r="AO97" i="64" l="1"/>
  <c r="AP97" i="64"/>
  <c r="AQ97" i="64"/>
  <c r="AI98" i="64"/>
  <c r="AV99" i="64" l="1"/>
  <c r="AW99" i="64" s="1"/>
  <c r="AJ98" i="64"/>
  <c r="AR97" i="64"/>
  <c r="AS97" i="64" s="1"/>
  <c r="AK98" i="64"/>
  <c r="AU100" i="64" l="1"/>
  <c r="AY99" i="64"/>
  <c r="AL98" i="64"/>
  <c r="AM98" i="64" s="1"/>
  <c r="AH99" i="64" s="1"/>
  <c r="AN98" i="64" l="1"/>
  <c r="AV100" i="64" l="1"/>
  <c r="AW100" i="64" s="1"/>
  <c r="AO98" i="64"/>
  <c r="AQ98" i="64"/>
  <c r="AP98" i="64"/>
  <c r="AI99" i="64"/>
  <c r="AU101" i="64" l="1"/>
  <c r="AY100" i="64"/>
  <c r="AJ99" i="64"/>
  <c r="AR98" i="64"/>
  <c r="AS98" i="64" s="1"/>
  <c r="AK99" i="64"/>
  <c r="AL99" i="64" l="1"/>
  <c r="AM99" i="64" s="1"/>
  <c r="AH100" i="64" s="1"/>
  <c r="AV101" i="64" l="1"/>
  <c r="AW101" i="64" s="1"/>
  <c r="AN99" i="64"/>
  <c r="AU102" i="64" l="1"/>
  <c r="AQ99" i="64"/>
  <c r="AP99" i="64"/>
  <c r="AO99" i="64"/>
  <c r="AI100" i="64"/>
  <c r="AY101" i="64" l="1"/>
  <c r="AJ100" i="64"/>
  <c r="AR99" i="64"/>
  <c r="AS99" i="64" s="1"/>
  <c r="AK100" i="64"/>
  <c r="AL100" i="64" l="1"/>
  <c r="AM100" i="64" s="1"/>
  <c r="AH101" i="64" s="1"/>
  <c r="AV102" i="64" l="1"/>
  <c r="AW102" i="64" s="1"/>
  <c r="AN100" i="64"/>
  <c r="AU103" i="64" l="1"/>
  <c r="AQ100" i="64"/>
  <c r="AP100" i="64"/>
  <c r="AO100" i="64"/>
  <c r="AI101" i="64"/>
  <c r="AY102" i="64" l="1"/>
  <c r="AJ101" i="64"/>
  <c r="AR100" i="64"/>
  <c r="AS100" i="64" s="1"/>
  <c r="AK101" i="64"/>
  <c r="AL101" i="64" l="1"/>
  <c r="AM101" i="64" s="1"/>
  <c r="AH102" i="64" s="1"/>
  <c r="AV103" i="64" l="1"/>
  <c r="AW103" i="64" s="1"/>
  <c r="AN101" i="64"/>
  <c r="AU104" i="64" l="1"/>
  <c r="AO101" i="64"/>
  <c r="AP101" i="64"/>
  <c r="AQ101" i="64"/>
  <c r="AI102" i="64"/>
  <c r="AY103" i="64" l="1"/>
  <c r="AJ102" i="64"/>
  <c r="AR101" i="64"/>
  <c r="AS101" i="64" s="1"/>
  <c r="AK102" i="64"/>
  <c r="AL102" i="64" l="1"/>
  <c r="AM102" i="64" s="1"/>
  <c r="AH103" i="64" s="1"/>
  <c r="AV104" i="64" l="1"/>
  <c r="AW104" i="64" s="1"/>
  <c r="AN102" i="64"/>
  <c r="AU105" i="64" l="1"/>
  <c r="AO102" i="64"/>
  <c r="AQ102" i="64"/>
  <c r="AP102" i="64"/>
  <c r="AI103" i="64"/>
  <c r="AY104" i="64" l="1"/>
  <c r="AJ103" i="64"/>
  <c r="AR102" i="64"/>
  <c r="AS102" i="64" s="1"/>
  <c r="AK103" i="64"/>
  <c r="AL103" i="64" l="1"/>
  <c r="AM103" i="64" s="1"/>
  <c r="AH104" i="64" s="1"/>
  <c r="AV105" i="64" l="1"/>
  <c r="AW105" i="64" s="1"/>
  <c r="AN103" i="64"/>
  <c r="AU106" i="64" l="1"/>
  <c r="AO103" i="64"/>
  <c r="AP103" i="64"/>
  <c r="AQ103" i="64"/>
  <c r="AI104" i="64"/>
  <c r="AY105" i="64" l="1"/>
  <c r="AJ104" i="64"/>
  <c r="AR103" i="64"/>
  <c r="AS103" i="64" s="1"/>
  <c r="AK104" i="64"/>
  <c r="AL104" i="64" l="1"/>
  <c r="AM104" i="64" s="1"/>
  <c r="AH105" i="64" s="1"/>
  <c r="AV106" i="64" l="1"/>
  <c r="AW106" i="64" s="1"/>
  <c r="AN104" i="64"/>
  <c r="AU107" i="64" l="1"/>
  <c r="AO104" i="64"/>
  <c r="AP104" i="64"/>
  <c r="AQ104" i="64"/>
  <c r="AI105" i="64"/>
  <c r="AY106" i="64" l="1"/>
  <c r="AJ105" i="64"/>
  <c r="AR104" i="64"/>
  <c r="AS104" i="64" s="1"/>
  <c r="AK105" i="64"/>
  <c r="AL105" i="64" l="1"/>
  <c r="AM105" i="64" s="1"/>
  <c r="AH106" i="64" s="1"/>
  <c r="AN105" i="64" l="1"/>
  <c r="AP105" i="64" s="1"/>
  <c r="AV107" i="64"/>
  <c r="AW107" i="64" s="1"/>
  <c r="AI106" i="64"/>
  <c r="AO105" i="64" l="1"/>
  <c r="AK106" i="64" s="1"/>
  <c r="AQ105" i="64"/>
  <c r="AU108" i="64"/>
  <c r="AJ106" i="64"/>
  <c r="AR105" i="64" l="1"/>
  <c r="AS105" i="64" s="1"/>
  <c r="AY107" i="64"/>
  <c r="AL106" i="64"/>
  <c r="AM106" i="64" s="1"/>
  <c r="AH107" i="64" s="1"/>
  <c r="AN106" i="64" l="1"/>
  <c r="AO106" i="64" s="1"/>
  <c r="AV108" i="64" l="1"/>
  <c r="AW108" i="64" s="1"/>
  <c r="AR106" i="64"/>
  <c r="AK107" i="64"/>
  <c r="AP106" i="64"/>
  <c r="AQ106" i="64"/>
  <c r="AI107" i="64"/>
  <c r="AY108" i="64" l="1"/>
  <c r="AJ107" i="64"/>
  <c r="AL107" i="64" s="1"/>
  <c r="AS106" i="64"/>
  <c r="AM107" i="64" l="1"/>
  <c r="AH108" i="64" s="1"/>
  <c r="AN107" i="64" l="1"/>
  <c r="AP107" i="64" s="1"/>
  <c r="AI108" i="64"/>
  <c r="AJ108" i="64" l="1"/>
  <c r="AQ107" i="64"/>
  <c r="AO107" i="64"/>
  <c r="AK108" i="64" s="1"/>
  <c r="AL108" i="64" l="1"/>
  <c r="AM108" i="64" s="1"/>
  <c r="AR107" i="64"/>
  <c r="AS107" i="64" s="1"/>
  <c r="AN108" i="64"/>
  <c r="AO108" i="64" l="1"/>
  <c r="AR108" i="64" s="1"/>
  <c r="AP108" i="64"/>
  <c r="AQ108" i="64"/>
  <c r="AS108" i="64" l="1"/>
  <c r="AS109" i="64" s="1"/>
  <c r="AJ15" i="64" s="1"/>
  <c r="AF16" i="64" s="1"/>
  <c r="J312" i="66" s="1"/>
  <c r="J37" i="62" l="1"/>
  <c r="L538" i="66" l="1"/>
  <c r="M28" i="78" l="1"/>
  <c r="M36" i="78" l="1"/>
  <c r="M44" i="78" l="1"/>
  <c r="M52" i="78" l="1"/>
  <c r="M60" i="78" l="1"/>
  <c r="M68" i="78" l="1"/>
  <c r="M76" i="78" l="1"/>
  <c r="M84" i="78" l="1"/>
  <c r="M92" i="78" l="1"/>
  <c r="M100" i="78" l="1"/>
  <c r="M108" i="78" l="1"/>
  <c r="M116" i="78" l="1"/>
  <c r="M124" i="78" l="1"/>
  <c r="M132" i="78" l="1"/>
  <c r="M140" i="78" l="1"/>
  <c r="M148" i="78" l="1"/>
  <c r="M151" i="78" s="1"/>
  <c r="AD7" i="74" l="1"/>
  <c r="AD13" i="74" l="1"/>
  <c r="AI13" i="74" s="1"/>
  <c r="AD9" i="74"/>
  <c r="AD11" i="74"/>
  <c r="AD12" i="74"/>
  <c r="AD10" i="74"/>
  <c r="AI10" i="74" s="1"/>
  <c r="AE7" i="74"/>
  <c r="AE10" i="74" l="1"/>
  <c r="AJ10" i="74" s="1"/>
  <c r="AE9" i="74"/>
  <c r="AE12" i="74"/>
  <c r="AE13" i="74"/>
  <c r="AJ13" i="74" s="1"/>
  <c r="AE11" i="74"/>
  <c r="AH12" i="74" l="1"/>
  <c r="AI12" i="74" s="1"/>
  <c r="AH11" i="74"/>
  <c r="AH13" i="74"/>
  <c r="AI17" i="74" l="1"/>
  <c r="AI11" i="74"/>
  <c r="AJ11" i="74"/>
  <c r="AI14" i="74"/>
  <c r="AG17" i="74"/>
  <c r="AJ12" i="74"/>
  <c r="AJ14" i="74" l="1"/>
  <c r="AH17" i="74"/>
  <c r="AI15" i="74"/>
  <c r="AI18" i="74" s="1"/>
  <c r="AE15" i="74"/>
  <c r="AE16" i="74" l="1"/>
  <c r="AE17" i="74" s="1"/>
  <c r="AE18" i="74" s="1"/>
  <c r="X3" i="74" l="1"/>
  <c r="Y3" i="74"/>
  <c r="Y4" i="74"/>
  <c r="X4" i="74"/>
  <c r="AA4" i="74" s="1"/>
  <c r="AM12" i="78" l="1"/>
  <c r="AF23" i="78" l="1"/>
  <c r="AF31" i="78"/>
  <c r="AE28" i="78"/>
  <c r="AF24" i="78"/>
  <c r="AF21" i="78"/>
  <c r="AE29" i="78"/>
  <c r="AF25" i="78"/>
  <c r="AF22" i="78"/>
  <c r="AE30" i="78"/>
  <c r="AE27" i="78"/>
  <c r="AF26" i="78"/>
  <c r="AE23" i="78"/>
  <c r="AE31" i="78"/>
  <c r="AF27" i="78"/>
  <c r="AE24" i="78"/>
  <c r="AE21" i="78"/>
  <c r="AF28" i="78"/>
  <c r="AE25" i="78"/>
  <c r="AE22" i="78"/>
  <c r="AF29" i="78"/>
  <c r="AE26" i="78"/>
  <c r="AF30" i="78"/>
  <c r="AF39" i="78"/>
  <c r="AE33" i="78"/>
  <c r="AE41" i="78"/>
  <c r="AF32" i="78"/>
  <c r="AF40" i="78"/>
  <c r="AE34" i="78"/>
  <c r="AE42" i="78"/>
  <c r="AF33" i="78"/>
  <c r="AF41" i="78"/>
  <c r="AE35" i="78"/>
  <c r="AF34" i="78"/>
  <c r="AF42" i="78"/>
  <c r="AE36" i="78"/>
  <c r="AF35" i="78"/>
  <c r="AE37" i="78"/>
  <c r="AF36" i="78"/>
  <c r="AE38" i="78"/>
  <c r="AF37" i="78"/>
  <c r="AE39" i="78"/>
  <c r="AF38" i="78"/>
  <c r="AE32" i="78"/>
  <c r="AE40" i="78"/>
  <c r="AE43" i="78"/>
  <c r="AF43" i="78"/>
  <c r="AF47" i="78"/>
  <c r="AF55" i="78"/>
  <c r="AF63" i="78"/>
  <c r="AF71" i="78"/>
  <c r="AF79" i="78"/>
  <c r="AF87" i="78"/>
  <c r="AF95" i="78"/>
  <c r="AF103" i="78"/>
  <c r="AF111" i="78"/>
  <c r="AF119" i="78"/>
  <c r="AF127" i="78"/>
  <c r="AF135" i="78"/>
  <c r="AF143" i="78"/>
  <c r="AF48" i="78"/>
  <c r="AF56" i="78"/>
  <c r="AF64" i="78"/>
  <c r="AF72" i="78"/>
  <c r="AF80" i="78"/>
  <c r="AF88" i="78"/>
  <c r="AF96" i="78"/>
  <c r="AF104" i="78"/>
  <c r="AF112" i="78"/>
  <c r="AF120" i="78"/>
  <c r="AF128" i="78"/>
  <c r="AF136" i="78"/>
  <c r="AF144" i="78"/>
  <c r="AF49" i="78"/>
  <c r="AF57" i="78"/>
  <c r="AF65" i="78"/>
  <c r="AF73" i="78"/>
  <c r="AF81" i="78"/>
  <c r="AF89" i="78"/>
  <c r="AF97" i="78"/>
  <c r="AF105" i="78"/>
  <c r="AF113" i="78"/>
  <c r="AF121" i="78"/>
  <c r="AF129" i="78"/>
  <c r="AF137" i="78"/>
  <c r="AF145" i="78"/>
  <c r="AF50" i="78"/>
  <c r="AF58" i="78"/>
  <c r="AF66" i="78"/>
  <c r="AF74" i="78"/>
  <c r="AF82" i="78"/>
  <c r="AF90" i="78"/>
  <c r="AF98" i="78"/>
  <c r="AF106" i="78"/>
  <c r="AF114" i="78"/>
  <c r="AF122" i="78"/>
  <c r="AF130" i="78"/>
  <c r="AF138" i="78"/>
  <c r="AF146" i="78"/>
  <c r="AF51" i="78"/>
  <c r="AF59" i="78"/>
  <c r="AF67" i="78"/>
  <c r="AF75" i="78"/>
  <c r="AF83" i="78"/>
  <c r="AF91" i="78"/>
  <c r="AF99" i="78"/>
  <c r="AF107" i="78"/>
  <c r="AF115" i="78"/>
  <c r="AF123" i="78"/>
  <c r="AF131" i="78"/>
  <c r="AF139" i="78"/>
  <c r="AF147" i="78"/>
  <c r="AF44" i="78"/>
  <c r="AF52" i="78"/>
  <c r="AF60" i="78"/>
  <c r="AF68" i="78"/>
  <c r="AF76" i="78"/>
  <c r="AF84" i="78"/>
  <c r="AF92" i="78"/>
  <c r="AF100" i="78"/>
  <c r="AF108" i="78"/>
  <c r="AF116" i="78"/>
  <c r="AF124" i="78"/>
  <c r="AF132" i="78"/>
  <c r="AF140" i="78"/>
  <c r="AF148" i="78"/>
  <c r="AF45" i="78"/>
  <c r="AF53" i="78"/>
  <c r="AF61" i="78"/>
  <c r="AF69" i="78"/>
  <c r="AF77" i="78"/>
  <c r="AF85" i="78"/>
  <c r="AF93" i="78"/>
  <c r="AF101" i="78"/>
  <c r="AF109" i="78"/>
  <c r="AF117" i="78"/>
  <c r="AF125" i="78"/>
  <c r="AF133" i="78"/>
  <c r="AF141" i="78"/>
  <c r="AF149" i="78"/>
  <c r="AF46" i="78"/>
  <c r="AF54" i="78"/>
  <c r="AF62" i="78"/>
  <c r="AF70" i="78"/>
  <c r="AF78" i="78"/>
  <c r="AF86" i="78"/>
  <c r="AF94" i="78"/>
  <c r="AF102" i="78"/>
  <c r="AF110" i="78"/>
  <c r="AF118" i="78"/>
  <c r="AF126" i="78"/>
  <c r="AF134" i="78"/>
  <c r="AF142" i="78"/>
  <c r="AF150" i="78"/>
  <c r="AE47" i="78"/>
  <c r="AE55" i="78"/>
  <c r="AE63" i="78"/>
  <c r="AE71" i="78"/>
  <c r="AE79" i="78"/>
  <c r="AE87" i="78"/>
  <c r="AE95" i="78"/>
  <c r="AE103" i="78"/>
  <c r="AE111" i="78"/>
  <c r="AE119" i="78"/>
  <c r="AE127" i="78"/>
  <c r="AE135" i="78"/>
  <c r="AE143" i="78"/>
  <c r="AE48" i="78"/>
  <c r="AE56" i="78"/>
  <c r="AE64" i="78"/>
  <c r="AE72" i="78"/>
  <c r="AE80" i="78"/>
  <c r="AE88" i="78"/>
  <c r="AE96" i="78"/>
  <c r="AE104" i="78"/>
  <c r="AE112" i="78"/>
  <c r="AE120" i="78"/>
  <c r="AE128" i="78"/>
  <c r="AE136" i="78"/>
  <c r="AE144" i="78"/>
  <c r="AE49" i="78"/>
  <c r="AE57" i="78"/>
  <c r="AE65" i="78"/>
  <c r="AE73" i="78"/>
  <c r="AE81" i="78"/>
  <c r="AE89" i="78"/>
  <c r="AE97" i="78"/>
  <c r="AE105" i="78"/>
  <c r="AE113" i="78"/>
  <c r="AE121" i="78"/>
  <c r="AE129" i="78"/>
  <c r="AE137" i="78"/>
  <c r="AE145" i="78"/>
  <c r="AE50" i="78"/>
  <c r="AE58" i="78"/>
  <c r="AE66" i="78"/>
  <c r="AE74" i="78"/>
  <c r="AE82" i="78"/>
  <c r="AE90" i="78"/>
  <c r="AE98" i="78"/>
  <c r="AE106" i="78"/>
  <c r="AE114" i="78"/>
  <c r="AE122" i="78"/>
  <c r="AE130" i="78"/>
  <c r="AE138" i="78"/>
  <c r="AE146" i="78"/>
  <c r="AE51" i="78"/>
  <c r="AE59" i="78"/>
  <c r="AE67" i="78"/>
  <c r="AE75" i="78"/>
  <c r="AE83" i="78"/>
  <c r="AE91" i="78"/>
  <c r="AE99" i="78"/>
  <c r="AE107" i="78"/>
  <c r="AE115" i="78"/>
  <c r="AE123" i="78"/>
  <c r="AE131" i="78"/>
  <c r="AE139" i="78"/>
  <c r="AE147" i="78"/>
  <c r="AE44" i="78"/>
  <c r="AE52" i="78"/>
  <c r="AE60" i="78"/>
  <c r="AE68" i="78"/>
  <c r="AE76" i="78"/>
  <c r="AE84" i="78"/>
  <c r="AE92" i="78"/>
  <c r="AE100" i="78"/>
  <c r="AE108" i="78"/>
  <c r="AE116" i="78"/>
  <c r="AE124" i="78"/>
  <c r="AE132" i="78"/>
  <c r="AE140" i="78"/>
  <c r="AE148" i="78"/>
  <c r="AE45" i="78"/>
  <c r="AE53" i="78"/>
  <c r="AE61" i="78"/>
  <c r="AE69" i="78"/>
  <c r="AE77" i="78"/>
  <c r="AE85" i="78"/>
  <c r="AE93" i="78"/>
  <c r="AE101" i="78"/>
  <c r="AE109" i="78"/>
  <c r="AE117" i="78"/>
  <c r="AE125" i="78"/>
  <c r="AE133" i="78"/>
  <c r="AE141" i="78"/>
  <c r="AE149" i="78"/>
  <c r="AE46" i="78"/>
  <c r="AE54" i="78"/>
  <c r="AE62" i="78"/>
  <c r="AE70" i="78"/>
  <c r="AE78" i="78"/>
  <c r="AE86" i="78"/>
  <c r="AE94" i="78"/>
  <c r="AE102" i="78"/>
  <c r="AE110" i="78"/>
  <c r="AE118" i="78"/>
  <c r="AE126" i="78"/>
  <c r="AE134" i="78"/>
  <c r="AE142" i="78"/>
  <c r="AE150" i="78"/>
  <c r="G23" i="76" l="1"/>
  <c r="G24" i="76"/>
  <c r="G25" i="76"/>
  <c r="G26" i="76"/>
  <c r="G27" i="76"/>
  <c r="G28" i="76"/>
  <c r="G29" i="76"/>
  <c r="G30" i="76"/>
  <c r="G31" i="76"/>
  <c r="G32" i="76"/>
  <c r="G33" i="76"/>
  <c r="G34" i="76"/>
  <c r="G35" i="76"/>
  <c r="G36" i="76"/>
  <c r="G37" i="76"/>
  <c r="G38" i="76"/>
  <c r="G39" i="76"/>
  <c r="G40" i="76"/>
  <c r="G41" i="76"/>
  <c r="G42" i="76"/>
  <c r="G43" i="76"/>
  <c r="G44" i="76"/>
  <c r="G45" i="76"/>
  <c r="G46" i="76"/>
  <c r="G47" i="76"/>
  <c r="G48" i="76"/>
  <c r="G49" i="76"/>
  <c r="G50" i="76"/>
  <c r="G51" i="76"/>
  <c r="G52" i="76"/>
  <c r="G53" i="76"/>
  <c r="G54" i="76"/>
  <c r="G55" i="76"/>
  <c r="G56" i="76"/>
  <c r="G57" i="76"/>
  <c r="G58" i="76"/>
  <c r="G59" i="76"/>
  <c r="G60" i="76"/>
  <c r="G61" i="76"/>
  <c r="G62" i="76"/>
  <c r="G63" i="76"/>
  <c r="G64" i="76"/>
  <c r="G65" i="76"/>
  <c r="G66" i="76"/>
  <c r="G67" i="76"/>
  <c r="G68" i="76"/>
  <c r="G69" i="76"/>
  <c r="G70" i="76"/>
  <c r="G71" i="76"/>
  <c r="G72" i="76"/>
  <c r="G73" i="76"/>
  <c r="G74" i="76"/>
  <c r="G75" i="76"/>
  <c r="G76" i="76"/>
  <c r="G77" i="76"/>
  <c r="G78" i="76"/>
  <c r="G79" i="76"/>
  <c r="G80" i="76"/>
  <c r="G81" i="76"/>
  <c r="G82" i="76"/>
  <c r="G83" i="76"/>
  <c r="G84" i="76"/>
  <c r="G85" i="76"/>
  <c r="G86" i="76"/>
  <c r="G87" i="76"/>
  <c r="G88" i="76"/>
  <c r="G89" i="76"/>
  <c r="G90" i="76"/>
  <c r="G91" i="76"/>
  <c r="G92" i="76"/>
  <c r="G93" i="76"/>
  <c r="G94" i="76"/>
  <c r="G95" i="76"/>
  <c r="G96" i="76"/>
  <c r="G97" i="76"/>
  <c r="G98" i="76"/>
  <c r="G99" i="76"/>
  <c r="G100" i="76"/>
  <c r="G101" i="76"/>
  <c r="G102" i="76"/>
  <c r="G103" i="76"/>
  <c r="G104" i="76"/>
  <c r="G105" i="76"/>
  <c r="G106" i="76"/>
  <c r="G107" i="76"/>
  <c r="G108" i="76"/>
  <c r="G109" i="76"/>
  <c r="G110" i="76"/>
  <c r="G111" i="76"/>
  <c r="G112" i="76"/>
  <c r="G113" i="76"/>
  <c r="G114" i="76"/>
  <c r="G115" i="76"/>
  <c r="G116" i="76"/>
  <c r="G117" i="76"/>
  <c r="G118" i="76"/>
  <c r="G119" i="76"/>
  <c r="G120" i="76"/>
  <c r="G121" i="76"/>
  <c r="G122" i="76"/>
  <c r="G123" i="76"/>
  <c r="G124" i="76"/>
  <c r="G125" i="76"/>
  <c r="G126" i="76"/>
  <c r="K130" i="76" s="1"/>
  <c r="P16" i="76" s="1"/>
  <c r="G127" i="76"/>
  <c r="G128" i="76"/>
  <c r="G129" i="76"/>
  <c r="G130" i="76"/>
  <c r="G131" i="76"/>
  <c r="G132" i="76"/>
  <c r="G133" i="76"/>
  <c r="G134" i="76"/>
  <c r="G135" i="76"/>
  <c r="G136" i="76"/>
  <c r="G137" i="76"/>
  <c r="G138" i="76"/>
  <c r="G139" i="76"/>
  <c r="G140" i="76"/>
  <c r="G141" i="76"/>
  <c r="G142" i="76"/>
  <c r="H46" i="76"/>
  <c r="H45" i="76"/>
  <c r="H44" i="76"/>
  <c r="H43" i="76"/>
  <c r="H42" i="76"/>
  <c r="H41" i="76"/>
  <c r="H40" i="76"/>
  <c r="H39" i="76"/>
  <c r="H38" i="76"/>
  <c r="H37" i="76"/>
  <c r="H36" i="76"/>
  <c r="H35" i="76"/>
  <c r="K34" i="76"/>
  <c r="P8" i="76" s="1"/>
  <c r="H70" i="76"/>
  <c r="H69" i="76"/>
  <c r="H68" i="76"/>
  <c r="H67" i="76"/>
  <c r="H66" i="76"/>
  <c r="H65" i="76"/>
  <c r="H64" i="76"/>
  <c r="H63" i="76"/>
  <c r="H62" i="76"/>
  <c r="H61" i="76"/>
  <c r="H60" i="76"/>
  <c r="H59" i="76"/>
  <c r="H58" i="76"/>
  <c r="H57" i="76"/>
  <c r="H56" i="76"/>
  <c r="H55" i="76"/>
  <c r="H54" i="76"/>
  <c r="H53" i="76"/>
  <c r="H52" i="76"/>
  <c r="H51" i="76"/>
  <c r="H50" i="76"/>
  <c r="H49" i="76"/>
  <c r="H48" i="76"/>
  <c r="H47" i="76"/>
  <c r="H34" i="76"/>
  <c r="H33" i="76"/>
  <c r="H32" i="76"/>
  <c r="H31" i="76"/>
  <c r="H30" i="76"/>
  <c r="H29" i="76"/>
  <c r="H28" i="76"/>
  <c r="H27" i="76"/>
  <c r="H26" i="76"/>
  <c r="H25" i="76"/>
  <c r="H24" i="76"/>
  <c r="H23" i="76"/>
  <c r="I23" i="76" s="1"/>
  <c r="H82" i="76"/>
  <c r="H81" i="76"/>
  <c r="H80" i="76"/>
  <c r="H79" i="76"/>
  <c r="H78" i="76"/>
  <c r="H77" i="76"/>
  <c r="H76" i="76"/>
  <c r="H75" i="76"/>
  <c r="H74" i="76"/>
  <c r="H73" i="76"/>
  <c r="H72" i="76"/>
  <c r="H71" i="76"/>
  <c r="H83" i="76"/>
  <c r="H84" i="76"/>
  <c r="H85" i="76"/>
  <c r="H86" i="76"/>
  <c r="H87" i="76"/>
  <c r="H88" i="76"/>
  <c r="H89" i="76"/>
  <c r="H90" i="76"/>
  <c r="H91" i="76"/>
  <c r="H92" i="76"/>
  <c r="H93" i="76"/>
  <c r="H94" i="76"/>
  <c r="H95" i="76"/>
  <c r="H96" i="76"/>
  <c r="H97" i="76"/>
  <c r="H98" i="76"/>
  <c r="H99" i="76"/>
  <c r="H100" i="76"/>
  <c r="H101" i="76"/>
  <c r="H102" i="76"/>
  <c r="H103" i="76"/>
  <c r="H104" i="76"/>
  <c r="H105" i="76"/>
  <c r="H106" i="76"/>
  <c r="H107" i="76"/>
  <c r="H108" i="76"/>
  <c r="H109" i="76"/>
  <c r="H110" i="76"/>
  <c r="H111" i="76"/>
  <c r="H112" i="76"/>
  <c r="H113" i="76"/>
  <c r="H114" i="76"/>
  <c r="H115" i="76"/>
  <c r="H116" i="76"/>
  <c r="H117" i="76"/>
  <c r="H118" i="76"/>
  <c r="H119" i="76"/>
  <c r="H120" i="76"/>
  <c r="H121" i="76"/>
  <c r="H122" i="76"/>
  <c r="H123" i="76"/>
  <c r="H124" i="76"/>
  <c r="H125" i="76"/>
  <c r="H126" i="76"/>
  <c r="H127" i="76"/>
  <c r="H128" i="76"/>
  <c r="H129" i="76"/>
  <c r="H130" i="76"/>
  <c r="H131" i="76"/>
  <c r="H132" i="76"/>
  <c r="H133" i="76"/>
  <c r="H134" i="76"/>
  <c r="H135" i="76"/>
  <c r="H136" i="76"/>
  <c r="H137" i="76"/>
  <c r="H138" i="76"/>
  <c r="H139" i="76"/>
  <c r="H140" i="76"/>
  <c r="H141" i="76"/>
  <c r="H142" i="76"/>
  <c r="K118" i="76" l="1"/>
  <c r="P15" i="76" s="1"/>
  <c r="K106" i="76"/>
  <c r="P14" i="76" s="1"/>
  <c r="K94" i="76"/>
  <c r="P13" i="76" s="1"/>
  <c r="K82" i="76"/>
  <c r="P12" i="76" s="1"/>
  <c r="K142" i="76"/>
  <c r="P17" i="76" s="1"/>
  <c r="K70" i="76"/>
  <c r="P11" i="76" s="1"/>
  <c r="K58" i="76"/>
  <c r="P10" i="76" s="1"/>
  <c r="K46" i="76"/>
  <c r="P9" i="76" s="1"/>
  <c r="K19" i="76"/>
  <c r="M142" i="76"/>
  <c r="I24" i="76"/>
  <c r="I25" i="76" s="1"/>
  <c r="I26" i="76" s="1"/>
  <c r="I27" i="76" s="1"/>
  <c r="I28" i="76" s="1"/>
  <c r="I29" i="76" s="1"/>
  <c r="I30" i="76" s="1"/>
  <c r="I31" i="76" s="1"/>
  <c r="I32" i="76" s="1"/>
  <c r="I33" i="76" s="1"/>
  <c r="I34" i="76" s="1"/>
  <c r="I35" i="76" s="1"/>
  <c r="I36" i="76" s="1"/>
  <c r="I37" i="76" s="1"/>
  <c r="I38" i="76" s="1"/>
  <c r="I39" i="76" s="1"/>
  <c r="I40" i="76" s="1"/>
  <c r="I41" i="76" s="1"/>
  <c r="I42" i="76" s="1"/>
  <c r="I43" i="76" s="1"/>
  <c r="I44" i="76" s="1"/>
  <c r="I45" i="76" s="1"/>
  <c r="I46" i="76" s="1"/>
  <c r="I47" i="76" s="1"/>
  <c r="I48" i="76" s="1"/>
  <c r="I49" i="76" s="1"/>
  <c r="I50" i="76" s="1"/>
  <c r="I51" i="76" s="1"/>
  <c r="I52" i="76" s="1"/>
  <c r="I53" i="76" s="1"/>
  <c r="I54" i="76" s="1"/>
  <c r="I55" i="76" s="1"/>
  <c r="I56" i="76" s="1"/>
  <c r="I57" i="76" s="1"/>
  <c r="I58" i="76" s="1"/>
  <c r="I59" i="76" s="1"/>
  <c r="I60" i="76" s="1"/>
  <c r="I61" i="76" s="1"/>
  <c r="I62" i="76" s="1"/>
  <c r="I63" i="76" s="1"/>
  <c r="I64" i="76" s="1"/>
  <c r="I65" i="76" s="1"/>
  <c r="I66" i="76" s="1"/>
  <c r="I67" i="76" s="1"/>
  <c r="I68" i="76" s="1"/>
  <c r="I69" i="76" s="1"/>
  <c r="I70" i="76" s="1"/>
  <c r="I71" i="76" s="1"/>
  <c r="I72" i="76" s="1"/>
  <c r="I73" i="76" s="1"/>
  <c r="I74" i="76" s="1"/>
  <c r="I75" i="76" s="1"/>
  <c r="I76" i="76" s="1"/>
  <c r="I77" i="76" s="1"/>
  <c r="I78" i="76" s="1"/>
  <c r="I79" i="76" s="1"/>
  <c r="I80" i="76" s="1"/>
  <c r="I81" i="76" s="1"/>
  <c r="I82" i="76" s="1"/>
  <c r="I83" i="76" s="1"/>
  <c r="I84" i="76" s="1"/>
  <c r="I85" i="76" s="1"/>
  <c r="I86" i="76" s="1"/>
  <c r="I87" i="76" s="1"/>
  <c r="I88" i="76" s="1"/>
  <c r="I89" i="76" s="1"/>
  <c r="I90" i="76" s="1"/>
  <c r="I91" i="76" s="1"/>
  <c r="I92" i="76" s="1"/>
  <c r="I93" i="76" s="1"/>
  <c r="I94" i="76" s="1"/>
  <c r="I95" i="76" s="1"/>
  <c r="I96" i="76" s="1"/>
  <c r="I97" i="76" s="1"/>
  <c r="I98" i="76" s="1"/>
  <c r="I99" i="76" s="1"/>
  <c r="I100" i="76" s="1"/>
  <c r="I101" i="76" s="1"/>
  <c r="I102" i="76" s="1"/>
  <c r="I103" i="76" s="1"/>
  <c r="I104" i="76" s="1"/>
  <c r="I105" i="76" s="1"/>
  <c r="I106" i="76" s="1"/>
  <c r="I107" i="76" s="1"/>
  <c r="I108" i="76" s="1"/>
  <c r="I109" i="76" s="1"/>
  <c r="I110" i="76" s="1"/>
  <c r="I111" i="76" s="1"/>
  <c r="I112" i="76" s="1"/>
  <c r="I113" i="76" s="1"/>
  <c r="I114" i="76" s="1"/>
  <c r="I115" i="76" s="1"/>
  <c r="I116" i="76" s="1"/>
  <c r="I117" i="76" s="1"/>
  <c r="I118" i="76" s="1"/>
  <c r="I119" i="76" s="1"/>
  <c r="I120" i="76" s="1"/>
  <c r="I121" i="76" s="1"/>
  <c r="I122" i="76" s="1"/>
  <c r="I123" i="76" s="1"/>
  <c r="I124" i="76" s="1"/>
  <c r="I125" i="76" s="1"/>
  <c r="I126" i="76" s="1"/>
  <c r="I127" i="76" s="1"/>
  <c r="I128" i="76" s="1"/>
  <c r="I129" i="76" s="1"/>
  <c r="I130" i="76" s="1"/>
  <c r="I131" i="76" s="1"/>
  <c r="I132" i="76" s="1"/>
  <c r="I133" i="76" s="1"/>
  <c r="I134" i="76" s="1"/>
  <c r="I135" i="76" s="1"/>
  <c r="I136" i="76" s="1"/>
  <c r="I137" i="76" s="1"/>
  <c r="I138" i="76" s="1"/>
  <c r="I139" i="76" s="1"/>
  <c r="I140" i="76" s="1"/>
  <c r="I141" i="76" s="1"/>
  <c r="I142" i="76" s="1"/>
  <c r="I143" i="76" s="1"/>
  <c r="I144" i="76" s="1"/>
  <c r="I145" i="76" s="1"/>
  <c r="I146" i="76" s="1"/>
  <c r="I147" i="76" s="1"/>
  <c r="I148" i="76" s="1"/>
  <c r="I149" i="76" s="1"/>
  <c r="I150" i="76" s="1"/>
  <c r="I151" i="76" s="1"/>
  <c r="I152" i="76" s="1"/>
  <c r="I153" i="76" s="1"/>
  <c r="I154" i="76" s="1"/>
  <c r="I155" i="76" s="1"/>
  <c r="I156" i="76" s="1"/>
  <c r="I157" i="76" s="1"/>
  <c r="I158" i="76" s="1"/>
  <c r="I159" i="76" s="1"/>
  <c r="I160" i="76" s="1"/>
  <c r="I161" i="76" s="1"/>
  <c r="I162" i="76" s="1"/>
  <c r="I163" i="76" s="1"/>
  <c r="I164" i="76" s="1"/>
  <c r="I165" i="76" s="1"/>
  <c r="I166" i="76" s="1"/>
  <c r="I167" i="76" s="1"/>
  <c r="I168" i="76" s="1"/>
  <c r="I169" i="76" s="1"/>
  <c r="I170" i="76" s="1"/>
  <c r="I171" i="76" s="1"/>
  <c r="I172" i="76" s="1"/>
  <c r="I173" i="76" s="1"/>
  <c r="I174" i="76" s="1"/>
  <c r="I175" i="76" s="1"/>
  <c r="I176" i="76" s="1"/>
  <c r="I177" i="76" s="1"/>
  <c r="I178" i="76" s="1"/>
  <c r="I179" i="76" s="1"/>
  <c r="I180" i="76" s="1"/>
  <c r="I181" i="76" s="1"/>
  <c r="I182" i="76" s="1"/>
  <c r="I183" i="76" s="1"/>
  <c r="I184" i="76" s="1"/>
  <c r="I185" i="76" s="1"/>
  <c r="I186" i="76" s="1"/>
  <c r="I187" i="76" s="1"/>
  <c r="I188" i="76" s="1"/>
  <c r="I189" i="76" s="1"/>
  <c r="I190" i="76" s="1"/>
  <c r="I191" i="76" s="1"/>
  <c r="I192" i="76" s="1"/>
  <c r="I193" i="76" s="1"/>
  <c r="I194" i="76" s="1"/>
  <c r="I195" i="76" s="1"/>
  <c r="I196" i="76" s="1"/>
  <c r="I197" i="76" s="1"/>
  <c r="I198" i="76" s="1"/>
  <c r="I199" i="76" s="1"/>
  <c r="I200" i="76" s="1"/>
  <c r="I201" i="76" s="1"/>
  <c r="I202" i="76" s="1"/>
  <c r="I203" i="76" s="1"/>
  <c r="I204" i="76" s="1"/>
  <c r="I205" i="76" s="1"/>
  <c r="I206" i="76" s="1"/>
  <c r="I207" i="76" s="1"/>
  <c r="I208" i="76" s="1"/>
  <c r="I209" i="76" s="1"/>
  <c r="I210" i="76" s="1"/>
  <c r="I211" i="76" s="1"/>
  <c r="I212" i="76" s="1"/>
  <c r="I213" i="76" s="1"/>
  <c r="I214" i="76" s="1"/>
  <c r="I215" i="76" s="1"/>
  <c r="I216" i="76" s="1"/>
  <c r="I217" i="76" s="1"/>
  <c r="I218" i="76" s="1"/>
  <c r="I219" i="76" s="1"/>
  <c r="I220" i="76" s="1"/>
  <c r="I221" i="76" s="1"/>
  <c r="I222" i="76" s="1"/>
  <c r="I223" i="76" s="1"/>
  <c r="I224" i="76" s="1"/>
  <c r="I225" i="76" s="1"/>
  <c r="I226" i="76" s="1"/>
  <c r="I227" i="76" s="1"/>
  <c r="I228" i="76" s="1"/>
  <c r="I229" i="76" s="1"/>
  <c r="I230" i="76" s="1"/>
  <c r="I231" i="76" s="1"/>
  <c r="I232" i="76" s="1"/>
  <c r="I233" i="76" s="1"/>
  <c r="I234" i="76" s="1"/>
  <c r="I235" i="76" s="1"/>
  <c r="I236" i="76" s="1"/>
  <c r="I237" i="76" s="1"/>
  <c r="I238" i="76" s="1"/>
  <c r="I239" i="76" s="1"/>
  <c r="I240" i="76" s="1"/>
  <c r="I241" i="76" s="1"/>
  <c r="I242" i="76" s="1"/>
  <c r="I243" i="76" s="1"/>
  <c r="I244" i="76" s="1"/>
  <c r="I245" i="76" s="1"/>
  <c r="I246" i="76" s="1"/>
  <c r="I247" i="76" s="1"/>
  <c r="I248" i="76" s="1"/>
  <c r="I249" i="76" s="1"/>
  <c r="I250" i="76" s="1"/>
  <c r="I251" i="76" s="1"/>
  <c r="I252" i="76" s="1"/>
  <c r="I253" i="76" s="1"/>
  <c r="I254" i="76" s="1"/>
  <c r="I255" i="76" s="1"/>
  <c r="I256" i="76" s="1"/>
  <c r="I257" i="76" s="1"/>
  <c r="I258" i="76" s="1"/>
  <c r="I259" i="76" s="1"/>
  <c r="I260" i="76" s="1"/>
  <c r="I261" i="76" s="1"/>
  <c r="I262" i="76" s="1"/>
  <c r="M130" i="76"/>
  <c r="Q16" i="76" s="1"/>
  <c r="M106" i="76"/>
  <c r="Q14" i="76" s="1"/>
  <c r="M118" i="76"/>
  <c r="Q15" i="76" s="1"/>
  <c r="M94" i="76"/>
  <c r="Q13" i="76" s="1"/>
  <c r="M82" i="76"/>
  <c r="Q12" i="76" s="1"/>
  <c r="M58" i="76"/>
  <c r="Q10" i="76" s="1"/>
  <c r="M70" i="76"/>
  <c r="Q11" i="76" s="1"/>
  <c r="M34" i="76"/>
  <c r="Q8" i="76" s="1"/>
  <c r="M46" i="76"/>
  <c r="Q9" i="76" s="1"/>
  <c r="K20" i="76" l="1"/>
  <c r="Q17" i="76"/>
  <c r="Q27" i="76"/>
  <c r="AG21" i="78" l="1"/>
  <c r="AG22" i="78" l="1"/>
  <c r="AI22" i="78" l="1"/>
  <c r="AI23" i="78" l="1"/>
  <c r="AG23" i="78"/>
  <c r="AI24" i="78" l="1"/>
  <c r="AG24" i="78"/>
  <c r="AG25" i="78" l="1"/>
  <c r="AI26" i="78" l="1"/>
  <c r="AG26" i="78"/>
  <c r="AI27" i="78" l="1"/>
  <c r="AG27" i="78"/>
  <c r="AI28" i="78" l="1"/>
  <c r="AG28" i="78"/>
  <c r="AI29" i="78" l="1"/>
  <c r="AG29" i="78"/>
  <c r="AI30" i="78" l="1"/>
  <c r="AG30" i="78" l="1"/>
  <c r="AI31" i="78" l="1"/>
  <c r="AG31" i="78" l="1"/>
  <c r="AG32" i="78" l="1"/>
  <c r="AG33" i="78" l="1"/>
  <c r="AG34" i="78" l="1"/>
  <c r="AG35" i="78" l="1"/>
  <c r="AG36" i="78" l="1"/>
  <c r="AG37" i="78" l="1"/>
  <c r="AG38" i="78" l="1"/>
  <c r="AG39" i="78" l="1"/>
  <c r="AG40" i="78" l="1"/>
  <c r="AG41" i="78" l="1"/>
  <c r="AG42" i="78" l="1"/>
  <c r="AG43" i="78" l="1"/>
  <c r="AG44" i="78" l="1"/>
  <c r="AG45" i="78" l="1"/>
  <c r="AG46" i="78" l="1"/>
  <c r="AG47" i="78" l="1"/>
  <c r="AG48" i="78" l="1"/>
  <c r="AG49" i="78" l="1"/>
  <c r="AG50" i="78" l="1"/>
  <c r="AG51" i="78" l="1"/>
  <c r="AG52" i="78" l="1"/>
  <c r="AG53" i="78" l="1"/>
  <c r="AG54" i="78" l="1"/>
  <c r="AG55" i="78" l="1"/>
  <c r="AG56" i="78" l="1"/>
  <c r="AG57" i="78" l="1"/>
  <c r="AG58" i="78" l="1"/>
  <c r="AG59" i="78" l="1"/>
  <c r="AG60" i="78" l="1"/>
  <c r="AG61" i="78" l="1"/>
  <c r="AG62" i="78" l="1"/>
  <c r="AG63" i="78" l="1"/>
  <c r="AG64" i="78" l="1"/>
  <c r="AG65" i="78" l="1"/>
  <c r="AG66" i="78" l="1"/>
  <c r="AG67" i="78" l="1"/>
  <c r="AG68" i="78" l="1"/>
  <c r="AG69" i="78" l="1"/>
  <c r="AG70" i="78" l="1"/>
  <c r="AG71" i="78" l="1"/>
  <c r="AG72" i="78" l="1"/>
  <c r="AG73" i="78" l="1"/>
  <c r="AG74" i="78" l="1"/>
  <c r="AG75" i="78" l="1"/>
  <c r="AG76" i="78" l="1"/>
  <c r="AG77" i="78" l="1"/>
  <c r="AG78" i="78" l="1"/>
  <c r="AG79" i="78" l="1"/>
  <c r="AG80" i="78" l="1"/>
  <c r="F81" i="78" s="1"/>
  <c r="H81" i="78" l="1"/>
  <c r="N81" i="78" l="1"/>
  <c r="G81" i="78"/>
  <c r="AG81" i="78" l="1"/>
  <c r="F82" i="78" s="1"/>
  <c r="H82" i="78" l="1"/>
  <c r="N82" i="78" l="1"/>
  <c r="G82" i="78"/>
  <c r="AG82" i="78" l="1"/>
  <c r="F83" i="78" s="1"/>
  <c r="G83" i="78" l="1"/>
  <c r="H83" i="78" l="1"/>
  <c r="N83" i="78" l="1"/>
  <c r="AG83" i="78" l="1"/>
  <c r="F84" i="78" s="1"/>
  <c r="G84" i="78" l="1"/>
  <c r="H84" i="78" l="1"/>
  <c r="N84" i="78" l="1"/>
  <c r="AG84" i="78" l="1"/>
  <c r="F85" i="78" s="1"/>
  <c r="G85" i="78" l="1"/>
  <c r="H85" i="78"/>
  <c r="N85" i="78" l="1"/>
  <c r="AG85" i="78" l="1"/>
  <c r="F86" i="78" s="1"/>
  <c r="H86" i="78" l="1"/>
  <c r="G86" i="78"/>
  <c r="N86" i="78" l="1"/>
  <c r="AG86" i="78" l="1"/>
  <c r="F87" i="78" s="1"/>
  <c r="G87" i="78" l="1"/>
  <c r="H87" i="78"/>
  <c r="N87" i="78" l="1"/>
  <c r="AG87" i="78" l="1"/>
  <c r="F88" i="78" s="1"/>
  <c r="G88" i="78" l="1"/>
  <c r="H88" i="78"/>
  <c r="N88" i="78" l="1"/>
  <c r="AG88" i="78" l="1"/>
  <c r="F89" i="78" s="1"/>
  <c r="G89" i="78" l="1"/>
  <c r="H89" i="78" l="1"/>
  <c r="N89" i="78" l="1"/>
  <c r="AG89" i="78" l="1"/>
  <c r="F90" i="78" s="1"/>
  <c r="H90" i="78" l="1"/>
  <c r="G90" i="78" l="1"/>
  <c r="N90" i="78" s="1"/>
  <c r="AG90" i="78" l="1"/>
  <c r="F91" i="78" s="1"/>
  <c r="G91" i="78" l="1"/>
  <c r="H91" i="78"/>
  <c r="N91" i="78" l="1"/>
  <c r="AG91" i="78" l="1"/>
  <c r="F92" i="78" s="1"/>
  <c r="G92" i="78" l="1"/>
  <c r="H92" i="78"/>
  <c r="N92" i="78" l="1"/>
  <c r="AG92" i="78" l="1"/>
  <c r="F93" i="78" s="1"/>
  <c r="H93" i="78" l="1"/>
  <c r="G93" i="78"/>
  <c r="N93" i="78" l="1"/>
  <c r="AG93" i="78" l="1"/>
  <c r="F94" i="78" s="1"/>
  <c r="G94" i="78" l="1"/>
  <c r="H94" i="78" l="1"/>
  <c r="N94" i="78" l="1"/>
  <c r="AG94" i="78" l="1"/>
  <c r="F95" i="78" s="1"/>
  <c r="H95" i="78" l="1"/>
  <c r="N95" i="78" l="1"/>
  <c r="G95" i="78"/>
  <c r="AG95" i="78" l="1"/>
  <c r="F96" i="78" s="1"/>
  <c r="G96" i="78" l="1"/>
  <c r="H96" i="78"/>
  <c r="N96" i="78" l="1"/>
  <c r="AG96" i="78" l="1"/>
  <c r="F97" i="78" s="1"/>
  <c r="G97" i="78" l="1"/>
  <c r="H97" i="78" l="1"/>
  <c r="N97" i="78" l="1"/>
  <c r="AG97" i="78" l="1"/>
  <c r="F98" i="78" s="1"/>
  <c r="H98" i="78" l="1"/>
  <c r="G98" i="78"/>
  <c r="N98" i="78" l="1"/>
  <c r="AG98" i="78" l="1"/>
  <c r="F99" i="78" s="1"/>
  <c r="H99" i="78" l="1"/>
  <c r="G99" i="78"/>
  <c r="N99" i="78" l="1"/>
  <c r="AG99" i="78" l="1"/>
  <c r="F100" i="78" s="1"/>
  <c r="H100" i="78" l="1"/>
  <c r="G100" i="78" l="1"/>
  <c r="N100" i="78" s="1"/>
  <c r="AG100" i="78" l="1"/>
  <c r="F101" i="78" s="1"/>
  <c r="H101" i="78" l="1"/>
  <c r="N101" i="78" l="1"/>
  <c r="G101" i="78"/>
  <c r="AG101" i="78" l="1"/>
  <c r="F102" i="78" s="1"/>
  <c r="G102" i="78" l="1"/>
  <c r="H102" i="78" l="1"/>
  <c r="N102" i="78" l="1"/>
  <c r="AG102" i="78" l="1"/>
  <c r="F103" i="78" s="1"/>
  <c r="H103" i="78" l="1"/>
  <c r="G103" i="78"/>
  <c r="N103" i="78" l="1"/>
  <c r="AG103" i="78" l="1"/>
  <c r="F104" i="78" s="1"/>
  <c r="H104" i="78" l="1"/>
  <c r="N104" i="78" l="1"/>
  <c r="G104" i="78"/>
  <c r="AG104" i="78" l="1"/>
  <c r="F105" i="78" s="1"/>
  <c r="G105" i="78" l="1"/>
  <c r="H105" i="78"/>
  <c r="N105" i="78" l="1"/>
  <c r="AG105" i="78" l="1"/>
  <c r="F106" i="78" s="1"/>
  <c r="H106" i="78" l="1"/>
  <c r="N106" i="78" l="1"/>
  <c r="G106" i="78"/>
  <c r="AG106" i="78" l="1"/>
  <c r="F107" i="78" s="1"/>
  <c r="H107" i="78" l="1"/>
  <c r="N107" i="78" l="1"/>
  <c r="G107" i="78"/>
  <c r="AG107" i="78" l="1"/>
  <c r="F108" i="78" s="1"/>
  <c r="H108" i="78" l="1"/>
  <c r="G108" i="78"/>
  <c r="N108" i="78" l="1"/>
  <c r="AG108" i="78" l="1"/>
  <c r="F109" i="78" s="1"/>
  <c r="H109" i="78" l="1"/>
  <c r="G109" i="78"/>
  <c r="N109" i="78" l="1"/>
  <c r="AG109" i="78" l="1"/>
  <c r="F110" i="78" s="1"/>
  <c r="H110" i="78" l="1"/>
  <c r="G110" i="78"/>
  <c r="N110" i="78" l="1"/>
  <c r="AG110" i="78" l="1"/>
  <c r="F111" i="78" s="1"/>
  <c r="H111" i="78" l="1"/>
  <c r="G111" i="78"/>
  <c r="N111" i="78" l="1"/>
  <c r="AG111" i="78" l="1"/>
  <c r="F112" i="78" s="1"/>
  <c r="G112" i="78" l="1"/>
  <c r="H112" i="78"/>
  <c r="N112" i="78" l="1"/>
  <c r="AG112" i="78" l="1"/>
  <c r="F113" i="78" s="1"/>
  <c r="H113" i="78" l="1"/>
  <c r="G113" i="78"/>
  <c r="N113" i="78" l="1"/>
  <c r="AG113" i="78" l="1"/>
  <c r="F114" i="78" s="1"/>
  <c r="G114" i="78" l="1"/>
  <c r="H114" i="78"/>
  <c r="N114" i="78" l="1"/>
  <c r="AG114" i="78" l="1"/>
  <c r="F115" i="78" s="1"/>
  <c r="H115" i="78" l="1"/>
  <c r="G115" i="78"/>
  <c r="N115" i="78" l="1"/>
  <c r="AG115" i="78" l="1"/>
  <c r="F116" i="78" s="1"/>
  <c r="H116" i="78" l="1"/>
  <c r="G116" i="78"/>
  <c r="N116" i="78" l="1"/>
  <c r="AG116" i="78" l="1"/>
  <c r="F117" i="78" s="1"/>
  <c r="G117" i="78" l="1"/>
  <c r="H117" i="78" l="1"/>
  <c r="N117" i="78" l="1"/>
  <c r="AG117" i="78" l="1"/>
  <c r="F118" i="78" s="1"/>
  <c r="G118" i="78" l="1"/>
  <c r="H118" i="78" l="1"/>
  <c r="N118" i="78" l="1"/>
  <c r="AG118" i="78" l="1"/>
  <c r="F119" i="78" s="1"/>
  <c r="G119" i="78" l="1"/>
  <c r="H119" i="78"/>
  <c r="N119" i="78" l="1"/>
  <c r="AG119" i="78" l="1"/>
  <c r="F120" i="78" s="1"/>
  <c r="H120" i="78" l="1"/>
  <c r="G120" i="78"/>
  <c r="N120" i="78" l="1"/>
  <c r="AG120" i="78" l="1"/>
  <c r="F121" i="78" s="1"/>
  <c r="H121" i="78" l="1"/>
  <c r="G121" i="78"/>
  <c r="N121" i="78" l="1"/>
  <c r="AG121" i="78" l="1"/>
  <c r="F122" i="78" s="1"/>
  <c r="G122" i="78" l="1"/>
  <c r="H122" i="78"/>
  <c r="N122" i="78" l="1"/>
  <c r="AG122" i="78" l="1"/>
  <c r="F123" i="78" s="1"/>
  <c r="G123" i="78" l="1"/>
  <c r="H123" i="78"/>
  <c r="N123" i="78" l="1"/>
  <c r="AG123" i="78" l="1"/>
  <c r="F124" i="78" s="1"/>
  <c r="G124" i="78" l="1"/>
  <c r="H124" i="78"/>
  <c r="N124" i="78" l="1"/>
  <c r="AG124" i="78" l="1"/>
  <c r="F125" i="78" s="1"/>
  <c r="H125" i="78" l="1"/>
  <c r="G125" i="78"/>
  <c r="N125" i="78" l="1"/>
  <c r="AG125" i="78" l="1"/>
  <c r="F126" i="78" s="1"/>
  <c r="G126" i="78" l="1"/>
  <c r="H126" i="78" l="1"/>
  <c r="N126" i="78" l="1"/>
  <c r="AG126" i="78" l="1"/>
  <c r="F127" i="78" s="1"/>
  <c r="G127" i="78" l="1"/>
  <c r="H127" i="78" l="1"/>
  <c r="N127" i="78" l="1"/>
  <c r="AG127" i="78" l="1"/>
  <c r="F128" i="78" s="1"/>
  <c r="G128" i="78" l="1"/>
  <c r="H128" i="78" l="1"/>
  <c r="N128" i="78" l="1"/>
  <c r="AG128" i="78" l="1"/>
  <c r="F129" i="78" s="1"/>
  <c r="G129" i="78" l="1"/>
  <c r="H129" i="78" l="1"/>
  <c r="N129" i="78" l="1"/>
  <c r="AG129" i="78" l="1"/>
  <c r="F130" i="78" s="1"/>
  <c r="H130" i="78" s="1"/>
  <c r="G130" i="78" l="1"/>
  <c r="N130" i="78" s="1"/>
  <c r="AG130" i="78" l="1"/>
  <c r="F131" i="78" s="1"/>
  <c r="H131" i="78" l="1"/>
  <c r="G131" i="78"/>
  <c r="N131" i="78" l="1"/>
  <c r="AG131" i="78" l="1"/>
  <c r="F132" i="78" s="1"/>
  <c r="G132" i="78" l="1"/>
  <c r="H132" i="78"/>
  <c r="N132" i="78" l="1"/>
  <c r="AG132" i="78" l="1"/>
  <c r="F133" i="78" s="1"/>
  <c r="H133" i="78" l="1"/>
  <c r="G133" i="78"/>
  <c r="N133" i="78" l="1"/>
  <c r="AG133" i="78" l="1"/>
  <c r="F134" i="78" s="1"/>
  <c r="H134" i="78" l="1"/>
  <c r="G134" i="78"/>
  <c r="N134" i="78" l="1"/>
  <c r="AG134" i="78" l="1"/>
  <c r="F135" i="78" s="1"/>
  <c r="G135" i="78" l="1"/>
  <c r="H135" i="78"/>
  <c r="N135" i="78" l="1"/>
  <c r="AG135" i="78" l="1"/>
  <c r="F136" i="78" s="1"/>
  <c r="G136" i="78" l="1"/>
  <c r="H136" i="78"/>
  <c r="N136" i="78" l="1"/>
  <c r="AG136" i="78" l="1"/>
  <c r="F137" i="78" s="1"/>
  <c r="H137" i="78" l="1"/>
  <c r="G137" i="78"/>
  <c r="N137" i="78" l="1"/>
  <c r="AG137" i="78" l="1"/>
  <c r="F138" i="78" s="1"/>
  <c r="H138" i="78" l="1"/>
  <c r="G138" i="78"/>
  <c r="N138" i="78" l="1"/>
  <c r="AG138" i="78" l="1"/>
  <c r="F139" i="78" s="1"/>
  <c r="G139" i="78" l="1"/>
  <c r="H139" i="78"/>
  <c r="N139" i="78" l="1"/>
  <c r="AG139" i="78" l="1"/>
  <c r="F140" i="78" s="1"/>
  <c r="H140" i="78" l="1"/>
  <c r="G140" i="78"/>
  <c r="N140" i="78" l="1"/>
  <c r="AG140" i="78" l="1"/>
  <c r="F141" i="78" s="1"/>
  <c r="G141" i="78" l="1"/>
  <c r="H141" i="78"/>
  <c r="N141" i="78" l="1"/>
  <c r="AG141" i="78" l="1"/>
  <c r="F142" i="78" s="1"/>
  <c r="G142" i="78" l="1"/>
  <c r="H142" i="78"/>
  <c r="N142" i="78" l="1"/>
  <c r="AG142" i="78" l="1"/>
  <c r="F143" i="78" s="1"/>
  <c r="H143" i="78" l="1"/>
  <c r="N143" i="78" l="1"/>
  <c r="G143" i="78"/>
  <c r="AG143" i="78" l="1"/>
  <c r="F144" i="78" s="1"/>
  <c r="G144" i="78" l="1"/>
  <c r="H144" i="78"/>
  <c r="N144" i="78" l="1"/>
  <c r="AG144" i="78" l="1"/>
  <c r="F145" i="78" s="1"/>
  <c r="G145" i="78" l="1"/>
  <c r="H145" i="78"/>
  <c r="N145" i="78" l="1"/>
  <c r="AG145" i="78" l="1"/>
  <c r="F146" i="78" s="1"/>
  <c r="G146" i="78" l="1"/>
  <c r="H146" i="78" l="1"/>
  <c r="N146" i="78" l="1"/>
  <c r="AG146" i="78" l="1"/>
  <c r="F147" i="78" s="1"/>
  <c r="G147" i="78" l="1"/>
  <c r="H147" i="78"/>
  <c r="N147" i="78" l="1"/>
  <c r="AG147" i="78" l="1"/>
  <c r="F148" i="78" s="1"/>
  <c r="H148" i="78" l="1"/>
  <c r="G148" i="78"/>
  <c r="N148" i="78" l="1"/>
  <c r="AG148" i="78" l="1"/>
  <c r="F149" i="78" s="1"/>
  <c r="H149" i="78" l="1"/>
  <c r="G149" i="78"/>
  <c r="N149" i="78" l="1"/>
  <c r="AG149" i="78" l="1"/>
  <c r="F150" i="78" s="1"/>
  <c r="H150" i="78" l="1"/>
  <c r="G150" i="78"/>
  <c r="N150" i="78" l="1"/>
  <c r="AG150" i="78" l="1"/>
  <c r="AI21" i="78"/>
  <c r="AI25" i="78"/>
  <c r="H35" i="80" l="1"/>
  <c r="F19" i="78"/>
  <c r="H47" i="80"/>
  <c r="H83" i="80"/>
  <c r="H131" i="80"/>
  <c r="G35" i="80"/>
  <c r="G59" i="80"/>
  <c r="H71" i="80"/>
  <c r="H51" i="80"/>
  <c r="G112" i="80"/>
  <c r="G27" i="80"/>
  <c r="H58" i="80"/>
  <c r="H106" i="80"/>
  <c r="G69" i="80"/>
  <c r="H86" i="80"/>
  <c r="G136" i="80"/>
  <c r="G33" i="80"/>
  <c r="H28" i="80"/>
  <c r="H82" i="80"/>
  <c r="H53" i="80"/>
  <c r="G132" i="80"/>
  <c r="G99" i="80"/>
  <c r="H24" i="80"/>
  <c r="I24" i="80" s="1"/>
  <c r="G96" i="80"/>
  <c r="G37" i="80"/>
  <c r="H134" i="80"/>
  <c r="G138" i="80"/>
  <c r="G53" i="80"/>
  <c r="H141" i="80"/>
  <c r="H61" i="80"/>
  <c r="G87" i="80"/>
  <c r="G28" i="80"/>
  <c r="H88" i="80"/>
  <c r="G129" i="80"/>
  <c r="G44" i="80"/>
  <c r="H50" i="80"/>
  <c r="H111" i="80"/>
  <c r="G42" i="80"/>
  <c r="H122" i="80"/>
  <c r="H118" i="80"/>
  <c r="G85" i="80"/>
  <c r="H55" i="80"/>
  <c r="H103" i="80"/>
  <c r="G66" i="80"/>
  <c r="H26" i="80"/>
  <c r="G141" i="80"/>
  <c r="G82" i="80"/>
  <c r="H113" i="80"/>
  <c r="G62" i="80"/>
  <c r="G29" i="80"/>
  <c r="G137" i="80"/>
  <c r="G26" i="80"/>
  <c r="H57" i="80"/>
  <c r="H68" i="80"/>
  <c r="G60" i="80"/>
  <c r="H56" i="80"/>
  <c r="H96" i="80"/>
  <c r="G128" i="80"/>
  <c r="H138" i="80"/>
  <c r="H123" i="80"/>
  <c r="H105" i="80"/>
  <c r="G51" i="80"/>
  <c r="H46" i="80"/>
  <c r="H110" i="80"/>
  <c r="H143" i="80"/>
  <c r="G119" i="80"/>
  <c r="G92" i="80"/>
  <c r="H120" i="80"/>
  <c r="H80" i="80"/>
  <c r="G91" i="80"/>
  <c r="H136" i="80"/>
  <c r="H115" i="80"/>
  <c r="G108" i="80"/>
  <c r="H42" i="80"/>
  <c r="G130" i="80"/>
  <c r="G63" i="80"/>
  <c r="H31" i="80"/>
  <c r="G94" i="80"/>
  <c r="H93" i="80"/>
  <c r="H30" i="80"/>
  <c r="G67" i="80"/>
  <c r="H121" i="80"/>
  <c r="H73" i="80"/>
  <c r="G118" i="80"/>
  <c r="H54" i="80"/>
  <c r="H108" i="80"/>
  <c r="G109" i="80"/>
  <c r="G58" i="80"/>
  <c r="H27" i="80"/>
  <c r="G134" i="80"/>
  <c r="G84" i="80"/>
  <c r="H44" i="80"/>
  <c r="H72" i="80"/>
  <c r="G100" i="80"/>
  <c r="H95" i="80"/>
  <c r="G83" i="80"/>
  <c r="H89" i="80"/>
  <c r="G139" i="80"/>
  <c r="G72" i="80"/>
  <c r="G30" i="80"/>
  <c r="H70" i="80"/>
  <c r="G88" i="80"/>
  <c r="G38" i="80"/>
  <c r="H112" i="80"/>
  <c r="G52" i="80"/>
  <c r="H94" i="80"/>
  <c r="G127" i="80"/>
  <c r="H137" i="80"/>
  <c r="H65" i="80"/>
  <c r="G135" i="80"/>
  <c r="H43" i="80"/>
  <c r="G140" i="80"/>
  <c r="G90" i="80"/>
  <c r="G40" i="80"/>
  <c r="H100" i="80"/>
  <c r="G98" i="80"/>
  <c r="G56" i="80"/>
  <c r="H25" i="80"/>
  <c r="G114" i="80"/>
  <c r="G81" i="80"/>
  <c r="H135" i="80"/>
  <c r="H78" i="80"/>
  <c r="G89" i="80"/>
  <c r="K13" i="80"/>
  <c r="H98" i="80"/>
  <c r="G61" i="80"/>
  <c r="H140" i="80"/>
  <c r="H41" i="80"/>
  <c r="G103" i="80"/>
  <c r="H139" i="80"/>
  <c r="H40" i="80"/>
  <c r="G93" i="80"/>
  <c r="H37" i="80"/>
  <c r="H109" i="80"/>
  <c r="G49" i="80"/>
  <c r="H34" i="80"/>
  <c r="G124" i="80"/>
  <c r="G65" i="80"/>
  <c r="H77" i="80"/>
  <c r="G70" i="80"/>
  <c r="H133" i="80"/>
  <c r="H32" i="80"/>
  <c r="G104" i="80"/>
  <c r="G45" i="80"/>
  <c r="H142" i="80"/>
  <c r="G121" i="80"/>
  <c r="G36" i="80"/>
  <c r="H87" i="80"/>
  <c r="H69" i="80"/>
  <c r="G78" i="80"/>
  <c r="H132" i="80"/>
  <c r="G24" i="80"/>
  <c r="G95" i="80"/>
  <c r="H119" i="80"/>
  <c r="G102" i="80"/>
  <c r="H92" i="80"/>
  <c r="H66" i="80"/>
  <c r="H75" i="80"/>
  <c r="G25" i="80"/>
  <c r="H130" i="80"/>
  <c r="H74" i="80"/>
  <c r="H90" i="80"/>
  <c r="H79" i="80"/>
  <c r="G116" i="80"/>
  <c r="H126" i="80"/>
  <c r="G113" i="80"/>
  <c r="G54" i="80"/>
  <c r="H60" i="80"/>
  <c r="G77" i="80"/>
  <c r="H48" i="80"/>
  <c r="H67" i="80"/>
  <c r="G120" i="80"/>
  <c r="G34" i="80"/>
  <c r="H39" i="80"/>
  <c r="H97" i="80"/>
  <c r="G68" i="80"/>
  <c r="H38" i="80"/>
  <c r="H104" i="80"/>
  <c r="G111" i="80"/>
  <c r="H84" i="80"/>
  <c r="H29" i="80"/>
  <c r="G131" i="80"/>
  <c r="H59" i="80"/>
  <c r="G32" i="80"/>
  <c r="H101" i="80"/>
  <c r="G125" i="80"/>
  <c r="G75" i="80"/>
  <c r="H128" i="80"/>
  <c r="G133" i="80"/>
  <c r="G74" i="80"/>
  <c r="H99" i="80"/>
  <c r="G79" i="80"/>
  <c r="G46" i="80"/>
  <c r="H76" i="80"/>
  <c r="G43" i="80"/>
  <c r="H49" i="80"/>
  <c r="G110" i="80"/>
  <c r="H91" i="80"/>
  <c r="H102" i="80"/>
  <c r="G126" i="80"/>
  <c r="G50" i="80"/>
  <c r="H129" i="80"/>
  <c r="H81" i="80"/>
  <c r="G101" i="80"/>
  <c r="H36" i="80"/>
  <c r="H116" i="80"/>
  <c r="G117" i="80"/>
  <c r="G41" i="80"/>
  <c r="H64" i="80"/>
  <c r="G142" i="80"/>
  <c r="G143" i="80"/>
  <c r="H62" i="80"/>
  <c r="G105" i="80"/>
  <c r="G55" i="80"/>
  <c r="H52" i="80"/>
  <c r="G122" i="80"/>
  <c r="G80" i="80"/>
  <c r="H125" i="80"/>
  <c r="G86" i="80"/>
  <c r="H85" i="80"/>
  <c r="H124" i="80"/>
  <c r="G76" i="80"/>
  <c r="H45" i="80"/>
  <c r="H117" i="80"/>
  <c r="G57" i="80"/>
  <c r="H63" i="80"/>
  <c r="G115" i="80"/>
  <c r="G48" i="80"/>
  <c r="H127" i="80"/>
  <c r="G123" i="80"/>
  <c r="G73" i="80"/>
  <c r="G31" i="80"/>
  <c r="H114" i="80"/>
  <c r="G106" i="80"/>
  <c r="G39" i="80"/>
  <c r="H33" i="80"/>
  <c r="G97" i="80"/>
  <c r="G64" i="80"/>
  <c r="G47" i="80"/>
  <c r="G71" i="80"/>
  <c r="G107" i="80"/>
  <c r="H107" i="80"/>
  <c r="I25" i="80" l="1"/>
  <c r="I26" i="80" s="1"/>
  <c r="I27" i="80" s="1"/>
  <c r="I28" i="80" s="1"/>
  <c r="I29" i="80" s="1"/>
  <c r="I30" i="80" s="1"/>
  <c r="I31" i="80" s="1"/>
  <c r="I32" i="80" s="1"/>
  <c r="G21" i="78"/>
  <c r="F22" i="78" s="1"/>
  <c r="H21" i="78"/>
  <c r="K71" i="80"/>
  <c r="P11" i="80" s="1"/>
  <c r="I33" i="80"/>
  <c r="I34" i="80" s="1"/>
  <c r="I35" i="80" s="1"/>
  <c r="I36" i="80" s="1"/>
  <c r="I37" i="80" s="1"/>
  <c r="I38" i="80" s="1"/>
  <c r="I39" i="80" s="1"/>
  <c r="I40" i="80" s="1"/>
  <c r="I41" i="80" s="1"/>
  <c r="I42" i="80" s="1"/>
  <c r="I43" i="80" s="1"/>
  <c r="I44" i="80" s="1"/>
  <c r="I45" i="80" s="1"/>
  <c r="I46" i="80" s="1"/>
  <c r="I47" i="80" s="1"/>
  <c r="I48" i="80" s="1"/>
  <c r="I49" i="80" s="1"/>
  <c r="I50" i="80" s="1"/>
  <c r="I51" i="80" s="1"/>
  <c r="I52" i="80" s="1"/>
  <c r="I53" i="80" s="1"/>
  <c r="I54" i="80" s="1"/>
  <c r="I55" i="80" s="1"/>
  <c r="I56" i="80" s="1"/>
  <c r="I57" i="80" s="1"/>
  <c r="I58" i="80" s="1"/>
  <c r="I59" i="80" s="1"/>
  <c r="I60" i="80" s="1"/>
  <c r="I61" i="80" s="1"/>
  <c r="I62" i="80" s="1"/>
  <c r="I63" i="80" s="1"/>
  <c r="I64" i="80" s="1"/>
  <c r="I65" i="80" s="1"/>
  <c r="I66" i="80" s="1"/>
  <c r="I67" i="80" s="1"/>
  <c r="I68" i="80" s="1"/>
  <c r="I69" i="80" s="1"/>
  <c r="I70" i="80" s="1"/>
  <c r="I71" i="80" s="1"/>
  <c r="I72" i="80" s="1"/>
  <c r="I73" i="80" s="1"/>
  <c r="I74" i="80" s="1"/>
  <c r="I75" i="80" s="1"/>
  <c r="I76" i="80" s="1"/>
  <c r="I77" i="80" s="1"/>
  <c r="I78" i="80" s="1"/>
  <c r="I79" i="80" s="1"/>
  <c r="I80" i="80" s="1"/>
  <c r="I81" i="80" s="1"/>
  <c r="I82" i="80" s="1"/>
  <c r="I83" i="80" s="1"/>
  <c r="I84" i="80" s="1"/>
  <c r="I85" i="80" s="1"/>
  <c r="I86" i="80" s="1"/>
  <c r="I87" i="80" s="1"/>
  <c r="I88" i="80" s="1"/>
  <c r="I89" i="80" s="1"/>
  <c r="I90" i="80" s="1"/>
  <c r="I91" i="80" s="1"/>
  <c r="I92" i="80" s="1"/>
  <c r="I93" i="80" s="1"/>
  <c r="I94" i="80" s="1"/>
  <c r="I95" i="80" s="1"/>
  <c r="I96" i="80" s="1"/>
  <c r="I97" i="80" s="1"/>
  <c r="I98" i="80" s="1"/>
  <c r="I99" i="80" s="1"/>
  <c r="I100" i="80" s="1"/>
  <c r="I101" i="80" s="1"/>
  <c r="I102" i="80" s="1"/>
  <c r="I103" i="80" s="1"/>
  <c r="I104" i="80" s="1"/>
  <c r="I105" i="80" s="1"/>
  <c r="I106" i="80" s="1"/>
  <c r="I107" i="80" s="1"/>
  <c r="I108" i="80" s="1"/>
  <c r="I109" i="80" s="1"/>
  <c r="I110" i="80" s="1"/>
  <c r="I111" i="80" s="1"/>
  <c r="I112" i="80" s="1"/>
  <c r="I113" i="80" s="1"/>
  <c r="I114" i="80" s="1"/>
  <c r="I115" i="80" s="1"/>
  <c r="I116" i="80" s="1"/>
  <c r="I117" i="80" s="1"/>
  <c r="I118" i="80" s="1"/>
  <c r="I119" i="80" s="1"/>
  <c r="I120" i="80" s="1"/>
  <c r="I121" i="80" s="1"/>
  <c r="I122" i="80" s="1"/>
  <c r="I123" i="80" s="1"/>
  <c r="I124" i="80" s="1"/>
  <c r="I125" i="80" s="1"/>
  <c r="I126" i="80" s="1"/>
  <c r="I127" i="80" s="1"/>
  <c r="I128" i="80" s="1"/>
  <c r="I129" i="80" s="1"/>
  <c r="I130" i="80" s="1"/>
  <c r="I131" i="80" s="1"/>
  <c r="I132" i="80" s="1"/>
  <c r="I133" i="80" s="1"/>
  <c r="I134" i="80" s="1"/>
  <c r="I135" i="80" s="1"/>
  <c r="I136" i="80" s="1"/>
  <c r="I137" i="80" s="1"/>
  <c r="I138" i="80" s="1"/>
  <c r="I139" i="80" s="1"/>
  <c r="I140" i="80" s="1"/>
  <c r="I141" i="80" s="1"/>
  <c r="I142" i="80" s="1"/>
  <c r="I143" i="80" s="1"/>
  <c r="K107" i="80"/>
  <c r="P14" i="80" s="1"/>
  <c r="M35" i="80"/>
  <c r="Q8" i="80" s="1"/>
  <c r="X21" i="78" s="1"/>
  <c r="K95" i="80"/>
  <c r="P13" i="80" s="1"/>
  <c r="M143" i="80"/>
  <c r="Q18" i="80" s="1"/>
  <c r="X30" i="78" s="1"/>
  <c r="K20" i="80"/>
  <c r="K83" i="80"/>
  <c r="P12" i="80" s="1"/>
  <c r="M71" i="80"/>
  <c r="Q11" i="80" s="1"/>
  <c r="X24" i="78" s="1"/>
  <c r="K47" i="80"/>
  <c r="P9" i="80" s="1"/>
  <c r="M59" i="80"/>
  <c r="Q10" i="80" s="1"/>
  <c r="X23" i="78" s="1"/>
  <c r="M95" i="80"/>
  <c r="Q13" i="80" s="1"/>
  <c r="X26" i="78" s="1"/>
  <c r="K59" i="80"/>
  <c r="P10" i="80" s="1"/>
  <c r="K131" i="80"/>
  <c r="P17" i="80" s="1"/>
  <c r="K35" i="80"/>
  <c r="M131" i="80"/>
  <c r="Q17" i="80" s="1"/>
  <c r="X29" i="78" s="1"/>
  <c r="M83" i="80"/>
  <c r="Q12" i="80" s="1"/>
  <c r="X25" i="78" s="1"/>
  <c r="K143" i="80"/>
  <c r="M47" i="80"/>
  <c r="Q9" i="80" s="1"/>
  <c r="X22" i="78" s="1"/>
  <c r="M107" i="80"/>
  <c r="Q14" i="80" s="1"/>
  <c r="X27" i="78" s="1"/>
  <c r="M119" i="80"/>
  <c r="Q16" i="80" s="1"/>
  <c r="X28" i="78" s="1"/>
  <c r="K119" i="80"/>
  <c r="P16" i="80" s="1"/>
  <c r="G22" i="78" l="1"/>
  <c r="F23" i="78" s="1"/>
  <c r="H22" i="78"/>
  <c r="N22" i="78" s="1"/>
  <c r="N21" i="78"/>
  <c r="P18" i="80"/>
  <c r="K21" i="80"/>
  <c r="P8" i="80"/>
  <c r="O21" i="78" s="1"/>
  <c r="G23" i="78" l="1"/>
  <c r="F24" i="78" s="1"/>
  <c r="H23" i="78"/>
  <c r="P21" i="78"/>
  <c r="U21" i="78"/>
  <c r="N23" i="78" l="1"/>
  <c r="G24" i="78"/>
  <c r="F25" i="78" s="1"/>
  <c r="H24" i="78"/>
  <c r="Q21" i="78"/>
  <c r="T21" i="78"/>
  <c r="V21" i="78" l="1"/>
  <c r="W21" i="78" s="1"/>
  <c r="Y21" i="78" s="1"/>
  <c r="Z21" i="78" s="1"/>
  <c r="AJ21" i="78" s="1"/>
  <c r="AO21" i="78" s="1"/>
  <c r="AP21" i="78" s="1"/>
  <c r="G25" i="78"/>
  <c r="F26" i="78" s="1"/>
  <c r="H25" i="78"/>
  <c r="N24" i="78"/>
  <c r="AA21" i="78" l="1"/>
  <c r="AB21" i="78" s="1"/>
  <c r="AN21" i="78" s="1"/>
  <c r="N25" i="78"/>
  <c r="G26" i="78"/>
  <c r="F27" i="78" s="1"/>
  <c r="H26" i="78"/>
  <c r="O22" i="78" l="1"/>
  <c r="U22" i="78" s="1"/>
  <c r="AK21" i="78"/>
  <c r="G27" i="78"/>
  <c r="F28" i="78" s="1"/>
  <c r="H27" i="78"/>
  <c r="N26" i="78"/>
  <c r="P22" i="78" l="1"/>
  <c r="Q22" i="78" s="1"/>
  <c r="N27" i="78"/>
  <c r="H28" i="78"/>
  <c r="G28" i="78"/>
  <c r="F29" i="78" s="1"/>
  <c r="T22" i="78" l="1"/>
  <c r="V22" i="78" s="1"/>
  <c r="W22" i="78" s="1"/>
  <c r="Y22" i="78" s="1"/>
  <c r="Z22" i="78" s="1"/>
  <c r="AJ22" i="78" s="1"/>
  <c r="AO22" i="78" s="1"/>
  <c r="AP22" i="78" s="1"/>
  <c r="G29" i="78"/>
  <c r="F30" i="78" s="1"/>
  <c r="H29" i="78"/>
  <c r="N28" i="78"/>
  <c r="AA22" i="78" l="1"/>
  <c r="AB22" i="78" s="1"/>
  <c r="AN22" i="78" s="1"/>
  <c r="O23" i="78" s="1"/>
  <c r="N29" i="78"/>
  <c r="G30" i="78"/>
  <c r="F31" i="78" s="1"/>
  <c r="H30" i="78"/>
  <c r="AK22" i="78" l="1"/>
  <c r="P23" i="78"/>
  <c r="U23" i="78"/>
  <c r="N30" i="78"/>
  <c r="G31" i="78"/>
  <c r="F32" i="78" s="1"/>
  <c r="H31" i="78"/>
  <c r="T23" i="78" l="1"/>
  <c r="Q23" i="78"/>
  <c r="N31" i="78"/>
  <c r="G32" i="78"/>
  <c r="F33" i="78" s="1"/>
  <c r="H32" i="78"/>
  <c r="V23" i="78" l="1"/>
  <c r="W23" i="78" s="1"/>
  <c r="Y23" i="78" s="1"/>
  <c r="Z23" i="78" s="1"/>
  <c r="AJ23" i="78" s="1"/>
  <c r="AO23" i="78" s="1"/>
  <c r="AP23" i="78" s="1"/>
  <c r="G33" i="78"/>
  <c r="F34" i="78" s="1"/>
  <c r="H33" i="78"/>
  <c r="N32" i="78"/>
  <c r="AA23" i="78" l="1"/>
  <c r="AB23" i="78" s="1"/>
  <c r="AN23" i="78" s="1"/>
  <c r="O24" i="78" s="1"/>
  <c r="N33" i="78"/>
  <c r="G34" i="78"/>
  <c r="F35" i="78" s="1"/>
  <c r="H34" i="78"/>
  <c r="AK23" i="78" l="1"/>
  <c r="P24" i="78"/>
  <c r="U24" i="78"/>
  <c r="G35" i="78"/>
  <c r="F36" i="78" s="1"/>
  <c r="H35" i="78"/>
  <c r="N34" i="78"/>
  <c r="T24" i="78" l="1"/>
  <c r="Q24" i="78"/>
  <c r="N35" i="78"/>
  <c r="G36" i="78"/>
  <c r="F37" i="78" s="1"/>
  <c r="H36" i="78"/>
  <c r="V24" i="78" l="1"/>
  <c r="W24" i="78" s="1"/>
  <c r="Y24" i="78" s="1"/>
  <c r="Z24" i="78" s="1"/>
  <c r="AJ24" i="78" s="1"/>
  <c r="AO24" i="78" s="1"/>
  <c r="AP24" i="78" s="1"/>
  <c r="N36" i="78"/>
  <c r="H37" i="78"/>
  <c r="G37" i="78"/>
  <c r="F38" i="78" s="1"/>
  <c r="AA24" i="78" l="1"/>
  <c r="AB24" i="78" s="1"/>
  <c r="AN24" i="78" s="1"/>
  <c r="O25" i="78" s="1"/>
  <c r="N37" i="78"/>
  <c r="G38" i="78"/>
  <c r="F39" i="78" s="1"/>
  <c r="H38" i="78"/>
  <c r="AK24" i="78" l="1"/>
  <c r="P25" i="78"/>
  <c r="U25" i="78"/>
  <c r="G39" i="78"/>
  <c r="F40" i="78" s="1"/>
  <c r="H39" i="78"/>
  <c r="N38" i="78"/>
  <c r="T25" i="78" l="1"/>
  <c r="Q25" i="78"/>
  <c r="N39" i="78"/>
  <c r="H40" i="78"/>
  <c r="G40" i="78"/>
  <c r="F41" i="78" s="1"/>
  <c r="V25" i="78" l="1"/>
  <c r="W25" i="78" s="1"/>
  <c r="Y25" i="78" s="1"/>
  <c r="Z25" i="78" s="1"/>
  <c r="AJ25" i="78" s="1"/>
  <c r="AO25" i="78" s="1"/>
  <c r="AP25" i="78" s="1"/>
  <c r="N40" i="78"/>
  <c r="H41" i="78"/>
  <c r="G41" i="78"/>
  <c r="F42" i="78" s="1"/>
  <c r="AA25" i="78" l="1"/>
  <c r="AB25" i="78" s="1"/>
  <c r="AN25" i="78" s="1"/>
  <c r="O26" i="78" s="1"/>
  <c r="N41" i="78"/>
  <c r="G42" i="78"/>
  <c r="F43" i="78" s="1"/>
  <c r="H42" i="78"/>
  <c r="AK25" i="78" l="1"/>
  <c r="P26" i="78"/>
  <c r="U26" i="78"/>
  <c r="H43" i="78"/>
  <c r="G43" i="78"/>
  <c r="F44" i="78" s="1"/>
  <c r="N42" i="78"/>
  <c r="T26" i="78" l="1"/>
  <c r="Q26" i="78"/>
  <c r="G44" i="78"/>
  <c r="F45" i="78" s="1"/>
  <c r="H44" i="78"/>
  <c r="N43" i="78"/>
  <c r="V26" i="78" l="1"/>
  <c r="W26" i="78" s="1"/>
  <c r="Y26" i="78" s="1"/>
  <c r="Z26" i="78" s="1"/>
  <c r="AJ26" i="78" s="1"/>
  <c r="AO26" i="78" s="1"/>
  <c r="AP26" i="78" s="1"/>
  <c r="N44" i="78"/>
  <c r="G45" i="78"/>
  <c r="F46" i="78" s="1"/>
  <c r="H45" i="78"/>
  <c r="AA26" i="78" l="1"/>
  <c r="AB26" i="78" s="1"/>
  <c r="AN26" i="78" s="1"/>
  <c r="O27" i="78" s="1"/>
  <c r="N45" i="78"/>
  <c r="G46" i="78"/>
  <c r="F47" i="78" s="1"/>
  <c r="H46" i="78"/>
  <c r="AK26" i="78" l="1"/>
  <c r="P27" i="78"/>
  <c r="U27" i="78"/>
  <c r="N46" i="78"/>
  <c r="G47" i="78"/>
  <c r="F48" i="78" s="1"/>
  <c r="H47" i="78"/>
  <c r="T27" i="78" l="1"/>
  <c r="Q27" i="78"/>
  <c r="G48" i="78"/>
  <c r="F49" i="78" s="1"/>
  <c r="H48" i="78"/>
  <c r="N47" i="78"/>
  <c r="V27" i="78" l="1"/>
  <c r="W27" i="78" s="1"/>
  <c r="Y27" i="78" s="1"/>
  <c r="Z27" i="78" s="1"/>
  <c r="AJ27" i="78" s="1"/>
  <c r="AO27" i="78" s="1"/>
  <c r="AP27" i="78" s="1"/>
  <c r="N48" i="78"/>
  <c r="H49" i="78"/>
  <c r="G49" i="78"/>
  <c r="F50" i="78" s="1"/>
  <c r="AA27" i="78" l="1"/>
  <c r="AB27" i="78" s="1"/>
  <c r="AN27" i="78" s="1"/>
  <c r="O28" i="78" s="1"/>
  <c r="N49" i="78"/>
  <c r="G50" i="78"/>
  <c r="F51" i="78" s="1"/>
  <c r="H50" i="78"/>
  <c r="AK27" i="78" l="1"/>
  <c r="P28" i="78"/>
  <c r="U28" i="78"/>
  <c r="G51" i="78"/>
  <c r="F52" i="78" s="1"/>
  <c r="H51" i="78"/>
  <c r="N50" i="78"/>
  <c r="T28" i="78" l="1"/>
  <c r="Q28" i="78"/>
  <c r="N51" i="78"/>
  <c r="G52" i="78"/>
  <c r="F53" i="78" s="1"/>
  <c r="H52" i="78"/>
  <c r="V28" i="78" l="1"/>
  <c r="W28" i="78" s="1"/>
  <c r="Y28" i="78" s="1"/>
  <c r="Z28" i="78" s="1"/>
  <c r="AJ28" i="78" s="1"/>
  <c r="AO28" i="78" s="1"/>
  <c r="AP28" i="78" s="1"/>
  <c r="N52" i="78"/>
  <c r="H53" i="78"/>
  <c r="G53" i="78"/>
  <c r="F54" i="78" s="1"/>
  <c r="AA28" i="78" l="1"/>
  <c r="AB28" i="78" s="1"/>
  <c r="AN28" i="78" s="1"/>
  <c r="O29" i="78" s="1"/>
  <c r="N53" i="78"/>
  <c r="G54" i="78"/>
  <c r="F55" i="78" s="1"/>
  <c r="H54" i="78"/>
  <c r="AK28" i="78" l="1"/>
  <c r="P29" i="78"/>
  <c r="U29" i="78"/>
  <c r="G55" i="78"/>
  <c r="F56" i="78" s="1"/>
  <c r="H55" i="78"/>
  <c r="N54" i="78"/>
  <c r="T29" i="78" l="1"/>
  <c r="Q29" i="78"/>
  <c r="N55" i="78"/>
  <c r="H56" i="78"/>
  <c r="G56" i="78"/>
  <c r="F57" i="78" s="1"/>
  <c r="V29" i="78" l="1"/>
  <c r="W29" i="78" s="1"/>
  <c r="Y29" i="78" s="1"/>
  <c r="Z29" i="78" s="1"/>
  <c r="AJ29" i="78" s="1"/>
  <c r="AO29" i="78" s="1"/>
  <c r="AP29" i="78" s="1"/>
  <c r="N56" i="78"/>
  <c r="H57" i="78"/>
  <c r="G57" i="78"/>
  <c r="F58" i="78" s="1"/>
  <c r="AA29" i="78" l="1"/>
  <c r="AB29" i="78" s="1"/>
  <c r="AN29" i="78" s="1"/>
  <c r="O30" i="78" s="1"/>
  <c r="N57" i="78"/>
  <c r="G58" i="78"/>
  <c r="F59" i="78" s="1"/>
  <c r="H58" i="78"/>
  <c r="AK29" i="78" l="1"/>
  <c r="P30" i="78"/>
  <c r="U30" i="78"/>
  <c r="G59" i="78"/>
  <c r="F60" i="78" s="1"/>
  <c r="H59" i="78"/>
  <c r="N58" i="78"/>
  <c r="T30" i="78" l="1"/>
  <c r="Q30" i="78"/>
  <c r="N59" i="78"/>
  <c r="H60" i="78"/>
  <c r="G60" i="78"/>
  <c r="F61" i="78" s="1"/>
  <c r="V30" i="78" l="1"/>
  <c r="W30" i="78" s="1"/>
  <c r="Y30" i="78" s="1"/>
  <c r="Z30" i="78" s="1"/>
  <c r="AJ30" i="78" s="1"/>
  <c r="AO30" i="78" s="1"/>
  <c r="AP30" i="78" s="1"/>
  <c r="N60" i="78"/>
  <c r="G61" i="78"/>
  <c r="F62" i="78" s="1"/>
  <c r="H61" i="78"/>
  <c r="AA30" i="78" l="1"/>
  <c r="AB30" i="78" s="1"/>
  <c r="AN30" i="78" s="1"/>
  <c r="O31" i="78" s="1"/>
  <c r="H62" i="78"/>
  <c r="G62" i="78"/>
  <c r="F63" i="78" s="1"/>
  <c r="N61" i="78"/>
  <c r="AK30" i="78" l="1"/>
  <c r="P31" i="78"/>
  <c r="U31" i="78"/>
  <c r="H63" i="78"/>
  <c r="G63" i="78"/>
  <c r="F64" i="78" s="1"/>
  <c r="N62" i="78"/>
  <c r="T31" i="78" l="1"/>
  <c r="Q31" i="78"/>
  <c r="H64" i="78"/>
  <c r="G64" i="78"/>
  <c r="F65" i="78" s="1"/>
  <c r="N63" i="78"/>
  <c r="V31" i="78" l="1"/>
  <c r="W31" i="78" s="1"/>
  <c r="Y31" i="78" s="1"/>
  <c r="Z31" i="78" s="1"/>
  <c r="AJ31" i="78" s="1"/>
  <c r="AO31" i="78" s="1"/>
  <c r="AP31" i="78" s="1"/>
  <c r="H65" i="78"/>
  <c r="G65" i="78"/>
  <c r="F66" i="78" s="1"/>
  <c r="N64" i="78"/>
  <c r="AA31" i="78" l="1"/>
  <c r="AB31" i="78" s="1"/>
  <c r="AN31" i="78" s="1"/>
  <c r="O32" i="78" s="1"/>
  <c r="G66" i="78"/>
  <c r="F67" i="78" s="1"/>
  <c r="H66" i="78"/>
  <c r="N65" i="78"/>
  <c r="AK31" i="78" l="1"/>
  <c r="P32" i="78"/>
  <c r="U32" i="78"/>
  <c r="N66" i="78"/>
  <c r="H67" i="78"/>
  <c r="G67" i="78"/>
  <c r="F68" i="78" s="1"/>
  <c r="T32" i="78" l="1"/>
  <c r="Q32" i="78"/>
  <c r="N67" i="78"/>
  <c r="H68" i="78"/>
  <c r="G68" i="78"/>
  <c r="F69" i="78" s="1"/>
  <c r="V32" i="78" l="1"/>
  <c r="W32" i="78" s="1"/>
  <c r="Y32" i="78" s="1"/>
  <c r="Z32" i="78" s="1"/>
  <c r="N68" i="78"/>
  <c r="G69" i="78"/>
  <c r="F70" i="78" s="1"/>
  <c r="H69" i="78"/>
  <c r="AA32" i="78" l="1"/>
  <c r="AB32" i="78" s="1"/>
  <c r="G70" i="78"/>
  <c r="F71" i="78" s="1"/>
  <c r="H70" i="78"/>
  <c r="N69" i="78"/>
  <c r="G71" i="78" l="1"/>
  <c r="F72" i="78" s="1"/>
  <c r="H71" i="78"/>
  <c r="N71" i="78" s="1"/>
  <c r="AI32" i="78"/>
  <c r="N70" i="78"/>
  <c r="G72" i="78" l="1"/>
  <c r="F73" i="78" s="1"/>
  <c r="H72" i="78"/>
  <c r="AJ32" i="78"/>
  <c r="AO32" i="78" s="1"/>
  <c r="AP32" i="78" s="1"/>
  <c r="AN32" i="78"/>
  <c r="O33" i="78" s="1"/>
  <c r="N72" i="78" l="1"/>
  <c r="H73" i="78"/>
  <c r="N73" i="78" s="1"/>
  <c r="G73" i="78"/>
  <c r="F74" i="78" s="1"/>
  <c r="AK32" i="78"/>
  <c r="P33" i="78"/>
  <c r="U33" i="78"/>
  <c r="G74" i="78" l="1"/>
  <c r="F75" i="78" s="1"/>
  <c r="H74" i="78"/>
  <c r="T33" i="78"/>
  <c r="V33" i="78" s="1"/>
  <c r="W33" i="78" s="1"/>
  <c r="Y33" i="78" s="1"/>
  <c r="Z33" i="78" s="1"/>
  <c r="AA33" i="78" s="1"/>
  <c r="AB33" i="78" s="1"/>
  <c r="Q33" i="78"/>
  <c r="N74" i="78" l="1"/>
  <c r="H75" i="78"/>
  <c r="N75" i="78" s="1"/>
  <c r="G75" i="78"/>
  <c r="F76" i="78" s="1"/>
  <c r="AI33" i="78"/>
  <c r="H76" i="78" l="1"/>
  <c r="N76" i="78" s="1"/>
  <c r="G76" i="78"/>
  <c r="F77" i="78" s="1"/>
  <c r="AJ33" i="78"/>
  <c r="AO33" i="78" s="1"/>
  <c r="AP33" i="78" s="1"/>
  <c r="AN33" i="78"/>
  <c r="O34" i="78" s="1"/>
  <c r="H77" i="78" l="1"/>
  <c r="G77" i="78"/>
  <c r="F78" i="78" s="1"/>
  <c r="AK33" i="78"/>
  <c r="P34" i="78"/>
  <c r="U34" i="78"/>
  <c r="G78" i="78" l="1"/>
  <c r="F79" i="78" s="1"/>
  <c r="H78" i="78"/>
  <c r="N78" i="78" s="1"/>
  <c r="N77" i="78"/>
  <c r="T34" i="78"/>
  <c r="V34" i="78" s="1"/>
  <c r="W34" i="78" s="1"/>
  <c r="Y34" i="78" s="1"/>
  <c r="Z34" i="78" s="1"/>
  <c r="AA34" i="78" s="1"/>
  <c r="AB34" i="78" s="1"/>
  <c r="Q34" i="78"/>
  <c r="H79" i="78" l="1"/>
  <c r="G79" i="78"/>
  <c r="F80" i="78" s="1"/>
  <c r="AI34" i="78"/>
  <c r="H80" i="78" l="1"/>
  <c r="G80" i="78"/>
  <c r="N79" i="78"/>
  <c r="H151" i="78"/>
  <c r="AJ34" i="78"/>
  <c r="AO34" i="78" s="1"/>
  <c r="AP34" i="78" s="1"/>
  <c r="AN34" i="78"/>
  <c r="O35" i="78" s="1"/>
  <c r="N80" i="78" l="1"/>
  <c r="AK34" i="78"/>
  <c r="P35" i="78"/>
  <c r="U35" i="78"/>
  <c r="Q35" i="78" l="1"/>
  <c r="T35" i="78"/>
  <c r="V35" i="78" s="1"/>
  <c r="W35" i="78" s="1"/>
  <c r="Y35" i="78" s="1"/>
  <c r="Z35" i="78" s="1"/>
  <c r="AA35" i="78" s="1"/>
  <c r="AB35" i="78" s="1"/>
  <c r="AI35" i="78" l="1"/>
  <c r="AJ35" i="78" l="1"/>
  <c r="AO35" i="78" s="1"/>
  <c r="AP35" i="78" s="1"/>
  <c r="AN35" i="78"/>
  <c r="O36" i="78" s="1"/>
  <c r="P36" i="78" l="1"/>
  <c r="U36" i="78"/>
  <c r="AK35" i="78"/>
  <c r="Q36" i="78" l="1"/>
  <c r="T36" i="78"/>
  <c r="V36" i="78" s="1"/>
  <c r="W36" i="78" s="1"/>
  <c r="Y36" i="78" s="1"/>
  <c r="Z36" i="78" s="1"/>
  <c r="AA36" i="78" s="1"/>
  <c r="AB36" i="78" s="1"/>
  <c r="AI36" i="78" l="1"/>
  <c r="AJ36" i="78" l="1"/>
  <c r="AO36" i="78" s="1"/>
  <c r="AP36" i="78" s="1"/>
  <c r="AN36" i="78"/>
  <c r="O37" i="78" s="1"/>
  <c r="P37" i="78" l="1"/>
  <c r="U37" i="78"/>
  <c r="AK36" i="78"/>
  <c r="Q37" i="78" l="1"/>
  <c r="T37" i="78"/>
  <c r="V37" i="78" s="1"/>
  <c r="W37" i="78" s="1"/>
  <c r="Y37" i="78" s="1"/>
  <c r="Z37" i="78" s="1"/>
  <c r="AA37" i="78" s="1"/>
  <c r="AB37" i="78" s="1"/>
  <c r="AI37" i="78" l="1"/>
  <c r="AJ37" i="78" s="1"/>
  <c r="AO37" i="78" s="1"/>
  <c r="AP37" i="78" s="1"/>
  <c r="AK37" i="78" l="1"/>
  <c r="AN37" i="78"/>
  <c r="O38" i="78" s="1"/>
  <c r="P38" i="78" l="1"/>
  <c r="U38" i="78"/>
  <c r="T38" i="78" l="1"/>
  <c r="V38" i="78" s="1"/>
  <c r="W38" i="78" s="1"/>
  <c r="Y38" i="78" s="1"/>
  <c r="Z38" i="78" s="1"/>
  <c r="AA38" i="78" s="1"/>
  <c r="AB38" i="78" s="1"/>
  <c r="Q38" i="78"/>
  <c r="AI38" i="78" l="1"/>
  <c r="AJ38" i="78" s="1"/>
  <c r="AO38" i="78" s="1"/>
  <c r="AP38" i="78" s="1"/>
  <c r="AK38" i="78" l="1"/>
  <c r="AN38" i="78"/>
  <c r="O39" i="78" s="1"/>
  <c r="P39" i="78" l="1"/>
  <c r="U39" i="78"/>
  <c r="T39" i="78" l="1"/>
  <c r="V39" i="78" s="1"/>
  <c r="W39" i="78" s="1"/>
  <c r="Y39" i="78" s="1"/>
  <c r="Z39" i="78" s="1"/>
  <c r="AA39" i="78" s="1"/>
  <c r="AB39" i="78" s="1"/>
  <c r="Q39" i="78"/>
  <c r="AI39" i="78" l="1"/>
  <c r="AJ39" i="78" s="1"/>
  <c r="AO39" i="78" s="1"/>
  <c r="AP39" i="78" s="1"/>
  <c r="AK39" i="78" l="1"/>
  <c r="AN39" i="78"/>
  <c r="O40" i="78" s="1"/>
  <c r="P40" i="78" l="1"/>
  <c r="U40" i="78"/>
  <c r="T40" i="78" l="1"/>
  <c r="V40" i="78" s="1"/>
  <c r="W40" i="78" s="1"/>
  <c r="Y40" i="78" s="1"/>
  <c r="Z40" i="78" s="1"/>
  <c r="AA40" i="78" s="1"/>
  <c r="AB40" i="78" s="1"/>
  <c r="Q40" i="78"/>
  <c r="AI40" i="78" l="1"/>
  <c r="AJ40" i="78" s="1"/>
  <c r="AO40" i="78" s="1"/>
  <c r="AP40" i="78" s="1"/>
  <c r="AK40" i="78" l="1"/>
  <c r="AN40" i="78"/>
  <c r="O41" i="78" s="1"/>
  <c r="P41" i="78" l="1"/>
  <c r="U41" i="78"/>
  <c r="T41" i="78" l="1"/>
  <c r="V41" i="78" s="1"/>
  <c r="W41" i="78" s="1"/>
  <c r="Y41" i="78" s="1"/>
  <c r="Z41" i="78" s="1"/>
  <c r="AA41" i="78" s="1"/>
  <c r="AB41" i="78" s="1"/>
  <c r="Q41" i="78"/>
  <c r="AI41" i="78" l="1"/>
  <c r="AJ41" i="78" s="1"/>
  <c r="AO41" i="78" s="1"/>
  <c r="AP41" i="78" s="1"/>
  <c r="AK41" i="78" l="1"/>
  <c r="AN41" i="78"/>
  <c r="O42" i="78" s="1"/>
  <c r="P42" i="78" l="1"/>
  <c r="U42" i="78"/>
  <c r="T42" i="78" l="1"/>
  <c r="V42" i="78" s="1"/>
  <c r="W42" i="78" s="1"/>
  <c r="Y42" i="78" s="1"/>
  <c r="Z42" i="78" s="1"/>
  <c r="AA42" i="78" s="1"/>
  <c r="AB42" i="78" s="1"/>
  <c r="Q42" i="78"/>
  <c r="AI42" i="78" l="1"/>
  <c r="AJ42" i="78" s="1"/>
  <c r="AO42" i="78" s="1"/>
  <c r="AP42" i="78" s="1"/>
  <c r="AK42" i="78" l="1"/>
  <c r="AN42" i="78"/>
  <c r="O43" i="78" s="1"/>
  <c r="P43" i="78" l="1"/>
  <c r="U43" i="78"/>
  <c r="T43" i="78" l="1"/>
  <c r="V43" i="78" s="1"/>
  <c r="W43" i="78" s="1"/>
  <c r="Y43" i="78" s="1"/>
  <c r="Z43" i="78" s="1"/>
  <c r="AA43" i="78" s="1"/>
  <c r="AB43" i="78" s="1"/>
  <c r="Q43" i="78"/>
  <c r="AI43" i="78" l="1"/>
  <c r="AJ43" i="78" s="1"/>
  <c r="AO43" i="78" s="1"/>
  <c r="AP43" i="78" s="1"/>
  <c r="AK43" i="78" l="1"/>
  <c r="AN43" i="78"/>
  <c r="O44" i="78" s="1"/>
  <c r="P44" i="78" l="1"/>
  <c r="U44" i="78"/>
  <c r="T44" i="78" l="1"/>
  <c r="V44" i="78" s="1"/>
  <c r="W44" i="78" s="1"/>
  <c r="Y44" i="78" s="1"/>
  <c r="Z44" i="78" s="1"/>
  <c r="AA44" i="78" s="1"/>
  <c r="AB44" i="78" s="1"/>
  <c r="Q44" i="78"/>
  <c r="AI44" i="78" l="1"/>
  <c r="AJ44" i="78" s="1"/>
  <c r="AO44" i="78" s="1"/>
  <c r="AP44" i="78" s="1"/>
  <c r="AK44" i="78" l="1"/>
  <c r="AN44" i="78"/>
  <c r="O45" i="78" s="1"/>
  <c r="P45" i="78" l="1"/>
  <c r="U45" i="78"/>
  <c r="T45" i="78" l="1"/>
  <c r="V45" i="78" s="1"/>
  <c r="W45" i="78" s="1"/>
  <c r="Y45" i="78" s="1"/>
  <c r="Z45" i="78" s="1"/>
  <c r="AA45" i="78" s="1"/>
  <c r="AB45" i="78" s="1"/>
  <c r="Q45" i="78"/>
  <c r="AI45" i="78" l="1"/>
  <c r="AJ45" i="78" s="1"/>
  <c r="AO45" i="78" s="1"/>
  <c r="AP45" i="78" s="1"/>
  <c r="AK45" i="78" l="1"/>
  <c r="AN45" i="78"/>
  <c r="O46" i="78" s="1"/>
  <c r="P46" i="78" l="1"/>
  <c r="U46" i="78"/>
  <c r="T46" i="78" l="1"/>
  <c r="V46" i="78" s="1"/>
  <c r="W46" i="78" s="1"/>
  <c r="Y46" i="78" s="1"/>
  <c r="Z46" i="78" s="1"/>
  <c r="AA46" i="78" s="1"/>
  <c r="AB46" i="78" s="1"/>
  <c r="Q46" i="78"/>
  <c r="AI46" i="78" l="1"/>
  <c r="AJ46" i="78" l="1"/>
  <c r="AO46" i="78" s="1"/>
  <c r="AP46" i="78" s="1"/>
  <c r="AN46" i="78"/>
  <c r="O47" i="78" s="1"/>
  <c r="AK46" i="78" l="1"/>
  <c r="P47" i="78"/>
  <c r="U47" i="78"/>
  <c r="Q47" i="78" l="1"/>
  <c r="T47" i="78"/>
  <c r="V47" i="78" s="1"/>
  <c r="W47" i="78" s="1"/>
  <c r="Y47" i="78" s="1"/>
  <c r="Z47" i="78" s="1"/>
  <c r="AA47" i="78" s="1"/>
  <c r="AB47" i="78" s="1"/>
  <c r="AI47" i="78" l="1"/>
  <c r="AJ47" i="78" s="1"/>
  <c r="AO47" i="78" s="1"/>
  <c r="AP47" i="78" s="1"/>
  <c r="AK47" i="78" l="1"/>
  <c r="AN47" i="78"/>
  <c r="O48" i="78" s="1"/>
  <c r="P48" i="78" l="1"/>
  <c r="U48" i="78"/>
  <c r="T48" i="78" l="1"/>
  <c r="V48" i="78" s="1"/>
  <c r="W48" i="78" s="1"/>
  <c r="Y48" i="78" s="1"/>
  <c r="Z48" i="78" s="1"/>
  <c r="AA48" i="78" s="1"/>
  <c r="AB48" i="78" s="1"/>
  <c r="Q48" i="78"/>
  <c r="AI48" i="78" l="1"/>
  <c r="AJ48" i="78" l="1"/>
  <c r="AO48" i="78" s="1"/>
  <c r="AP48" i="78" s="1"/>
  <c r="AN48" i="78"/>
  <c r="O49" i="78" s="1"/>
  <c r="AK48" i="78" l="1"/>
  <c r="P49" i="78"/>
  <c r="U49" i="78"/>
  <c r="Q49" i="78" l="1"/>
  <c r="T49" i="78"/>
  <c r="V49" i="78" s="1"/>
  <c r="W49" i="78" s="1"/>
  <c r="Y49" i="78" s="1"/>
  <c r="Z49" i="78" s="1"/>
  <c r="AA49" i="78" s="1"/>
  <c r="AB49" i="78" s="1"/>
  <c r="AI49" i="78" l="1"/>
  <c r="AJ49" i="78" s="1"/>
  <c r="AO49" i="78" s="1"/>
  <c r="AP49" i="78" s="1"/>
  <c r="AK49" i="78" l="1"/>
  <c r="AN49" i="78"/>
  <c r="O50" i="78" s="1"/>
  <c r="P50" i="78" l="1"/>
  <c r="U50" i="78"/>
  <c r="T50" i="78" l="1"/>
  <c r="V50" i="78" s="1"/>
  <c r="W50" i="78" s="1"/>
  <c r="Y50" i="78" s="1"/>
  <c r="Z50" i="78" s="1"/>
  <c r="AA50" i="78" s="1"/>
  <c r="AB50" i="78" s="1"/>
  <c r="Q50" i="78"/>
  <c r="AI50" i="78" l="1"/>
  <c r="AJ50" i="78" s="1"/>
  <c r="AO50" i="78" s="1"/>
  <c r="AP50" i="78" s="1"/>
  <c r="AK50" i="78" l="1"/>
  <c r="AN50" i="78"/>
  <c r="O51" i="78" s="1"/>
  <c r="P51" i="78" l="1"/>
  <c r="U51" i="78"/>
  <c r="T51" i="78" l="1"/>
  <c r="V51" i="78" s="1"/>
  <c r="W51" i="78" s="1"/>
  <c r="Y51" i="78" s="1"/>
  <c r="Z51" i="78" s="1"/>
  <c r="Q51" i="78"/>
  <c r="AA51" i="78" l="1"/>
  <c r="AB51" i="78" s="1"/>
  <c r="AI51" i="78" l="1"/>
  <c r="AJ51" i="78" l="1"/>
  <c r="AO51" i="78" s="1"/>
  <c r="AP51" i="78" s="1"/>
  <c r="AN51" i="78"/>
  <c r="O52" i="78" s="1"/>
  <c r="AK51" i="78" l="1"/>
  <c r="P52" i="78"/>
  <c r="U52" i="78"/>
  <c r="T52" i="78" l="1"/>
  <c r="V52" i="78" s="1"/>
  <c r="W52" i="78" s="1"/>
  <c r="Y52" i="78" s="1"/>
  <c r="Z52" i="78" s="1"/>
  <c r="Q52" i="78"/>
  <c r="AA52" i="78" l="1"/>
  <c r="AB52" i="78" s="1"/>
  <c r="AI52" i="78" l="1"/>
  <c r="AJ52" i="78" l="1"/>
  <c r="AO52" i="78" s="1"/>
  <c r="AP52" i="78" s="1"/>
  <c r="AN52" i="78"/>
  <c r="O53" i="78" s="1"/>
  <c r="AK52" i="78" l="1"/>
  <c r="P53" i="78"/>
  <c r="U53" i="78"/>
  <c r="T53" i="78" l="1"/>
  <c r="V53" i="78" s="1"/>
  <c r="W53" i="78" s="1"/>
  <c r="Y53" i="78" s="1"/>
  <c r="Z53" i="78" s="1"/>
  <c r="Q53" i="78"/>
  <c r="AA53" i="78" l="1"/>
  <c r="AB53" i="78" s="1"/>
  <c r="AI53" i="78" l="1"/>
  <c r="AJ53" i="78" l="1"/>
  <c r="AO53" i="78" s="1"/>
  <c r="AP53" i="78" s="1"/>
  <c r="AN53" i="78"/>
  <c r="O54" i="78" s="1"/>
  <c r="AK53" i="78" l="1"/>
  <c r="P54" i="78"/>
  <c r="U54" i="78"/>
  <c r="T54" i="78" l="1"/>
  <c r="V54" i="78" s="1"/>
  <c r="W54" i="78" s="1"/>
  <c r="Y54" i="78" s="1"/>
  <c r="Z54" i="78" s="1"/>
  <c r="Q54" i="78"/>
  <c r="AA54" i="78" l="1"/>
  <c r="AB54" i="78" s="1"/>
  <c r="AI54" i="78" l="1"/>
  <c r="AJ54" i="78" l="1"/>
  <c r="AO54" i="78" s="1"/>
  <c r="AP54" i="78" s="1"/>
  <c r="AN54" i="78"/>
  <c r="O55" i="78" s="1"/>
  <c r="AK54" i="78" l="1"/>
  <c r="U55" i="78"/>
  <c r="P55" i="78"/>
  <c r="T55" i="78" l="1"/>
  <c r="V55" i="78" s="1"/>
  <c r="W55" i="78" s="1"/>
  <c r="Y55" i="78" s="1"/>
  <c r="Z55" i="78" s="1"/>
  <c r="Q55" i="78"/>
  <c r="AA55" i="78" l="1"/>
  <c r="AB55" i="78" s="1"/>
  <c r="AI55" i="78" l="1"/>
  <c r="AJ55" i="78" l="1"/>
  <c r="AO55" i="78" s="1"/>
  <c r="AP55" i="78" s="1"/>
  <c r="AN55" i="78"/>
  <c r="O56" i="78" s="1"/>
  <c r="AK55" i="78" l="1"/>
  <c r="P56" i="78"/>
  <c r="U56" i="78"/>
  <c r="T56" i="78" l="1"/>
  <c r="V56" i="78" s="1"/>
  <c r="W56" i="78" s="1"/>
  <c r="Y56" i="78" s="1"/>
  <c r="Z56" i="78" s="1"/>
  <c r="Q56" i="78"/>
  <c r="AA56" i="78" l="1"/>
  <c r="AB56" i="78" s="1"/>
  <c r="AI56" i="78" l="1"/>
  <c r="AJ56" i="78" l="1"/>
  <c r="AO56" i="78" s="1"/>
  <c r="AP56" i="78" s="1"/>
  <c r="AN56" i="78"/>
  <c r="O57" i="78" s="1"/>
  <c r="AK56" i="78" l="1"/>
  <c r="P57" i="78"/>
  <c r="U57" i="78"/>
  <c r="T57" i="78" l="1"/>
  <c r="V57" i="78" s="1"/>
  <c r="W57" i="78" s="1"/>
  <c r="Y57" i="78" s="1"/>
  <c r="Z57" i="78" s="1"/>
  <c r="Q57" i="78"/>
  <c r="AA57" i="78" l="1"/>
  <c r="AB57" i="78" s="1"/>
  <c r="AI57" i="78" l="1"/>
  <c r="AJ57" i="78" l="1"/>
  <c r="AO57" i="78" s="1"/>
  <c r="AP57" i="78" s="1"/>
  <c r="AN57" i="78"/>
  <c r="O58" i="78" s="1"/>
  <c r="AK57" i="78" l="1"/>
  <c r="P58" i="78"/>
  <c r="U58" i="78"/>
  <c r="T58" i="78" l="1"/>
  <c r="V58" i="78" s="1"/>
  <c r="W58" i="78" s="1"/>
  <c r="Y58" i="78" s="1"/>
  <c r="Z58" i="78" s="1"/>
  <c r="Q58" i="78"/>
  <c r="AA58" i="78" l="1"/>
  <c r="AB58" i="78" s="1"/>
  <c r="AI58" i="78" l="1"/>
  <c r="AJ58" i="78" l="1"/>
  <c r="AO58" i="78" s="1"/>
  <c r="AP58" i="78" s="1"/>
  <c r="AN58" i="78"/>
  <c r="O59" i="78" s="1"/>
  <c r="AK58" i="78" l="1"/>
  <c r="P59" i="78"/>
  <c r="U59" i="78"/>
  <c r="T59" i="78" l="1"/>
  <c r="V59" i="78" s="1"/>
  <c r="W59" i="78" s="1"/>
  <c r="Y59" i="78" s="1"/>
  <c r="Z59" i="78" s="1"/>
  <c r="Q59" i="78"/>
  <c r="AA59" i="78" l="1"/>
  <c r="AB59" i="78" s="1"/>
  <c r="AI59" i="78" l="1"/>
  <c r="AJ59" i="78" l="1"/>
  <c r="AO59" i="78" s="1"/>
  <c r="AP59" i="78" s="1"/>
  <c r="AN59" i="78"/>
  <c r="O60" i="78" s="1"/>
  <c r="AK59" i="78" l="1"/>
  <c r="P60" i="78"/>
  <c r="U60" i="78"/>
  <c r="T60" i="78" l="1"/>
  <c r="V60" i="78" s="1"/>
  <c r="W60" i="78" s="1"/>
  <c r="Y60" i="78" s="1"/>
  <c r="Z60" i="78" s="1"/>
  <c r="Q60" i="78"/>
  <c r="AA60" i="78" l="1"/>
  <c r="AB60" i="78" s="1"/>
  <c r="AI60" i="78" l="1"/>
  <c r="AJ60" i="78" l="1"/>
  <c r="AO60" i="78" s="1"/>
  <c r="AP60" i="78" s="1"/>
  <c r="AN60" i="78"/>
  <c r="O61" i="78" s="1"/>
  <c r="AK60" i="78" l="1"/>
  <c r="U61" i="78"/>
  <c r="P61" i="78"/>
  <c r="T61" i="78" l="1"/>
  <c r="V61" i="78" s="1"/>
  <c r="W61" i="78" s="1"/>
  <c r="Y61" i="78" s="1"/>
  <c r="Z61" i="78" s="1"/>
  <c r="Q61" i="78"/>
  <c r="AA61" i="78" l="1"/>
  <c r="AB61" i="78" s="1"/>
  <c r="AI61" i="78" l="1"/>
  <c r="AJ61" i="78" l="1"/>
  <c r="AO61" i="78" s="1"/>
  <c r="AP61" i="78" s="1"/>
  <c r="AN61" i="78"/>
  <c r="O62" i="78" s="1"/>
  <c r="AK61" i="78" l="1"/>
  <c r="P62" i="78"/>
  <c r="U62" i="78"/>
  <c r="T62" i="78" l="1"/>
  <c r="V62" i="78" s="1"/>
  <c r="W62" i="78" s="1"/>
  <c r="Y62" i="78" s="1"/>
  <c r="Z62" i="78" s="1"/>
  <c r="Q62" i="78"/>
  <c r="AA62" i="78" l="1"/>
  <c r="AB62" i="78" s="1"/>
  <c r="AI62" i="78" l="1"/>
  <c r="AJ62" i="78" l="1"/>
  <c r="AO62" i="78" s="1"/>
  <c r="AP62" i="78" s="1"/>
  <c r="AN62" i="78"/>
  <c r="O63" i="78" s="1"/>
  <c r="AK62" i="78" l="1"/>
  <c r="P63" i="78"/>
  <c r="U63" i="78"/>
  <c r="T63" i="78" l="1"/>
  <c r="V63" i="78" s="1"/>
  <c r="W63" i="78" s="1"/>
  <c r="Y63" i="78" s="1"/>
  <c r="Z63" i="78" s="1"/>
  <c r="Q63" i="78"/>
  <c r="AA63" i="78" l="1"/>
  <c r="AB63" i="78" s="1"/>
  <c r="AI63" i="78" l="1"/>
  <c r="AJ63" i="78" l="1"/>
  <c r="AO63" i="78" s="1"/>
  <c r="AP63" i="78" s="1"/>
  <c r="AN63" i="78"/>
  <c r="O64" i="78" s="1"/>
  <c r="AK63" i="78" l="1"/>
  <c r="U64" i="78"/>
  <c r="P64" i="78"/>
  <c r="T64" i="78" l="1"/>
  <c r="V64" i="78" s="1"/>
  <c r="W64" i="78" s="1"/>
  <c r="Y64" i="78" s="1"/>
  <c r="Z64" i="78" s="1"/>
  <c r="Q64" i="78"/>
  <c r="AA64" i="78" l="1"/>
  <c r="AB64" i="78" s="1"/>
  <c r="AI64" i="78" l="1"/>
  <c r="AJ64" i="78" l="1"/>
  <c r="AO64" i="78" s="1"/>
  <c r="AP64" i="78" s="1"/>
  <c r="AN64" i="78"/>
  <c r="O65" i="78" s="1"/>
  <c r="AK64" i="78" l="1"/>
  <c r="P65" i="78"/>
  <c r="U65" i="78"/>
  <c r="T65" i="78" l="1"/>
  <c r="V65" i="78" s="1"/>
  <c r="W65" i="78" s="1"/>
  <c r="Y65" i="78" s="1"/>
  <c r="Z65" i="78" s="1"/>
  <c r="Q65" i="78"/>
  <c r="AA65" i="78" l="1"/>
  <c r="AB65" i="78" s="1"/>
  <c r="AI65" i="78" l="1"/>
  <c r="AJ65" i="78" l="1"/>
  <c r="AO65" i="78" s="1"/>
  <c r="AP65" i="78" s="1"/>
  <c r="AN65" i="78"/>
  <c r="O66" i="78" s="1"/>
  <c r="AK65" i="78" l="1"/>
  <c r="P66" i="78"/>
  <c r="U66" i="78"/>
  <c r="T66" i="78" l="1"/>
  <c r="V66" i="78" s="1"/>
  <c r="W66" i="78" s="1"/>
  <c r="Y66" i="78" s="1"/>
  <c r="Z66" i="78" s="1"/>
  <c r="Q66" i="78"/>
  <c r="AA66" i="78" l="1"/>
  <c r="AB66" i="78" s="1"/>
  <c r="AI66" i="78" l="1"/>
  <c r="AJ66" i="78" l="1"/>
  <c r="AO66" i="78" s="1"/>
  <c r="AP66" i="78" s="1"/>
  <c r="AN66" i="78"/>
  <c r="O67" i="78" s="1"/>
  <c r="P67" i="78" l="1"/>
  <c r="U67" i="78"/>
  <c r="AK66" i="78"/>
  <c r="T67" i="78" l="1"/>
  <c r="V67" i="78" s="1"/>
  <c r="W67" i="78" s="1"/>
  <c r="Y67" i="78" s="1"/>
  <c r="Z67" i="78" s="1"/>
  <c r="Q67" i="78"/>
  <c r="AA67" i="78" l="1"/>
  <c r="AB67" i="78" s="1"/>
  <c r="AI67" i="78" l="1"/>
  <c r="AJ67" i="78" l="1"/>
  <c r="AO67" i="78" s="1"/>
  <c r="AP67" i="78" s="1"/>
  <c r="AN67" i="78"/>
  <c r="O68" i="78" s="1"/>
  <c r="AK67" i="78" l="1"/>
  <c r="P68" i="78"/>
  <c r="U68" i="78"/>
  <c r="T68" i="78" l="1"/>
  <c r="V68" i="78" s="1"/>
  <c r="W68" i="78" s="1"/>
  <c r="Y68" i="78" s="1"/>
  <c r="Z68" i="78" s="1"/>
  <c r="Q68" i="78"/>
  <c r="AA68" i="78" l="1"/>
  <c r="AB68" i="78" s="1"/>
  <c r="AI68" i="78" l="1"/>
  <c r="AJ68" i="78" l="1"/>
  <c r="AO68" i="78" s="1"/>
  <c r="AP68" i="78" s="1"/>
  <c r="AN68" i="78"/>
  <c r="O69" i="78" s="1"/>
  <c r="AK68" i="78" l="1"/>
  <c r="P69" i="78"/>
  <c r="U69" i="78"/>
  <c r="T69" i="78" l="1"/>
  <c r="V69" i="78" s="1"/>
  <c r="W69" i="78" s="1"/>
  <c r="Y69" i="78" s="1"/>
  <c r="Z69" i="78" s="1"/>
  <c r="Q69" i="78"/>
  <c r="AA69" i="78" l="1"/>
  <c r="AB69" i="78" s="1"/>
  <c r="AI69" i="78" l="1"/>
  <c r="AJ69" i="78" l="1"/>
  <c r="AO69" i="78" s="1"/>
  <c r="AP69" i="78" s="1"/>
  <c r="AN69" i="78"/>
  <c r="O70" i="78" s="1"/>
  <c r="AK69" i="78" l="1"/>
  <c r="U70" i="78"/>
  <c r="P70" i="78"/>
  <c r="T70" i="78" l="1"/>
  <c r="V70" i="78" s="1"/>
  <c r="W70" i="78" s="1"/>
  <c r="Y70" i="78" s="1"/>
  <c r="Z70" i="78" s="1"/>
  <c r="Q70" i="78"/>
  <c r="AA70" i="78" l="1"/>
  <c r="AB70" i="78" s="1"/>
  <c r="AI70" i="78" l="1"/>
  <c r="AJ70" i="78" l="1"/>
  <c r="AO70" i="78" s="1"/>
  <c r="AP70" i="78" s="1"/>
  <c r="AN70" i="78"/>
  <c r="O71" i="78" s="1"/>
  <c r="AK70" i="78" l="1"/>
  <c r="U71" i="78"/>
  <c r="P71" i="78"/>
  <c r="T71" i="78" l="1"/>
  <c r="V71" i="78" s="1"/>
  <c r="W71" i="78" s="1"/>
  <c r="Y71" i="78" s="1"/>
  <c r="Z71" i="78" s="1"/>
  <c r="Q71" i="78"/>
  <c r="AA71" i="78" l="1"/>
  <c r="AB71" i="78" s="1"/>
  <c r="AI71" i="78" l="1"/>
  <c r="AJ71" i="78" l="1"/>
  <c r="AO71" i="78" s="1"/>
  <c r="AP71" i="78" s="1"/>
  <c r="AN71" i="78"/>
  <c r="O72" i="78" s="1"/>
  <c r="AK71" i="78" l="1"/>
  <c r="U72" i="78"/>
  <c r="P72" i="78"/>
  <c r="T72" i="78" l="1"/>
  <c r="V72" i="78" s="1"/>
  <c r="W72" i="78" s="1"/>
  <c r="Y72" i="78" s="1"/>
  <c r="Z72" i="78" s="1"/>
  <c r="Q72" i="78"/>
  <c r="AA72" i="78" l="1"/>
  <c r="AB72" i="78" s="1"/>
  <c r="AI72" i="78" l="1"/>
  <c r="AJ72" i="78" l="1"/>
  <c r="AO72" i="78" s="1"/>
  <c r="AP72" i="78" s="1"/>
  <c r="AN72" i="78"/>
  <c r="O73" i="78" s="1"/>
  <c r="AK72" i="78" l="1"/>
  <c r="U73" i="78"/>
  <c r="P73" i="78"/>
  <c r="T73" i="78" l="1"/>
  <c r="V73" i="78" s="1"/>
  <c r="W73" i="78" s="1"/>
  <c r="Y73" i="78" s="1"/>
  <c r="Z73" i="78" s="1"/>
  <c r="Q73" i="78"/>
  <c r="AA73" i="78" l="1"/>
  <c r="AB73" i="78" s="1"/>
  <c r="AI73" i="78" l="1"/>
  <c r="AJ73" i="78" l="1"/>
  <c r="AO73" i="78" s="1"/>
  <c r="AP73" i="78" s="1"/>
  <c r="AN73" i="78"/>
  <c r="O74" i="78" s="1"/>
  <c r="AK73" i="78" l="1"/>
  <c r="P74" i="78"/>
  <c r="U74" i="78"/>
  <c r="T74" i="78" l="1"/>
  <c r="V74" i="78" s="1"/>
  <c r="W74" i="78" s="1"/>
  <c r="Y74" i="78" s="1"/>
  <c r="Z74" i="78" s="1"/>
  <c r="Q74" i="78"/>
  <c r="AA74" i="78" l="1"/>
  <c r="AB74" i="78" s="1"/>
  <c r="AI74" i="78" l="1"/>
  <c r="AJ74" i="78" l="1"/>
  <c r="AO74" i="78" s="1"/>
  <c r="AP74" i="78" s="1"/>
  <c r="AN74" i="78"/>
  <c r="O75" i="78" s="1"/>
  <c r="U75" i="78" l="1"/>
  <c r="P75" i="78"/>
  <c r="AK74" i="78"/>
  <c r="T75" i="78" l="1"/>
  <c r="V75" i="78" s="1"/>
  <c r="W75" i="78" s="1"/>
  <c r="Y75" i="78" s="1"/>
  <c r="Z75" i="78" s="1"/>
  <c r="Q75" i="78"/>
  <c r="AA75" i="78" l="1"/>
  <c r="AB75" i="78" s="1"/>
  <c r="AI75" i="78" l="1"/>
  <c r="AJ75" i="78" l="1"/>
  <c r="AO75" i="78" s="1"/>
  <c r="AP75" i="78" s="1"/>
  <c r="AN75" i="78"/>
  <c r="O76" i="78" s="1"/>
  <c r="U76" i="78" l="1"/>
  <c r="P76" i="78"/>
  <c r="AK75" i="78"/>
  <c r="T76" i="78" l="1"/>
  <c r="V76" i="78" s="1"/>
  <c r="W76" i="78" s="1"/>
  <c r="Y76" i="78" s="1"/>
  <c r="Z76" i="78" s="1"/>
  <c r="Q76" i="78"/>
  <c r="AA76" i="78" l="1"/>
  <c r="AB76" i="78" s="1"/>
  <c r="AI76" i="78" l="1"/>
  <c r="AJ76" i="78" l="1"/>
  <c r="AO76" i="78" s="1"/>
  <c r="AP76" i="78" s="1"/>
  <c r="AN76" i="78"/>
  <c r="O77" i="78" s="1"/>
  <c r="AK76" i="78" l="1"/>
  <c r="U77" i="78"/>
  <c r="P77" i="78"/>
  <c r="T77" i="78" l="1"/>
  <c r="V77" i="78" s="1"/>
  <c r="W77" i="78" s="1"/>
  <c r="Y77" i="78" s="1"/>
  <c r="Z77" i="78" s="1"/>
  <c r="Q77" i="78"/>
  <c r="AA77" i="78" l="1"/>
  <c r="AB77" i="78" s="1"/>
  <c r="AI77" i="78" l="1"/>
  <c r="AJ77" i="78" l="1"/>
  <c r="AO77" i="78" s="1"/>
  <c r="AP77" i="78" s="1"/>
  <c r="AN77" i="78"/>
  <c r="O78" i="78" s="1"/>
  <c r="AK77" i="78" l="1"/>
  <c r="P78" i="78"/>
  <c r="U78" i="78"/>
  <c r="T78" i="78" l="1"/>
  <c r="V78" i="78" s="1"/>
  <c r="W78" i="78" s="1"/>
  <c r="Y78" i="78" s="1"/>
  <c r="Z78" i="78" s="1"/>
  <c r="Q78" i="78"/>
  <c r="AA78" i="78" l="1"/>
  <c r="AB78" i="78" s="1"/>
  <c r="AI78" i="78" l="1"/>
  <c r="AJ78" i="78" l="1"/>
  <c r="AO78" i="78" s="1"/>
  <c r="AP78" i="78" s="1"/>
  <c r="AN78" i="78"/>
  <c r="O79" i="78" s="1"/>
  <c r="AK78" i="78" l="1"/>
  <c r="U79" i="78"/>
  <c r="P79" i="78"/>
  <c r="T79" i="78" l="1"/>
  <c r="V79" i="78" s="1"/>
  <c r="W79" i="78" s="1"/>
  <c r="Y79" i="78" s="1"/>
  <c r="Z79" i="78" s="1"/>
  <c r="Q79" i="78"/>
  <c r="AA79" i="78" l="1"/>
  <c r="AB79" i="78" s="1"/>
  <c r="AI79" i="78" l="1"/>
  <c r="AJ79" i="78" l="1"/>
  <c r="AO79" i="78" s="1"/>
  <c r="AP79" i="78" s="1"/>
  <c r="AN79" i="78"/>
  <c r="O80" i="78" s="1"/>
  <c r="AK79" i="78" l="1"/>
  <c r="U80" i="78"/>
  <c r="P80" i="78"/>
  <c r="T80" i="78" l="1"/>
  <c r="V80" i="78" s="1"/>
  <c r="W80" i="78" s="1"/>
  <c r="Y80" i="78" s="1"/>
  <c r="Z80" i="78" s="1"/>
  <c r="Q80" i="78"/>
  <c r="AA80" i="78" l="1"/>
  <c r="AB80" i="78" s="1"/>
  <c r="AI80" i="78" l="1"/>
  <c r="AJ80" i="78" l="1"/>
  <c r="AO80" i="78" s="1"/>
  <c r="AP80" i="78" s="1"/>
  <c r="AN80" i="78"/>
  <c r="O81" i="78" s="1"/>
  <c r="AK80" i="78" l="1"/>
  <c r="P81" i="78"/>
  <c r="U81" i="78"/>
  <c r="T81" i="78" l="1"/>
  <c r="V81" i="78" s="1"/>
  <c r="W81" i="78" s="1"/>
  <c r="Y81" i="78" s="1"/>
  <c r="Z81" i="78" s="1"/>
  <c r="Q81" i="78"/>
  <c r="AA81" i="78" l="1"/>
  <c r="AB81" i="78" s="1"/>
  <c r="AI81" i="78" l="1"/>
  <c r="AJ81" i="78" l="1"/>
  <c r="AO81" i="78" s="1"/>
  <c r="AP81" i="78" s="1"/>
  <c r="AN81" i="78"/>
  <c r="O82" i="78" s="1"/>
  <c r="U82" i="78" l="1"/>
  <c r="P82" i="78"/>
  <c r="AK81" i="78"/>
  <c r="T82" i="78" l="1"/>
  <c r="V82" i="78" s="1"/>
  <c r="W82" i="78" s="1"/>
  <c r="Y82" i="78" s="1"/>
  <c r="Z82" i="78" s="1"/>
  <c r="Q82" i="78"/>
  <c r="AA82" i="78" l="1"/>
  <c r="AB82" i="78" s="1"/>
  <c r="AI82" i="78" l="1"/>
  <c r="AJ82" i="78" l="1"/>
  <c r="AO82" i="78" s="1"/>
  <c r="AP82" i="78" s="1"/>
  <c r="AN82" i="78"/>
  <c r="O83" i="78" s="1"/>
  <c r="AK82" i="78" l="1"/>
  <c r="P83" i="78"/>
  <c r="U83" i="78"/>
  <c r="T83" i="78" l="1"/>
  <c r="V83" i="78" s="1"/>
  <c r="W83" i="78" s="1"/>
  <c r="Y83" i="78" s="1"/>
  <c r="Z83" i="78" s="1"/>
  <c r="Q83" i="78"/>
  <c r="AA83" i="78" l="1"/>
  <c r="AB83" i="78" s="1"/>
  <c r="AI83" i="78" l="1"/>
  <c r="AJ83" i="78" l="1"/>
  <c r="AO83" i="78" s="1"/>
  <c r="AP83" i="78" s="1"/>
  <c r="AN83" i="78"/>
  <c r="O84" i="78" s="1"/>
  <c r="AK83" i="78" l="1"/>
  <c r="U84" i="78"/>
  <c r="P84" i="78"/>
  <c r="T84" i="78" l="1"/>
  <c r="V84" i="78" s="1"/>
  <c r="W84" i="78" s="1"/>
  <c r="Y84" i="78" s="1"/>
  <c r="Z84" i="78" s="1"/>
  <c r="Q84" i="78"/>
  <c r="AA84" i="78" l="1"/>
  <c r="AB84" i="78" s="1"/>
  <c r="AI84" i="78" l="1"/>
  <c r="AJ84" i="78" l="1"/>
  <c r="AO84" i="78" s="1"/>
  <c r="AP84" i="78" s="1"/>
  <c r="AN84" i="78"/>
  <c r="O85" i="78" s="1"/>
  <c r="AK84" i="78" l="1"/>
  <c r="P85" i="78"/>
  <c r="U85" i="78"/>
  <c r="T85" i="78" l="1"/>
  <c r="V85" i="78" s="1"/>
  <c r="W85" i="78" s="1"/>
  <c r="Y85" i="78" s="1"/>
  <c r="Z85" i="78" s="1"/>
  <c r="Q85" i="78"/>
  <c r="AA85" i="78" l="1"/>
  <c r="AB85" i="78" s="1"/>
  <c r="AI85" i="78" l="1"/>
  <c r="AJ85" i="78" l="1"/>
  <c r="AO85" i="78" s="1"/>
  <c r="AP85" i="78" s="1"/>
  <c r="AN85" i="78"/>
  <c r="O86" i="78" s="1"/>
  <c r="AK85" i="78" l="1"/>
  <c r="U86" i="78"/>
  <c r="P86" i="78"/>
  <c r="T86" i="78" l="1"/>
  <c r="V86" i="78" s="1"/>
  <c r="W86" i="78" s="1"/>
  <c r="Y86" i="78" s="1"/>
  <c r="Z86" i="78" s="1"/>
  <c r="Q86" i="78"/>
  <c r="AA86" i="78" l="1"/>
  <c r="AB86" i="78" s="1"/>
  <c r="AI86" i="78" l="1"/>
  <c r="AJ86" i="78" l="1"/>
  <c r="AO86" i="78" s="1"/>
  <c r="AP86" i="78" s="1"/>
  <c r="AN86" i="78"/>
  <c r="O87" i="78" s="1"/>
  <c r="AK86" i="78" l="1"/>
  <c r="P87" i="78"/>
  <c r="U87" i="78"/>
  <c r="T87" i="78" l="1"/>
  <c r="V87" i="78" s="1"/>
  <c r="W87" i="78" s="1"/>
  <c r="Y87" i="78" s="1"/>
  <c r="Z87" i="78" s="1"/>
  <c r="Q87" i="78"/>
  <c r="AA87" i="78" l="1"/>
  <c r="AB87" i="78" s="1"/>
  <c r="AI87" i="78" l="1"/>
  <c r="AJ87" i="78" l="1"/>
  <c r="AO87" i="78" s="1"/>
  <c r="AP87" i="78" s="1"/>
  <c r="AN87" i="78"/>
  <c r="O88" i="78" s="1"/>
  <c r="AK87" i="78" l="1"/>
  <c r="P88" i="78"/>
  <c r="U88" i="78"/>
  <c r="T88" i="78" l="1"/>
  <c r="V88" i="78" s="1"/>
  <c r="W88" i="78" s="1"/>
  <c r="Y88" i="78" s="1"/>
  <c r="Z88" i="78" s="1"/>
  <c r="Q88" i="78"/>
  <c r="AA88" i="78" l="1"/>
  <c r="AB88" i="78" s="1"/>
  <c r="AI88" i="78" l="1"/>
  <c r="AJ88" i="78" l="1"/>
  <c r="AO88" i="78" s="1"/>
  <c r="AP88" i="78" s="1"/>
  <c r="AN88" i="78"/>
  <c r="O89" i="78" s="1"/>
  <c r="AK88" i="78" l="1"/>
  <c r="P89" i="78"/>
  <c r="U89" i="78"/>
  <c r="T89" i="78" l="1"/>
  <c r="V89" i="78" s="1"/>
  <c r="W89" i="78" s="1"/>
  <c r="Y89" i="78" s="1"/>
  <c r="Z89" i="78" s="1"/>
  <c r="Q89" i="78"/>
  <c r="AA89" i="78" l="1"/>
  <c r="AB89" i="78" s="1"/>
  <c r="AI89" i="78" l="1"/>
  <c r="AJ89" i="78" l="1"/>
  <c r="AO89" i="78" s="1"/>
  <c r="AP89" i="78" s="1"/>
  <c r="AN89" i="78"/>
  <c r="O90" i="78" s="1"/>
  <c r="AK89" i="78" l="1"/>
  <c r="U90" i="78"/>
  <c r="P90" i="78"/>
  <c r="T90" i="78" l="1"/>
  <c r="V90" i="78" s="1"/>
  <c r="W90" i="78" s="1"/>
  <c r="Y90" i="78" s="1"/>
  <c r="Z90" i="78" s="1"/>
  <c r="Q90" i="78"/>
  <c r="AA90" i="78" l="1"/>
  <c r="AB90" i="78" s="1"/>
  <c r="AI90" i="78" l="1"/>
  <c r="AJ90" i="78" l="1"/>
  <c r="AO90" i="78" s="1"/>
  <c r="AP90" i="78" s="1"/>
  <c r="AN90" i="78"/>
  <c r="O91" i="78" s="1"/>
  <c r="AK90" i="78" l="1"/>
  <c r="U91" i="78"/>
  <c r="P91" i="78"/>
  <c r="T91" i="78" l="1"/>
  <c r="V91" i="78" s="1"/>
  <c r="W91" i="78" s="1"/>
  <c r="Y91" i="78" s="1"/>
  <c r="Z91" i="78" s="1"/>
  <c r="Q91" i="78"/>
  <c r="AA91" i="78" l="1"/>
  <c r="AB91" i="78" s="1"/>
  <c r="AI91" i="78" l="1"/>
  <c r="AJ91" i="78" l="1"/>
  <c r="AO91" i="78" s="1"/>
  <c r="AP91" i="78" s="1"/>
  <c r="AN91" i="78"/>
  <c r="O92" i="78" s="1"/>
  <c r="AK91" i="78" l="1"/>
  <c r="P92" i="78"/>
  <c r="U92" i="78"/>
  <c r="T92" i="78" l="1"/>
  <c r="V92" i="78" s="1"/>
  <c r="W92" i="78" s="1"/>
  <c r="Y92" i="78" s="1"/>
  <c r="Z92" i="78" s="1"/>
  <c r="Q92" i="78"/>
  <c r="AA92" i="78" l="1"/>
  <c r="AB92" i="78" s="1"/>
  <c r="AI92" i="78" l="1"/>
  <c r="AJ92" i="78" l="1"/>
  <c r="AO92" i="78" s="1"/>
  <c r="AP92" i="78" s="1"/>
  <c r="AN92" i="78"/>
  <c r="O93" i="78" s="1"/>
  <c r="AK92" i="78" l="1"/>
  <c r="P93" i="78"/>
  <c r="U93" i="78"/>
  <c r="T93" i="78" l="1"/>
  <c r="V93" i="78" s="1"/>
  <c r="W93" i="78" s="1"/>
  <c r="Y93" i="78" s="1"/>
  <c r="Z93" i="78" s="1"/>
  <c r="Q93" i="78"/>
  <c r="AA93" i="78" l="1"/>
  <c r="AB93" i="78" s="1"/>
  <c r="AI93" i="78" l="1"/>
  <c r="AJ93" i="78" l="1"/>
  <c r="AO93" i="78" s="1"/>
  <c r="AP93" i="78" s="1"/>
  <c r="AN93" i="78"/>
  <c r="O94" i="78" s="1"/>
  <c r="AK93" i="78" l="1"/>
  <c r="U94" i="78"/>
  <c r="P94" i="78"/>
  <c r="T94" i="78" l="1"/>
  <c r="V94" i="78" s="1"/>
  <c r="W94" i="78" s="1"/>
  <c r="Y94" i="78" s="1"/>
  <c r="Z94" i="78" s="1"/>
  <c r="Q94" i="78"/>
  <c r="AA94" i="78" l="1"/>
  <c r="AB94" i="78" s="1"/>
  <c r="AI94" i="78" l="1"/>
  <c r="AJ94" i="78" l="1"/>
  <c r="AO94" i="78" s="1"/>
  <c r="AP94" i="78" s="1"/>
  <c r="AN94" i="78"/>
  <c r="O95" i="78" s="1"/>
  <c r="AK94" i="78" l="1"/>
  <c r="P95" i="78"/>
  <c r="U95" i="78"/>
  <c r="T95" i="78" l="1"/>
  <c r="V95" i="78" s="1"/>
  <c r="W95" i="78" s="1"/>
  <c r="Y95" i="78" s="1"/>
  <c r="Z95" i="78" s="1"/>
  <c r="Q95" i="78"/>
  <c r="AA95" i="78" l="1"/>
  <c r="AB95" i="78" s="1"/>
  <c r="AI95" i="78" l="1"/>
  <c r="AJ95" i="78" l="1"/>
  <c r="AO95" i="78" s="1"/>
  <c r="AP95" i="78" s="1"/>
  <c r="AN95" i="78"/>
  <c r="O96" i="78" s="1"/>
  <c r="AK95" i="78" l="1"/>
  <c r="P96" i="78"/>
  <c r="U96" i="78"/>
  <c r="T96" i="78" l="1"/>
  <c r="V96" i="78" s="1"/>
  <c r="W96" i="78" s="1"/>
  <c r="Y96" i="78" s="1"/>
  <c r="Z96" i="78" s="1"/>
  <c r="Q96" i="78"/>
  <c r="AA96" i="78" l="1"/>
  <c r="AB96" i="78" s="1"/>
  <c r="AI96" i="78" l="1"/>
  <c r="AJ96" i="78" l="1"/>
  <c r="AO96" i="78" s="1"/>
  <c r="AP96" i="78" s="1"/>
  <c r="AN96" i="78"/>
  <c r="O97" i="78" s="1"/>
  <c r="AK96" i="78" l="1"/>
  <c r="P97" i="78"/>
  <c r="U97" i="78"/>
  <c r="T97" i="78" l="1"/>
  <c r="V97" i="78" s="1"/>
  <c r="W97" i="78" s="1"/>
  <c r="Y97" i="78" s="1"/>
  <c r="Z97" i="78" s="1"/>
  <c r="Q97" i="78"/>
  <c r="AA97" i="78" l="1"/>
  <c r="AB97" i="78" s="1"/>
  <c r="AI97" i="78" l="1"/>
  <c r="AJ97" i="78" l="1"/>
  <c r="AO97" i="78" s="1"/>
  <c r="AP97" i="78" s="1"/>
  <c r="AN97" i="78"/>
  <c r="O98" i="78" s="1"/>
  <c r="AK97" i="78" l="1"/>
  <c r="U98" i="78"/>
  <c r="P98" i="78"/>
  <c r="T98" i="78" l="1"/>
  <c r="V98" i="78" s="1"/>
  <c r="W98" i="78" s="1"/>
  <c r="Y98" i="78" s="1"/>
  <c r="Z98" i="78" s="1"/>
  <c r="Q98" i="78"/>
  <c r="AA98" i="78" l="1"/>
  <c r="AB98" i="78" s="1"/>
  <c r="AI98" i="78" l="1"/>
  <c r="AJ98" i="78" l="1"/>
  <c r="AO98" i="78" s="1"/>
  <c r="AP98" i="78" s="1"/>
  <c r="AN98" i="78"/>
  <c r="O99" i="78" s="1"/>
  <c r="AK98" i="78" l="1"/>
  <c r="P99" i="78"/>
  <c r="U99" i="78"/>
  <c r="T99" i="78" l="1"/>
  <c r="V99" i="78" s="1"/>
  <c r="W99" i="78" s="1"/>
  <c r="Y99" i="78" s="1"/>
  <c r="Z99" i="78" s="1"/>
  <c r="Q99" i="78"/>
  <c r="AA99" i="78" l="1"/>
  <c r="AB99" i="78" s="1"/>
  <c r="AI99" i="78" l="1"/>
  <c r="AJ99" i="78" l="1"/>
  <c r="AO99" i="78" s="1"/>
  <c r="AP99" i="78" s="1"/>
  <c r="AN99" i="78"/>
  <c r="O100" i="78" s="1"/>
  <c r="AK99" i="78" l="1"/>
  <c r="P100" i="78"/>
  <c r="U100" i="78"/>
  <c r="T100" i="78" l="1"/>
  <c r="V100" i="78" s="1"/>
  <c r="W100" i="78" s="1"/>
  <c r="Y100" i="78" s="1"/>
  <c r="Z100" i="78" s="1"/>
  <c r="Q100" i="78"/>
  <c r="AA100" i="78" l="1"/>
  <c r="AB100" i="78" s="1"/>
  <c r="AI100" i="78" l="1"/>
  <c r="AJ100" i="78" l="1"/>
  <c r="AO100" i="78" s="1"/>
  <c r="AP100" i="78" s="1"/>
  <c r="AN100" i="78"/>
  <c r="O101" i="78" s="1"/>
  <c r="AK100" i="78" l="1"/>
  <c r="P101" i="78"/>
  <c r="U101" i="78"/>
  <c r="T101" i="78" l="1"/>
  <c r="V101" i="78" s="1"/>
  <c r="W101" i="78" s="1"/>
  <c r="Y101" i="78" s="1"/>
  <c r="Z101" i="78" s="1"/>
  <c r="Q101" i="78"/>
  <c r="AA101" i="78" l="1"/>
  <c r="AB101" i="78" s="1"/>
  <c r="AI101" i="78" l="1"/>
  <c r="AJ101" i="78" l="1"/>
  <c r="AO101" i="78" s="1"/>
  <c r="AP101" i="78" s="1"/>
  <c r="AN101" i="78"/>
  <c r="O102" i="78" s="1"/>
  <c r="AK101" i="78" l="1"/>
  <c r="P102" i="78"/>
  <c r="U102" i="78"/>
  <c r="T102" i="78" l="1"/>
  <c r="V102" i="78" s="1"/>
  <c r="W102" i="78" s="1"/>
  <c r="Y102" i="78" s="1"/>
  <c r="Z102" i="78" s="1"/>
  <c r="Q102" i="78"/>
  <c r="AA102" i="78" l="1"/>
  <c r="AB102" i="78" s="1"/>
  <c r="AI102" i="78" l="1"/>
  <c r="AJ102" i="78" l="1"/>
  <c r="AO102" i="78" s="1"/>
  <c r="AP102" i="78" s="1"/>
  <c r="AN102" i="78"/>
  <c r="O103" i="78" s="1"/>
  <c r="AK102" i="78" l="1"/>
  <c r="U103" i="78"/>
  <c r="P103" i="78"/>
  <c r="T103" i="78" l="1"/>
  <c r="V103" i="78" s="1"/>
  <c r="W103" i="78" s="1"/>
  <c r="Y103" i="78" s="1"/>
  <c r="Z103" i="78" s="1"/>
  <c r="Q103" i="78"/>
  <c r="AA103" i="78" l="1"/>
  <c r="AB103" i="78" s="1"/>
  <c r="AI103" i="78" l="1"/>
  <c r="AJ103" i="78" l="1"/>
  <c r="AO103" i="78" s="1"/>
  <c r="AP103" i="78" s="1"/>
  <c r="AN103" i="78"/>
  <c r="O104" i="78" s="1"/>
  <c r="AK103" i="78" l="1"/>
  <c r="P104" i="78"/>
  <c r="U104" i="78"/>
  <c r="T104" i="78" l="1"/>
  <c r="V104" i="78" s="1"/>
  <c r="W104" i="78" s="1"/>
  <c r="Y104" i="78" s="1"/>
  <c r="Z104" i="78" s="1"/>
  <c r="Q104" i="78"/>
  <c r="AA104" i="78" l="1"/>
  <c r="AB104" i="78" s="1"/>
  <c r="AI104" i="78" l="1"/>
  <c r="AJ104" i="78" l="1"/>
  <c r="AO104" i="78" s="1"/>
  <c r="AP104" i="78" s="1"/>
  <c r="AN104" i="78"/>
  <c r="O105" i="78" s="1"/>
  <c r="AK104" i="78" l="1"/>
  <c r="P105" i="78"/>
  <c r="U105" i="78"/>
  <c r="T105" i="78" l="1"/>
  <c r="V105" i="78" s="1"/>
  <c r="W105" i="78" s="1"/>
  <c r="Y105" i="78" s="1"/>
  <c r="Z105" i="78" s="1"/>
  <c r="Q105" i="78"/>
  <c r="AA105" i="78" l="1"/>
  <c r="AB105" i="78" s="1"/>
  <c r="AI105" i="78" l="1"/>
  <c r="AJ105" i="78" l="1"/>
  <c r="AO105" i="78" s="1"/>
  <c r="AP105" i="78" s="1"/>
  <c r="AN105" i="78"/>
  <c r="O106" i="78" s="1"/>
  <c r="AK105" i="78" l="1"/>
  <c r="U106" i="78"/>
  <c r="P106" i="78"/>
  <c r="T106" i="78" l="1"/>
  <c r="V106" i="78" s="1"/>
  <c r="W106" i="78" s="1"/>
  <c r="Y106" i="78" s="1"/>
  <c r="Z106" i="78" s="1"/>
  <c r="Q106" i="78"/>
  <c r="AA106" i="78" l="1"/>
  <c r="AB106" i="78" s="1"/>
  <c r="AI106" i="78" l="1"/>
  <c r="AJ106" i="78" l="1"/>
  <c r="AO106" i="78" s="1"/>
  <c r="AP106" i="78" s="1"/>
  <c r="AN106" i="78"/>
  <c r="O107" i="78" s="1"/>
  <c r="AK106" i="78" l="1"/>
  <c r="U107" i="78"/>
  <c r="P107" i="78"/>
  <c r="T107" i="78" l="1"/>
  <c r="V107" i="78" s="1"/>
  <c r="W107" i="78" s="1"/>
  <c r="Y107" i="78" s="1"/>
  <c r="Z107" i="78" s="1"/>
  <c r="Q107" i="78"/>
  <c r="AA107" i="78" l="1"/>
  <c r="AB107" i="78" s="1"/>
  <c r="AI107" i="78" l="1"/>
  <c r="AJ107" i="78" l="1"/>
  <c r="AO107" i="78" s="1"/>
  <c r="AP107" i="78" s="1"/>
  <c r="AN107" i="78"/>
  <c r="O108" i="78" s="1"/>
  <c r="AK107" i="78" l="1"/>
  <c r="P108" i="78"/>
  <c r="U108" i="78"/>
  <c r="T108" i="78" l="1"/>
  <c r="V108" i="78" s="1"/>
  <c r="W108" i="78" s="1"/>
  <c r="Y108" i="78" s="1"/>
  <c r="Z108" i="78" s="1"/>
  <c r="Q108" i="78"/>
  <c r="AA108" i="78" l="1"/>
  <c r="AB108" i="78" s="1"/>
  <c r="AI108" i="78" l="1"/>
  <c r="AJ108" i="78" l="1"/>
  <c r="AO108" i="78" s="1"/>
  <c r="AP108" i="78" s="1"/>
  <c r="AN108" i="78"/>
  <c r="O109" i="78" s="1"/>
  <c r="AK108" i="78" l="1"/>
  <c r="P109" i="78"/>
  <c r="U109" i="78"/>
  <c r="T109" i="78" l="1"/>
  <c r="V109" i="78" s="1"/>
  <c r="W109" i="78" s="1"/>
  <c r="Y109" i="78" s="1"/>
  <c r="Z109" i="78" s="1"/>
  <c r="Q109" i="78"/>
  <c r="AA109" i="78" l="1"/>
  <c r="AB109" i="78" s="1"/>
  <c r="AI109" i="78" l="1"/>
  <c r="AJ109" i="78" l="1"/>
  <c r="AO109" i="78" s="1"/>
  <c r="AP109" i="78" s="1"/>
  <c r="AN109" i="78"/>
  <c r="O110" i="78" s="1"/>
  <c r="AK109" i="78" l="1"/>
  <c r="U110" i="78"/>
  <c r="P110" i="78"/>
  <c r="T110" i="78" l="1"/>
  <c r="V110" i="78" s="1"/>
  <c r="W110" i="78" s="1"/>
  <c r="Y110" i="78" s="1"/>
  <c r="Z110" i="78" s="1"/>
  <c r="Q110" i="78"/>
  <c r="AA110" i="78" l="1"/>
  <c r="AB110" i="78" s="1"/>
  <c r="AI110" i="78" l="1"/>
  <c r="AJ110" i="78" l="1"/>
  <c r="AO110" i="78" s="1"/>
  <c r="AP110" i="78" s="1"/>
  <c r="AN110" i="78"/>
  <c r="O111" i="78" s="1"/>
  <c r="AK110" i="78" l="1"/>
  <c r="P111" i="78"/>
  <c r="U111" i="78"/>
  <c r="T111" i="78" l="1"/>
  <c r="V111" i="78" s="1"/>
  <c r="W111" i="78" s="1"/>
  <c r="Y111" i="78" s="1"/>
  <c r="Z111" i="78" s="1"/>
  <c r="Q111" i="78"/>
  <c r="AA111" i="78" l="1"/>
  <c r="AB111" i="78" s="1"/>
  <c r="AI111" i="78" l="1"/>
  <c r="AJ111" i="78" l="1"/>
  <c r="AO111" i="78" s="1"/>
  <c r="AP111" i="78" s="1"/>
  <c r="AN111" i="78"/>
  <c r="O112" i="78" s="1"/>
  <c r="AK111" i="78" l="1"/>
  <c r="P112" i="78"/>
  <c r="U112" i="78"/>
  <c r="T112" i="78" l="1"/>
  <c r="V112" i="78" s="1"/>
  <c r="W112" i="78" s="1"/>
  <c r="Y112" i="78" s="1"/>
  <c r="Z112" i="78" s="1"/>
  <c r="Q112" i="78"/>
  <c r="AA112" i="78" l="1"/>
  <c r="AB112" i="78" s="1"/>
  <c r="AI112" i="78" l="1"/>
  <c r="AJ112" i="78" l="1"/>
  <c r="AO112" i="78" s="1"/>
  <c r="AP112" i="78" s="1"/>
  <c r="AN112" i="78"/>
  <c r="O113" i="78" s="1"/>
  <c r="AK112" i="78" l="1"/>
  <c r="U113" i="78"/>
  <c r="P113" i="78"/>
  <c r="T113" i="78" l="1"/>
  <c r="V113" i="78" s="1"/>
  <c r="W113" i="78" s="1"/>
  <c r="Y113" i="78" s="1"/>
  <c r="Z113" i="78" s="1"/>
  <c r="Q113" i="78"/>
  <c r="AA113" i="78" l="1"/>
  <c r="AB113" i="78" s="1"/>
  <c r="AI113" i="78" l="1"/>
  <c r="AJ113" i="78" l="1"/>
  <c r="AO113" i="78" s="1"/>
  <c r="AP113" i="78" s="1"/>
  <c r="AN113" i="78"/>
  <c r="O114" i="78" s="1"/>
  <c r="U114" i="78" l="1"/>
  <c r="P114" i="78"/>
  <c r="AK113" i="78"/>
  <c r="T114" i="78" l="1"/>
  <c r="V114" i="78" s="1"/>
  <c r="W114" i="78" s="1"/>
  <c r="Y114" i="78" s="1"/>
  <c r="Z114" i="78" s="1"/>
  <c r="Q114" i="78"/>
  <c r="AA114" i="78" l="1"/>
  <c r="AB114" i="78" s="1"/>
  <c r="AI114" i="78" l="1"/>
  <c r="AJ114" i="78" l="1"/>
  <c r="AO114" i="78" s="1"/>
  <c r="AP114" i="78" s="1"/>
  <c r="AN114" i="78"/>
  <c r="O115" i="78" s="1"/>
  <c r="AK114" i="78" l="1"/>
  <c r="P115" i="78"/>
  <c r="U115" i="78"/>
  <c r="T115" i="78" l="1"/>
  <c r="V115" i="78" s="1"/>
  <c r="W115" i="78" s="1"/>
  <c r="Y115" i="78" s="1"/>
  <c r="Z115" i="78" s="1"/>
  <c r="Q115" i="78"/>
  <c r="AA115" i="78" l="1"/>
  <c r="AB115" i="78" s="1"/>
  <c r="AI115" i="78" l="1"/>
  <c r="AJ115" i="78" l="1"/>
  <c r="AO115" i="78" s="1"/>
  <c r="AP115" i="78" s="1"/>
  <c r="AN115" i="78"/>
  <c r="O116" i="78" s="1"/>
  <c r="AK115" i="78" l="1"/>
  <c r="U116" i="78"/>
  <c r="P116" i="78"/>
  <c r="T116" i="78" l="1"/>
  <c r="V116" i="78" s="1"/>
  <c r="W116" i="78" s="1"/>
  <c r="Y116" i="78" s="1"/>
  <c r="Z116" i="78" s="1"/>
  <c r="Q116" i="78"/>
  <c r="AA116" i="78" l="1"/>
  <c r="AB116" i="78" s="1"/>
  <c r="AI116" i="78" l="1"/>
  <c r="AJ116" i="78" l="1"/>
  <c r="AO116" i="78" s="1"/>
  <c r="AP116" i="78" s="1"/>
  <c r="AN116" i="78"/>
  <c r="O117" i="78" s="1"/>
  <c r="AK116" i="78" l="1"/>
  <c r="U117" i="78"/>
  <c r="P117" i="78"/>
  <c r="T117" i="78" l="1"/>
  <c r="V117" i="78" s="1"/>
  <c r="W117" i="78" s="1"/>
  <c r="Y117" i="78" s="1"/>
  <c r="Z117" i="78" s="1"/>
  <c r="Q117" i="78"/>
  <c r="AA117" i="78" l="1"/>
  <c r="AB117" i="78" s="1"/>
  <c r="AI117" i="78" l="1"/>
  <c r="AJ117" i="78" l="1"/>
  <c r="AO117" i="78" s="1"/>
  <c r="AP117" i="78" s="1"/>
  <c r="AN117" i="78"/>
  <c r="O118" i="78" s="1"/>
  <c r="AK117" i="78" l="1"/>
  <c r="P118" i="78"/>
  <c r="U118" i="78"/>
  <c r="T118" i="78" l="1"/>
  <c r="V118" i="78" s="1"/>
  <c r="W118" i="78" s="1"/>
  <c r="Y118" i="78" s="1"/>
  <c r="Z118" i="78" s="1"/>
  <c r="Q118" i="78"/>
  <c r="AA118" i="78" l="1"/>
  <c r="AB118" i="78" s="1"/>
  <c r="AI118" i="78" l="1"/>
  <c r="AJ118" i="78" l="1"/>
  <c r="AO118" i="78" s="1"/>
  <c r="AP118" i="78" s="1"/>
  <c r="AN118" i="78"/>
  <c r="O119" i="78" s="1"/>
  <c r="AK118" i="78" l="1"/>
  <c r="P119" i="78"/>
  <c r="U119" i="78"/>
  <c r="T119" i="78" l="1"/>
  <c r="V119" i="78" s="1"/>
  <c r="W119" i="78" s="1"/>
  <c r="Y119" i="78" s="1"/>
  <c r="Z119" i="78" s="1"/>
  <c r="Q119" i="78"/>
  <c r="AA119" i="78" l="1"/>
  <c r="AB119" i="78" s="1"/>
  <c r="AI119" i="78" l="1"/>
  <c r="AJ119" i="78" l="1"/>
  <c r="AO119" i="78" s="1"/>
  <c r="AP119" i="78" s="1"/>
  <c r="AN119" i="78"/>
  <c r="O120" i="78" s="1"/>
  <c r="AK119" i="78" l="1"/>
  <c r="U120" i="78"/>
  <c r="P120" i="78"/>
  <c r="T120" i="78" l="1"/>
  <c r="V120" i="78" s="1"/>
  <c r="W120" i="78" s="1"/>
  <c r="Y120" i="78" s="1"/>
  <c r="Z120" i="78" s="1"/>
  <c r="Q120" i="78"/>
  <c r="AA120" i="78" l="1"/>
  <c r="AB120" i="78" s="1"/>
  <c r="AI120" i="78" l="1"/>
  <c r="AJ120" i="78" l="1"/>
  <c r="AO120" i="78" s="1"/>
  <c r="AP120" i="78" s="1"/>
  <c r="AN120" i="78"/>
  <c r="O121" i="78" s="1"/>
  <c r="AK120" i="78" l="1"/>
  <c r="P121" i="78"/>
  <c r="U121" i="78"/>
  <c r="T121" i="78" l="1"/>
  <c r="V121" i="78" s="1"/>
  <c r="W121" i="78" s="1"/>
  <c r="Y121" i="78" s="1"/>
  <c r="Z121" i="78" s="1"/>
  <c r="Q121" i="78"/>
  <c r="AA121" i="78" l="1"/>
  <c r="AB121" i="78" s="1"/>
  <c r="AI121" i="78" l="1"/>
  <c r="AJ121" i="78" l="1"/>
  <c r="AO121" i="78" s="1"/>
  <c r="AP121" i="78" s="1"/>
  <c r="AN121" i="78"/>
  <c r="O122" i="78" s="1"/>
  <c r="AK121" i="78" l="1"/>
  <c r="P122" i="78"/>
  <c r="U122" i="78"/>
  <c r="T122" i="78" l="1"/>
  <c r="V122" i="78" s="1"/>
  <c r="W122" i="78" s="1"/>
  <c r="Y122" i="78" s="1"/>
  <c r="Z122" i="78" s="1"/>
  <c r="Q122" i="78"/>
  <c r="AA122" i="78" l="1"/>
  <c r="AB122" i="78" s="1"/>
  <c r="AI122" i="78" l="1"/>
  <c r="AJ122" i="78" l="1"/>
  <c r="AO122" i="78" s="1"/>
  <c r="AP122" i="78" s="1"/>
  <c r="AN122" i="78"/>
  <c r="O123" i="78" s="1"/>
  <c r="AK122" i="78" l="1"/>
  <c r="U123" i="78"/>
  <c r="P123" i="78"/>
  <c r="T123" i="78" l="1"/>
  <c r="V123" i="78" s="1"/>
  <c r="W123" i="78" s="1"/>
  <c r="Y123" i="78" s="1"/>
  <c r="Z123" i="78" s="1"/>
  <c r="Q123" i="78"/>
  <c r="AA123" i="78" l="1"/>
  <c r="AB123" i="78" s="1"/>
  <c r="AI123" i="78" l="1"/>
  <c r="AJ123" i="78" l="1"/>
  <c r="AO123" i="78" s="1"/>
  <c r="AP123" i="78" s="1"/>
  <c r="AN123" i="78"/>
  <c r="O124" i="78" s="1"/>
  <c r="P124" i="78" l="1"/>
  <c r="U124" i="78"/>
  <c r="AK123" i="78"/>
  <c r="T124" i="78" l="1"/>
  <c r="V124" i="78" s="1"/>
  <c r="W124" i="78" s="1"/>
  <c r="Y124" i="78" s="1"/>
  <c r="Z124" i="78" s="1"/>
  <c r="Q124" i="78"/>
  <c r="AA124" i="78" l="1"/>
  <c r="AB124" i="78" s="1"/>
  <c r="AI124" i="78" l="1"/>
  <c r="AJ124" i="78" l="1"/>
  <c r="AO124" i="78" s="1"/>
  <c r="AP124" i="78" s="1"/>
  <c r="AN124" i="78"/>
  <c r="O125" i="78" s="1"/>
  <c r="AK124" i="78" l="1"/>
  <c r="U125" i="78"/>
  <c r="P125" i="78"/>
  <c r="T125" i="78" l="1"/>
  <c r="V125" i="78" s="1"/>
  <c r="W125" i="78" s="1"/>
  <c r="Y125" i="78" s="1"/>
  <c r="Z125" i="78" s="1"/>
  <c r="Q125" i="78"/>
  <c r="AA125" i="78" l="1"/>
  <c r="AB125" i="78" s="1"/>
  <c r="AI125" i="78" l="1"/>
  <c r="AJ125" i="78" l="1"/>
  <c r="AO125" i="78" s="1"/>
  <c r="AP125" i="78" s="1"/>
  <c r="AN125" i="78"/>
  <c r="O126" i="78" s="1"/>
  <c r="AK125" i="78" l="1"/>
  <c r="P126" i="78"/>
  <c r="U126" i="78"/>
  <c r="T126" i="78" l="1"/>
  <c r="V126" i="78" s="1"/>
  <c r="W126" i="78" s="1"/>
  <c r="Y126" i="78" s="1"/>
  <c r="Z126" i="78" s="1"/>
  <c r="Q126" i="78"/>
  <c r="AA126" i="78" l="1"/>
  <c r="AB126" i="78" s="1"/>
  <c r="AI126" i="78" l="1"/>
  <c r="AJ126" i="78" l="1"/>
  <c r="AO126" i="78" s="1"/>
  <c r="AP126" i="78" s="1"/>
  <c r="AN126" i="78"/>
  <c r="O127" i="78" s="1"/>
  <c r="AK126" i="78" l="1"/>
  <c r="U127" i="78"/>
  <c r="P127" i="78"/>
  <c r="T127" i="78" l="1"/>
  <c r="V127" i="78" s="1"/>
  <c r="W127" i="78" s="1"/>
  <c r="Y127" i="78" s="1"/>
  <c r="Z127" i="78" s="1"/>
  <c r="Q127" i="78"/>
  <c r="AA127" i="78" l="1"/>
  <c r="AB127" i="78" s="1"/>
  <c r="AI127" i="78" l="1"/>
  <c r="AJ127" i="78" l="1"/>
  <c r="AO127" i="78" s="1"/>
  <c r="AP127" i="78" s="1"/>
  <c r="AN127" i="78"/>
  <c r="O128" i="78" s="1"/>
  <c r="AK127" i="78" l="1"/>
  <c r="U128" i="78"/>
  <c r="P128" i="78"/>
  <c r="T128" i="78" l="1"/>
  <c r="V128" i="78" s="1"/>
  <c r="W128" i="78" s="1"/>
  <c r="Y128" i="78" s="1"/>
  <c r="Z128" i="78" s="1"/>
  <c r="Q128" i="78"/>
  <c r="AA128" i="78" l="1"/>
  <c r="AB128" i="78" s="1"/>
  <c r="AI128" i="78" l="1"/>
  <c r="AJ128" i="78" l="1"/>
  <c r="AO128" i="78" s="1"/>
  <c r="AP128" i="78" s="1"/>
  <c r="AN128" i="78"/>
  <c r="O129" i="78" s="1"/>
  <c r="AK128" i="78" l="1"/>
  <c r="U129" i="78"/>
  <c r="P129" i="78"/>
  <c r="T129" i="78" l="1"/>
  <c r="V129" i="78" s="1"/>
  <c r="W129" i="78" s="1"/>
  <c r="Y129" i="78" s="1"/>
  <c r="Z129" i="78" s="1"/>
  <c r="Q129" i="78"/>
  <c r="AA129" i="78" l="1"/>
  <c r="AB129" i="78" s="1"/>
  <c r="AI129" i="78" l="1"/>
  <c r="AJ129" i="78" l="1"/>
  <c r="AO129" i="78" s="1"/>
  <c r="AP129" i="78" s="1"/>
  <c r="AN129" i="78"/>
  <c r="O130" i="78" s="1"/>
  <c r="AK129" i="78" l="1"/>
  <c r="P130" i="78"/>
  <c r="U130" i="78"/>
  <c r="T130" i="78" l="1"/>
  <c r="V130" i="78" s="1"/>
  <c r="W130" i="78" s="1"/>
  <c r="Y130" i="78" s="1"/>
  <c r="Z130" i="78" s="1"/>
  <c r="Q130" i="78"/>
  <c r="AA130" i="78" l="1"/>
  <c r="AB130" i="78" s="1"/>
  <c r="AI130" i="78" l="1"/>
  <c r="AJ130" i="78" l="1"/>
  <c r="AO130" i="78" s="1"/>
  <c r="AP130" i="78" s="1"/>
  <c r="AN130" i="78"/>
  <c r="O131" i="78" s="1"/>
  <c r="AK130" i="78" l="1"/>
  <c r="U131" i="78"/>
  <c r="P131" i="78"/>
  <c r="T131" i="78" l="1"/>
  <c r="V131" i="78" s="1"/>
  <c r="W131" i="78" s="1"/>
  <c r="Y131" i="78" s="1"/>
  <c r="Z131" i="78" s="1"/>
  <c r="Q131" i="78"/>
  <c r="AA131" i="78" l="1"/>
  <c r="AB131" i="78" s="1"/>
  <c r="AI131" i="78" l="1"/>
  <c r="AJ131" i="78" l="1"/>
  <c r="AO131" i="78" s="1"/>
  <c r="AP131" i="78" s="1"/>
  <c r="AN131" i="78"/>
  <c r="O132" i="78" s="1"/>
  <c r="U132" i="78" l="1"/>
  <c r="P132" i="78"/>
  <c r="AK131" i="78"/>
  <c r="T132" i="78" l="1"/>
  <c r="V132" i="78" s="1"/>
  <c r="W132" i="78" s="1"/>
  <c r="Y132" i="78" s="1"/>
  <c r="Z132" i="78" s="1"/>
  <c r="Q132" i="78"/>
  <c r="AA132" i="78" l="1"/>
  <c r="AB132" i="78" s="1"/>
  <c r="AI132" i="78" l="1"/>
  <c r="AJ132" i="78" l="1"/>
  <c r="AO132" i="78" s="1"/>
  <c r="AP132" i="78" s="1"/>
  <c r="AN132" i="78"/>
  <c r="O133" i="78" s="1"/>
  <c r="AK132" i="78" l="1"/>
  <c r="U133" i="78"/>
  <c r="P133" i="78"/>
  <c r="T133" i="78" l="1"/>
  <c r="V133" i="78" s="1"/>
  <c r="W133" i="78" s="1"/>
  <c r="Y133" i="78" s="1"/>
  <c r="Z133" i="78" s="1"/>
  <c r="Q133" i="78"/>
  <c r="AA133" i="78" l="1"/>
  <c r="AB133" i="78" s="1"/>
  <c r="AI133" i="78" l="1"/>
  <c r="AJ133" i="78" l="1"/>
  <c r="AO133" i="78" s="1"/>
  <c r="AP133" i="78" s="1"/>
  <c r="AN133" i="78"/>
  <c r="O134" i="78" s="1"/>
  <c r="AK133" i="78" l="1"/>
  <c r="P134" i="78"/>
  <c r="U134" i="78"/>
  <c r="T134" i="78" l="1"/>
  <c r="V134" i="78" s="1"/>
  <c r="W134" i="78" s="1"/>
  <c r="Y134" i="78" s="1"/>
  <c r="Z134" i="78" s="1"/>
  <c r="Q134" i="78"/>
  <c r="AA134" i="78" l="1"/>
  <c r="AB134" i="78" s="1"/>
  <c r="AI134" i="78" l="1"/>
  <c r="AJ134" i="78" l="1"/>
  <c r="AO134" i="78" s="1"/>
  <c r="AP134" i="78" s="1"/>
  <c r="AN134" i="78"/>
  <c r="O135" i="78" s="1"/>
  <c r="AK134" i="78" l="1"/>
  <c r="U135" i="78"/>
  <c r="P135" i="78"/>
  <c r="T135" i="78" l="1"/>
  <c r="V135" i="78" s="1"/>
  <c r="W135" i="78" s="1"/>
  <c r="Y135" i="78" s="1"/>
  <c r="Z135" i="78" s="1"/>
  <c r="Q135" i="78"/>
  <c r="AA135" i="78" l="1"/>
  <c r="AB135" i="78" s="1"/>
  <c r="AI135" i="78" l="1"/>
  <c r="AJ135" i="78" l="1"/>
  <c r="AO135" i="78" s="1"/>
  <c r="AP135" i="78" s="1"/>
  <c r="AN135" i="78"/>
  <c r="O136" i="78" s="1"/>
  <c r="P136" i="78" l="1"/>
  <c r="U136" i="78"/>
  <c r="AK135" i="78"/>
  <c r="T136" i="78" l="1"/>
  <c r="V136" i="78" s="1"/>
  <c r="W136" i="78" s="1"/>
  <c r="Y136" i="78" s="1"/>
  <c r="Z136" i="78" s="1"/>
  <c r="Q136" i="78"/>
  <c r="AA136" i="78" l="1"/>
  <c r="AB136" i="78" s="1"/>
  <c r="AI136" i="78" l="1"/>
  <c r="AJ136" i="78" l="1"/>
  <c r="AO136" i="78" s="1"/>
  <c r="AP136" i="78" s="1"/>
  <c r="AN136" i="78"/>
  <c r="O137" i="78" s="1"/>
  <c r="AK136" i="78" l="1"/>
  <c r="P137" i="78"/>
  <c r="U137" i="78"/>
  <c r="T137" i="78" l="1"/>
  <c r="V137" i="78" s="1"/>
  <c r="W137" i="78" s="1"/>
  <c r="Y137" i="78" s="1"/>
  <c r="Z137" i="78" s="1"/>
  <c r="Q137" i="78"/>
  <c r="AA137" i="78" l="1"/>
  <c r="AB137" i="78" s="1"/>
  <c r="AI137" i="78" l="1"/>
  <c r="AJ137" i="78" l="1"/>
  <c r="AO137" i="78" s="1"/>
  <c r="AP137" i="78" s="1"/>
  <c r="AN137" i="78"/>
  <c r="O138" i="78" s="1"/>
  <c r="AK137" i="78" l="1"/>
  <c r="P138" i="78"/>
  <c r="U138" i="78"/>
  <c r="T138" i="78" l="1"/>
  <c r="V138" i="78" s="1"/>
  <c r="W138" i="78" s="1"/>
  <c r="Y138" i="78" s="1"/>
  <c r="Z138" i="78" s="1"/>
  <c r="Q138" i="78"/>
  <c r="AA138" i="78" l="1"/>
  <c r="AB138" i="78" s="1"/>
  <c r="AI138" i="78" l="1"/>
  <c r="AJ138" i="78" l="1"/>
  <c r="AO138" i="78" s="1"/>
  <c r="AP138" i="78" s="1"/>
  <c r="AN138" i="78"/>
  <c r="O139" i="78" s="1"/>
  <c r="AK138" i="78" l="1"/>
  <c r="U139" i="78"/>
  <c r="P139" i="78"/>
  <c r="T139" i="78" l="1"/>
  <c r="V139" i="78" s="1"/>
  <c r="W139" i="78" s="1"/>
  <c r="Y139" i="78" s="1"/>
  <c r="Z139" i="78" s="1"/>
  <c r="Q139" i="78"/>
  <c r="AA139" i="78" l="1"/>
  <c r="AB139" i="78" s="1"/>
  <c r="AI139" i="78" l="1"/>
  <c r="AJ139" i="78" l="1"/>
  <c r="AO139" i="78" s="1"/>
  <c r="AP139" i="78" s="1"/>
  <c r="AN139" i="78"/>
  <c r="O140" i="78" s="1"/>
  <c r="AK139" i="78" l="1"/>
  <c r="P140" i="78"/>
  <c r="U140" i="78"/>
  <c r="T140" i="78" l="1"/>
  <c r="V140" i="78" s="1"/>
  <c r="W140" i="78" s="1"/>
  <c r="Y140" i="78" s="1"/>
  <c r="Z140" i="78" s="1"/>
  <c r="Q140" i="78"/>
  <c r="AA140" i="78" l="1"/>
  <c r="AB140" i="78" s="1"/>
  <c r="AI140" i="78" l="1"/>
  <c r="AJ140" i="78" l="1"/>
  <c r="AO140" i="78" s="1"/>
  <c r="AP140" i="78" s="1"/>
  <c r="AN140" i="78"/>
  <c r="O141" i="78" s="1"/>
  <c r="U141" i="78" l="1"/>
  <c r="P141" i="78"/>
  <c r="AK140" i="78"/>
  <c r="T141" i="78" l="1"/>
  <c r="V141" i="78" s="1"/>
  <c r="W141" i="78" s="1"/>
  <c r="Y141" i="78" s="1"/>
  <c r="Z141" i="78" s="1"/>
  <c r="Q141" i="78"/>
  <c r="AA141" i="78" l="1"/>
  <c r="AB141" i="78" s="1"/>
  <c r="AI141" i="78" l="1"/>
  <c r="AJ141" i="78" l="1"/>
  <c r="AO141" i="78" s="1"/>
  <c r="AP141" i="78" s="1"/>
  <c r="AN141" i="78"/>
  <c r="O142" i="78" s="1"/>
  <c r="AK141" i="78" l="1"/>
  <c r="U142" i="78"/>
  <c r="P142" i="78"/>
  <c r="T142" i="78" l="1"/>
  <c r="V142" i="78" s="1"/>
  <c r="W142" i="78" s="1"/>
  <c r="Y142" i="78" s="1"/>
  <c r="Z142" i="78" s="1"/>
  <c r="Q142" i="78"/>
  <c r="AA142" i="78" l="1"/>
  <c r="AB142" i="78" s="1"/>
  <c r="AI142" i="78" l="1"/>
  <c r="AJ142" i="78" l="1"/>
  <c r="AO142" i="78" s="1"/>
  <c r="AP142" i="78" s="1"/>
  <c r="AN142" i="78"/>
  <c r="O143" i="78" s="1"/>
  <c r="U143" i="78" l="1"/>
  <c r="P143" i="78"/>
  <c r="AK142" i="78"/>
  <c r="T143" i="78" l="1"/>
  <c r="V143" i="78" s="1"/>
  <c r="W143" i="78" s="1"/>
  <c r="Y143" i="78" s="1"/>
  <c r="Z143" i="78" s="1"/>
  <c r="Q143" i="78"/>
  <c r="AA143" i="78" l="1"/>
  <c r="AB143" i="78" s="1"/>
  <c r="AI143" i="78" l="1"/>
  <c r="AJ143" i="78" l="1"/>
  <c r="AO143" i="78" s="1"/>
  <c r="AP143" i="78" s="1"/>
  <c r="AN143" i="78"/>
  <c r="O144" i="78" s="1"/>
  <c r="AK143" i="78" l="1"/>
  <c r="U144" i="78"/>
  <c r="P144" i="78"/>
  <c r="T144" i="78" l="1"/>
  <c r="V144" i="78" s="1"/>
  <c r="W144" i="78" s="1"/>
  <c r="Y144" i="78" s="1"/>
  <c r="Z144" i="78" s="1"/>
  <c r="Q144" i="78"/>
  <c r="AA144" i="78" l="1"/>
  <c r="AB144" i="78" s="1"/>
  <c r="AI144" i="78" l="1"/>
  <c r="AJ144" i="78" l="1"/>
  <c r="AO144" i="78" s="1"/>
  <c r="AP144" i="78" s="1"/>
  <c r="AN144" i="78"/>
  <c r="O145" i="78" s="1"/>
  <c r="AK144" i="78" l="1"/>
  <c r="U145" i="78"/>
  <c r="P145" i="78"/>
  <c r="T145" i="78" l="1"/>
  <c r="V145" i="78" s="1"/>
  <c r="W145" i="78" s="1"/>
  <c r="Y145" i="78" s="1"/>
  <c r="Z145" i="78" s="1"/>
  <c r="Q145" i="78"/>
  <c r="AA145" i="78" l="1"/>
  <c r="AB145" i="78" s="1"/>
  <c r="AI145" i="78" l="1"/>
  <c r="AJ145" i="78" l="1"/>
  <c r="AO145" i="78" s="1"/>
  <c r="AP145" i="78" s="1"/>
  <c r="AN145" i="78"/>
  <c r="O146" i="78" s="1"/>
  <c r="AK145" i="78" l="1"/>
  <c r="U146" i="78"/>
  <c r="P146" i="78"/>
  <c r="T146" i="78" l="1"/>
  <c r="V146" i="78" s="1"/>
  <c r="W146" i="78" s="1"/>
  <c r="Y146" i="78" s="1"/>
  <c r="Z146" i="78" s="1"/>
  <c r="Q146" i="78"/>
  <c r="AA146" i="78" l="1"/>
  <c r="AB146" i="78" s="1"/>
  <c r="AI146" i="78" l="1"/>
  <c r="AJ146" i="78" l="1"/>
  <c r="AO146" i="78" s="1"/>
  <c r="AP146" i="78" s="1"/>
  <c r="AN146" i="78"/>
  <c r="O147" i="78" s="1"/>
  <c r="AK146" i="78" l="1"/>
  <c r="P147" i="78"/>
  <c r="U147" i="78"/>
  <c r="T147" i="78" l="1"/>
  <c r="V147" i="78" s="1"/>
  <c r="W147" i="78" s="1"/>
  <c r="Y147" i="78" s="1"/>
  <c r="Z147" i="78" s="1"/>
  <c r="Q147" i="78"/>
  <c r="AA147" i="78" l="1"/>
  <c r="AB147" i="78" s="1"/>
  <c r="AI147" i="78" l="1"/>
  <c r="AJ147" i="78" l="1"/>
  <c r="AO147" i="78" s="1"/>
  <c r="AP147" i="78" s="1"/>
  <c r="AN147" i="78"/>
  <c r="O148" i="78" s="1"/>
  <c r="AK147" i="78" l="1"/>
  <c r="P148" i="78"/>
  <c r="U148" i="78"/>
  <c r="T148" i="78" l="1"/>
  <c r="V148" i="78" s="1"/>
  <c r="W148" i="78" s="1"/>
  <c r="Y148" i="78" s="1"/>
  <c r="Z148" i="78" s="1"/>
  <c r="Q148" i="78"/>
  <c r="AA148" i="78" l="1"/>
  <c r="AB148" i="78" s="1"/>
  <c r="AI148" i="78" l="1"/>
  <c r="AJ148" i="78" l="1"/>
  <c r="AO148" i="78" s="1"/>
  <c r="AP148" i="78" s="1"/>
  <c r="AN148" i="78"/>
  <c r="O149" i="78" s="1"/>
  <c r="U149" i="78" l="1"/>
  <c r="P149" i="78"/>
  <c r="AK148" i="78"/>
  <c r="T149" i="78" l="1"/>
  <c r="V149" i="78" s="1"/>
  <c r="W149" i="78" s="1"/>
  <c r="Y149" i="78" s="1"/>
  <c r="Z149" i="78" s="1"/>
  <c r="Q149" i="78"/>
  <c r="AA149" i="78" l="1"/>
  <c r="AB149" i="78" s="1"/>
  <c r="AI149" i="78" l="1"/>
  <c r="AJ149" i="78" l="1"/>
  <c r="AO149" i="78" s="1"/>
  <c r="AP149" i="78" s="1"/>
  <c r="AN149" i="78"/>
  <c r="O150" i="78" s="1"/>
  <c r="AK149" i="78" l="1"/>
  <c r="U150" i="78"/>
  <c r="P150" i="78"/>
  <c r="T150" i="78" l="1"/>
  <c r="V150" i="78" s="1"/>
  <c r="W150" i="78" s="1"/>
  <c r="Y150" i="78" s="1"/>
  <c r="Z150" i="78" s="1"/>
  <c r="Q150" i="78"/>
  <c r="AA150" i="78" l="1"/>
  <c r="AB150" i="78" s="1"/>
  <c r="AI150" i="78" l="1"/>
  <c r="AJ150" i="78" l="1"/>
  <c r="AO150" i="78" s="1"/>
  <c r="AP150" i="78" s="1"/>
  <c r="AI151" i="78"/>
  <c r="AN150" i="78"/>
  <c r="AK150" i="7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F19" authorId="0" shapeId="0" xr:uid="{C4B2D849-9C78-45AE-B616-E95A5B538C42}">
      <text>
        <r>
          <rPr>
            <b/>
            <sz val="9"/>
            <color indexed="81"/>
            <rFont val="Tahoma"/>
            <family val="2"/>
          </rPr>
          <t>Célibataire</t>
        </r>
      </text>
    </comment>
    <comment ref="G19" authorId="0" shapeId="0" xr:uid="{08D32878-40FA-42A2-99B2-31F65EA0ADD1}">
      <text>
        <r>
          <rPr>
            <b/>
            <sz val="9"/>
            <color indexed="81"/>
            <rFont val="Tahoma"/>
            <family val="2"/>
          </rPr>
          <t>Marié ou pacsé</t>
        </r>
      </text>
    </comment>
    <comment ref="K40" authorId="0" shapeId="0" xr:uid="{04CB4617-5A50-4E77-8B92-E3605D7EBCD3}">
      <text>
        <r>
          <rPr>
            <b/>
            <sz val="9"/>
            <color indexed="81"/>
            <rFont val="Tahoma"/>
            <family val="2"/>
          </rPr>
          <t xml:space="preserve">Lorsque le bénéficiaire d'une pension de retraite est redevable de la CSG au taux de 8,3 %, il est également redevable d'une cotisation maladie au taux de 1 % due sur les pensions de retraites servies par un autre régime que celui des retraites de base et qui ont bénéficié d'un financement de l'employeur. </t>
        </r>
      </text>
    </comment>
    <comment ref="K41" authorId="0" shapeId="0" xr:uid="{F5114589-CF3F-4B3F-8169-ECDA9ECE687B}">
      <text>
        <r>
          <rPr>
            <b/>
            <sz val="9"/>
            <color indexed="81"/>
            <rFont val="Tahoma"/>
            <family val="2"/>
          </rPr>
          <t xml:space="preserve">Lorsque le bénéficiaire d'une pension de retraite est redevable de la CSG au taux de 8,3 %, il est également redevable d'une cotisation maladie au taux de 1 % due sur les pensions de retraites servies par un autre régime que celui des retraites de base et qui ont bénéficié d'un financement de l'employeur.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H16" authorId="0" shapeId="0" xr:uid="{745FD875-1E71-4349-AEB8-11B68CC012A0}">
      <text>
        <r>
          <rPr>
            <b/>
            <sz val="9"/>
            <color indexed="81"/>
            <rFont val="Tahoma"/>
            <family val="2"/>
          </rPr>
          <t>Déduire ici les frais d'entrée du contrat</t>
        </r>
      </text>
    </comment>
    <comment ref="H17" authorId="0" shapeId="0" xr:uid="{F0019D9F-1191-4FF5-9CA1-B40F31377B34}">
      <text>
        <r>
          <rPr>
            <b/>
            <sz val="9"/>
            <color indexed="81"/>
            <rFont val="Tahoma"/>
            <family val="2"/>
          </rPr>
          <t xml:space="preserve">Sans tenir compte des frais d'entrée du contrat.
</t>
        </r>
        <r>
          <rPr>
            <sz val="9"/>
            <color indexed="81"/>
            <rFont val="Tahoma"/>
            <family val="2"/>
          </rPr>
          <t>Exemple :
Pour un prix de retrait à 91,5%, indiquer 8,50%.
Intérêt sur 100% du capital initial.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O13" authorId="0" shapeId="0" xr:uid="{90454989-5141-4489-92C9-739065724512}">
      <text>
        <r>
          <rPr>
            <b/>
            <sz val="8"/>
            <color indexed="81"/>
            <rFont val="Tahoma"/>
            <family val="2"/>
          </rPr>
          <t>Interprétation recalcul :</t>
        </r>
        <r>
          <rPr>
            <sz val="8"/>
            <color indexed="81"/>
            <rFont val="Tahoma"/>
            <family val="2"/>
          </rPr>
          <t xml:space="preserve">
La déduction est accordée selon le tableau ci-dessous mais pour la consommation du potentiel 163Q et donc le report dans la déclaration IR, un nouveau calcul sur la base du revenu Brut global est opéré. EXP :
Remu = 100K€ - abt 10% = 90 K€
VST Madelin = 10 K€
MAD 15% = 90 000 - PASS 43992
MAD 15% = 6 901
Report dans la décla = 10000- 6901
= 3099</t>
        </r>
      </text>
    </comment>
    <comment ref="H16" authorId="0" shapeId="0" xr:uid="{EF0CDEDF-2F95-49A2-9F62-0CFAC49E0085}">
      <text>
        <r>
          <rPr>
            <sz val="9"/>
            <color indexed="81"/>
            <rFont val="Tahoma"/>
            <family val="2"/>
          </rPr>
          <t>Versement volontaire déductible PER.
Attention en cas d'abondement PEReco, bien vérifier que le montant ayant servi au déclenchement de l'abondement ne soit pas déductible, sinon l'ajouter ici.</t>
        </r>
      </text>
    </comment>
    <comment ref="H18" authorId="0" shapeId="0" xr:uid="{3D6943A3-D4AD-47A8-B412-0C8909D32343}">
      <text>
        <r>
          <rPr>
            <sz val="9"/>
            <color indexed="81"/>
            <rFont val="Tahoma"/>
            <family val="2"/>
          </rPr>
          <t>Si le montant indiqué sur l'avis d'imposition N-1 est erroné, vous devez recalculer le plafond et l'indiquer dans cette case</t>
        </r>
      </text>
    </comment>
    <comment ref="H21" authorId="0" shapeId="0" xr:uid="{C1A2101F-E06D-446E-A935-235BB38FADB8}">
      <text>
        <r>
          <rPr>
            <sz val="9"/>
            <color indexed="81"/>
            <rFont val="Tahoma"/>
            <family val="2"/>
          </rPr>
          <t>Versement volontaire déductible PER TNS.
Reporter uniquement le dépassement de l'enveloppe de 15%</t>
        </r>
      </text>
    </comment>
    <comment ref="H22" authorId="0" shapeId="0" xr:uid="{14F200B8-DB72-4BCD-951D-B265B5B6A116}">
      <text>
        <r>
          <rPr>
            <sz val="9"/>
            <color indexed="81"/>
            <rFont val="Tahoma"/>
            <family val="2"/>
          </rPr>
          <t>Art83 (part salariale et part patronale), abondement PERCO, Madelin pour le dépassement de l'enveloppe de 15%, CET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O13" authorId="0" shapeId="0" xr:uid="{EAEB4609-7E07-46CC-91FA-7A20F1448A55}">
      <text>
        <r>
          <rPr>
            <b/>
            <sz val="8"/>
            <color indexed="81"/>
            <rFont val="Tahoma"/>
            <family val="2"/>
          </rPr>
          <t xml:space="preserve">Interprétation recalcul :
</t>
        </r>
        <r>
          <rPr>
            <sz val="8"/>
            <color indexed="81"/>
            <rFont val="Tahoma"/>
            <family val="2"/>
          </rPr>
          <t>La déduction est accordée selon le tableau ci-dessous mais pour la consommation du potentiel 163Q et donc le report dans la déclaration IR, un nouveau calcul sur la base du revenu Brut global est opéré. EXP :
Remu = 100K€ - abt 10% = 90 K€
VST Madelin = 10 K€
MAD 15% = 90 000 - PASS 43992
MAD 15% = 6 901
Report dans la décla = 10000- 6901
= 3099</t>
        </r>
      </text>
    </comment>
    <comment ref="H16" authorId="0" shapeId="0" xr:uid="{96A5D46C-D5BD-414B-A866-ABA25B66B03D}">
      <text>
        <r>
          <rPr>
            <sz val="9"/>
            <color indexed="81"/>
            <rFont val="Tahoma"/>
            <family val="2"/>
          </rPr>
          <t>Versement volontaire déductible PER.
Attention en cas d'abondement PEReco, bien vérifier que le montant ayant servi au déclenchement de l'abondement ne soit pas déductible, sinon l'ajouter ici.</t>
        </r>
      </text>
    </comment>
    <comment ref="H18" authorId="0" shapeId="0" xr:uid="{2CAB5CC6-076B-49D3-88D3-14514C78AD58}">
      <text>
        <r>
          <rPr>
            <sz val="9"/>
            <color indexed="81"/>
            <rFont val="Tahoma"/>
            <family val="2"/>
          </rPr>
          <t>Si le montant indiqué sur l'avis d'imposition N-1 est erroné, vous devez recalculer le plafond et l'indiquer dans cette case</t>
        </r>
      </text>
    </comment>
    <comment ref="H21" authorId="0" shapeId="0" xr:uid="{E315942A-1251-4F12-93B8-0133AA390D47}">
      <text>
        <r>
          <rPr>
            <sz val="9"/>
            <color indexed="81"/>
            <rFont val="Tahoma"/>
            <family val="2"/>
          </rPr>
          <t>Versement volontaire déductible PER TNS.
Reporter uniquement le dépassement de l'enveloppe de 15%</t>
        </r>
      </text>
    </comment>
    <comment ref="H22" authorId="0" shapeId="0" xr:uid="{38BFCE7C-830A-4F6C-A0C4-1E474F2F9B75}">
      <text>
        <r>
          <rPr>
            <sz val="9"/>
            <color indexed="81"/>
            <rFont val="Tahoma"/>
            <family val="2"/>
          </rPr>
          <t>Art83 (part salariale et part patronale), abondement PERCO, Madelin pour le dépassement de l'enveloppe de 15%, CET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F12" authorId="0" shapeId="0" xr:uid="{5A5DF450-FE23-4F6E-B72A-598B438B9EB4}">
      <text>
        <r>
          <rPr>
            <sz val="9"/>
            <color indexed="81"/>
            <rFont val="Tahoma"/>
            <family val="2"/>
          </rPr>
          <t>En cas de PER et s'il existe plusieurs compartiments alimentés (C1,C2,C3), vous devrez réaliser une étude par compartiment.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P24" authorId="0" shapeId="0" xr:uid="{F154B0B5-EB72-4FC8-B221-330D60C5E555}">
      <text>
        <r>
          <rPr>
            <b/>
            <sz val="9"/>
            <color indexed="81"/>
            <rFont val="Tahoma"/>
            <family val="2"/>
          </rPr>
          <t xml:space="preserve">Hypothèse de relavorisation de la rente :
</t>
        </r>
        <r>
          <rPr>
            <sz val="9"/>
            <color indexed="81"/>
            <rFont val="Tahoma"/>
            <family val="2"/>
          </rPr>
          <t xml:space="preserve">Attention, tenir compte du taux technique du contrat.
Pour ce faire : taux de revalo estimé - taux technique.
</t>
        </r>
        <r>
          <rPr>
            <i/>
            <sz val="8"/>
            <color indexed="81"/>
            <rFont val="Tahoma"/>
            <family val="2"/>
          </rPr>
          <t>Exp : Taux technique à 1%
Preformance estimée = 2%
=&gt; Alors indiquer dans la case : 1%</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F5" authorId="0" shapeId="0" xr:uid="{DDAA25B5-2AC8-4674-BF27-38E7B36C9C29}">
      <text>
        <r>
          <rPr>
            <sz val="9"/>
            <color indexed="81"/>
            <rFont val="Tahoma"/>
            <family val="2"/>
          </rPr>
          <t xml:space="preserve">Par défaut, application du taux de frais paramétré sur le contrat actuel. </t>
        </r>
      </text>
    </comment>
    <comment ref="K9" authorId="0" shapeId="0" xr:uid="{85EE715E-BA3A-414B-B0AC-E5801376BFA7}">
      <text>
        <r>
          <rPr>
            <sz val="9"/>
            <color indexed="81"/>
            <rFont val="Tahoma"/>
            <family val="2"/>
          </rPr>
          <t>Lorsque le bénéficiaire d'une pension de retraite est redevable de la CSG au taux de 8,3 %, il est également redevable d'une cotisation maladie au taux de 1 % due sur les pensions de retraites servies par un autre régime que celui des retraites de base et qui ont bénéficié d'un financement de l'employeur. (+0,5% de RDS et 0,3% CASA) soit 10,1%)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F5" authorId="0" shapeId="0" xr:uid="{9F6B156C-1F47-4480-BB47-39F5DC69336D}">
      <text>
        <r>
          <rPr>
            <sz val="9"/>
            <color indexed="81"/>
            <rFont val="Tahoma"/>
            <family val="2"/>
          </rPr>
          <t xml:space="preserve">Par défaut, application du taux de frais paramétré sur le contrat actuel. </t>
        </r>
      </text>
    </comment>
    <comment ref="K9" authorId="0" shapeId="0" xr:uid="{98B867E2-4616-489B-9FEE-3C1B6096A964}">
      <text>
        <r>
          <rPr>
            <sz val="9"/>
            <color indexed="81"/>
            <rFont val="Tahoma"/>
            <family val="2"/>
          </rPr>
          <t>Lorsque le bénéficiaire d'une pension de retraite est redevable de la CSG au taux de 8,3 %, il est également redevable d'une cotisation maladie au taux de 1 % due sur les pensions de retraites servies par un autre régime que celui des retraites de base et qui ont bénéficié d'un financement de l'employeur. (+0,5% de RDS et 0,3% CASA) soit 10,1%)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K20" authorId="0" shapeId="0" xr:uid="{A213C7A3-71AC-468C-9676-A90DB4AE9703}">
      <text>
        <r>
          <rPr>
            <sz val="9"/>
            <color indexed="81"/>
            <rFont val="Tahoma"/>
            <family val="2"/>
          </rPr>
          <t>En cas de décès en phase d'épargne, toutes les cotisations qui auraient dues être versées jusqu'au terme (retraite), sont prises en charge par l'assureur</t>
        </r>
      </text>
    </comment>
    <comment ref="K22" authorId="0" shapeId="0" xr:uid="{00CFB724-A7A1-497E-8C88-147690DB4E0A}">
      <text>
        <r>
          <rPr>
            <sz val="9"/>
            <color indexed="81"/>
            <rFont val="Tahoma"/>
            <family val="2"/>
          </rPr>
          <t>En cas d'arret de travail (et/ou invalidité pour certains contrats), l'assureur prend en charge les cotisations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K21" authorId="0" shapeId="0" xr:uid="{2EE8B932-0A45-403C-A7B1-E8CA8B9584EA}">
      <text>
        <r>
          <rPr>
            <sz val="9"/>
            <color indexed="81"/>
            <rFont val="Tahoma"/>
            <family val="2"/>
          </rPr>
          <t xml:space="preserve">5%, 10%, 15%, </t>
        </r>
        <r>
          <rPr>
            <b/>
            <sz val="9"/>
            <color indexed="81"/>
            <rFont val="Tahoma"/>
            <family val="2"/>
          </rPr>
          <t>20%</t>
        </r>
        <r>
          <rPr>
            <sz val="9"/>
            <color indexed="81"/>
            <rFont val="Tahoma"/>
            <family val="2"/>
          </rPr>
          <t>, 30%, 40%, 45%</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H43" authorId="0" shapeId="0" xr:uid="{434B846D-3AA3-4D2F-8CD3-3D8CB28AE24C}">
      <text>
        <r>
          <rPr>
            <sz val="9"/>
            <color indexed="81"/>
            <rFont val="Tahoma"/>
            <family val="2"/>
          </rPr>
          <t>Fiscalité IS au terme du produit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BEBIN Florent</author>
  </authors>
  <commentList>
    <comment ref="O20" authorId="0" shapeId="0" xr:uid="{144DA0F1-E5D4-4185-8563-3C6531E7823F}">
      <text>
        <r>
          <rPr>
            <i/>
            <sz val="8"/>
            <color indexed="81"/>
            <rFont val="Calibri"/>
            <family val="2"/>
            <scheme val="minor"/>
          </rPr>
          <t>Attention, pour les intérêts du CCA, ils sont déductibles dans la limite du taux fixé par l'administration (la limite ici n'est pas paramétrée)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<sst xmlns="http://schemas.openxmlformats.org/spreadsheetml/2006/main" count="5341" uniqueCount="1960">
  <si>
    <t>Taux</t>
  </si>
  <si>
    <t>Retraitement</t>
  </si>
  <si>
    <t>Plafond du quotient familial</t>
  </si>
  <si>
    <t>Décote (Célib/couple)</t>
  </si>
  <si>
    <t>Déclenchement</t>
  </si>
  <si>
    <t>Montant</t>
  </si>
  <si>
    <t>Plafond abattement 10%</t>
  </si>
  <si>
    <t>Plafond abt 10% retraités</t>
  </si>
  <si>
    <t>Historique plafonds sécurité sociale</t>
  </si>
  <si>
    <t>Ne pas étendre cette liste, remplacer du plus ancien au plus récent</t>
  </si>
  <si>
    <t>PS (patrimoine et capital)</t>
  </si>
  <si>
    <t>PS sur retraite</t>
  </si>
  <si>
    <t>Revenu fiscal de ref</t>
  </si>
  <si>
    <t>CSG</t>
  </si>
  <si>
    <t>CRDS</t>
  </si>
  <si>
    <t>CASA</t>
  </si>
  <si>
    <t>Total</t>
  </si>
  <si>
    <t>CSG déd</t>
  </si>
  <si>
    <t>1 part</t>
  </si>
  <si>
    <t>exo</t>
  </si>
  <si>
    <t>PFU</t>
  </si>
  <si>
    <t>PFL pour capital PERP</t>
  </si>
  <si>
    <t>Deductible</t>
  </si>
  <si>
    <t>PS</t>
  </si>
  <si>
    <t>Maladie</t>
  </si>
  <si>
    <t>Type de produit</t>
  </si>
  <si>
    <t>Madelin (154 bis CGI)</t>
  </si>
  <si>
    <t>Art 83 CGI</t>
  </si>
  <si>
    <t>PERin (154 bis CGI)</t>
  </si>
  <si>
    <t>PERin (163 Quater CGI)</t>
  </si>
  <si>
    <t>PERin non déduit</t>
  </si>
  <si>
    <t>PERob (Art83 CGI)</t>
  </si>
  <si>
    <t>PERP et assimilés</t>
  </si>
  <si>
    <t>PERCO/PEReco</t>
  </si>
  <si>
    <t>Assurance vie</t>
  </si>
  <si>
    <t>Divers</t>
  </si>
  <si>
    <t>Marié/pacsé</t>
  </si>
  <si>
    <t>Célibataire/veuf/divorcé</t>
  </si>
  <si>
    <t>Rente Réversible</t>
  </si>
  <si>
    <t>Rente Non réversible</t>
  </si>
  <si>
    <t>selon les hypothèses des contrats</t>
  </si>
  <si>
    <t>sur mesure</t>
  </si>
  <si>
    <t>Situation familiale</t>
  </si>
  <si>
    <t>Type de rente</t>
  </si>
  <si>
    <t>Type projection rente</t>
  </si>
  <si>
    <t>Seuil IS réduit</t>
  </si>
  <si>
    <t>IS</t>
  </si>
  <si>
    <t>IS réduit</t>
  </si>
  <si>
    <t>Abattement 1</t>
  </si>
  <si>
    <t>Abattement 2</t>
  </si>
  <si>
    <t>Fisca &gt; 8 ans</t>
  </si>
  <si>
    <t>ans</t>
  </si>
  <si>
    <t>Zoom écran :</t>
  </si>
  <si>
    <t>Placement 1</t>
  </si>
  <si>
    <t>Placement 2</t>
  </si>
  <si>
    <t>Placement 3</t>
  </si>
  <si>
    <t>Compte titre</t>
  </si>
  <si>
    <t>SCPI</t>
  </si>
  <si>
    <t>Placement Initial</t>
  </si>
  <si>
    <t>Frais d'entrée</t>
  </si>
  <si>
    <t>Année 1</t>
  </si>
  <si>
    <t>Année 2</t>
  </si>
  <si>
    <t>Année 3</t>
  </si>
  <si>
    <t>Année 4</t>
  </si>
  <si>
    <t>Année 5</t>
  </si>
  <si>
    <t>Année 6</t>
  </si>
  <si>
    <t>Année 7</t>
  </si>
  <si>
    <t>Année 8</t>
  </si>
  <si>
    <t>Année 9</t>
  </si>
  <si>
    <t>Année 10</t>
  </si>
  <si>
    <t>Année 11</t>
  </si>
  <si>
    <t>Année 12</t>
  </si>
  <si>
    <t>Année 13</t>
  </si>
  <si>
    <t>Année 14</t>
  </si>
  <si>
    <t>Année 15</t>
  </si>
  <si>
    <t>Année 16</t>
  </si>
  <si>
    <t>Durée "sur mesure" du placement 1</t>
  </si>
  <si>
    <t>Somme empruntée</t>
  </si>
  <si>
    <t>Taux d'intérêt de l'emprunt</t>
  </si>
  <si>
    <t>Mensualité</t>
  </si>
  <si>
    <t>Taux de l'assurance (Ci)</t>
  </si>
  <si>
    <t>Mensualité avec assurance</t>
  </si>
  <si>
    <t>Année</t>
  </si>
  <si>
    <t>Intérets</t>
  </si>
  <si>
    <t>Amortissement</t>
  </si>
  <si>
    <t>CRD en fin de période</t>
  </si>
  <si>
    <t>Assurance</t>
  </si>
  <si>
    <t>Nombre de parts</t>
  </si>
  <si>
    <t>Barème</t>
  </si>
  <si>
    <t>Déclarant 1</t>
  </si>
  <si>
    <t>Déclarant 2</t>
  </si>
  <si>
    <t>Traitement et salaires</t>
  </si>
  <si>
    <r>
      <t xml:space="preserve">Revenus des associés et gérants </t>
    </r>
    <r>
      <rPr>
        <i/>
        <sz val="9"/>
        <color theme="1"/>
        <rFont val="Arial"/>
        <family val="2"/>
      </rPr>
      <t>(article 62 CGI)</t>
    </r>
  </si>
  <si>
    <t>Frais réels</t>
  </si>
  <si>
    <t>Non</t>
  </si>
  <si>
    <t>Abattement</t>
  </si>
  <si>
    <t>Pensions, retraites et rentes</t>
  </si>
  <si>
    <t>Abattement spécial</t>
  </si>
  <si>
    <t>BIC-BNC-BA imposables</t>
  </si>
  <si>
    <t>Revenus fonciers nets</t>
  </si>
  <si>
    <t>Autres revenus imposables</t>
  </si>
  <si>
    <t>Déductions d'impôt</t>
  </si>
  <si>
    <t>Crédits, réductions d'impôt</t>
  </si>
  <si>
    <t>Revenus imposables</t>
  </si>
  <si>
    <t xml:space="preserve">Estimation IR </t>
  </si>
  <si>
    <t>Revenu</t>
  </si>
  <si>
    <t>Situation (marié, ...)</t>
  </si>
  <si>
    <t>Plafond quotient</t>
  </si>
  <si>
    <t>1er T</t>
  </si>
  <si>
    <t>2ème T</t>
  </si>
  <si>
    <t>Tranches</t>
  </si>
  <si>
    <t>TMI</t>
  </si>
  <si>
    <t>Estimation IR</t>
  </si>
  <si>
    <t>IR avant décote</t>
  </si>
  <si>
    <t>TMI…</t>
  </si>
  <si>
    <t>Décote</t>
  </si>
  <si>
    <t>IR…</t>
  </si>
  <si>
    <t>IR</t>
  </si>
  <si>
    <t>IR après réductions</t>
  </si>
  <si>
    <t>Vous souhaitez</t>
  </si>
  <si>
    <t>Documents disponibles</t>
  </si>
  <si>
    <t>sur revenus</t>
  </si>
  <si>
    <t>Sur revenus</t>
  </si>
  <si>
    <t>parents isolés (deux 1ere parts)</t>
  </si>
  <si>
    <t>Exemple Calcul de décote 2023 pour un célibataire : 833 – 45.25 % de l’impôt</t>
  </si>
  <si>
    <t>Avis IR</t>
  </si>
  <si>
    <t>Sur les revenus</t>
  </si>
  <si>
    <t>PLAFOND EPARGNE RETRAITE</t>
  </si>
  <si>
    <t>Le plafond disponible pour la déduction des</t>
  </si>
  <si>
    <t xml:space="preserve">cotisations verées en </t>
  </si>
  <si>
    <t>, pour la</t>
  </si>
  <si>
    <t>DIRECTION GENERALE DES FINANCES PUBLIQUES</t>
  </si>
  <si>
    <t xml:space="preserve">déclaration des revenus à souscrire en </t>
  </si>
  <si>
    <t>est de :</t>
  </si>
  <si>
    <t xml:space="preserve">Impôt sur les revenus de </t>
  </si>
  <si>
    <t>Déclar. 1</t>
  </si>
  <si>
    <t>Déclar. 2</t>
  </si>
  <si>
    <t>Avis d'impôt établi en</t>
  </si>
  <si>
    <t xml:space="preserve">Plafond total de </t>
  </si>
  <si>
    <t>…................................................</t>
  </si>
  <si>
    <t xml:space="preserve">Plafond non utilisé pour les revenus de </t>
  </si>
  <si>
    <t>…............</t>
  </si>
  <si>
    <t>Plafond calculé sur les revenus de</t>
  </si>
  <si>
    <t>Plafond pour les cotisations versées en</t>
  </si>
  <si>
    <t>Cotisations PER 163 Quatervicies CGI</t>
  </si>
  <si>
    <t>Cotisations PERP et assimilées</t>
  </si>
  <si>
    <t>Cotisations PER 154 bis CGI</t>
  </si>
  <si>
    <t>Cotisations Madelin retraite</t>
  </si>
  <si>
    <t>Cotisations prévoyance et santé Madelin (part Madelin)</t>
  </si>
  <si>
    <t>Revenu imposable TNS</t>
  </si>
  <si>
    <t>Assiette Madelin</t>
  </si>
  <si>
    <t>Enveloppe 10%</t>
  </si>
  <si>
    <t>Enveloppe 15%</t>
  </si>
  <si>
    <t>Versement PER 154bis</t>
  </si>
  <si>
    <t>Potentiel Madelin total</t>
  </si>
  <si>
    <r>
      <rPr>
        <b/>
        <sz val="9"/>
        <color theme="0"/>
        <rFont val="Calibri"/>
        <family val="2"/>
        <scheme val="minor"/>
      </rPr>
      <t>Déclarant 1</t>
    </r>
    <r>
      <rPr>
        <b/>
        <i/>
        <sz val="9"/>
        <color theme="0"/>
        <rFont val="Calibri"/>
        <family val="2"/>
        <scheme val="minor"/>
      </rPr>
      <t xml:space="preserve"> : </t>
    </r>
    <r>
      <rPr>
        <i/>
        <sz val="9"/>
        <color theme="0"/>
        <rFont val="Calibri"/>
        <family val="2"/>
        <scheme val="minor"/>
      </rPr>
      <t>Potentiel 154 BIS (Madelin retraite)</t>
    </r>
  </si>
  <si>
    <r>
      <rPr>
        <b/>
        <sz val="9"/>
        <color theme="0"/>
        <rFont val="Calibri"/>
        <family val="2"/>
        <scheme val="minor"/>
      </rPr>
      <t>Déclarant 2</t>
    </r>
    <r>
      <rPr>
        <b/>
        <i/>
        <sz val="9"/>
        <color theme="0"/>
        <rFont val="Calibri"/>
        <family val="2"/>
        <scheme val="minor"/>
      </rPr>
      <t xml:space="preserve"> : </t>
    </r>
    <r>
      <rPr>
        <i/>
        <sz val="9"/>
        <color theme="0"/>
        <rFont val="Calibri"/>
        <family val="2"/>
        <scheme val="minor"/>
      </rPr>
      <t>Potentiel 154 BIS (Madelin retraite)</t>
    </r>
  </si>
  <si>
    <t>Epargne retraite (2042)</t>
  </si>
  <si>
    <t>6NT</t>
  </si>
  <si>
    <t>6RT</t>
  </si>
  <si>
    <t>6PT</t>
  </si>
  <si>
    <t>6OT</t>
  </si>
  <si>
    <t>6QT</t>
  </si>
  <si>
    <t>Potentiel Madelin restant</t>
  </si>
  <si>
    <t>Cotisations PERP, Préfon, Corem, CGOS et assimilées…................................................................................6RS</t>
  </si>
  <si>
    <t>Plafond de déduction…..............................................................................................................................6PS</t>
  </si>
  <si>
    <t>Cotisations sur les nouveaux plans d'épargne retraite déduites des BIC, BNC, BA, Rem art62….....................6OS</t>
  </si>
  <si>
    <t>Autres cotisations déduites des BIC, BNC, BA, rémun. art. 62 ou salaires …..................................................6QS</t>
  </si>
  <si>
    <t>Vous souhaitez bénéficier du plafond de votre conjoint….....................................................................................</t>
  </si>
  <si>
    <t>Vous êtes nouvellement domicilié en France en….................................................................................................</t>
  </si>
  <si>
    <t>............................</t>
  </si>
  <si>
    <t>….................6QW</t>
  </si>
  <si>
    <t>.…..................6QR</t>
  </si>
  <si>
    <t>total cotiz</t>
  </si>
  <si>
    <t>total plaf</t>
  </si>
  <si>
    <t>Le plafond disponible pour la déduction des cotisations verées en …........</t>
  </si>
  <si>
    <t>pour la déclaration des revenus à souscrire en …......................................</t>
  </si>
  <si>
    <t>Plafond total de …......................................................................................</t>
  </si>
  <si>
    <t>Plafond après mutualisation…...................................................................</t>
  </si>
  <si>
    <t>Cotisations prises en compte pour ….........................................................</t>
  </si>
  <si>
    <t>Plafond non utilisé pour les revenus de …..................................................</t>
  </si>
  <si>
    <t>Plafond calculé sur les revenus de …..........................................................</t>
  </si>
  <si>
    <t>Plafond pour les cotisations versées en …..................................................</t>
  </si>
  <si>
    <t>Potentiel Madelin restant :</t>
  </si>
  <si>
    <t>Isolé</t>
  </si>
  <si>
    <t>Montant des revenus dans cette TMI :</t>
  </si>
  <si>
    <t>IR (nb parts)</t>
  </si>
  <si>
    <t>IR (plaf quotient)</t>
  </si>
  <si>
    <t>Reste T1</t>
  </si>
  <si>
    <t>Reste T2</t>
  </si>
  <si>
    <t>Seuil plaf Q</t>
  </si>
  <si>
    <t>Seuil décote</t>
  </si>
  <si>
    <t>Reste dans la TMI =&gt;</t>
  </si>
  <si>
    <t>Coût assurance</t>
  </si>
  <si>
    <t>Mois</t>
  </si>
  <si>
    <r>
      <t xml:space="preserve">Durée de l'emprunt </t>
    </r>
    <r>
      <rPr>
        <sz val="11"/>
        <color theme="5"/>
        <rFont val="Calibri"/>
        <family val="2"/>
        <scheme val="minor"/>
      </rPr>
      <t>en mois</t>
    </r>
  </si>
  <si>
    <t>Date début emprunt</t>
  </si>
  <si>
    <t>Soit annuellement</t>
  </si>
  <si>
    <t>Coût total du crédit</t>
  </si>
  <si>
    <t>Produit strucutré distri</t>
  </si>
  <si>
    <r>
      <t xml:space="preserve">Rendement </t>
    </r>
    <r>
      <rPr>
        <b/>
        <sz val="10"/>
        <color rgb="FF000000"/>
        <rFont val="Calibri"/>
        <family val="2"/>
        <scheme val="minor"/>
      </rPr>
      <t>Net</t>
    </r>
    <r>
      <rPr>
        <sz val="10"/>
        <color indexed="8"/>
        <rFont val="Calibri"/>
        <family val="2"/>
        <scheme val="minor"/>
      </rPr>
      <t xml:space="preserve"> de FG</t>
    </r>
  </si>
  <si>
    <t>Edition étude Page 1</t>
  </si>
  <si>
    <t>Edition étude Page 2</t>
  </si>
  <si>
    <t>Document non contractuel établi en fonction des dispositions fiscales ou sociales en vigueur à la date des présentes</t>
  </si>
  <si>
    <t>Etude Impôt sur le revenu</t>
  </si>
  <si>
    <t>Madame et Monsieur …..............</t>
  </si>
  <si>
    <t>Conseiller en gestion de patrimoine</t>
  </si>
  <si>
    <t>Titre des diapos</t>
  </si>
  <si>
    <t>OBJECTIFS &amp; CONTEXTE</t>
  </si>
  <si>
    <t>Edition étude Page 3</t>
  </si>
  <si>
    <t>ESTIMATION DE LA SITUATION FISCALE</t>
  </si>
  <si>
    <t>Slide 2</t>
  </si>
  <si>
    <t>Slide 3</t>
  </si>
  <si>
    <t>Edition étude Page 4</t>
  </si>
  <si>
    <t>Estimation de vos revenus</t>
  </si>
  <si>
    <t>Estimation du revenu imposable</t>
  </si>
  <si>
    <t>Nombre de parts fiscales</t>
  </si>
  <si>
    <t>Edition étude Page suivante</t>
  </si>
  <si>
    <t xml:space="preserve">Estimation du montant de votre impôt sur le revenu : </t>
  </si>
  <si>
    <t>Prénom CGP NOM CGP</t>
  </si>
  <si>
    <t>Vous souhaitez estimer le montant de votre impôt sur le revenu.</t>
  </si>
  <si>
    <t>Seuil</t>
  </si>
  <si>
    <t>Couple</t>
  </si>
  <si>
    <t>Plus</t>
  </si>
  <si>
    <t>Seul</t>
  </si>
  <si>
    <t>CEHR</t>
  </si>
  <si>
    <t>+</t>
  </si>
  <si>
    <t>Déductions d'impôt (autres que PER)</t>
  </si>
  <si>
    <t>Versements épargne retraite</t>
  </si>
  <si>
    <t xml:space="preserve">Déclatation des revenus </t>
  </si>
  <si>
    <t>AVIS D'IMPÔT</t>
  </si>
  <si>
    <t>Simulation de l'AVIS IR</t>
  </si>
  <si>
    <t>Versement Madelin Retraite</t>
  </si>
  <si>
    <t>Versement Madelin retraite</t>
  </si>
  <si>
    <t>PASS</t>
  </si>
  <si>
    <t>report en avant déclarant 1</t>
  </si>
  <si>
    <t>report en avant déclarant 2</t>
  </si>
  <si>
    <t>Données pour calcul 2023</t>
  </si>
  <si>
    <t>Choix pour le report 154 bis (Madelin) :</t>
  </si>
  <si>
    <t>Abondement brut versé par l'employeur PERCO</t>
  </si>
  <si>
    <r>
      <t>Cotisations art83</t>
    </r>
    <r>
      <rPr>
        <i/>
        <sz val="9"/>
        <color theme="1" tint="0.499984740745262"/>
        <rFont val="Calibri"/>
        <family val="2"/>
        <scheme val="minor"/>
      </rPr>
      <t xml:space="preserve"> (employeur et salarié sur fiche de paie)</t>
    </r>
  </si>
  <si>
    <t>Mad 15 décla1</t>
  </si>
  <si>
    <t>Mad 15 Décla2</t>
  </si>
  <si>
    <t>Edition étude Page 4 - potentiel</t>
  </si>
  <si>
    <t>Edition étude Page suivante+164:2161:201</t>
  </si>
  <si>
    <t>Edition étude Page suivante - Synthèse délration IR</t>
  </si>
  <si>
    <t>Slide 4</t>
  </si>
  <si>
    <t>Slide 5</t>
  </si>
  <si>
    <t>ESTIMATION DES MONTANTS A REPROTER ET SIMULATION DE VOTRE
FUTUR AVIS D'IMPOT</t>
  </si>
  <si>
    <t>Le plafond disponible pour la déduction des cotisations verées en ……...</t>
  </si>
  <si>
    <t>Cotisations versées sur les nouveaux plans d'épargne retraite (PER) déduction du revenu global…….............6NS</t>
  </si>
  <si>
    <t>pour la déclaration des revenus à souscrire en ….....................................</t>
  </si>
  <si>
    <t>Plafond non utilisé pour les revenus de ….................................................</t>
  </si>
  <si>
    <t>Plafond calculé sur les revenus de ….........................................................</t>
  </si>
  <si>
    <t>Plafond pour les cotisations versées en ….................................................</t>
  </si>
  <si>
    <t>Cotisations versées sur les nouveaux plans d'épargne retraite (PER) déduction du revenu global.......................6NS</t>
  </si>
  <si>
    <t>6QR</t>
  </si>
  <si>
    <t>6QW</t>
  </si>
  <si>
    <t>Plafond de déduction…...........................................................................................................................................6PS</t>
  </si>
  <si>
    <t>Vous souhaitez bénéficier du plafond de votre conjoint…..................................................................................</t>
  </si>
  <si>
    <t>Vous êtes nouvellement domicilié en France en…...............................................................................................</t>
  </si>
  <si>
    <t>Autres cotisations déduites des BIC, BNC, BA, rémun. art. 62 ou salaires ….........................................................6QS</t>
  </si>
  <si>
    <t>Cotisations PERP, Préfon, Corem, CGOS et assimilées….........................................................................................6RS</t>
  </si>
  <si>
    <t>Cotisations sur les nouveaux plans d'épargne retraite déduites des BIC, BNC, BA, Rem art62…..........................6OS</t>
  </si>
  <si>
    <t>Déclatation des revenus</t>
  </si>
  <si>
    <t>Le potentiel "dit personnel" ou 163 quatervicies du CGI :</t>
  </si>
  <si>
    <t>Les versements sont déductibles dans la limite de 10 % des revenus d’activité professionnelle de l’année de référence N-1 (avec un minimum égal 10 % du PASS N-1).Le plafond s’apprécie après déduction des cotisations obligatoires au titre de l’année N-1 versées par l’employeur dans un contrat retraite Article 83, PERE, PERCO ou PERECO. Viennent également en déduction les cotisations dites « Madelin » N-1 pour leur part excédant 15% du bénéfice imposable N-1 dépassant 1 PASS N-1.</t>
  </si>
  <si>
    <t>Le potentiel "dit Madelin" ou 154 bis du CGI :</t>
  </si>
  <si>
    <t>Pour un travailleur salarié ou non salarié, le PER permet de déduire fiscalement les cotisations versées chaque année dans la limite des plafonds légaux propres à chaque catégorie de travailleur (salarié ou non salarié). Plus la tranche marginale d’imposition de l’épargnant est élevée, et plus cette déduction fiscale est efficace.</t>
  </si>
  <si>
    <t>Les versements volontaires effectués par un adhérent affilié à un régime de Sécurité sociale de travailleurs non-salariés non-agricoles sont déductibles de son revenu professionnel (bénéfices industriels et commerciaux, bénéfices non commerciaux ou rémunération de gérance versées dans le cadre de l’article 62 du Code général des impôts) dans une limite égale au plus élevé des deux montants suivants : soit 10 % de la fraction de son bénéfice imposable (retenue à concurrence de huit PASS) auxquels s’ajoutent 15 % de la fraction du bénéfice comprise entre une fois et huit fois ce même plafond ; soit 10 % du PASS.
Le plafond s’apprécie après déduction de l’éventuel abondement versé par l’Entreprise dans le compartiment 2 du PERECO.</t>
  </si>
  <si>
    <t>Option Page Madelin</t>
  </si>
  <si>
    <t>Slide 6</t>
  </si>
  <si>
    <t>Vos versements</t>
  </si>
  <si>
    <t>Votre disponible 154 bis</t>
  </si>
  <si>
    <t>Assiette :</t>
  </si>
  <si>
    <t>Madelin</t>
  </si>
  <si>
    <t>PERCO-PEROB</t>
  </si>
  <si>
    <t>Soit une enveloppe de 15% :</t>
  </si>
  <si>
    <t>Soit un report à opérer :</t>
  </si>
  <si>
    <t>PERin 154 bis</t>
  </si>
  <si>
    <t>Oui</t>
  </si>
  <si>
    <t>Votre disponible restant 154 bis</t>
  </si>
  <si>
    <t>En tant que travailleur non salarié, vous disposez d'une enveloppe supplémentaire dite Madelin (art154bis du CGI).</t>
  </si>
  <si>
    <t>Slide 4 image</t>
  </si>
  <si>
    <t>Slide 5 image</t>
  </si>
  <si>
    <t>Votre disponible restant 163Q</t>
  </si>
  <si>
    <t>Votre disponible 163Q</t>
  </si>
  <si>
    <t>Vos versements 163Q</t>
  </si>
  <si>
    <t>Assiette de calcul du report (6OS- 6QS)</t>
  </si>
  <si>
    <t>Assiette de calcul du report (6OT- 6QT)</t>
  </si>
  <si>
    <t>Compagnie</t>
  </si>
  <si>
    <t>Nom du contrat</t>
  </si>
  <si>
    <t>Phase Epargne</t>
  </si>
  <si>
    <t>Versement annuel</t>
  </si>
  <si>
    <t>Date d’effet</t>
  </si>
  <si>
    <t>Provision mathématique</t>
  </si>
  <si>
    <t>Nombre de fonds accessibles</t>
  </si>
  <si>
    <t>Rendement fonds €</t>
  </si>
  <si>
    <t>Frais sur versements</t>
  </si>
  <si>
    <t>Frais arbitrage</t>
  </si>
  <si>
    <t>Clause bénéficiaire</t>
  </si>
  <si>
    <t>Garanties complémentaires</t>
  </si>
  <si>
    <t>Phase Liquidation</t>
  </si>
  <si>
    <t>Capital</t>
  </si>
  <si>
    <t>Sortie capital possible à la retraite</t>
  </si>
  <si>
    <t>Fractionnement du capital</t>
  </si>
  <si>
    <t>Age limite liquidation</t>
  </si>
  <si>
    <t>Rachat libre</t>
  </si>
  <si>
    <t>Rente</t>
  </si>
  <si>
    <t>Table utilisée pour la conversion en rente</t>
  </si>
  <si>
    <t>Table garantie à l’adhésion</t>
  </si>
  <si>
    <t>Taux technique</t>
  </si>
  <si>
    <t>Frais sur arrérages</t>
  </si>
  <si>
    <t>Annuités garanties</t>
  </si>
  <si>
    <t>Réversion possible</t>
  </si>
  <si>
    <t>Rente estimée*</t>
  </si>
  <si>
    <t>Dont intérets</t>
  </si>
  <si>
    <t>Répartition UC/€</t>
  </si>
  <si>
    <t>NC</t>
  </si>
  <si>
    <t>Réversion incluse dans la rente ci-dessous</t>
  </si>
  <si>
    <t>-</t>
  </si>
  <si>
    <t>0,60%(€) et 0,96%(UC)</t>
  </si>
  <si>
    <t>0,70%(€) et 0,96%(UC)</t>
  </si>
  <si>
    <t>0,90%(€) et 1%(UC)</t>
  </si>
  <si>
    <t>0,70%(€) et 0,95%(UC)</t>
  </si>
  <si>
    <t>0,80%(€) et 0,96%(UC)</t>
  </si>
  <si>
    <t>0,7-0,6%(€) et 0,45-0,85%(UC)</t>
  </si>
  <si>
    <t>0,8%(€) et 0,96%(UC)</t>
  </si>
  <si>
    <t>Fonds € 0,70% - UC 1%</t>
  </si>
  <si>
    <t>Fonds € 0,06% - UC 0,75%</t>
  </si>
  <si>
    <t>Fonds € 0,06% - UC 0,80%</t>
  </si>
  <si>
    <t>0,75% (€) – 1% (UC)
1,60% gestion pilotée</t>
  </si>
  <si>
    <t>0,75% (€) – 1% (UC)
1,46% gestion pilotée</t>
  </si>
  <si>
    <t>0,68% (€) – 0,96% (UC)</t>
  </si>
  <si>
    <t>0,70% (€) – 096% (UC)</t>
  </si>
  <si>
    <t>0,80% (€) – 0,85% (UC)</t>
  </si>
  <si>
    <t>0,80% (€) – 1% (UC)</t>
  </si>
  <si>
    <t>0,3% (2gratuits)</t>
  </si>
  <si>
    <t>0,50% plafonné à 75€</t>
  </si>
  <si>
    <t>1gratuit puis 0,5% (max75€)</t>
  </si>
  <si>
    <t>1 gratuit puis 15€</t>
  </si>
  <si>
    <t>4 gratuits puis 15</t>
  </si>
  <si>
    <t>1% avant 10 ans sinon 0%</t>
  </si>
  <si>
    <t>1% avant 5 ans sinon 0%</t>
  </si>
  <si>
    <t>5% avant 10 ans sinon 0%</t>
  </si>
  <si>
    <t>1% + 5% décroissant avant 10 ans sinon 0%</t>
  </si>
  <si>
    <t>1% avant 10 ans sinon 0</t>
  </si>
  <si>
    <t>1% moins de 10 ans sinon 0%</t>
  </si>
  <si>
    <t>5% avant 10 ans sinon 0</t>
  </si>
  <si>
    <t>2% avant 10 ans sinon 0</t>
  </si>
  <si>
    <t>1% avant 5 ans sinon 0</t>
  </si>
  <si>
    <t>2% avant 10 ans sinon 0%</t>
  </si>
  <si>
    <t>5% avant 10 ans sinon 1</t>
  </si>
  <si>
    <t>Défaut (rente conjoint)</t>
  </si>
  <si>
    <t>Exo des cotisations et Bonne fin
Attention : rente 1(non réversible) rente 2T (100%réversible) ou 2 P (60% réversible)</t>
  </si>
  <si>
    <t>Sur option Plancher décès</t>
  </si>
  <si>
    <t xml:space="preserve">Sur option : Exo des cotisation et plancher décès </t>
  </si>
  <si>
    <t xml:space="preserve">Sur option : Exo des cotisation (+3%) </t>
  </si>
  <si>
    <t>Sur option : Transmission, Exo des cotisation et bonne fin</t>
  </si>
  <si>
    <t xml:space="preserve">
Sur option : Plancher décès (0,24) Exo des cotisation (+3%) et bonne fin (+12%)</t>
  </si>
  <si>
    <t>Jusqu'à 20%</t>
  </si>
  <si>
    <t>Oui sans limite</t>
  </si>
  <si>
    <t>C1 en 1, 5 ou 10 fois</t>
  </si>
  <si>
    <t>Oui 10 ans maxi</t>
  </si>
  <si>
    <t>75 ans</t>
  </si>
  <si>
    <t>TGUNI15</t>
  </si>
  <si>
    <t>TGF05</t>
  </si>
  <si>
    <t>TPRV93</t>
  </si>
  <si>
    <t>TGUNI12</t>
  </si>
  <si>
    <t>Celle du versement</t>
  </si>
  <si>
    <t>TGH05 ou TGF05</t>
  </si>
  <si>
    <t>TGH05 ou  TGF05</t>
  </si>
  <si>
    <t>TGH05/TGF05 (fonction année)</t>
  </si>
  <si>
    <t>Oui (mais avenant sur TGUNI12)</t>
  </si>
  <si>
    <t>Sur option 0,24%FG</t>
  </si>
  <si>
    <t>Sur option 0,30%FG</t>
  </si>
  <si>
    <t>Chaque versement</t>
  </si>
  <si>
    <t>A chaque versement ou vérifier CG avant 2036</t>
  </si>
  <si>
    <t>A chaque versement</t>
  </si>
  <si>
    <t>Sur option (+0,15% de FG)</t>
  </si>
  <si>
    <t>5€/trimestre ou 2€/mois</t>
  </si>
  <si>
    <t>Inclus 80 ans</t>
  </si>
  <si>
    <t>Oui sur option</t>
  </si>
  <si>
    <t>Oui  10 ans (rente 1 et 2)</t>
  </si>
  <si>
    <t xml:space="preserve">Oui sur option (60 ou 100%) </t>
  </si>
  <si>
    <t xml:space="preserve">Oui sur option (50 à 200%) </t>
  </si>
  <si>
    <t xml:space="preserve">Oui sur option </t>
  </si>
  <si>
    <t>Oui sur option (60% 100%)</t>
  </si>
  <si>
    <t xml:space="preserve">Oui sur option (30-60 ou 100%) </t>
  </si>
  <si>
    <t xml:space="preserve">Oui  sur option (60% ou 100%) </t>
  </si>
  <si>
    <t>Oui sur option (60 ou 100%)</t>
  </si>
  <si>
    <t>Oui sur option (30 à 100%)</t>
  </si>
  <si>
    <t>Oui sur option (30 à 200%)</t>
  </si>
  <si>
    <t>Oui sur option (1% à 200%)</t>
  </si>
  <si>
    <t>Oui sur option (1% à 100%)</t>
  </si>
  <si>
    <t>Oui sur option (50 à 100%)</t>
  </si>
  <si>
    <t>Oui sur option (50 à 150%)</t>
  </si>
  <si>
    <t>Oui sur option (60 - 100%)</t>
  </si>
  <si>
    <t>Oui sur option (10% à 150%)</t>
  </si>
  <si>
    <t>Oui sur option (5 à 100%)</t>
  </si>
  <si>
    <t>Oui sur option (100, ou 200%)</t>
  </si>
  <si>
    <t>TGH07/TGF07 avant 31/12/16 puis TGUNI12</t>
  </si>
  <si>
    <t>TGH07/TGF09 avant 31/12/16 puis TGUNI12</t>
  </si>
  <si>
    <t>2,90% nets pour vst avant 31/12/16 puis 0%</t>
  </si>
  <si>
    <t>1,25% nets pour vst avant 31/12/16 puis 0%</t>
  </si>
  <si>
    <t>1% nets pour vst avant 31/12/16 puis 0%</t>
  </si>
  <si>
    <t>70 ans</t>
  </si>
  <si>
    <t>Frais transfert sortant</t>
  </si>
  <si>
    <t>Frais de gestion</t>
  </si>
  <si>
    <t>Contrat N°1</t>
  </si>
  <si>
    <t>Contrat N°2</t>
  </si>
  <si>
    <t>Contrat N°3</t>
  </si>
  <si>
    <t>Contrat N°4</t>
  </si>
  <si>
    <t>Contrat N°5</t>
  </si>
  <si>
    <t>Contrat N°6</t>
  </si>
  <si>
    <t>Contrat N°7</t>
  </si>
  <si>
    <t>Contrat N°8</t>
  </si>
  <si>
    <t>Contrat N°9</t>
  </si>
  <si>
    <t>Contrat N°10</t>
  </si>
  <si>
    <t>Contrat N°11</t>
  </si>
  <si>
    <t>Contrat N°12</t>
  </si>
  <si>
    <t>Contrat N°13</t>
  </si>
  <si>
    <t>Contrat N°14</t>
  </si>
  <si>
    <t>Contrat N°15</t>
  </si>
  <si>
    <t>Contrat N°16</t>
  </si>
  <si>
    <t>Contrat N°17</t>
  </si>
  <si>
    <t>Contrat N°18</t>
  </si>
  <si>
    <t>Contrat N°19</t>
  </si>
  <si>
    <t>Contrat N°20</t>
  </si>
  <si>
    <t>Contrat N°21</t>
  </si>
  <si>
    <t>Contrat N°22</t>
  </si>
  <si>
    <t>Contrat N°23</t>
  </si>
  <si>
    <t>Contrat N°24</t>
  </si>
  <si>
    <t>Contrat N°25</t>
  </si>
  <si>
    <t>Contrat N°26</t>
  </si>
  <si>
    <t>Contrat N°27</t>
  </si>
  <si>
    <t>Contrat N°28</t>
  </si>
  <si>
    <t>Contrat N°29</t>
  </si>
  <si>
    <t>Contrat N°30</t>
  </si>
  <si>
    <t>Contrat N°31</t>
  </si>
  <si>
    <t>Contrat N°32</t>
  </si>
  <si>
    <t>Contrat N°33</t>
  </si>
  <si>
    <t>Contrat N°34</t>
  </si>
  <si>
    <t>Contrat N°35</t>
  </si>
  <si>
    <t>Contrat N°36</t>
  </si>
  <si>
    <t>Contrat N°37</t>
  </si>
  <si>
    <t>Contrat N°38</t>
  </si>
  <si>
    <t>Contrat N°39</t>
  </si>
  <si>
    <t>Contrat N°40</t>
  </si>
  <si>
    <t>Contrat N°41</t>
  </si>
  <si>
    <t>Contrat N°42</t>
  </si>
  <si>
    <t>Contrat N°43</t>
  </si>
  <si>
    <t>Contrat N°44</t>
  </si>
  <si>
    <t>Contrat N°45</t>
  </si>
  <si>
    <t>Contrat N°46</t>
  </si>
  <si>
    <t>Contrat N°47</t>
  </si>
  <si>
    <t>Contrat N°48</t>
  </si>
  <si>
    <t>Contrat N°49</t>
  </si>
  <si>
    <t>Contrat N°50</t>
  </si>
  <si>
    <t>Contrat N°51</t>
  </si>
  <si>
    <t>Contrat N°52</t>
  </si>
  <si>
    <t>Contrat N°53</t>
  </si>
  <si>
    <t>Contrat N°54</t>
  </si>
  <si>
    <t>Contrat N°55</t>
  </si>
  <si>
    <t>Contrat N°56</t>
  </si>
  <si>
    <t>Contrat N°57</t>
  </si>
  <si>
    <t>Contrat N°58</t>
  </si>
  <si>
    <t>Contrat N°59</t>
  </si>
  <si>
    <t>Contrat N°60</t>
  </si>
  <si>
    <t>Contrat</t>
  </si>
  <si>
    <t>UMR</t>
  </si>
  <si>
    <t>PERIN- ORIGINEO BY CRYSTAL</t>
  </si>
  <si>
    <t>PERIN-COREM</t>
  </si>
  <si>
    <t>PERIN- PERIVIE</t>
  </si>
  <si>
    <t>PERIN- PLACEMENT-DIRECT RETRAITE ISR</t>
  </si>
  <si>
    <t>UFF</t>
  </si>
  <si>
    <t>ART83- UFF 83</t>
  </si>
  <si>
    <t>ART83- COREM CO</t>
  </si>
  <si>
    <t>ART83- UFF RETRAITE ENTREPRISE</t>
  </si>
  <si>
    <t>ART83- UFF RETRAITE ENTREPRISE PLUS</t>
  </si>
  <si>
    <t>MADELIN- UFF RETRAITE MADELIN</t>
  </si>
  <si>
    <t>MADELIN-UFF RETRAITE INDEPENDANT</t>
  </si>
  <si>
    <t>SWISSLIFE</t>
  </si>
  <si>
    <t>ART83- GARANTIE RETRAITE ENTREPRISE 2000</t>
  </si>
  <si>
    <t>ART83- GARANTIE RETRAITE ENTREPRISES</t>
  </si>
  <si>
    <t>ART83- SWISSLIFE PLAN D'EPARGNE RETRAITE ENTREPRISES</t>
  </si>
  <si>
    <t>ART83- SWISSLIFE PREPARATION RETRAITE</t>
  </si>
  <si>
    <t>ART83- SWISSLIFE RETRAITE ARTICLE 83</t>
  </si>
  <si>
    <t>ART83- SWISSLIFE RETRAITE ENTREPRISES</t>
  </si>
  <si>
    <t>PERP- SWISSLIFE PERP</t>
  </si>
  <si>
    <t>MADELIN- GARANTIE RETRAITE INDEPENDANTS</t>
  </si>
  <si>
    <t>MADELIN- SWISSLIFE RETRAITE AGRICOLE</t>
  </si>
  <si>
    <t>MADELIN- SWISSLIFE RETRAITE INDEPENDANTS</t>
  </si>
  <si>
    <t>MADELIN- SWISSLIFE RETRAITE MADELIN</t>
  </si>
  <si>
    <t>MADELIN- SWISSLIFE RETRAITE SELECTION</t>
  </si>
  <si>
    <t>PERIN- PER EXPERT</t>
  </si>
  <si>
    <t>PERIN- SWISSLIFE PER INDIVIDUEL</t>
  </si>
  <si>
    <t>ART83- PALISSANDRE ENTREPRISES</t>
  </si>
  <si>
    <t>PERP- PERP EPICEA</t>
  </si>
  <si>
    <t>MADELIN- PALISSANDRE</t>
  </si>
  <si>
    <t>PERIN- PER ACACIA</t>
  </si>
  <si>
    <t>SOCIETE_GENERALE</t>
  </si>
  <si>
    <t>PERIN- PER INDIVIDUEL SMAVIE</t>
  </si>
  <si>
    <t>SMA</t>
  </si>
  <si>
    <t>PRO_BTP</t>
  </si>
  <si>
    <t>PERP- PERP CONFIANCE BTP</t>
  </si>
  <si>
    <t>MADELIN- RETRAITE SUPPLEMENTAIRE DES ARTISANS</t>
  </si>
  <si>
    <t>PERIN- PER INDIVIDUEL CONFIANCE</t>
  </si>
  <si>
    <t>PRIMONIAL</t>
  </si>
  <si>
    <t>MADELIN- GESTION PRIVEE PROMADELIN</t>
  </si>
  <si>
    <t>MADELIN- CARDIF RETRAITE PROFESSIONNELS ( PATRIMOINE MANAGEMENT ET ASSOCIES)</t>
  </si>
  <si>
    <t>PERIN- PRIMOPER</t>
  </si>
  <si>
    <t>PREVOIR</t>
  </si>
  <si>
    <t>PERP- PERP LIGNAGE</t>
  </si>
  <si>
    <t>MADELIN- PREVOIR PRO RETRAITE</t>
  </si>
  <si>
    <t>PERIN- SOLUTION PLAN EPARGNE RETRAITE</t>
  </si>
  <si>
    <t>PREFON</t>
  </si>
  <si>
    <t>PERIN- PER PREFON RETRAITE</t>
  </si>
  <si>
    <t>PERP- PREFON-RETRAITE</t>
  </si>
  <si>
    <t>ORADEA</t>
  </si>
  <si>
    <t>PERIN- PER LIGNAGE</t>
  </si>
  <si>
    <t>NORTIA</t>
  </si>
  <si>
    <t>PERP- COMPLEMENT EPARGNE RETRAITE</t>
  </si>
  <si>
    <t>MADELIN- QUADRANCE</t>
  </si>
  <si>
    <t>PERIN- PER PANTHEA</t>
  </si>
  <si>
    <t>PERIN- PER ENEDIA</t>
  </si>
  <si>
    <t>PERIN- PER PRIVATE</t>
  </si>
  <si>
    <t>MADELIN- ARIA GROUPE / ARIA EVOLUTION</t>
  </si>
  <si>
    <t>MNRA</t>
  </si>
  <si>
    <t>MMA</t>
  </si>
  <si>
    <t>ART83- MMA RETRAITE 83 (ancien MDM RETRAITE 83)</t>
  </si>
  <si>
    <t>PERP- MULTISUPPORTS PERP</t>
  </si>
  <si>
    <t>MADELIN- MMA MULTISUPPORTS RETRAITE INDEPENDANTS</t>
  </si>
  <si>
    <t>MADELIN- MMA RETRAITE PRO</t>
  </si>
  <si>
    <t>MADELIN- MMA SOLUTIONS RETRAITE AGRI</t>
  </si>
  <si>
    <t>MADELIN- MMA SOLUTIONS RETRAITE AGRI +</t>
  </si>
  <si>
    <t>MADELIN- MMA SOLUTIONS RETRAITE PRO</t>
  </si>
  <si>
    <t>MADELIN- MMA SOLUTIONS RETRAITE PRO +</t>
  </si>
  <si>
    <t>MADELIN- MULTISTRATEGIES RETRAITE AGRI</t>
  </si>
  <si>
    <t>MADELIN- MULTISTRATEGIES RETRAITE PRO</t>
  </si>
  <si>
    <t>MADELIN- PLAN MDM RETRAITE INDEPENDANTS</t>
  </si>
  <si>
    <t>MADELIN- SIGNATURE RETRAITE AGRI</t>
  </si>
  <si>
    <t>MADELIN- SIGNATURE RETRAITE PRO</t>
  </si>
  <si>
    <t>PERIN- SIGNATURE PER</t>
  </si>
  <si>
    <t>PERIN- MMA PER AVENIR</t>
  </si>
  <si>
    <t>MEDICIS</t>
  </si>
  <si>
    <t>PERP- PERP MEDICIS</t>
  </si>
  <si>
    <t>MADELIN- MEDICIS RETRAITE MADELIN</t>
  </si>
  <si>
    <t>PERIN- PER MEDICIS MULTISUPPORT</t>
  </si>
  <si>
    <t>PERIN- PER MEDICIS PATRIMONIAL</t>
  </si>
  <si>
    <t>PERIN- PER MEDICIS PRODUIT EN POINTS</t>
  </si>
  <si>
    <t>MATMUT</t>
  </si>
  <si>
    <t>PERIN- COMPLICE RETRAITE</t>
  </si>
  <si>
    <t>MAPA</t>
  </si>
  <si>
    <t>MADELIN- ACTIFONDS RETRAITE</t>
  </si>
  <si>
    <t>MALAKOFF_HUMANIS</t>
  </si>
  <si>
    <t>MADELIN- RADIANCE HUMANIS RETRAITE PRO</t>
  </si>
  <si>
    <t>PERIN- PER OBLIGATOIRE PATRIMONIAL</t>
  </si>
  <si>
    <t>MAIF</t>
  </si>
  <si>
    <t>PERP- PERP MAIF</t>
  </si>
  <si>
    <t>PERIN- PER RESPONSABLE ET SOLIDAIRE</t>
  </si>
  <si>
    <t>MACSF</t>
  </si>
  <si>
    <t>PERP- PERP'S (Plan d'Epargne Retraite des Professions de Santé)</t>
  </si>
  <si>
    <t>MADELIN- RFPA RETRAITE MADELIN (RES FONDS DE PENSION AVENIR)</t>
  </si>
  <si>
    <t>PERIN- RES RETRAITE</t>
  </si>
  <si>
    <t>MACIF</t>
  </si>
  <si>
    <t>ART83- ACTIPLUS RETRAITE ENTREPRISE</t>
  </si>
  <si>
    <t>PERP- MULTI PERP</t>
  </si>
  <si>
    <t>MADELIN- ACTIPLUS RETRAITE</t>
  </si>
  <si>
    <t>PERIN- MULTI HORIZON RETRAITE - MUTAVIE</t>
  </si>
  <si>
    <t>MAAF</t>
  </si>
  <si>
    <t>ART83- MAAF 83</t>
  </si>
  <si>
    <t>PERP- WINNEO RETRAITE</t>
  </si>
  <si>
    <t>MADELIN- DYNALTO PRO</t>
  </si>
  <si>
    <t>MADELIN- MAAF 41</t>
  </si>
  <si>
    <t>MADELIN- WINALTO PRO</t>
  </si>
  <si>
    <t>MADELIN- WINNEO PRO</t>
  </si>
  <si>
    <t>PERIN- PER WINALTO RETRAITE</t>
  </si>
  <si>
    <t>LPA</t>
  </si>
  <si>
    <t>MADELIN- AVOCAPI</t>
  </si>
  <si>
    <t>LCL</t>
  </si>
  <si>
    <t>ART83- LCL RETRAITE 83</t>
  </si>
  <si>
    <t>ART83- LCL RETRAITE MAITRISEE</t>
  </si>
  <si>
    <t>ART83- LCL RETRAITE VOLONTAIRE</t>
  </si>
  <si>
    <t>PERP- VELOURS</t>
  </si>
  <si>
    <t>MADELIN- PRO LIGNES DE VIE</t>
  </si>
  <si>
    <t>PERIN- LCL RETRAITE PER</t>
  </si>
  <si>
    <t>LA_MEDICALE</t>
  </si>
  <si>
    <t>MADELIN- MEDICALE HORIZON MADELIN 2</t>
  </si>
  <si>
    <t>MADELIN- MEDICALE RETRAITE</t>
  </si>
  <si>
    <t>MADELIN- MEDICALE HORIZON MADELIN</t>
  </si>
  <si>
    <t>MADELIN- LA MEDICALE SERENITE</t>
  </si>
  <si>
    <t>PERIN- LA MEDICALE PERENNITE</t>
  </si>
  <si>
    <t>LA_BANQUE_POSTALE</t>
  </si>
  <si>
    <t>ART83- PERE MULTISUPPORTS</t>
  </si>
  <si>
    <t>ART83- RETRAITE 83</t>
  </si>
  <si>
    <t>PERP- SOLESIO PERP EVOLUTION</t>
  </si>
  <si>
    <t>PERP- SOLESIO PERP HORIZON</t>
  </si>
  <si>
    <t>PERIN- CACHEMIRE PER</t>
  </si>
  <si>
    <t>HSBC</t>
  </si>
  <si>
    <t>ART83- ELYS RETRAITE 83</t>
  </si>
  <si>
    <t>ART83- HSBC RETRAITE 83</t>
  </si>
  <si>
    <t>PERP- PLAN ELYSEES RETRAITE PATRIMOINE</t>
  </si>
  <si>
    <t>MADELIN- ELYSEES RETRAITE INDEPENDANTS</t>
  </si>
  <si>
    <t>PERIN- HSBC STRATEGIE RETRAITE</t>
  </si>
  <si>
    <t>HARMONIE_MUTUELLE</t>
  </si>
  <si>
    <t>PERIN- PER INDIVIDUEL SOLUTION GROUPE VYV</t>
  </si>
  <si>
    <t>PERIN- PER ENTREPRISE OBLIGATOIRE</t>
  </si>
  <si>
    <t>GROUPAMA</t>
  </si>
  <si>
    <t>ART83- GROUPAMA DIMENSION RETRAITE ENTREPRISES</t>
  </si>
  <si>
    <t>ART83- GROUPAMA RETRAITE PERFORMANCE</t>
  </si>
  <si>
    <t>ART83- SYNERGIE RETRAITE ENTREPRISE</t>
  </si>
  <si>
    <t>ART83- SYNERGIE RETRAITE LIBERTE</t>
  </si>
  <si>
    <t>ART83- SYNERGIE RETRAITE SERENITE</t>
  </si>
  <si>
    <t>PERP- GROUPAMA RETRAITE ACTIVE</t>
  </si>
  <si>
    <t>MADELIN- AGRI RETRAITE ACTIVE</t>
  </si>
  <si>
    <t>MADELIN- ENERGIE RETRAITE ACTIVE</t>
  </si>
  <si>
    <t>MADELIN- GROUPAMA AGRI-RETRAITE POINTS</t>
  </si>
  <si>
    <t>PERIN- GROUPAMA NOUVELLE VIE</t>
  </si>
  <si>
    <t>GENERALI</t>
  </si>
  <si>
    <t>ART83- FRANCE PROFIL RETRAITE</t>
  </si>
  <si>
    <t>ART83- FRANCE PROFIL RETRAITE MULTISUPPORTS 2008</t>
  </si>
  <si>
    <t>ART83- LA RETRAITE 15</t>
  </si>
  <si>
    <t>ART83- LA RETRAITE 94 - ARTICLE 83</t>
  </si>
  <si>
    <t>ART83- LEADER SUPPLEMENT RETRAITE</t>
  </si>
  <si>
    <t>ART83- SCENARIO RETRAITE</t>
  </si>
  <si>
    <t>ART83- SERENIDAD RETRAITE ARTICLE 83</t>
  </si>
  <si>
    <t>ART83- XAELIDIA RETRAITE ENTREPRISE</t>
  </si>
  <si>
    <t>PERP- ANTHOLOGIE</t>
  </si>
  <si>
    <t>PERP- GPA PERP</t>
  </si>
  <si>
    <t>PERP- GRAFIC</t>
  </si>
  <si>
    <t>PERP- SERENIDAD PERP</t>
  </si>
  <si>
    <t>PERP- LE PERP GENERALI PATRIMOINE</t>
  </si>
  <si>
    <t>MADELIN- ESPACE INVEST MADELIN</t>
  </si>
  <si>
    <t>MADELIN- GPA RETRAITE PRO</t>
  </si>
  <si>
    <t>MADELIN- GPA RETRAITE PRO DUO</t>
  </si>
  <si>
    <t>MADELIN- GPA RETRAITE PRO HORIZON</t>
  </si>
  <si>
    <t>MADELIN- LEADER PROTECTION RETRAITE INDEPENDANTS</t>
  </si>
  <si>
    <t>MADELIN- PRISM MULTISUPPORTS</t>
  </si>
  <si>
    <t>MADELIN- SCENARIO RETRAITE - MADELIN</t>
  </si>
  <si>
    <t>MADELIN- SERENIDAD RETRAITE MADELIN</t>
  </si>
  <si>
    <t>MADELIN- XAELIDIA RETRAITE INDIVIDUELLE</t>
  </si>
  <si>
    <t>1999-2009</t>
  </si>
  <si>
    <t>MADELIN- La retraite 94</t>
  </si>
  <si>
    <t xml:space="preserve">MADELIN- La retraite 08 </t>
  </si>
  <si>
    <t>MADELIN-La retraite 13</t>
  </si>
  <si>
    <t xml:space="preserve">MADELIN- La retraite 08 - V2010 
</t>
  </si>
  <si>
    <t>MADELIN- La retraite 15</t>
  </si>
  <si>
    <t>PERIN- La retraite 20</t>
  </si>
  <si>
    <t>GARANCE</t>
  </si>
  <si>
    <t>PERP- GARANCE RETRAITE PERP</t>
  </si>
  <si>
    <t>PERIN- GARANCE SÉRÉNITÉ</t>
  </si>
  <si>
    <t>GAN</t>
  </si>
  <si>
    <t>ART83- DIMENSION RETRAITE ACTIF</t>
  </si>
  <si>
    <t>ART83- DIMENSION RETRAITE ENERGIE</t>
  </si>
  <si>
    <t>ART83- DIMENSION RETRAITE ENTREPRISES</t>
  </si>
  <si>
    <t>ART83- EXCELLENCE RETRAITE ENTREPRISE</t>
  </si>
  <si>
    <t>ART83- GALYA RETRAITE ENTREPRISE</t>
  </si>
  <si>
    <t>ART83- GALYA RETRAITE GARANTIE</t>
  </si>
  <si>
    <t>ART83- GAN RETRAITE ENTREPRISE</t>
  </si>
  <si>
    <t>ART83- GAN RETRAITE PERFORMANCE ENTREPRISE TPE</t>
  </si>
  <si>
    <t>ART83- RECORD-VERSION B</t>
  </si>
  <si>
    <t>ART83- GAN RETRAITE PERFORMANCE ENTREPRISE</t>
  </si>
  <si>
    <t>PERP- GAN INITIATIVE RETRAITE</t>
  </si>
  <si>
    <t>PERP- GAN RETRAITE GARANTIE</t>
  </si>
  <si>
    <t>PERP- GAN RETRAITE PERP</t>
  </si>
  <si>
    <t>MADELIN- DIMENSION AVENIR AGRICULTEUR II</t>
  </si>
  <si>
    <t>MADELIN- DIMENSION AVENIR PROFESSIONNELS II</t>
  </si>
  <si>
    <t>MADELIN- GALYA RETRAITE MADELIN</t>
  </si>
  <si>
    <t>MADELIN- GAN PATRIMOINE INDEPENDANTS</t>
  </si>
  <si>
    <t>MADELIN- GAN PATRIMOINE MADELIN RETRAITE</t>
  </si>
  <si>
    <t>MADELIN- GAN PERFORMANCE RETRAITE PRO</t>
  </si>
  <si>
    <t>MADELIN- GAN PREVOYANCE RETRAITE INDEPENDANT</t>
  </si>
  <si>
    <t>MADELIN- GAN PREVOYANCE RETRAITE MADELIN</t>
  </si>
  <si>
    <t>MADELIN- GAN RETRAITE INDEPENDANT</t>
  </si>
  <si>
    <t>PERIN- GAN ASSURANCE NOUVELLE VIE</t>
  </si>
  <si>
    <t>PERIN- GAN PATRIMOINE NOUVELLE VIE</t>
  </si>
  <si>
    <t>PERIN- GAN PREVOYANCE NOUVELLE VIE</t>
  </si>
  <si>
    <t>ERES</t>
  </si>
  <si>
    <t>ART83- ERES RETRAITE 83</t>
  </si>
  <si>
    <t>PERP- LE PERP ERES 163X</t>
  </si>
  <si>
    <t>PERIN- LE PER</t>
  </si>
  <si>
    <t>PERIN- LE PER ERES BY SPIRICA</t>
  </si>
  <si>
    <t>CREDIT_MUTUEL</t>
  </si>
  <si>
    <t>ART83- RETRAITE ENTREPRISE MONOSUPPORT</t>
  </si>
  <si>
    <t>ART83- RETRAITE ENTREPRISE MULTISUPPORT</t>
  </si>
  <si>
    <t>ART83- RETRAITE ENTREPRISE P.E.R.E.</t>
  </si>
  <si>
    <t>ART83- RETRAITE ENTREPRISE UC P.E.R.E.</t>
  </si>
  <si>
    <t>ART83- RETRAITE SUPPLEMENTAIRE 83</t>
  </si>
  <si>
    <t>ART83- RETRAITE SUPPLEMENTAIRE 83 EN EUROS (ex Prévi Retraite Entreprises)</t>
  </si>
  <si>
    <t>ART83- TRIADYS RETRAITE 83</t>
  </si>
  <si>
    <t>PERP- LE PERP INDEPENDANT</t>
  </si>
  <si>
    <t>PERP- PLAN RETRAITE REVENUS</t>
  </si>
  <si>
    <t>PERP- MYRIALIS PERP</t>
  </si>
  <si>
    <t>PERP- PREVI - HORIZONS</t>
  </si>
  <si>
    <t>MADELIN- PERENIAL PENSION HORIZONS</t>
  </si>
  <si>
    <t>MADELIN- PERENIAL PENSION RETRAITE</t>
  </si>
  <si>
    <t>MADELIN- PLAN ASSUR HORIZONS PRO</t>
  </si>
  <si>
    <t>MADELIN- PLAN ASSURANCE VIE PRO</t>
  </si>
  <si>
    <t>MADELIN- PREVI-RETRAITE INDEPENDANTS</t>
  </si>
  <si>
    <t>MADELIN- PREVI-RETRAITE INDEPENDANTS AGRI</t>
  </si>
  <si>
    <t>MADELIN- PREVI-RETRAITE INDEPENDANTS PROS</t>
  </si>
  <si>
    <t>PERIN- PER ASSURANCE RETRAITE</t>
  </si>
  <si>
    <t>PERIN- PER ASSURANCE RETRAITE CORPORATE</t>
  </si>
  <si>
    <t>PERIN- PER ASSURANCE RETRAITE ENTREPRISE</t>
  </si>
  <si>
    <t>PERIN- PROJECTION RETRAITE</t>
  </si>
  <si>
    <t>PERIN- PERTINENCE RETRAITE</t>
  </si>
  <si>
    <t>PERIN- SURAVENIR PER</t>
  </si>
  <si>
    <t>CREDIT_DU_NORD</t>
  </si>
  <si>
    <t>PERP- ANTARIUS PERP</t>
  </si>
  <si>
    <t>MADELIN- ANTARIUS RETRAITE « MADELIN »</t>
  </si>
  <si>
    <t>PERIN- ANTARIUS PERin</t>
  </si>
  <si>
    <t>CREDIT_AGRICOLE</t>
  </si>
  <si>
    <t>ART83- EXTENSION RETRAITE MAITRISEE</t>
  </si>
  <si>
    <t>ART83- EXTENSION RETRAITE SUPPLEMENTAIRE EURO</t>
  </si>
  <si>
    <t>ART83- EXTENSION RETRAITE SUPPLÉMENTAIRE MULTISUPPORT</t>
  </si>
  <si>
    <t>ART83- EXTENSION RETRAITE VOLONTAIRE</t>
  </si>
  <si>
    <t>PERP- PLAN VERT AVENIR</t>
  </si>
  <si>
    <t>PERP- PLAN VERT VITALITE</t>
  </si>
  <si>
    <t>MADELIN- ACCORDANCE</t>
  </si>
  <si>
    <t>MADELIN- ACCORDANCE MULTISUPPORTS</t>
  </si>
  <si>
    <t>MADELIN- PREDIAGRI POINTS RETRAITE</t>
  </si>
  <si>
    <t>MADELIN- PREDIAGRI RETRAITE</t>
  </si>
  <si>
    <t>PERIN- EXTENSION RETRAITE MAÎTRISÉE PACTE 2019 ERM PACTE 2019</t>
  </si>
  <si>
    <t>PERIN- PER ASSURANCE PERSPECTIVE</t>
  </si>
  <si>
    <t>CARDIF</t>
  </si>
  <si>
    <t>ART83- CARDIF RETRAITE 83</t>
  </si>
  <si>
    <t>PERP- CARDIF MULTIPLUS PERP</t>
  </si>
  <si>
    <t>MADELIN- CARDIF AMBITION RETRAITE PROFESSIONNELS</t>
  </si>
  <si>
    <t>MADELIN- CARDIF RETRAITE MADELIN</t>
  </si>
  <si>
    <t>MADELIN- CARDIF RETRAITE PROFESSIONNELS</t>
  </si>
  <si>
    <t>MADELIN- INITIATIVE RETRAITE</t>
  </si>
  <si>
    <t>PERIN- CARDIF ELITE RETRAITE</t>
  </si>
  <si>
    <t>PERIN- CARDIF ESSENTIEL RETRAITE</t>
  </si>
  <si>
    <t>CAISSE_D_EPARGNE</t>
  </si>
  <si>
    <t>PERP- ASSYLIO</t>
  </si>
  <si>
    <t>PERP- PERP CAISSE D'EPARGNE</t>
  </si>
  <si>
    <t>PERP- SOLUTION PERP</t>
  </si>
  <si>
    <t>MADELIN- ECUREUIL RETRAITE PRO</t>
  </si>
  <si>
    <t>PERIN- MILLEVIE PER</t>
  </si>
  <si>
    <t>PERIN- PER CE</t>
  </si>
  <si>
    <t>BNP</t>
  </si>
  <si>
    <t>ART83- PARTENAIRE PER ENTREPRISES</t>
  </si>
  <si>
    <t>ART83- PREFERENCE PER ENTREPRISES</t>
  </si>
  <si>
    <t>ART83- PRÉFÉRENCE RETRAITE</t>
  </si>
  <si>
    <t>PERP- PLAN D'EPARGNE RETRAITE DES PARTICULIERS (PERP)</t>
  </si>
  <si>
    <t>MADELIN- NATIO VIE MULTIHORIZONS PROFESSIONNEL</t>
  </si>
  <si>
    <t>MADELIN- PLAN D'EPARGNE RETRAITE LOI MADELIN</t>
  </si>
  <si>
    <t>PERIN- BNP PARIBAS MULTIPLACEMENTS PER</t>
  </si>
  <si>
    <t>PERIN- PRÉFÉRENCE PER OBLIGATOIRE</t>
  </si>
  <si>
    <t>PERIN- BNP PARIBAS MULTIPLACEMENTS PRIVILÈGE PER</t>
  </si>
  <si>
    <t>BANQUE_POPULAIRE</t>
  </si>
  <si>
    <t>ART83- CAPI RESSOURCES</t>
  </si>
  <si>
    <t>ART83- RESSOURCES SÉLECTION VIE</t>
  </si>
  <si>
    <t>ART83- RESSOURCES SELECTION VIE II</t>
  </si>
  <si>
    <t>PERP- PER BP</t>
  </si>
  <si>
    <t>PERP- PERP CM</t>
  </si>
  <si>
    <t>PERP- PERP DUETTO RETRAITE</t>
  </si>
  <si>
    <t>MADELIN- FRUCTI - AGRI</t>
  </si>
  <si>
    <t>MADELIN- FRUCTI-PROFESSIONNEL</t>
  </si>
  <si>
    <t>MADELIN- PREPAR PRO</t>
  </si>
  <si>
    <t>MADELIN- PREPAR'SERENITE - GARANTIE RETRAITE</t>
  </si>
  <si>
    <t>PERIN- PERI BRED</t>
  </si>
  <si>
    <t>PERIN- PLAN EPARGNE RETRAITE</t>
  </si>
  <si>
    <t>AXA</t>
  </si>
  <si>
    <t>ART83- 4G STRATEGIE RETRAITE</t>
  </si>
  <si>
    <t>ART83- QUANTILE RETRAITE SECURITE</t>
  </si>
  <si>
    <t>ART83- RETRAITE 4 G</t>
  </si>
  <si>
    <t>ART83- RETRAITE ENTREPRISE A ADHÉSION OBLIGATOIRE</t>
  </si>
  <si>
    <t>ART83- RETRAITE ENTREPRISE GESTION PROGRAMMEE</t>
  </si>
  <si>
    <t>ART83- RETRAITE ENTREPRISE PÈRE</t>
  </si>
  <si>
    <t>ART83- SOLERE 83</t>
  </si>
  <si>
    <t>PERP- PERP CONFORT</t>
  </si>
  <si>
    <t>PERP- PERP REFERENCE</t>
  </si>
  <si>
    <t>MADELIN- AGRISSIAL</t>
  </si>
  <si>
    <t>MADELIN- COLIADE RETRAITE INDEPENDANT</t>
  </si>
  <si>
    <t>MADELIN- CORALIS INDEPENDANTS</t>
  </si>
  <si>
    <t>MADELIN- CORETIS</t>
  </si>
  <si>
    <t>MADELIN- GERANT MAJORITAIRE RETRAITE</t>
  </si>
  <si>
    <t>MADELIN- NOVIAL AVENIR</t>
  </si>
  <si>
    <t>MADELIN- ORIAL</t>
  </si>
  <si>
    <t>MADELIN- PLANISSIM</t>
  </si>
  <si>
    <t>MADELIN- REGULARITE RETRAITE PRO / EURACTIEL DES PROFESSIONNELS</t>
  </si>
  <si>
    <t>MADELIN- RETRAITE DES PROFESSIONNELS - AGRICOLES</t>
  </si>
  <si>
    <t>MADELIN- RETRAITE DES PROFESSIONNELS - NON AGRICOLES</t>
  </si>
  <si>
    <t>PERIN- AXA MA RETRAITE</t>
  </si>
  <si>
    <t>PERIN- PER AMADEO</t>
  </si>
  <si>
    <t>PERIN- PER CORALIS</t>
  </si>
  <si>
    <t>AREAS</t>
  </si>
  <si>
    <t>ART83- RETRAITE COLLECTIVE ENTREPRISE</t>
  </si>
  <si>
    <t>ART83- PERI</t>
  </si>
  <si>
    <t>PERP- PERP MULTISUPPORT</t>
  </si>
  <si>
    <t>MADELIN- ARELIA MULTISUPPORT</t>
  </si>
  <si>
    <t>MADELIN- ARELIA RETRAITE COMPLEMENTAIRE DES INDEPENDANTS</t>
  </si>
  <si>
    <t>PERIN- PER INDIVIDUEL AREAS</t>
  </si>
  <si>
    <t>APRIL</t>
  </si>
  <si>
    <t>ART83- AFFLUANCE RETRAITE ARTICLE 83</t>
  </si>
  <si>
    <t>ART83- APRIL RETRAITE ARTICLE 83</t>
  </si>
  <si>
    <t>PERP- APRIL PERP MULTISUPPORT</t>
  </si>
  <si>
    <t>MADELIN- AFFLUANCE RETRAITE MADELIN</t>
  </si>
  <si>
    <t>MADELIN- APRIL RETRAITE MADELIN</t>
  </si>
  <si>
    <t>MADELIN- CARDIF RETRAITE PROFESSIONNELS (APRIL)</t>
  </si>
  <si>
    <t>MADELIN- RETRAITE MADELIN APRIL</t>
  </si>
  <si>
    <t>APICIL</t>
  </si>
  <si>
    <t>ART83- APICIL CAP' XL (ancien Apicil Retraite entreprise)</t>
  </si>
  <si>
    <t>ART83- APICIL CAP'XL &amp; CO (ancien APICIL PERENNITE ENTREPRISE)</t>
  </si>
  <si>
    <t>PERP- APICIL PERSPECTIVES GENERATION</t>
  </si>
  <si>
    <t>PERP- PERSPECTIVE GENERATION PLUS</t>
  </si>
  <si>
    <t>MADELIN- APICIL PROFORMANCE</t>
  </si>
  <si>
    <t>MADELIN- APICIL PROFORMANCE PLUS</t>
  </si>
  <si>
    <t>PERIN- APICIL AVENIR PER-OB</t>
  </si>
  <si>
    <t>PERIN- APICIL CONNECT PER</t>
  </si>
  <si>
    <t>PERIN- INTENCIAL LIBERALYS RETRAITE</t>
  </si>
  <si>
    <t>PERIN- CONCORDANCES PERIN</t>
  </si>
  <si>
    <t>ALPTIS</t>
  </si>
  <si>
    <t>MADELIN- IMPERATIF RETRAITE MADELIN</t>
  </si>
  <si>
    <t>ALLIANZ</t>
  </si>
  <si>
    <t>ART83- AGF PLANEO 2 ENTREPRISE</t>
  </si>
  <si>
    <t>ART83- AGF PLANEO 3 ENTREPRISE</t>
  </si>
  <si>
    <t>ART83- AGF PLANEO 4 ENTREPRISE</t>
  </si>
  <si>
    <t>ART83- AGF PLANEO EUROPEAN PENSION</t>
  </si>
  <si>
    <t>ART83- AGF SOLEO RETRAITE</t>
  </si>
  <si>
    <t>ART83- ALLIANZ PLANEO 5 ENTREPRISE</t>
  </si>
  <si>
    <t>ART83- ALLIANZ RENTEO</t>
  </si>
  <si>
    <t>ART83- ALLIANZ RETRAITE ENTREPRISE</t>
  </si>
  <si>
    <t>PERP- PERP ALLIANZ PLEINE RETRAITE</t>
  </si>
  <si>
    <t>MADELIN- ALLIANZ ITINERAIRES RETRAITE MADELIN / AGRICOLE</t>
  </si>
  <si>
    <t>MADELIN- ALLIANZ RETRAITE TNS / AGRI</t>
  </si>
  <si>
    <t>MADELIN- OPTI'RETRAITE</t>
  </si>
  <si>
    <t>MADELIN- PLATINIA RETRAITE MADELIN</t>
  </si>
  <si>
    <t>MADELIN- TELLUS AVENIR TNS / AGRI</t>
  </si>
  <si>
    <t>MADELIN- TELLUS TNS</t>
  </si>
  <si>
    <t>PERIN- ALLIANZ PER ENTREPRISE</t>
  </si>
  <si>
    <t>PERIN- ALLIANZ PER HORIZON</t>
  </si>
  <si>
    <t>AGIPI</t>
  </si>
  <si>
    <t>PERP- PAIR</t>
  </si>
  <si>
    <t>MADELIN- FAR</t>
  </si>
  <si>
    <t>PERIN- FAR PER</t>
  </si>
  <si>
    <t>AGEAS</t>
  </si>
  <si>
    <t>PERIN- PER ZEN</t>
  </si>
  <si>
    <t>AG2R_LA_MONDIALE</t>
  </si>
  <si>
    <t>ART83- EQUATION 83 MULTISUPPORTS</t>
  </si>
  <si>
    <t>ART83- MONDIALE PERSPECTIVES ENTREPRISE</t>
  </si>
  <si>
    <t>ART83- MONDIALE RETRAITE PLUS</t>
  </si>
  <si>
    <t>ART83- PER ENTREPRISES</t>
  </si>
  <si>
    <t>ART83- RETRAITE SUPPLEMENTAIRE</t>
  </si>
  <si>
    <t>ART83- RETRAITE SUPPLÉMENTAIRE II</t>
  </si>
  <si>
    <t>ART83- RETRAITE SUPPLEMENTAIRE LIBRE</t>
  </si>
  <si>
    <t>ART83- RETRAITE SUPPLEMENTAIRE LIBRE II</t>
  </si>
  <si>
    <t>PERP- COMPLEMENT EPARGNE RETRAITE (EX -MONDIALE STRATEGIE RETRAITE)</t>
  </si>
  <si>
    <t>PERP- MONDIALE SOLUTIONS RETRAITE</t>
  </si>
  <si>
    <t>MADELIN- MONDIALE PRIVILEGE ACTIONS</t>
  </si>
  <si>
    <t>MADELIN- MONDIALE RETRAITE PROFESSIONNELS</t>
  </si>
  <si>
    <t>MADELIN- RETRAITE AGRICOLE</t>
  </si>
  <si>
    <t>MADELIN- RETRAITE PROFESSIONNELS</t>
  </si>
  <si>
    <t>PERIN- AMBITION RETRAITE ENTREPRISE</t>
  </si>
  <si>
    <t>PERIN- AMBITION RETRAITE INDIVIDUELLE</t>
  </si>
  <si>
    <t>PERIN- AMBITION RETRAITE PRO</t>
  </si>
  <si>
    <t>PERIN- EXCELLIE RETRAITE</t>
  </si>
  <si>
    <t>PERIN- UNIVERS RETRAITE ENTREPRISE LIBRE</t>
  </si>
  <si>
    <t>AFER</t>
  </si>
  <si>
    <t>ART83- CONTRAT COLLECTIF DE RETRAITE SUPPLÉMENTAIRE MULTISUPPORT AFER</t>
  </si>
  <si>
    <t>ART83- RETRAITE SUPPLEMENTAIRE AFER</t>
  </si>
  <si>
    <t>PERIN- AFER RETRAITE INDIVIDUELLE</t>
  </si>
  <si>
    <t>ART83- ABEILLE RETRAITE ENTREPRISE ARTICLE 83</t>
  </si>
  <si>
    <t>ART83- NORWICH STRATEGIE RETRAITE - Article 83</t>
  </si>
  <si>
    <t>PERP- ABEILLE RETRAITE PERP</t>
  </si>
  <si>
    <t>MADELIN- ABEILLE RETRAITE MADELIN</t>
  </si>
  <si>
    <t>MADELIN- ABEILLE RETRAITE PLURIELLE MADELIN</t>
  </si>
  <si>
    <t>MADELIN- ATTITUDE STRATEGIE RETRAITE "LOI MADELIN"</t>
  </si>
  <si>
    <t>MADELIN- ATTITUDE STRATEGIE RETRAITE AGRICOLE</t>
  </si>
  <si>
    <t>MADELIN- NORWICH HORIZON LOI MADELIN</t>
  </si>
  <si>
    <t>MADELIN- NORWICH STRATEGIE RETRAITE LOI MADELIN</t>
  </si>
  <si>
    <t>MADELIN- NORWICH UNION OPTION AVENIR LOI MADELIN</t>
  </si>
  <si>
    <t>MADELIN- VICTOIRE INVESTISSEMENT RETRAITE 2</t>
  </si>
  <si>
    <t>PERIN- ABEILLE RETRAITE PLURIELLE</t>
  </si>
  <si>
    <t>PERIN- ABEILLE RETRAITE PLURIELLE ENTREPRISE</t>
  </si>
  <si>
    <t>Contrat N°61</t>
  </si>
  <si>
    <t>Contrat N°62</t>
  </si>
  <si>
    <t>Contrat N°63</t>
  </si>
  <si>
    <t>Contrat N°64</t>
  </si>
  <si>
    <t>Contrat N°65</t>
  </si>
  <si>
    <t>Contrat N°66</t>
  </si>
  <si>
    <t>Contrat N°67</t>
  </si>
  <si>
    <t>Contrat N°68</t>
  </si>
  <si>
    <t>Contrat N°69</t>
  </si>
  <si>
    <t>Contrat N°70</t>
  </si>
  <si>
    <t>Contrat N°71</t>
  </si>
  <si>
    <t>Contrat N°72</t>
  </si>
  <si>
    <t>Contrat N°73</t>
  </si>
  <si>
    <t>Contrat N°74</t>
  </si>
  <si>
    <t>Contrat N°75</t>
  </si>
  <si>
    <t>Contrat N°76</t>
  </si>
  <si>
    <t>Contrat N°77</t>
  </si>
  <si>
    <t>Contrat N°78</t>
  </si>
  <si>
    <t>Contrat N°79</t>
  </si>
  <si>
    <t>Contrat N°80</t>
  </si>
  <si>
    <t>Contrat N°81</t>
  </si>
  <si>
    <t>Contrat N°82</t>
  </si>
  <si>
    <t>Contrat N°83</t>
  </si>
  <si>
    <t>Contrat N°84</t>
  </si>
  <si>
    <t>Contrat N°85</t>
  </si>
  <si>
    <t>Contrat N°86</t>
  </si>
  <si>
    <t>Contrat N°87</t>
  </si>
  <si>
    <t>Contrat N°88</t>
  </si>
  <si>
    <t>Contrat N°89</t>
  </si>
  <si>
    <t>Contrat N°90</t>
  </si>
  <si>
    <t>Contrat N°91</t>
  </si>
  <si>
    <t>Contrat N°92</t>
  </si>
  <si>
    <t>Contrat N°93</t>
  </si>
  <si>
    <t>Contrat N°94</t>
  </si>
  <si>
    <t>Contrat N°95</t>
  </si>
  <si>
    <t>Contrat N°96</t>
  </si>
  <si>
    <t>Contrat N°97</t>
  </si>
  <si>
    <t>Contrat N°98</t>
  </si>
  <si>
    <t>Contrat N°99</t>
  </si>
  <si>
    <t>Contrat N°100</t>
  </si>
  <si>
    <t>Contrat N°101</t>
  </si>
  <si>
    <t>Contrat N°102</t>
  </si>
  <si>
    <t>Contrat N°103</t>
  </si>
  <si>
    <t>Contrat N°104</t>
  </si>
  <si>
    <t>Contrat N°105</t>
  </si>
  <si>
    <t>Contrat N°106</t>
  </si>
  <si>
    <t>Contrat N°107</t>
  </si>
  <si>
    <t>Contrat N°108</t>
  </si>
  <si>
    <t>Contrat N°109</t>
  </si>
  <si>
    <t>Contrat N°110</t>
  </si>
  <si>
    <t>Contrat N°111</t>
  </si>
  <si>
    <t>Contrat N°112</t>
  </si>
  <si>
    <t>Contrat N°113</t>
  </si>
  <si>
    <t>Contrat N°114</t>
  </si>
  <si>
    <t>Contrat N°115</t>
  </si>
  <si>
    <t>Contrat N°116</t>
  </si>
  <si>
    <t>Contrat N°117</t>
  </si>
  <si>
    <t>Contrat N°118</t>
  </si>
  <si>
    <t>Contrat N°119</t>
  </si>
  <si>
    <t>Contrat N°120</t>
  </si>
  <si>
    <t>Contrat N°121</t>
  </si>
  <si>
    <t>Contrat N°122</t>
  </si>
  <si>
    <t>Contrat N°123</t>
  </si>
  <si>
    <t>Contrat N°124</t>
  </si>
  <si>
    <t>Contrat N°125</t>
  </si>
  <si>
    <t>Contrat N°126</t>
  </si>
  <si>
    <t>Contrat N°127</t>
  </si>
  <si>
    <t>Contrat N°128</t>
  </si>
  <si>
    <t>Contrat N°129</t>
  </si>
  <si>
    <t>Contrat N°130</t>
  </si>
  <si>
    <t>Contrat N°131</t>
  </si>
  <si>
    <t>Contrat N°132</t>
  </si>
  <si>
    <t>Contrat N°133</t>
  </si>
  <si>
    <t>Contrat N°134</t>
  </si>
  <si>
    <t>Contrat N°135</t>
  </si>
  <si>
    <t>Contrat N°136</t>
  </si>
  <si>
    <t>Contrat N°137</t>
  </si>
  <si>
    <t>Contrat N°138</t>
  </si>
  <si>
    <t>Contrat N°139</t>
  </si>
  <si>
    <t>Contrat N°140</t>
  </si>
  <si>
    <t>Contrat N°141</t>
  </si>
  <si>
    <t>Contrat N°142</t>
  </si>
  <si>
    <t>Contrat N°143</t>
  </si>
  <si>
    <t>Contrat N°144</t>
  </si>
  <si>
    <t>Contrat N°145</t>
  </si>
  <si>
    <t>Contrat N°146</t>
  </si>
  <si>
    <t>Contrat N°147</t>
  </si>
  <si>
    <t>Contrat N°148</t>
  </si>
  <si>
    <t>Contrat N°149</t>
  </si>
  <si>
    <t>Contrat N°150</t>
  </si>
  <si>
    <t>Contrat N°151</t>
  </si>
  <si>
    <t>Contrat N°152</t>
  </si>
  <si>
    <t>Contrat N°153</t>
  </si>
  <si>
    <t>Contrat N°154</t>
  </si>
  <si>
    <t>Contrat N°155</t>
  </si>
  <si>
    <t>Contrat N°156</t>
  </si>
  <si>
    <t>Contrat N°157</t>
  </si>
  <si>
    <t>Contrat N°158</t>
  </si>
  <si>
    <t>Contrat N°159</t>
  </si>
  <si>
    <t>Contrat N°160</t>
  </si>
  <si>
    <t>Contrat N°161</t>
  </si>
  <si>
    <t>Contrat N°162</t>
  </si>
  <si>
    <t>Contrat N°163</t>
  </si>
  <si>
    <t>Contrat N°164</t>
  </si>
  <si>
    <t>Contrat N°165</t>
  </si>
  <si>
    <t>Contrat N°166</t>
  </si>
  <si>
    <t>Contrat N°167</t>
  </si>
  <si>
    <t>Contrat N°168</t>
  </si>
  <si>
    <t>Contrat N°169</t>
  </si>
  <si>
    <t>Contrat N°170</t>
  </si>
  <si>
    <t>Contrat N°171</t>
  </si>
  <si>
    <t>Contrat N°172</t>
  </si>
  <si>
    <t>Contrat N°173</t>
  </si>
  <si>
    <t>Contrat N°174</t>
  </si>
  <si>
    <t>Contrat N°175</t>
  </si>
  <si>
    <t>Contrat N°176</t>
  </si>
  <si>
    <t>Contrat N°177</t>
  </si>
  <si>
    <t>Contrat N°178</t>
  </si>
  <si>
    <t>Contrat N°179</t>
  </si>
  <si>
    <t>Contrat N°180</t>
  </si>
  <si>
    <t>Contrat N°181</t>
  </si>
  <si>
    <t>Contrat N°182</t>
  </si>
  <si>
    <t>Contrat N°183</t>
  </si>
  <si>
    <t>Contrat N°184</t>
  </si>
  <si>
    <t>Contrat N°185</t>
  </si>
  <si>
    <t>Contrat N°186</t>
  </si>
  <si>
    <t>Contrat N°187</t>
  </si>
  <si>
    <t>Contrat N°188</t>
  </si>
  <si>
    <t>Contrat N°189</t>
  </si>
  <si>
    <t>Contrat N°190</t>
  </si>
  <si>
    <t>Contrat N°191</t>
  </si>
  <si>
    <t>Contrat N°192</t>
  </si>
  <si>
    <t>Contrat N°193</t>
  </si>
  <si>
    <t>Contrat N°194</t>
  </si>
  <si>
    <t>Contrat N°195</t>
  </si>
  <si>
    <t>Contrat N°196</t>
  </si>
  <si>
    <t>Contrat N°197</t>
  </si>
  <si>
    <t>Contrat N°198</t>
  </si>
  <si>
    <t>Contrat N°199</t>
  </si>
  <si>
    <t>Contrat N°200</t>
  </si>
  <si>
    <t>Contrat N°201</t>
  </si>
  <si>
    <t>Contrat N°202</t>
  </si>
  <si>
    <t>Contrat N°203</t>
  </si>
  <si>
    <t>Contrat N°204</t>
  </si>
  <si>
    <t>Contrat N°205</t>
  </si>
  <si>
    <t>Contrat N°206</t>
  </si>
  <si>
    <t>Contrat N°207</t>
  </si>
  <si>
    <t>Contrat N°208</t>
  </si>
  <si>
    <t>Contrat N°209</t>
  </si>
  <si>
    <t>Contrat N°210</t>
  </si>
  <si>
    <t>Contrat N°211</t>
  </si>
  <si>
    <t>Contrat N°212</t>
  </si>
  <si>
    <t>Contrat N°213</t>
  </si>
  <si>
    <t>Contrat N°214</t>
  </si>
  <si>
    <t>Contrat N°215</t>
  </si>
  <si>
    <t>Contrat N°216</t>
  </si>
  <si>
    <t>Contrat N°217</t>
  </si>
  <si>
    <t>Contrat N°218</t>
  </si>
  <si>
    <t>Contrat N°219</t>
  </si>
  <si>
    <t>Contrat N°220</t>
  </si>
  <si>
    <t>Contrat N°221</t>
  </si>
  <si>
    <t>Contrat N°222</t>
  </si>
  <si>
    <t>Contrat N°223</t>
  </si>
  <si>
    <t>Contrat N°224</t>
  </si>
  <si>
    <t>Contrat N°225</t>
  </si>
  <si>
    <t>Contrat N°226</t>
  </si>
  <si>
    <t>Contrat N°227</t>
  </si>
  <si>
    <t>Contrat N°228</t>
  </si>
  <si>
    <t>Contrat N°229</t>
  </si>
  <si>
    <t>Contrat N°230</t>
  </si>
  <si>
    <t>Contrat N°231</t>
  </si>
  <si>
    <t>Contrat N°232</t>
  </si>
  <si>
    <t>Contrat N°233</t>
  </si>
  <si>
    <t>Contrat N°234</t>
  </si>
  <si>
    <t>Contrat N°235</t>
  </si>
  <si>
    <t>Contrat N°236</t>
  </si>
  <si>
    <t>Contrat N°237</t>
  </si>
  <si>
    <t>Contrat N°238</t>
  </si>
  <si>
    <t>Contrat N°239</t>
  </si>
  <si>
    <t>Contrat N°240</t>
  </si>
  <si>
    <t>Contrat N°241</t>
  </si>
  <si>
    <t>Contrat N°242</t>
  </si>
  <si>
    <t>Contrat N°243</t>
  </si>
  <si>
    <t>Contrat N°244</t>
  </si>
  <si>
    <t>Contrat N°245</t>
  </si>
  <si>
    <t>Contrat N°246</t>
  </si>
  <si>
    <t>Contrat N°247</t>
  </si>
  <si>
    <t>Contrat N°248</t>
  </si>
  <si>
    <t>Contrat N°249</t>
  </si>
  <si>
    <t>Contrat N°250</t>
  </si>
  <si>
    <t>Contrat N°251</t>
  </si>
  <si>
    <t>Contrat N°252</t>
  </si>
  <si>
    <t>Contrat N°253</t>
  </si>
  <si>
    <t>Contrat N°254</t>
  </si>
  <si>
    <t>Contrat N°255</t>
  </si>
  <si>
    <t>Contrat N°256</t>
  </si>
  <si>
    <t>Contrat N°257</t>
  </si>
  <si>
    <t>Contrat N°258</t>
  </si>
  <si>
    <t>Contrat N°259</t>
  </si>
  <si>
    <t>Contrat N°260</t>
  </si>
  <si>
    <t>Contrat N°261</t>
  </si>
  <si>
    <t>Contrat N°262</t>
  </si>
  <si>
    <t>Contrat N°263</t>
  </si>
  <si>
    <t>Contrat N°264</t>
  </si>
  <si>
    <t>Contrat N°265</t>
  </si>
  <si>
    <t>Contrat N°266</t>
  </si>
  <si>
    <t>Contrat N°267</t>
  </si>
  <si>
    <t>Contrat N°268</t>
  </si>
  <si>
    <t>Contrat N°269</t>
  </si>
  <si>
    <t>Contrat N°270</t>
  </si>
  <si>
    <t>Contrat N°271</t>
  </si>
  <si>
    <t>Contrat N°272</t>
  </si>
  <si>
    <t>Contrat N°273</t>
  </si>
  <si>
    <t>Contrat N°274</t>
  </si>
  <si>
    <t>Contrat N°275</t>
  </si>
  <si>
    <t>Contrat N°276</t>
  </si>
  <si>
    <t>Contrat N°277</t>
  </si>
  <si>
    <t>Contrat N°278</t>
  </si>
  <si>
    <t>Contrat N°279</t>
  </si>
  <si>
    <t>Contrat N°280</t>
  </si>
  <si>
    <t>Contrat N°281</t>
  </si>
  <si>
    <t>Contrat N°282</t>
  </si>
  <si>
    <t>Contrat N°283</t>
  </si>
  <si>
    <t>Contrat N°284</t>
  </si>
  <si>
    <t>Contrat N°285</t>
  </si>
  <si>
    <t>Contrat N°286</t>
  </si>
  <si>
    <t>Contrat N°287</t>
  </si>
  <si>
    <t>Contrat N°288</t>
  </si>
  <si>
    <t>Contrat N°289</t>
  </si>
  <si>
    <t>Contrat N°290</t>
  </si>
  <si>
    <t>Contrat N°291</t>
  </si>
  <si>
    <t>Contrat N°292</t>
  </si>
  <si>
    <t>Contrat N°293</t>
  </si>
  <si>
    <t>Contrat N°294</t>
  </si>
  <si>
    <t>Contrat N°295</t>
  </si>
  <si>
    <t>Contrat N°296</t>
  </si>
  <si>
    <t>Contrat N°297</t>
  </si>
  <si>
    <t>Contrat N°298</t>
  </si>
  <si>
    <t>Contrat N°299</t>
  </si>
  <si>
    <t>Contrat N°300</t>
  </si>
  <si>
    <t>Contrat N°301</t>
  </si>
  <si>
    <t>Contrat N°302</t>
  </si>
  <si>
    <t>Contrat N°303</t>
  </si>
  <si>
    <t>Contrat N°304</t>
  </si>
  <si>
    <t>Contrat N°305</t>
  </si>
  <si>
    <t>Contrat N°306</t>
  </si>
  <si>
    <t>Contrat N°307</t>
  </si>
  <si>
    <t>Contrat N°308</t>
  </si>
  <si>
    <t>Contrat N°309</t>
  </si>
  <si>
    <t>Contrat N°310</t>
  </si>
  <si>
    <t>Contrat N°311</t>
  </si>
  <si>
    <t>Contrat N°312</t>
  </si>
  <si>
    <t>Contrat N°313</t>
  </si>
  <si>
    <t>Contrat N°314</t>
  </si>
  <si>
    <t>Contrat N°315</t>
  </si>
  <si>
    <t>Contrat N°316</t>
  </si>
  <si>
    <t>Contrat N°317</t>
  </si>
  <si>
    <t>Contrat N°318</t>
  </si>
  <si>
    <t>Contrat N°319</t>
  </si>
  <si>
    <t>Contrat N°320</t>
  </si>
  <si>
    <t>Contrat N°321</t>
  </si>
  <si>
    <t>Contrat N°322</t>
  </si>
  <si>
    <t>Contrat N°323</t>
  </si>
  <si>
    <t>Contrat N°324</t>
  </si>
  <si>
    <t>Contrat N°325</t>
  </si>
  <si>
    <t>Contrat N°326</t>
  </si>
  <si>
    <t>Contrat N°327</t>
  </si>
  <si>
    <t>Contrat N°328</t>
  </si>
  <si>
    <t>Contrat N°329</t>
  </si>
  <si>
    <t>Contrat N°330</t>
  </si>
  <si>
    <t>Contrat N°331</t>
  </si>
  <si>
    <t>Contrat N°332</t>
  </si>
  <si>
    <t>Contrat N°333</t>
  </si>
  <si>
    <t>Contrat N°334</t>
  </si>
  <si>
    <t>Contrat N°335</t>
  </si>
  <si>
    <t>Contrat N°336</t>
  </si>
  <si>
    <t>Contrat N°337</t>
  </si>
  <si>
    <t>Contrat N°338</t>
  </si>
  <si>
    <t>Contrat N°339</t>
  </si>
  <si>
    <t>Contrat N°340</t>
  </si>
  <si>
    <t>Contrat N°341</t>
  </si>
  <si>
    <t>Contrat N°342</t>
  </si>
  <si>
    <t>Contrat N°343</t>
  </si>
  <si>
    <t>Contrat N°344</t>
  </si>
  <si>
    <t>Contrat N°345</t>
  </si>
  <si>
    <t>Contrat N°346</t>
  </si>
  <si>
    <t>Contrat N°347</t>
  </si>
  <si>
    <t>Contrat N°348</t>
  </si>
  <si>
    <t>Contrat N°349</t>
  </si>
  <si>
    <t>Contrat N°350</t>
  </si>
  <si>
    <t>Contrat N°351</t>
  </si>
  <si>
    <t>Contrat N°352</t>
  </si>
  <si>
    <t>Contrat N°353</t>
  </si>
  <si>
    <t>Contrat N°354</t>
  </si>
  <si>
    <t>Contrat N°355</t>
  </si>
  <si>
    <t>Contrat N°356</t>
  </si>
  <si>
    <t>Contrat N°357</t>
  </si>
  <si>
    <t>Contrat N°358</t>
  </si>
  <si>
    <t>Contrat N°359</t>
  </si>
  <si>
    <t>Contrat N°360</t>
  </si>
  <si>
    <t>Contrat N°361</t>
  </si>
  <si>
    <t>Contrat N°362</t>
  </si>
  <si>
    <t>Contrat N°363</t>
  </si>
  <si>
    <t>Contrat N°364</t>
  </si>
  <si>
    <t>Contrat N°365</t>
  </si>
  <si>
    <t>Contrat N°366</t>
  </si>
  <si>
    <t>Contrat N°367</t>
  </si>
  <si>
    <t>ABEILLE</t>
  </si>
  <si>
    <t>PERIN- PER Générali Patrimoine</t>
  </si>
  <si>
    <t>Date de commercialisation du contrat par la cie</t>
  </si>
  <si>
    <t>Oui sur option
(60-80-100%)</t>
  </si>
  <si>
    <t>Système par points</t>
  </si>
  <si>
    <t>5%
 (0 après 10 ans)</t>
  </si>
  <si>
    <t>1%
(0 après 5 ans)</t>
  </si>
  <si>
    <t>Sur option
Plancher Décès</t>
  </si>
  <si>
    <t>1er gratuit puis 0,50% (mini 30 € à 200€ maxi)</t>
  </si>
  <si>
    <t xml:space="preserve">Non mais versement max jusqu'à 75ans (70ans si retraite) </t>
  </si>
  <si>
    <t>En vigueur
(TGF05)</t>
  </si>
  <si>
    <t>En vigueur
(0%)</t>
  </si>
  <si>
    <t>Standard
(Capital)</t>
  </si>
  <si>
    <t>Oui
2,4,6,10 ans</t>
  </si>
  <si>
    <t>1er gratuit puis 0,50% (30€ maxi)</t>
  </si>
  <si>
    <r>
      <t xml:space="preserve">Sortie capital possible à la retraite </t>
    </r>
    <r>
      <rPr>
        <i/>
        <sz val="8"/>
        <rFont val="Calibri"/>
        <family val="2"/>
      </rPr>
      <t>(sauf excepiton)</t>
    </r>
  </si>
  <si>
    <t>Ces données vous sont communiquées à titre d'information, nous vous invitons à vérifier les CG</t>
  </si>
  <si>
    <t>0,60% fonds €
0,5% UC</t>
  </si>
  <si>
    <t>0,90% fonds €
1% UC
1,20% SCPI/pilotée/horizon</t>
  </si>
  <si>
    <t>Oui C1;C2</t>
  </si>
  <si>
    <t>De NC à 2005</t>
  </si>
  <si>
    <t>Inclus :
Plancher Décès
Sur option :
Exo cotisations
Rente immédiate</t>
  </si>
  <si>
    <t>Standard
(Capital avant retraite sinon rente)</t>
  </si>
  <si>
    <t>De 2005 à 2013</t>
  </si>
  <si>
    <t>Oui sur option
(60%)</t>
  </si>
  <si>
    <t>De 2013 à NC</t>
  </si>
  <si>
    <t>Oui sur option
(50 à 100%)</t>
  </si>
  <si>
    <t>De 2007 à NC</t>
  </si>
  <si>
    <t>4,80% puis 4% à partir de 3000€</t>
  </si>
  <si>
    <t>1%
0% après 10ans</t>
  </si>
  <si>
    <t>Au choix 0% ou celui de l'assureur</t>
  </si>
  <si>
    <t>Standard
(Rente temporaire)</t>
  </si>
  <si>
    <t>Sur option
Plancher Décès
Exo cotisations</t>
  </si>
  <si>
    <t>De NC à 2007</t>
  </si>
  <si>
    <t>4,80% puis 4% à partir de 5000€</t>
  </si>
  <si>
    <t>4%
0% après 10ans</t>
  </si>
  <si>
    <t>Standard
(Rente)</t>
  </si>
  <si>
    <t>Inclus :
Plancher Décès</t>
  </si>
  <si>
    <t>Oui sur option
(60 ou 100%)</t>
  </si>
  <si>
    <t>Contrat N°</t>
  </si>
  <si>
    <t>Standard
(Rente viagère conjoint à partir de 55 ans)</t>
  </si>
  <si>
    <t>Type de contrat</t>
  </si>
  <si>
    <t>Commercialisation du contrat par la compagnie</t>
  </si>
  <si>
    <t>De 2000 à 2002</t>
  </si>
  <si>
    <t>Sur option
Rente conjoint viagère
Exo cotisations
Rente invalidité</t>
  </si>
  <si>
    <t>De 1987 à 2008</t>
  </si>
  <si>
    <t>Standard
(Capital si option garantie décès)</t>
  </si>
  <si>
    <t>De 2016 à NC</t>
  </si>
  <si>
    <t>0,65%€
0,96%UC</t>
  </si>
  <si>
    <t>1er gratuit puis 0,20% (Mini 30€)</t>
  </si>
  <si>
    <t>Inclus :
Plancher Décès
Sur option :
Exo cotisations
Bonne fin</t>
  </si>
  <si>
    <t>Standard
(Capital ou rente)</t>
  </si>
  <si>
    <t>Oui sur option
(de 30 à 200%)</t>
  </si>
  <si>
    <t>TGF-TGH05</t>
  </si>
  <si>
    <t>De 2011 à 2013</t>
  </si>
  <si>
    <t>Oui sur option
(de 30 à 100%)</t>
  </si>
  <si>
    <t>Oui uniquement pour les cotisations entreprise</t>
  </si>
  <si>
    <t>De 2009 à 2013</t>
  </si>
  <si>
    <t>Oui sur option
(de 60 ou 100%)</t>
  </si>
  <si>
    <t>De 2004 à NC</t>
  </si>
  <si>
    <t>De 1995 à 2006</t>
  </si>
  <si>
    <t>NC
TMG 2%</t>
  </si>
  <si>
    <t>Standard
(Rente temporaite ou viagère)</t>
  </si>
  <si>
    <t>Standard
(Rente viagère)</t>
  </si>
  <si>
    <t>Oui sur option (50 ou 100%)</t>
  </si>
  <si>
    <t>De 2006 à 2009</t>
  </si>
  <si>
    <t>0,65%€</t>
  </si>
  <si>
    <t>Sur option :
Exo cotisations
Bonne fin option1 ou option2</t>
  </si>
  <si>
    <t>De 2006 à 2013</t>
  </si>
  <si>
    <t>De 2020 à …</t>
  </si>
  <si>
    <t>0,75%€
1%UC
0,5%Horizon</t>
  </si>
  <si>
    <t>2022 : UC &lt; 35% : 1,50% - UC &lt; 55% : 2,20% - UC &gt;55% : 2,85%</t>
  </si>
  <si>
    <t>De 2019 à …</t>
  </si>
  <si>
    <t>De 2001 à NC</t>
  </si>
  <si>
    <t>Plancher décès (inclus)</t>
  </si>
  <si>
    <t>Oui sur option (10 à 100%)</t>
  </si>
  <si>
    <t>4% puis 3% à partir de 3750€ puis 2,5% à partir de 15000€</t>
  </si>
  <si>
    <t>Standard
(Rente viagère conjoint ou temporaire enfants)</t>
  </si>
  <si>
    <t>Non maxi 73 ans</t>
  </si>
  <si>
    <t>Oui sur option (60% ou 100%)</t>
  </si>
  <si>
    <t>De 1999 à NC</t>
  </si>
  <si>
    <t>4% puis 3% à partir de 3500€ puis 2,5% à partir de 15000€</t>
  </si>
  <si>
    <t>85 ans</t>
  </si>
  <si>
    <t>Oui sur option (0% à 100%)</t>
  </si>
  <si>
    <t>1er gratuit puis 0,50%</t>
  </si>
  <si>
    <t>0,84%€
1%UC</t>
  </si>
  <si>
    <t>1er gratuit puis 0,50% gratuit en ligne</t>
  </si>
  <si>
    <t>Oui 80 ans, les prestations devront être liquidées en totalité</t>
  </si>
  <si>
    <t>De 2005 à NC</t>
  </si>
  <si>
    <t>2,50% VP
3,50% VL</t>
  </si>
  <si>
    <t>Oui sur option (60%)</t>
  </si>
  <si>
    <t xml:space="preserve">Sur option : 
En cas de décès avant la liquidation, rente viagère calculée sur 60% </t>
  </si>
  <si>
    <t>De 1994 à NC</t>
  </si>
  <si>
    <t>Standard
(Rente viagère à hauteur de 60%)</t>
  </si>
  <si>
    <t>De 2020 à NC</t>
  </si>
  <si>
    <t>0,54%€
1%UC</t>
  </si>
  <si>
    <t>1er gratuit puis 1%+15€</t>
  </si>
  <si>
    <t>Standard
(Rente viagère ou rente temporaire)</t>
  </si>
  <si>
    <t>En option</t>
  </si>
  <si>
    <t>3% avant 10 ans sinon 0%</t>
  </si>
  <si>
    <t>De 2009 à 2011</t>
  </si>
  <si>
    <t>0,7%€
0,96%UC</t>
  </si>
  <si>
    <t>Celui de l'assureur</t>
  </si>
  <si>
    <t>Oui sur option (20% à 100%)</t>
  </si>
  <si>
    <t>De 2008 à 2011</t>
  </si>
  <si>
    <t>De 2007 à 2011</t>
  </si>
  <si>
    <t>0,80%€
0,98%UC</t>
  </si>
  <si>
    <t>Non sauf si rente</t>
  </si>
  <si>
    <t xml:space="preserve">1%UC
1,80% Mandat
1,193% SCPI
</t>
  </si>
  <si>
    <t>De 2006 à NC</t>
  </si>
  <si>
    <t>NC
TMG 1,5%</t>
  </si>
  <si>
    <t>Oui sur option (50% à 100%)</t>
  </si>
  <si>
    <t>Sur option : 
Exo cotisations</t>
  </si>
  <si>
    <t>69 ans</t>
  </si>
  <si>
    <t>Sur option : 
Plancher décès</t>
  </si>
  <si>
    <t>Oui sur option (60% ou 80%)</t>
  </si>
  <si>
    <t>Jusqu'à 20% C0</t>
  </si>
  <si>
    <t xml:space="preserve">Pour les nouvelles adéhsions depuis le 01/01/2022 :Standard (Capital) Sinon, si l’Affilié n’avait pas choisi la réversion, il ne bénéficie pas de la garantie décès. </t>
  </si>
  <si>
    <t xml:space="preserve">En cas de décès de l’Affilié avant la liquidation de ses droits, et pour le cas où cette option est choisie, les points acquis au moment du décès sont réversibles à hauteur de 60%. </t>
  </si>
  <si>
    <t>Sur option :
Capital décès avant liquidation</t>
  </si>
  <si>
    <t>Oui sur option (60%, 80%, 100%)</t>
  </si>
  <si>
    <t>De 1968 à …</t>
  </si>
  <si>
    <t xml:space="preserve">0,84%UC
0,96% Mandat
1,193% SCPI
</t>
  </si>
  <si>
    <t xml:space="preserve">Sur option : 
Exo des cotisation (+3%)
Plancher décès </t>
  </si>
  <si>
    <t>De 1998 à NC</t>
  </si>
  <si>
    <t>De 2021 à …</t>
  </si>
  <si>
    <t>1%UC et €
2%Pilotée</t>
  </si>
  <si>
    <t>Sur option (+0,28%FG)</t>
  </si>
  <si>
    <t>0,50% (Mini 45€)</t>
  </si>
  <si>
    <t>2,30%€
1%UC et horizon
1,90%Pilotée</t>
  </si>
  <si>
    <t>1% (Mini 45€)</t>
  </si>
  <si>
    <t xml:space="preserve">Sur option : 
Exo cotisations
Plancher décès </t>
  </si>
  <si>
    <t>Sur option : Exo  cotisations</t>
  </si>
  <si>
    <t>De 2023 à …</t>
  </si>
  <si>
    <t>Rente estimée à</t>
  </si>
  <si>
    <t>EPSOR</t>
  </si>
  <si>
    <t>PERCO- PEI-PERCOI EPSOR - EPSOR</t>
  </si>
  <si>
    <t>PERCO- ACTIVEPARGNE RETRAITE - PERCOI</t>
  </si>
  <si>
    <t>PERCO- ALIM 'ÉPARGNE</t>
  </si>
  <si>
    <t>PERCO- AMPLISSIM EPARGNE SALARIALE</t>
  </si>
  <si>
    <t>PERCO- BOX OFFICE PERCOI</t>
  </si>
  <si>
    <t>PERCO- EPARGNE SALARIALE ARCANCIA V</t>
  </si>
  <si>
    <t>PERCO- EPARGNE SALARIALE PEI / PERCO-I</t>
  </si>
  <si>
    <t>PERCO- ERES SELECTION 2 - PEI / PERCOI</t>
  </si>
  <si>
    <t>PERCO- ES - PL</t>
  </si>
  <si>
    <t>PERCO-ES - PL</t>
  </si>
  <si>
    <t>PERCO- ESSENZIO</t>
  </si>
  <si>
    <t>PERCO- ESSENZIO 2</t>
  </si>
  <si>
    <t>PERCO- ESSENZIO 3 PLUS</t>
  </si>
  <si>
    <t>PERCO- FRUCTI DUO - FRUCTI EPARGNE PLUS</t>
  </si>
  <si>
    <t>PERCO- FRUCTI OPTIMUM</t>
  </si>
  <si>
    <t>PERCO- FAST'AMUNDI</t>
  </si>
  <si>
    <t>PERCO- GAELIA - PERCOI</t>
  </si>
  <si>
    <t>PERCO- GENERALI EPARGNE SALARIALE</t>
  </si>
  <si>
    <t>PERCO- L'EPARGNE SALARIALE</t>
  </si>
  <si>
    <t>EPSENS</t>
  </si>
  <si>
    <t>PERCO- OFFRE SUR MESURE EPSENS</t>
  </si>
  <si>
    <t>PERCO- PARTENAIRE EPARGNE SALARIALE</t>
  </si>
  <si>
    <t>PERCO- PEE - PERCO AXA</t>
  </si>
  <si>
    <t>PERCO- ERES SELECTION 7</t>
  </si>
  <si>
    <t>PERCO- PEI PERCOI ERES SELECTION 4</t>
  </si>
  <si>
    <t>PERCO- PER CONVERGENCE</t>
  </si>
  <si>
    <t>PERCO- PERCOI EFFIGIE</t>
  </si>
  <si>
    <t>PERCO- SWISSLIFE PER COLLECTIF</t>
  </si>
  <si>
    <t>Contrat N°368</t>
  </si>
  <si>
    <t>Contrat N°369</t>
  </si>
  <si>
    <t>Contrat N°370</t>
  </si>
  <si>
    <t>Contrat N°371</t>
  </si>
  <si>
    <t>Contrat N°372</t>
  </si>
  <si>
    <t>Contrat N°373</t>
  </si>
  <si>
    <t>Contrat N°374</t>
  </si>
  <si>
    <t>Contrat N°375</t>
  </si>
  <si>
    <t>Contrat N°376</t>
  </si>
  <si>
    <t>Contrat N°377</t>
  </si>
  <si>
    <t>Contrat N°378</t>
  </si>
  <si>
    <t>Contrat N°379</t>
  </si>
  <si>
    <t>Contrat N°380</t>
  </si>
  <si>
    <t>Contrat N°381</t>
  </si>
  <si>
    <t>Contrat N°382</t>
  </si>
  <si>
    <t>Contrat N°383</t>
  </si>
  <si>
    <t>Contrat N°384</t>
  </si>
  <si>
    <t>Contrat N°385</t>
  </si>
  <si>
    <t>Contrat N°386</t>
  </si>
  <si>
    <t>Contrat N°387</t>
  </si>
  <si>
    <t>Contrat N°388</t>
  </si>
  <si>
    <t>Contrat N°389</t>
  </si>
  <si>
    <t>Contrat N°390</t>
  </si>
  <si>
    <t>Contrat N°391</t>
  </si>
  <si>
    <t>Contrat N°392</t>
  </si>
  <si>
    <t>Contrat N°393</t>
  </si>
  <si>
    <t>Contrat N°394</t>
  </si>
  <si>
    <t>Contrat N°395</t>
  </si>
  <si>
    <t>GO_EPARGNE</t>
  </si>
  <si>
    <t>Non, compte titre</t>
  </si>
  <si>
    <t>PERCO- JUST GO</t>
  </si>
  <si>
    <r>
      <t xml:space="preserve">Sortie capital possible à la retraite </t>
    </r>
    <r>
      <rPr>
        <i/>
        <sz val="8"/>
        <rFont val="Calibri"/>
        <family val="2"/>
      </rPr>
      <t>(sauf exception)</t>
    </r>
  </si>
  <si>
    <t>Compartiment alimenté par le transfert</t>
  </si>
  <si>
    <t>C1</t>
  </si>
  <si>
    <t>C1 bis</t>
  </si>
  <si>
    <t>C2</t>
  </si>
  <si>
    <t>C3</t>
  </si>
  <si>
    <t>Frais d'entrée sur le transfert</t>
  </si>
  <si>
    <t>Frais de transfert sortant du contrat actuel</t>
  </si>
  <si>
    <t>Phase d'épargne</t>
  </si>
  <si>
    <t>Phase de liquidation</t>
  </si>
  <si>
    <t>Cotisation annuelle</t>
  </si>
  <si>
    <t>Contrat actuel</t>
  </si>
  <si>
    <t>Nouveau PER</t>
  </si>
  <si>
    <t>Hypothèse de rendement</t>
  </si>
  <si>
    <t>Année de naissance du client</t>
  </si>
  <si>
    <t>TMI actuelle</t>
  </si>
  <si>
    <t>TMI retraite</t>
  </si>
  <si>
    <t>Liquidation en rente</t>
  </si>
  <si>
    <t>Hypothèse 1 :</t>
  </si>
  <si>
    <t>Afficher les résultats cumulés à l'age de :</t>
  </si>
  <si>
    <t>Rente annuelle simulée à l'age de :</t>
  </si>
  <si>
    <t>Hypothèse 2 :</t>
  </si>
  <si>
    <t>Hypothèse 3 :</t>
  </si>
  <si>
    <t>Liquidation en capital</t>
  </si>
  <si>
    <t>Brut</t>
  </si>
  <si>
    <t>Net de PS</t>
  </si>
  <si>
    <t>Capital en cas de retrait unique à l'age de :</t>
  </si>
  <si>
    <t>Si fractionnement avec épuisement à l'age de :</t>
  </si>
  <si>
    <t>Brute :</t>
  </si>
  <si>
    <t>Nette de PS :</t>
  </si>
  <si>
    <t>Nette d'IR et PS :</t>
  </si>
  <si>
    <t>Nets d'IR et PS :</t>
  </si>
  <si>
    <t>Net d'IR et PS :</t>
  </si>
  <si>
    <t>Projections :</t>
  </si>
  <si>
    <t>=</t>
  </si>
  <si>
    <r>
      <t xml:space="preserve">TGF05 </t>
    </r>
    <r>
      <rPr>
        <b/>
        <i/>
        <sz val="12"/>
        <color theme="0"/>
        <rFont val="Arial"/>
        <family val="2"/>
      </rPr>
      <t>Taux à technique 0% frais sur arrérages à 3%</t>
    </r>
  </si>
  <si>
    <t>Données</t>
  </si>
  <si>
    <t>Age</t>
  </si>
  <si>
    <t>soit</t>
  </si>
  <si>
    <t>Age retraite</t>
  </si>
  <si>
    <t>Année de naissance</t>
  </si>
  <si>
    <t>Non réversible</t>
  </si>
  <si>
    <t>Type</t>
  </si>
  <si>
    <t>Rendement net</t>
  </si>
  <si>
    <t>Intérets dans PM</t>
  </si>
  <si>
    <t>Capital terme</t>
  </si>
  <si>
    <t>Economie IR</t>
  </si>
  <si>
    <t>Total intérêt</t>
  </si>
  <si>
    <t>Effort d'épargne</t>
  </si>
  <si>
    <t>Total cotis nettes</t>
  </si>
  <si>
    <t xml:space="preserve">Age </t>
  </si>
  <si>
    <t>Cotisation</t>
  </si>
  <si>
    <t>Frais E</t>
  </si>
  <si>
    <t>Net versé</t>
  </si>
  <si>
    <t>Intérêt sur Prime</t>
  </si>
  <si>
    <t>Somme en compte</t>
  </si>
  <si>
    <t>Projection de l'évolution de l'épargne et de la rente du contrat actuel</t>
  </si>
  <si>
    <t>Taux de conversion en rente viagère</t>
  </si>
  <si>
    <t>Hypothèse de revalorisation de la rente</t>
  </si>
  <si>
    <t>Phase épargne</t>
  </si>
  <si>
    <t>Phase liquidation en rente</t>
  </si>
  <si>
    <t>Seuil sortie capital (PERP, Madelin, Art83) (rente mensuelle)</t>
  </si>
  <si>
    <t>Nouveau</t>
  </si>
  <si>
    <t>Actuel</t>
  </si>
  <si>
    <t>Afficher les résultats cumulés à l'age de (ans)</t>
  </si>
  <si>
    <r>
      <rPr>
        <b/>
        <sz val="9"/>
        <rFont val="Calibri"/>
        <family val="2"/>
      </rPr>
      <t>Nouveau PER</t>
    </r>
    <r>
      <rPr>
        <sz val="9"/>
        <rFont val="Calibri"/>
        <family val="2"/>
      </rPr>
      <t>, afficher la sortie en</t>
    </r>
  </si>
  <si>
    <r>
      <rPr>
        <b/>
        <sz val="9"/>
        <rFont val="Calibri"/>
        <family val="2"/>
      </rPr>
      <t>Contrat actuel</t>
    </r>
    <r>
      <rPr>
        <sz val="9"/>
        <rFont val="Calibri"/>
        <family val="2"/>
      </rPr>
      <t xml:space="preserve"> </t>
    </r>
    <r>
      <rPr>
        <b/>
        <sz val="9"/>
        <rFont val="Calibri"/>
        <family val="2"/>
      </rPr>
      <t>à transférer</t>
    </r>
    <r>
      <rPr>
        <sz val="9"/>
        <rFont val="Calibri"/>
        <family val="2"/>
      </rPr>
      <t>, afficher la sortie en</t>
    </r>
  </si>
  <si>
    <t>Total nouvelles cotisations brutes</t>
  </si>
  <si>
    <t>Cumul net
IR et PS</t>
  </si>
  <si>
    <t>Nette 
(IR et PS)</t>
  </si>
  <si>
    <t>Part intérets</t>
  </si>
  <si>
    <t>Part capital</t>
  </si>
  <si>
    <t>Résultats nets cumulés</t>
  </si>
  <si>
    <t>Hypothèse de revalo de la rente</t>
  </si>
  <si>
    <t>Total en comtpe</t>
  </si>
  <si>
    <t>Capital cumulé</t>
  </si>
  <si>
    <t>Retrait</t>
  </si>
  <si>
    <t>Part capital Retrait</t>
  </si>
  <si>
    <t>Retrait net</t>
  </si>
  <si>
    <t>Somme après Î</t>
  </si>
  <si>
    <t>PFU (12,8%) sur Î</t>
  </si>
  <si>
    <t>PS 
sur Î</t>
  </si>
  <si>
    <t>Part Î dans Retrait</t>
  </si>
  <si>
    <t>Î de l'année</t>
  </si>
  <si>
    <t>Î cumulés</t>
  </si>
  <si>
    <t>Performance de l'épargne en phase de liquidation</t>
  </si>
  <si>
    <t>Hypothèse de rendement de l'épargne</t>
  </si>
  <si>
    <t>Afficher un autre fractionnement</t>
  </si>
  <si>
    <t>Capital brut à la date de terme</t>
  </si>
  <si>
    <t>Capital net de PS à la date de terme</t>
  </si>
  <si>
    <t>Fractionnement brut annuel</t>
  </si>
  <si>
    <t>Fractionnement net annuel</t>
  </si>
  <si>
    <t>ans (objectif épuisement du capital à l'age de…)</t>
  </si>
  <si>
    <t>Fractionnement affiché ci-dessous</t>
  </si>
  <si>
    <t>Résultats nets cumulés à</t>
  </si>
  <si>
    <t>Si retrait en capital unique au terme</t>
  </si>
  <si>
    <t>Modif taux de frais sur VP</t>
  </si>
  <si>
    <t>Rente viagère nette de PS à la date de terme</t>
  </si>
  <si>
    <t>Rente viagère brute  à la date de terme</t>
  </si>
  <si>
    <t>Rente viagère nette de PS et d'IR + CSG déductible</t>
  </si>
  <si>
    <t>Phase liquidation en capital fractionné 2</t>
  </si>
  <si>
    <t>Résultat nets cumulés</t>
  </si>
  <si>
    <t>Retrait brut</t>
  </si>
  <si>
    <t>Total épargne :</t>
  </si>
  <si>
    <t>Sans faire de retraits, capital atteint à l'age de :</t>
  </si>
  <si>
    <t>Résultats cumulés à</t>
  </si>
  <si>
    <t>Somme en compte sans faire de retraits</t>
  </si>
  <si>
    <t>Modification du taux de rente</t>
  </si>
  <si>
    <r>
      <t xml:space="preserve">Taux de conversion en rente appliqué </t>
    </r>
    <r>
      <rPr>
        <i/>
        <sz val="8"/>
        <color theme="0"/>
        <rFont val="Calibri"/>
        <family val="2"/>
      </rPr>
      <t>(par défaut TGF05)</t>
    </r>
  </si>
  <si>
    <t>Rente viagère brute à la date de terme</t>
  </si>
  <si>
    <t>Projection de l'évolution de l'épargne et de la rente du nouveau PER</t>
  </si>
  <si>
    <t>Interprétation recalcul sur Revenu Brut Global</t>
  </si>
  <si>
    <t>Dont intérets*</t>
  </si>
  <si>
    <t>ans**</t>
  </si>
  <si>
    <t>Etude transfert épargne retraite</t>
  </si>
  <si>
    <t xml:space="preserve">Edition étude Page 4 </t>
  </si>
  <si>
    <t>VOTRE CONTRAT ACTUEL EN PHASE D'EPARGNE</t>
  </si>
  <si>
    <t>VOTRE CONTRAT ACTUEL</t>
  </si>
  <si>
    <t>VOTRE CONTRAT ACTUEL EN PHASE DE LIQUIDATION</t>
  </si>
  <si>
    <t>Slide 7</t>
  </si>
  <si>
    <t>Slide 8</t>
  </si>
  <si>
    <t>Slide 9</t>
  </si>
  <si>
    <t>Slide 10</t>
  </si>
  <si>
    <t>Slide 11</t>
  </si>
  <si>
    <t>Slide 12</t>
  </si>
  <si>
    <t>PROJECTION DE LA RENTE GENEREE PAR VOTRE CONTRAT ACTUEL</t>
  </si>
  <si>
    <t>PROJECTION DE LA SORTIE EN CAPITAL DE VOTRE CONTRAT ACTUEL</t>
  </si>
  <si>
    <t>FOCUS SUR LA FISCALITE EN CAS DE DECES DANS LE CADRE D'UN PER</t>
  </si>
  <si>
    <t>Slide 13</t>
  </si>
  <si>
    <t>PROJECTION DE LA SORTIE EN CAPITAL DE VOTRE NOUVEAU PERin</t>
  </si>
  <si>
    <t>PROJECTION DE LA RENTE GENEREE PAR VOTRE NOUVEAU PERin</t>
  </si>
  <si>
    <t>SYNTHESE</t>
  </si>
  <si>
    <t>Slide 14</t>
  </si>
  <si>
    <t>Slide 15</t>
  </si>
  <si>
    <t>Page 9</t>
  </si>
  <si>
    <t>Page 11</t>
  </si>
  <si>
    <t>Page 12</t>
  </si>
  <si>
    <t>PAGE 14</t>
  </si>
  <si>
    <t>Mesurer l'opportunité d'un transfert de votre contrat actuel
Percevoir un capital lors du départ en retraite
Protéger votre cellule familiale
Améliorer la gestion financière de votre contrat</t>
  </si>
  <si>
    <t>PERin</t>
  </si>
  <si>
    <t>Pouvant aller de 3 à 8 mois</t>
  </si>
  <si>
    <t>Sortie en rente</t>
  </si>
  <si>
    <t>PRINCIPE DE FONCTIONNEMENT D'UN TRANSFERT</t>
  </si>
  <si>
    <t>*En cas de sortie en capital d'un PER (et après transfert vers un PER), les intérêts sont fiscalisés au PFU</t>
  </si>
  <si>
    <t>Phase liquidation</t>
  </si>
  <si>
    <t>**Estimation provenant du relevé de situation du contrat, sur la base de la somme en compte et sans tenir compte des futures cotisations</t>
  </si>
  <si>
    <t>*En cas de sortie en capital d'un PER (et après transfert vers un PER), les intérêts sont fiscalisés au PFU
**Estimation provenant du relevé de situation du contrat, sur la base de la somme en compte et sans tenir compte des futures cotisations</t>
  </si>
  <si>
    <t>Edition étude Page 5</t>
  </si>
  <si>
    <t>Page 6</t>
  </si>
  <si>
    <t>Page 7 (rente)</t>
  </si>
  <si>
    <t>Liquidation en rente à</t>
  </si>
  <si>
    <t>TMI à la retraite</t>
  </si>
  <si>
    <t>Prélèvements sociaux</t>
  </si>
  <si>
    <t>Revalorisation de la rente</t>
  </si>
  <si>
    <t>Taux de transformation en rente</t>
  </si>
  <si>
    <t>Hypothèses retenues :</t>
  </si>
  <si>
    <t>Rente viagère</t>
  </si>
  <si>
    <t>Rente annuelle brute</t>
  </si>
  <si>
    <t>Rente annuelle nette
(IR et PS)</t>
  </si>
  <si>
    <t xml:space="preserve">Cumul des rentes nettes à </t>
  </si>
  <si>
    <t>Rendement durant la phase d'épargne</t>
  </si>
  <si>
    <t>Cotisation durant la phase d'épargne</t>
  </si>
  <si>
    <t xml:space="preserve"> ans</t>
  </si>
  <si>
    <t xml:space="preserve">Capital terme à convertir en rente :  </t>
  </si>
  <si>
    <t>Page 8 (capital)</t>
  </si>
  <si>
    <t>Rendement durant la phase de liquidation</t>
  </si>
  <si>
    <t>Liquidation à</t>
  </si>
  <si>
    <t xml:space="preserve">Capital terme (brut) :  </t>
  </si>
  <si>
    <t>Fractionnement en</t>
  </si>
  <si>
    <t>Capital unique à</t>
  </si>
  <si>
    <t>somme en compte</t>
  </si>
  <si>
    <t>Fractionnement brut</t>
  </si>
  <si>
    <t>Fractionnement net</t>
  </si>
  <si>
    <t>Total cumulé (épuisement)</t>
  </si>
  <si>
    <t>Part</t>
  </si>
  <si>
    <t>Durée</t>
  </si>
  <si>
    <t>Pour Graph de fractionnement</t>
  </si>
  <si>
    <t>Sans effectuer de retrait*,</t>
  </si>
  <si>
    <t>*Si le contrat de l'assureur le permet</t>
  </si>
  <si>
    <t xml:space="preserve"> ans soit</t>
  </si>
  <si>
    <t>Net d'IR et PS</t>
  </si>
  <si>
    <t>VOTRE NOUVEAU PER</t>
  </si>
  <si>
    <t>Page 10</t>
  </si>
  <si>
    <t xml:space="preserve">     PFU</t>
  </si>
  <si>
    <t>PAGE 13</t>
  </si>
  <si>
    <t>PAGE 15</t>
  </si>
  <si>
    <t>Décès du souscripteur</t>
  </si>
  <si>
    <t>Décès du conjoint ou 
partenaire de PACS
 (cas de déblocage anticipé)</t>
  </si>
  <si>
    <t>Le capital versé au souscripteur est exonéré d’impôt sur le revenu, et les plus-values sont assujetties aux prélèvements sociaux de 17,2 %.</t>
  </si>
  <si>
    <r>
      <rPr>
        <b/>
        <sz val="11"/>
        <color theme="1"/>
        <rFont val="Optima LT Pro"/>
        <family val="2"/>
      </rPr>
      <t xml:space="preserve">Décès avant 70 ans : </t>
    </r>
    <r>
      <rPr>
        <sz val="11"/>
        <color theme="1"/>
        <rFont val="Optima LT Pro"/>
        <family val="2"/>
      </rPr>
      <t xml:space="preserve">
Taxation du capital à l’article 990 I du CGI (abattement de 152 500 € puis taxation à 20 % jusqu’à 700 000 € puis taxation à 31,25 %). Le conjoint survivant et le partenaire de PACS sont exonérés. 
</t>
    </r>
    <r>
      <rPr>
        <b/>
        <sz val="11"/>
        <color theme="1"/>
        <rFont val="Optima LT Pro"/>
        <family val="2"/>
      </rPr>
      <t xml:space="preserve">Décès après 70 ans : </t>
    </r>
    <r>
      <rPr>
        <sz val="11"/>
        <color theme="1"/>
        <rFont val="Optima LT Pro"/>
        <family val="2"/>
      </rPr>
      <t xml:space="preserve">
Taxation de la rente ou du capital à l’article 757 B du CGI (abattement de 30 500 € commun avec l’assurance-vie, puis taxation aux droits de succession). 
</t>
    </r>
    <r>
      <rPr>
        <b/>
        <sz val="11"/>
        <color theme="1"/>
        <rFont val="Optima LT Pro"/>
        <family val="2"/>
      </rPr>
      <t>Le conjoint survivant et le partenaire de PACS sont exonérés de taxation sur le capital.</t>
    </r>
    <r>
      <rPr>
        <sz val="11"/>
        <color theme="1"/>
        <rFont val="Optima LT Pro"/>
        <family val="2"/>
      </rPr>
      <t xml:space="preserve">
</t>
    </r>
    <r>
      <rPr>
        <i/>
        <sz val="11"/>
        <color theme="1"/>
        <rFont val="Optima LT Pro"/>
        <family val="2"/>
      </rPr>
      <t>En cas d’option du conjoint ou partenaire de PACS pour une rente viagère, celle-ci est taxée à l’impôt sur le revenu et prélèvements sociaux de 9,1%.</t>
    </r>
  </si>
  <si>
    <t>Capital unique</t>
  </si>
  <si>
    <t>Capital fractionné</t>
  </si>
  <si>
    <t>Afficher diapo</t>
  </si>
  <si>
    <t>De 2059 à …</t>
  </si>
  <si>
    <t>Variable en fonction des UC</t>
  </si>
  <si>
    <t>gratuit</t>
  </si>
  <si>
    <t>De 1994 à …</t>
  </si>
  <si>
    <t>Sur option : 
Exo cotisations
Bonne fin</t>
  </si>
  <si>
    <t>Oui sur option (30% à 100%)</t>
  </si>
  <si>
    <t>Standard
(En cas de décès avant la liquidation, choix au moment de la souscription (rente, capital, rente éducation)</t>
  </si>
  <si>
    <t>2023 : UC &lt; 60% : 3% - UC ≤ 70% : 3,4 % - UC ≤ 80% : 3,6% - UC ≤ 90% : 3,80% - UC &gt; 90% : 4%</t>
  </si>
  <si>
    <t>Oui sur option (30% ou 100%)</t>
  </si>
  <si>
    <t>Sur option : 
Exo cotisations
Dépendance</t>
  </si>
  <si>
    <t>Celle lors du versement</t>
  </si>
  <si>
    <t>Standard
(En cas de décès avant la liquidation, rente conjoint à 60 ans (mais possiblité d'anticpation))</t>
  </si>
  <si>
    <t>80 ans</t>
  </si>
  <si>
    <t>Oui sur option (60-100-150%)</t>
  </si>
  <si>
    <t>Inclus : 
Plancher décès</t>
  </si>
  <si>
    <t>De 2001 à 2012</t>
  </si>
  <si>
    <t>Oui sur option (60 à 100%)</t>
  </si>
  <si>
    <t>De 2012 à 2015</t>
  </si>
  <si>
    <t>Standard
(En cas de décès avant liquidation, rente viagère si décès avant 65 ans sinon rien)</t>
  </si>
  <si>
    <t>Au moment du versement</t>
  </si>
  <si>
    <t>Inclus : 
Plancher décès
Sur option : 
Exo cotisations
Bonne fin</t>
  </si>
  <si>
    <t>De 2015 à NC</t>
  </si>
  <si>
    <t>Inclus : 
Plancher décès 
Exo cotisations
Option :
Bonne fin</t>
  </si>
  <si>
    <t>Sur option</t>
  </si>
  <si>
    <t>De 2004 à 2015</t>
  </si>
  <si>
    <t>Sur option 0,3%</t>
  </si>
  <si>
    <t>1,8% avant 10 ans sinon 0%</t>
  </si>
  <si>
    <t>1% € et 1,1% UC</t>
  </si>
  <si>
    <t>Fin de validité :</t>
  </si>
  <si>
    <t>Date du jour :</t>
  </si>
  <si>
    <t>122</t>
  </si>
  <si>
    <t>Standard (Rente égale à 60 % des points 
acquis)</t>
  </si>
  <si>
    <t>Oui (60%)</t>
  </si>
  <si>
    <t>Celle du vst
Système par points</t>
  </si>
  <si>
    <t>Inclus 75 ans</t>
  </si>
  <si>
    <t>Oui sur option (80-100%)</t>
  </si>
  <si>
    <t>2% dégressif à 1,5%</t>
  </si>
  <si>
    <t>Option :
Bonne fin
Exo cotisations
Dépendance</t>
  </si>
  <si>
    <t>NC
(25% max fonds €)</t>
  </si>
  <si>
    <t>5 gratuits puis 0,5% maxi 150€</t>
  </si>
  <si>
    <t>Option : Plancher décès</t>
  </si>
  <si>
    <t>Oui (2 à 6 fois)</t>
  </si>
  <si>
    <t>Standard
(Capital 60% de la valeur en compte)</t>
  </si>
  <si>
    <t>Oui (2 à 4 fois)</t>
  </si>
  <si>
    <t>NC
(100% max fonds €)</t>
  </si>
  <si>
    <t>1 gratuit puis 0,5% maxi 150€</t>
  </si>
  <si>
    <t>0,8%
1,30% en gestion profilée</t>
  </si>
  <si>
    <t>Sur option 0,28%</t>
  </si>
  <si>
    <t>De 2002 à NC</t>
  </si>
  <si>
    <t>0,3% € et 1,8% UC</t>
  </si>
  <si>
    <t>0,1% maxi 30 €</t>
  </si>
  <si>
    <t>Standard (rente temporaire 10 ans)</t>
  </si>
  <si>
    <t>Oui sur option (60-100%)</t>
  </si>
  <si>
    <t>Option :
Plancher décès
Exo cotisations</t>
  </si>
  <si>
    <t>1 gratuit puis 1% maxi 150€</t>
  </si>
  <si>
    <t>Option :
Plancher décès
Bonne fin</t>
  </si>
  <si>
    <t>2,4% dégressif à 1%</t>
  </si>
  <si>
    <t>1 gratuit puis 0,6%</t>
  </si>
  <si>
    <t>Age de retraite</t>
  </si>
  <si>
    <t>Hypothèse de rendement net</t>
  </si>
  <si>
    <t>DMTG</t>
  </si>
  <si>
    <t>Bénéficiaire des capitaux</t>
  </si>
  <si>
    <t xml:space="preserve">Soit un éffort d'épargne de </t>
  </si>
  <si>
    <t>Comparer avec l'assurance vie</t>
  </si>
  <si>
    <t>Garantie exonération des cotisations</t>
  </si>
  <si>
    <t>Garantie de bonne fin</t>
  </si>
  <si>
    <t>Taux de frais garantie de bonne fin</t>
  </si>
  <si>
    <t>Taux de frais garantie exonération des cotisations</t>
  </si>
  <si>
    <t>Impossible</t>
  </si>
  <si>
    <t>Frais sur cotisation périodique</t>
  </si>
  <si>
    <t>Stratégie envisagée</t>
  </si>
  <si>
    <r>
      <t>Situation</t>
    </r>
    <r>
      <rPr>
        <i/>
        <sz val="8"/>
        <rFont val="Calibri"/>
        <family val="2"/>
      </rPr>
      <t xml:space="preserve"> (pour abattement assurance vie)</t>
    </r>
  </si>
  <si>
    <t>Nombre d'enfant</t>
  </si>
  <si>
    <r>
      <t xml:space="preserve">Choix du PERin </t>
    </r>
    <r>
      <rPr>
        <i/>
        <sz val="9"/>
        <rFont val="Calibri"/>
        <family val="2"/>
      </rPr>
      <t>(Gamme LAPLACE)</t>
    </r>
  </si>
  <si>
    <t>Hypothèse de rendement net (phase de liquidation)</t>
  </si>
  <si>
    <t>Capital fractionné en (nombre d'année)</t>
  </si>
  <si>
    <t>Simulation d'un décès du titulaire du PER à l'age de</t>
  </si>
  <si>
    <t>Inclus :
Plancher Décès
Sur option :
Exo cotisations</t>
  </si>
  <si>
    <t>Libre ou Horizon : 0,80% (€)  / 0,85% (UC)
/ 1,05 (FIA) Gestion déléguée 1,85%</t>
  </si>
  <si>
    <t>Sur option 0,28%de FG</t>
  </si>
  <si>
    <t>De 2019 à 2022</t>
  </si>
  <si>
    <t>4,75% dégressif à 3,25%</t>
  </si>
  <si>
    <t>0,70% (€) – 0,96% (UC)</t>
  </si>
  <si>
    <t>73 ans</t>
  </si>
  <si>
    <t>De 1990 à 1997</t>
  </si>
  <si>
    <t>NC
TMG 3,5%</t>
  </si>
  <si>
    <t>Sur option :
Exo cotisations</t>
  </si>
  <si>
    <t>Oui sur option (50- 60-100%)</t>
  </si>
  <si>
    <t>Plusieurs</t>
  </si>
  <si>
    <t>Non, à chaque versement</t>
  </si>
  <si>
    <t>Celui de l'assureur (=TMG)</t>
  </si>
  <si>
    <t>Capial ou rente</t>
  </si>
  <si>
    <t>Versements annuels bruts</t>
  </si>
  <si>
    <t>Total versements bruts</t>
  </si>
  <si>
    <t>Total économie IR</t>
  </si>
  <si>
    <t>Total capital terme</t>
  </si>
  <si>
    <t>Total épargne terme</t>
  </si>
  <si>
    <t>Versements annuels nets</t>
  </si>
  <si>
    <t>PS et IR sur fractionnement</t>
  </si>
  <si>
    <t>Projection PER</t>
  </si>
  <si>
    <t>Simulation d'un décès à l'age de</t>
  </si>
  <si>
    <t xml:space="preserve">A cet age, le somme à transmettre serait de </t>
  </si>
  <si>
    <t>Total effort d'épargne</t>
  </si>
  <si>
    <t>ans. Soit net de fiscalité</t>
  </si>
  <si>
    <t xml:space="preserve">Eonération jusqu'à </t>
  </si>
  <si>
    <t>Enfant(s)</t>
  </si>
  <si>
    <t>Total retraits nets cumulés avant le décès</t>
  </si>
  <si>
    <t>Transmission nette aux héritiers</t>
  </si>
  <si>
    <t>Conjoint</t>
  </si>
  <si>
    <t>Marie_Pacse</t>
  </si>
  <si>
    <t>Celibataire_Veuf_Divorce</t>
  </si>
  <si>
    <t>PS et IR sur rachat</t>
  </si>
  <si>
    <t>Rachat brut</t>
  </si>
  <si>
    <t>Ancienneté du contrat</t>
  </si>
  <si>
    <r>
      <t xml:space="preserve">IR
</t>
    </r>
    <r>
      <rPr>
        <i/>
        <sz val="9"/>
        <rFont val="Calibri"/>
        <family val="2"/>
        <scheme val="minor"/>
      </rPr>
      <t>(Si TMI</t>
    </r>
    <r>
      <rPr>
        <i/>
        <sz val="9"/>
        <rFont val="Aptos Narrow"/>
        <family val="2"/>
      </rPr>
      <t>≤</t>
    </r>
    <r>
      <rPr>
        <i/>
        <sz val="9"/>
        <rFont val="Calibri"/>
        <family val="2"/>
        <scheme val="minor"/>
      </rPr>
      <t>11%)</t>
    </r>
  </si>
  <si>
    <r>
      <t>PS</t>
    </r>
    <r>
      <rPr>
        <i/>
        <sz val="8"/>
        <rFont val="Calibri"/>
        <family val="2"/>
        <scheme val="minor"/>
      </rPr>
      <t xml:space="preserve"> 
(17.2%)* Î</t>
    </r>
  </si>
  <si>
    <r>
      <t>PFO</t>
    </r>
    <r>
      <rPr>
        <i/>
        <sz val="8"/>
        <rFont val="Calibri"/>
        <family val="2"/>
        <scheme val="minor"/>
      </rPr>
      <t xml:space="preserve"> (12,8% ou 7.5%)</t>
    </r>
  </si>
  <si>
    <t>Rachat brut annuel</t>
  </si>
  <si>
    <t>Rachat net annuel</t>
  </si>
  <si>
    <t>Capital brut à la date de retraite</t>
  </si>
  <si>
    <t>Capital net de PS à la date de retraite</t>
  </si>
  <si>
    <t>Fiscalité</t>
  </si>
  <si>
    <t>Résultat phase d'épargne</t>
  </si>
  <si>
    <t>Résultat phase retraite</t>
  </si>
  <si>
    <t>4% dégressif à 3%</t>
  </si>
  <si>
    <t>Option :
Plancher décès</t>
  </si>
  <si>
    <t>Total analysé</t>
  </si>
  <si>
    <t>De 2003 à NC</t>
  </si>
  <si>
    <t>De 1999 à 2002</t>
  </si>
  <si>
    <t>5% dégressif à 4%</t>
  </si>
  <si>
    <t>De 2000 à NC</t>
  </si>
  <si>
    <t>4% dégressif à 2,25%</t>
  </si>
  <si>
    <t>De 2012 à NC</t>
  </si>
  <si>
    <t>Option :
Plancher décès
Exo cotisations
Table garantie</t>
  </si>
  <si>
    <t>Inclus : 
Plancher décès
Sur option : 
Exo cotisations
Table garantie</t>
  </si>
  <si>
    <t>Inclus : 
Plancher décès
Sur option : 
Exo cotisations
Bonne fin
Table garantie</t>
  </si>
  <si>
    <t>Inclus : 
Plancher décès
Sur option :
Table garantie</t>
  </si>
  <si>
    <t>Inclus :
Plancher décès</t>
  </si>
  <si>
    <t>Inclus :
Plancher décès
Sur option : 
Exo cotisations</t>
  </si>
  <si>
    <t>Sur option : 
Plancher décès
Exo cotisations
Bonne fin
Table de mortalité</t>
  </si>
  <si>
    <t>Inclus :
Plancher décès
Sur option : Exo  cotisations</t>
  </si>
  <si>
    <t>Inclus :
Plancher décès
Sur option : 
Table de mortalité</t>
  </si>
  <si>
    <t>1 gratuit puis 0,8% maxi 300€</t>
  </si>
  <si>
    <t>Oui sur option (60-80-100%)</t>
  </si>
  <si>
    <t>Sur option 0,36% FG</t>
  </si>
  <si>
    <t>1 gratuit puis 0,6% maxi 300€</t>
  </si>
  <si>
    <t>Fonds € 2% - UC 1% - Pilotée 0,6%</t>
  </si>
  <si>
    <t xml:space="preserve">
Sur option : Plancher décès  Table garantie</t>
  </si>
  <si>
    <t>Espérance de vie -15 ans</t>
  </si>
  <si>
    <t>De 2019 à ..</t>
  </si>
  <si>
    <t xml:space="preserve">
Sur option : Plancher décès (0,24) Exo des cotisations (+3%) et bonne fin (+12%)</t>
  </si>
  <si>
    <t xml:space="preserve">
Sur option : Plancher décès (0,24) Exo des cotisations (+3%) et bonne fin (+12%)
Table garantie (+0,48%FG) </t>
  </si>
  <si>
    <t>Sur option en vigueur ou assureur</t>
  </si>
  <si>
    <t>Standard 
Rente temporaire</t>
  </si>
  <si>
    <t>Sur option 
Bonne fin (5%)
Exo des cotisations (2%)
Décès 150% (0,5%)</t>
  </si>
  <si>
    <t>Pas de fonds €</t>
  </si>
  <si>
    <t>Oui sur option (50 - 100%)</t>
  </si>
  <si>
    <t>Terme + 10 ans</t>
  </si>
  <si>
    <t>De 2008 à NC</t>
  </si>
  <si>
    <t>2 gratuits puis 0,3% maxi 50€</t>
  </si>
  <si>
    <t>Standard (Option 1 : rente temporaire 10 ans)(Option 2T ou 2P : rente viagère majorée bonne fin)</t>
  </si>
  <si>
    <t>Oui en 2P et 2T</t>
  </si>
  <si>
    <t>Inclus jsqu'au 80 ans</t>
  </si>
  <si>
    <t>Inclus en 2P et 2T</t>
  </si>
  <si>
    <t>Option 1 : rente individuelle
Option 2T : rente réversible 100% conjoint
Option 2P : rente réversible 60% conjoint
Inclus : Bonne fin et exo des cotisations</t>
  </si>
  <si>
    <t>TGF-TH05</t>
  </si>
  <si>
    <t>De 1980 à 2008</t>
  </si>
  <si>
    <t>Celui de l'assureur (3,50%)</t>
  </si>
  <si>
    <t>Standard (Option 1 : rente temporaire 10 ans)(Option 1A et 2 : rente viagère majorée bonne fin)</t>
  </si>
  <si>
    <t>Option 1 : rente individuelle
Option 1A : rente réversible 60% conjoint
Option 2 : rente réversible 100% conjoint
Inclus : Bonne fin en 1A et 2 et exo des cotisations (pour toutes)</t>
  </si>
  <si>
    <t>Oui en 1A et 2</t>
  </si>
  <si>
    <t>De 1993 à NC</t>
  </si>
  <si>
    <t>NC
TMG 2,75%</t>
  </si>
  <si>
    <t>Sur option :
Exo des cotisations</t>
  </si>
  <si>
    <t>Oui sur option (60 - 100-200%)</t>
  </si>
  <si>
    <t>Standard
(Rente temporaire ou capital)</t>
  </si>
  <si>
    <t>0,5% (maxi 50€)</t>
  </si>
  <si>
    <t>Oui sur option (60 - 75 - 100%)</t>
  </si>
  <si>
    <t>Inclus en 1A et 2</t>
  </si>
  <si>
    <t>Oui à l'édhésion du salarié</t>
  </si>
  <si>
    <t>TPRV93 ou TGH ou TGF05</t>
  </si>
  <si>
    <t>0,60% (€) – 0,96% (UC)</t>
  </si>
  <si>
    <t>TGH ou TGF05</t>
  </si>
  <si>
    <t>Sur option 
Bonne fin
Exo des cotisations
Décès 150%</t>
  </si>
  <si>
    <t>De NC à NC</t>
  </si>
  <si>
    <t>NC
TMG 2,5%</t>
  </si>
  <si>
    <t>0,5% (maxi 150€)</t>
  </si>
  <si>
    <t>Sur option en vigueur ou assureur 2,5%</t>
  </si>
  <si>
    <t>Standard
(Capital ou Rente temporaire)</t>
  </si>
  <si>
    <t>Standard
(Rente  viagère)</t>
  </si>
  <si>
    <t>Sur option 
Exo des cotisations (3%)</t>
  </si>
  <si>
    <t>Oui sur option (60  - 100%)</t>
  </si>
  <si>
    <t>Sur option 
Bonne fin</t>
  </si>
  <si>
    <t>De 2004 à 2012</t>
  </si>
  <si>
    <t>3% avant 10 ans sinon 0</t>
  </si>
  <si>
    <t>1% (€) – 1,1% (UC) - 0,5% (Gestion Pilotée)</t>
  </si>
  <si>
    <t>0,5% (15€ en ligne)</t>
  </si>
  <si>
    <t>TPRV93 ou en vigueur</t>
  </si>
  <si>
    <t>Oui pour adhésion avant 31/12/07</t>
  </si>
  <si>
    <t>Sur option 
Bonne fin
Exo des cotisations</t>
  </si>
  <si>
    <t>Inclus :
Plancher décès 
Sur option :
Bonne fin
Exo des cotisations
Table garantie</t>
  </si>
  <si>
    <t xml:space="preserve">Oui sur option (60-100- 200%) </t>
  </si>
  <si>
    <t>Inclus :
Bonne fin
Exo des cotisations</t>
  </si>
  <si>
    <t xml:space="preserve">1 gratuit puis 1% </t>
  </si>
  <si>
    <t>TPG93</t>
  </si>
  <si>
    <t>De 2001 à 2008</t>
  </si>
  <si>
    <t>Inclus :
Exo des cotisations</t>
  </si>
  <si>
    <t>TGH - TGF05</t>
  </si>
  <si>
    <t>De 1999 à 2008</t>
  </si>
  <si>
    <t>De 1986 à 2008</t>
  </si>
  <si>
    <t>NC
(TMG à 2% bruts 31/12/16)</t>
  </si>
  <si>
    <t>De 2008 à 2010</t>
  </si>
  <si>
    <t>Du 01/07/10 à 2013</t>
  </si>
  <si>
    <t>Oui en 2T 2P</t>
  </si>
  <si>
    <t>Du 01/01/13 à 2015</t>
  </si>
  <si>
    <t>NC 
(TMG 1,85% bruts 31/12/16)</t>
  </si>
  <si>
    <t>NC
(TMG 1,85% bruts 31/12/16)</t>
  </si>
  <si>
    <t>NC
 (TMG 1% bruts 31/12/16)</t>
  </si>
  <si>
    <t>Du 01/01/2015 à NC</t>
  </si>
  <si>
    <t>3 gratuits puis 0,3% maxi 50€</t>
  </si>
  <si>
    <t>Option  SR : rente individuelle
Option RT : rente réversible 100% conjoint
Option RP : rente réversible 60% conjoint
Inclus : Bonne fin et exo des cotisations</t>
  </si>
  <si>
    <t>Oui en RT et RP</t>
  </si>
  <si>
    <t>0,5% (15 € en ligne)</t>
  </si>
  <si>
    <t>De 2004 à 2014</t>
  </si>
  <si>
    <t>De 2004 à 2011</t>
  </si>
  <si>
    <t>Sur option :
 Exo des cotisation</t>
  </si>
  <si>
    <t xml:space="preserve">Oui sur option (60%) </t>
  </si>
  <si>
    <t>De 1998 à 2014</t>
  </si>
  <si>
    <t>Sur option : Garantie de bonne fin (option B )
Exo des cotisation (option A2)</t>
  </si>
  <si>
    <t>Standard
(Rente viagère option A1)</t>
  </si>
  <si>
    <t>De 2009 à NC</t>
  </si>
  <si>
    <t>2 gratuits puis 0,5% maxi 200€</t>
  </si>
  <si>
    <t>0% ou celui de l'assureur</t>
  </si>
  <si>
    <t>Sur option : Plancher décès, Exo des cotisation (+3%) et bonne fin
Table garantie</t>
  </si>
  <si>
    <t>De 2000 à 2007</t>
  </si>
  <si>
    <t>Sur option : 
Exo des cotisation (+3%) et bonne fin</t>
  </si>
  <si>
    <t>Espérance  de vie -15 ans</t>
  </si>
  <si>
    <t>De 1997 à NC</t>
  </si>
  <si>
    <t>Sur option : Garantie de rente</t>
  </si>
  <si>
    <t>0,5%, 0% en cas de changement de formule</t>
  </si>
  <si>
    <t>De 2004 à 2007</t>
  </si>
  <si>
    <t>Standard
(Rente temporaire ou viagère)</t>
  </si>
  <si>
    <t>De 2011 à NC</t>
  </si>
  <si>
    <t>Inclus :
Plancher Décès
Sur option :
Exo cotisations, Bonne fin</t>
  </si>
  <si>
    <t>74 ans</t>
  </si>
  <si>
    <t>Sur option 0,31%de FG</t>
  </si>
  <si>
    <t>Oui sur option (20% à 200%)</t>
  </si>
  <si>
    <t>De 1995 à NC</t>
  </si>
  <si>
    <t>Oui sur option (60% - 100%)</t>
  </si>
  <si>
    <t>Espérance de vie - 15 ans</t>
  </si>
  <si>
    <t>1 gratuit puis 1%</t>
  </si>
  <si>
    <t>1%,
(GM : 2,50%)</t>
  </si>
  <si>
    <t>1er gratuit puis 0,8%</t>
  </si>
  <si>
    <t>Sur option :
plancher décès</t>
  </si>
  <si>
    <t>De 1994 à 2005</t>
  </si>
  <si>
    <t>1 gratuit puis 0,5%</t>
  </si>
  <si>
    <t>Oui (25 ans maxi)</t>
  </si>
  <si>
    <t>1 gratuit puis 0,8%</t>
  </si>
  <si>
    <t>1%
1,60% Pilotée
1,50% Immo</t>
  </si>
  <si>
    <t>NC
Points</t>
  </si>
  <si>
    <t>NC (Sytème points)</t>
  </si>
  <si>
    <t xml:space="preserve">Oui  sur option (100% ou 200%) </t>
  </si>
  <si>
    <t>Inclus :
Plancher décès 
Sur option : 
Exo des cotisation (+3%) et bonne fin (+6%)</t>
  </si>
  <si>
    <t>Inclus :
Plancher décès  Option :
exo des cotisations (3%) et bonne fin (6%)</t>
  </si>
  <si>
    <t>Inclus :
Plancher décès
Option : 
Exo des cotisation (+3%)</t>
  </si>
  <si>
    <t>Oui sur option (50, 60 - 100%)</t>
  </si>
  <si>
    <t>De 2007 à 2016</t>
  </si>
  <si>
    <t>NC
(TMG sur vst&lt;28/07/18)</t>
  </si>
  <si>
    <t>Inclus :
Plancher décès
Option : 
Exo des cotisation (+3%) bonne fin (8%)</t>
  </si>
  <si>
    <t>4 gratuits puis 15€</t>
  </si>
  <si>
    <t>Inclus :
Plancher décès
Option : 
Exo des cotisation
Bonne fin</t>
  </si>
  <si>
    <t>Inclus :
Plancher décès
Option :
Exo des cotisation
Table de mortalité</t>
  </si>
  <si>
    <t>De 2002 à 2013</t>
  </si>
  <si>
    <t>Inclus :
Plancher Décès
Option :
Exo des cotisations</t>
  </si>
  <si>
    <t>De 2010 à 2017</t>
  </si>
  <si>
    <t>1% (€) - 1,50% (UC)</t>
  </si>
  <si>
    <t>0,5% (max 300€)</t>
  </si>
  <si>
    <t>Inclus : 
Plancher décès
Option : 
Exo des cotisation (+3%) et bonne fin (+8,75%)</t>
  </si>
  <si>
    <t>TPRV93 ou TGH-F 05</t>
  </si>
  <si>
    <t>1%
(GM 1,5%)</t>
  </si>
  <si>
    <t xml:space="preserve">Inclus :
Plancher décès </t>
  </si>
  <si>
    <t>Versement libre</t>
  </si>
  <si>
    <t>Frais sur versement libre</t>
  </si>
  <si>
    <t>Montant de la trésorerie IS</t>
  </si>
  <si>
    <t>Déclenchement des revenus à l'age de</t>
  </si>
  <si>
    <t>Revenus imposables du foyer N</t>
  </si>
  <si>
    <t>Fiscalité dividendes (PFU)</t>
  </si>
  <si>
    <t>Distribution</t>
  </si>
  <si>
    <t>Capitalisation</t>
  </si>
  <si>
    <t>Montant de l'investissement</t>
  </si>
  <si>
    <t>Hypothèse de performance nette (avant IS)</t>
  </si>
  <si>
    <t>Total trésorerie restant à investir</t>
  </si>
  <si>
    <t>Soit une distribution nécessaire de</t>
  </si>
  <si>
    <t>Montant de la CEHR N+1</t>
  </si>
  <si>
    <t>Exercice</t>
  </si>
  <si>
    <t>Trésorerie</t>
  </si>
  <si>
    <t>Intérets versés</t>
  </si>
  <si>
    <t>Hypothèse de revalorisation placement 1</t>
  </si>
  <si>
    <t>Pl2</t>
  </si>
  <si>
    <t>Pl1</t>
  </si>
  <si>
    <t>CI Placement</t>
  </si>
  <si>
    <t>Résutlat</t>
  </si>
  <si>
    <t>Net d'IS</t>
  </si>
  <si>
    <t>Net de PFU</t>
  </si>
  <si>
    <t>Rbst CCA</t>
  </si>
  <si>
    <t>Charges des intérets</t>
  </si>
  <si>
    <t>Résultat Fiscal</t>
  </si>
  <si>
    <t>Résultat fiscal avant imputation</t>
  </si>
  <si>
    <t>Déficit cumulés</t>
  </si>
  <si>
    <t>IS à payer</t>
  </si>
  <si>
    <t>Au terme du produit, réinvestissement sur le produit</t>
  </si>
  <si>
    <t>Solde CCA (+ajout des intérets)</t>
  </si>
  <si>
    <t>Réinvestissement des liquités résiduels sur placement 1</t>
  </si>
  <si>
    <t>Revalo fin de période</t>
  </si>
  <si>
    <t>Remboursement CCA à partir de</t>
  </si>
  <si>
    <t>Solde trésorerie
(perf 0%)</t>
  </si>
  <si>
    <t>Revalo</t>
  </si>
  <si>
    <t>Distribution nette de PFU</t>
  </si>
  <si>
    <t>% du résultat (placement 1) affecté au financement</t>
  </si>
  <si>
    <t>Age de la retraite</t>
  </si>
  <si>
    <t>Montant des pensions retraite</t>
  </si>
  <si>
    <t>Autres revenus imposables à la retraite</t>
  </si>
  <si>
    <t>Retraite</t>
  </si>
  <si>
    <t>Revenus N</t>
  </si>
  <si>
    <t>Revenus Comp</t>
  </si>
  <si>
    <t>Impot sur le revenu N</t>
  </si>
  <si>
    <t>IR retraite</t>
  </si>
  <si>
    <t>Delta</t>
  </si>
  <si>
    <r>
      <t xml:space="preserve">Durée de l'emprunt </t>
    </r>
    <r>
      <rPr>
        <sz val="11"/>
        <color rgb="FF2C3D38"/>
        <rFont val="Calibri"/>
        <family val="2"/>
        <scheme val="minor"/>
      </rPr>
      <t>en mois</t>
    </r>
  </si>
  <si>
    <t>Somme I</t>
  </si>
  <si>
    <t>Total intérets</t>
  </si>
  <si>
    <t>année</t>
  </si>
  <si>
    <t>Somme CRD</t>
  </si>
  <si>
    <t>Total rbst capital</t>
  </si>
  <si>
    <t>Distribution dividendes</t>
  </si>
  <si>
    <t>Besoin de distribution net de PFU N (projet perso)</t>
  </si>
  <si>
    <t>Détail</t>
  </si>
  <si>
    <t>Somme empruntée à titre perso</t>
  </si>
  <si>
    <t>Somme empruntée dans la société</t>
  </si>
  <si>
    <t>Rbst capital emprunt (société)</t>
  </si>
  <si>
    <t>Besoin de rbst crédit perso avant PFU</t>
  </si>
  <si>
    <t>Besoin rbst crédit net</t>
  </si>
  <si>
    <t>Besoin de revenu si distri (avant PFU)</t>
  </si>
  <si>
    <t>Stratégie financement projet perso</t>
  </si>
  <si>
    <t>Stratégie financement liquidités IS</t>
  </si>
  <si>
    <t>Ne pas distribuer mais financement bancaire</t>
  </si>
  <si>
    <t>Solde tréso + résultat N</t>
  </si>
  <si>
    <t>Besoin de revenu net</t>
  </si>
  <si>
    <t>Solde tréso à réinvest PL1</t>
  </si>
  <si>
    <t>Apport en CCA (déjà inclus dans la tréso)</t>
  </si>
  <si>
    <t>Solde tréso à réinvest PL2</t>
  </si>
  <si>
    <t>Total tréso N</t>
  </si>
  <si>
    <t>Tréso N</t>
  </si>
  <si>
    <t>Base taxable à l'IS après deficit</t>
  </si>
  <si>
    <t>Tréso N après IS</t>
  </si>
  <si>
    <t>Evol CCA avant Rbst</t>
  </si>
  <si>
    <t xml:space="preserve">Résultat </t>
  </si>
  <si>
    <t>Injecter un emprunt initial</t>
  </si>
  <si>
    <t>% du résultat (placement 1) affecté à un financement supplémentaire</t>
  </si>
  <si>
    <t>dont "surfinancement"</t>
  </si>
  <si>
    <t>Injection CCA</t>
  </si>
  <si>
    <t>Utilisation de l'emprunt dans la société</t>
  </si>
  <si>
    <t>Choix du régime obligatoire</t>
  </si>
  <si>
    <t>Régime obligatoire</t>
  </si>
  <si>
    <t>Salarié</t>
  </si>
  <si>
    <t>Arret de travail</t>
  </si>
  <si>
    <t>Invalidité 100% + majo. tierce pers</t>
  </si>
  <si>
    <t>Rente conjoint</t>
  </si>
  <si>
    <t xml:space="preserve">Arret de travail période </t>
  </si>
  <si>
    <t xml:space="preserve">Frais professionnels pour l’entreprise </t>
  </si>
  <si>
    <t>Invalidité de 0 à 15%</t>
  </si>
  <si>
    <t>Invalidité de 16% à 33%</t>
  </si>
  <si>
    <t>Invalidité de 33% à 66%</t>
  </si>
  <si>
    <t>Invalidité de 66% à 100%</t>
  </si>
  <si>
    <t>Invalidité</t>
  </si>
  <si>
    <t>Décès</t>
  </si>
  <si>
    <t>Doubement des capitaux si décès par accident</t>
  </si>
  <si>
    <t>Rente éducation</t>
  </si>
  <si>
    <t>Frais d'obsèques</t>
  </si>
  <si>
    <t>Période</t>
  </si>
  <si>
    <t>0 à 3 jours</t>
  </si>
  <si>
    <t>4 à 30 jours</t>
  </si>
  <si>
    <t>31 à 365 jours</t>
  </si>
  <si>
    <t>366 à 1095 jours</t>
  </si>
  <si>
    <t>1% (1.50%Gestion sous mandat)</t>
  </si>
  <si>
    <t>Sur option :
Plancher Décès
Exo cotisations
Décès accidentel</t>
  </si>
  <si>
    <t>Sortie en capital</t>
  </si>
  <si>
    <t>ORIGINEO BY CRYSTAL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</si>
</sst>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_(* #,##0.00_);_(* \(#,##0.00\);_(* &quot;-&quot;??_);_(@_)"/>
    <numFmt numFmtId="166" formatCode="d/m/yy\ h:mm;@"/>
    <numFmt numFmtId="167" formatCode="#,##0.00\ &quot;€&quot;"/>
    <numFmt numFmtId="168" formatCode="0.0%"/>
    <numFmt numFmtId="169" formatCode="#,##0\ &quot;€&quot;"/>
    <numFmt numFmtId="170" formatCode="[$-40C]d\ mmmm\ yyyy;@"/>
    <numFmt numFmtId="171" formatCode="0.0000%"/>
    <numFmt numFmtId="172" formatCode="#,##0\ &quot;€&quot;;[Red]#,##0\ &quot;€&quot;"/>
  </numFmts>
  <fonts count="159">
    <font>
      <sz val="11"/>
      <color theme="1"/>
      <name val="Calibri"/>
      <family val="2"/>
      <scheme val="minor"/>
    </font>
    <font>
      <sz val="11"/>
      <color theme="0"/>
      <name val="Calibri"/>
      <family val="2"/>
      <scheme val="minor"/>
    </font>
    <font>
      <i/>
      <sz val="10"/>
      <color theme="1"/>
      <name val="Calibri"/>
      <family val="2"/>
      <scheme val="minor"/>
    </font>
    <font>
      <sz val="9"/>
      <color theme="1"/>
      <name val="Calibri"/>
      <family val="2"/>
      <scheme val="minor"/>
    </font>
    <font>
      <sz val="10"/>
      <name val="Arial"/>
      <family val="2"/>
    </font>
    <font>
      <sz val="9"/>
      <name val="Calibri"/>
      <family val="2"/>
      <scheme val="minor"/>
    </font>
    <font>
      <b/>
      <i/>
      <sz val="9"/>
      <name val="Calibri"/>
      <family val="2"/>
      <scheme val="minor"/>
    </font>
    <font>
      <i/>
      <sz val="9"/>
      <color theme="1"/>
      <name val="Calibri"/>
      <family val="2"/>
      <scheme val="minor"/>
    </font>
    <font>
      <b/>
      <sz val="9"/>
      <color indexed="81"/>
      <name val="Tahoma"/>
      <family val="2"/>
    </font>
    <font>
      <sz val="8"/>
      <name val="Calibri"/>
      <family val="2"/>
      <scheme val="minor"/>
    </font>
    <font>
      <sz val="8"/>
      <color indexed="81"/>
      <name val="Tahoma"/>
      <family val="2"/>
    </font>
    <font>
      <i/>
      <sz val="10"/>
      <name val="Calibri"/>
      <family val="2"/>
      <scheme val="minor"/>
    </font>
    <font>
      <b/>
      <sz val="11"/>
      <color theme="1"/>
      <name val="Calibri"/>
      <family val="2"/>
      <scheme val="minor"/>
    </font>
    <font>
      <sz val="10"/>
      <color theme="1"/>
      <name val="Arial"/>
      <family val="2"/>
    </font>
    <font>
      <b/>
      <sz val="10"/>
      <color theme="1"/>
      <name val="Arial"/>
      <family val="2"/>
    </font>
    <font>
      <sz val="9"/>
      <color indexed="81"/>
      <name val="Tahoma"/>
      <family val="2"/>
    </font>
    <font>
      <sz val="10"/>
      <color indexed="8"/>
      <name val="Calibri"/>
      <family val="2"/>
      <scheme val="minor"/>
    </font>
    <font>
      <b/>
      <sz val="10"/>
      <color indexed="8"/>
      <name val="Calibri"/>
      <family val="2"/>
      <scheme val="minor"/>
    </font>
    <font>
      <b/>
      <sz val="10"/>
      <color theme="1"/>
      <name val="Calibri"/>
      <family val="2"/>
      <scheme val="minor"/>
    </font>
    <font>
      <sz val="10"/>
      <color theme="1"/>
      <name val="Calibri"/>
      <family val="2"/>
      <scheme val="minor"/>
    </font>
    <font>
      <sz val="10"/>
      <color indexed="23"/>
      <name val="Calibri"/>
      <family val="2"/>
      <scheme val="minor"/>
    </font>
    <font>
      <b/>
      <sz val="10"/>
      <name val="Calibri"/>
      <family val="2"/>
      <scheme val="minor"/>
    </font>
    <font>
      <i/>
      <sz val="10"/>
      <color indexed="8"/>
      <name val="Calibri"/>
      <family val="2"/>
      <scheme val="minor"/>
    </font>
    <font>
      <sz val="10"/>
      <color indexed="61"/>
      <name val="Calibri"/>
      <family val="2"/>
      <scheme val="minor"/>
    </font>
    <font>
      <sz val="8"/>
      <color indexed="23"/>
      <name val="Calibri"/>
      <family val="2"/>
      <scheme val="minor"/>
    </font>
    <font>
      <b/>
      <sz val="11"/>
      <color rgb="FF0F6596"/>
      <name val="Calibri"/>
      <family val="2"/>
      <scheme val="minor"/>
    </font>
    <font>
      <sz val="11"/>
      <color theme="0"/>
      <name val="Arial"/>
      <family val="2"/>
    </font>
    <font>
      <b/>
      <sz val="11"/>
      <color theme="5"/>
      <name val="Calibri"/>
      <family val="2"/>
      <scheme val="minor"/>
    </font>
    <font>
      <b/>
      <sz val="10"/>
      <color theme="5"/>
      <name val="Calibri"/>
      <family val="2"/>
      <scheme val="minor"/>
    </font>
    <font>
      <b/>
      <sz val="11"/>
      <name val="Calibri"/>
      <family val="2"/>
      <scheme val="minor"/>
    </font>
    <font>
      <sz val="11"/>
      <name val="Calibri"/>
      <family val="2"/>
      <scheme val="minor"/>
    </font>
    <font>
      <i/>
      <sz val="8"/>
      <color theme="1"/>
      <name val="Calibri"/>
      <family val="2"/>
      <scheme val="minor"/>
    </font>
    <font>
      <b/>
      <sz val="11"/>
      <color theme="0"/>
      <name val="Arial"/>
      <family val="2"/>
    </font>
    <font>
      <b/>
      <sz val="11"/>
      <color theme="1"/>
      <name val="Arial"/>
      <family val="2"/>
    </font>
    <font>
      <sz val="11"/>
      <color theme="1"/>
      <name val="Arial"/>
      <family val="2"/>
    </font>
    <font>
      <i/>
      <sz val="9"/>
      <color theme="1"/>
      <name val="Arial"/>
      <family val="2"/>
    </font>
    <font>
      <i/>
      <sz val="8"/>
      <color theme="1"/>
      <name val="Arial"/>
      <family val="2"/>
    </font>
    <font>
      <sz val="8"/>
      <color theme="1"/>
      <name val="Arial"/>
      <family val="2"/>
    </font>
    <font>
      <i/>
      <sz val="8"/>
      <color theme="0"/>
      <name val="Arial"/>
      <family val="2"/>
    </font>
    <font>
      <sz val="8"/>
      <color theme="0"/>
      <name val="Arial"/>
      <family val="2"/>
    </font>
    <font>
      <b/>
      <sz val="8"/>
      <color theme="0"/>
      <name val="Arial"/>
      <family val="2"/>
    </font>
    <font>
      <b/>
      <sz val="8"/>
      <color theme="1"/>
      <name val="Arial"/>
      <family val="2"/>
    </font>
    <font>
      <b/>
      <i/>
      <sz val="8"/>
      <color theme="0"/>
      <name val="Arial"/>
      <family val="2"/>
    </font>
    <font>
      <sz val="8"/>
      <color theme="1"/>
      <name val="Calibri"/>
      <family val="2"/>
      <scheme val="minor"/>
    </font>
    <font>
      <b/>
      <sz val="8"/>
      <color theme="1"/>
      <name val="Calibri"/>
      <family val="2"/>
      <scheme val="minor"/>
    </font>
    <font>
      <b/>
      <sz val="9"/>
      <color theme="1"/>
      <name val="Calibri"/>
      <family val="2"/>
      <scheme val="minor"/>
    </font>
    <font>
      <b/>
      <i/>
      <sz val="9"/>
      <color theme="0"/>
      <name val="Calibri"/>
      <family val="2"/>
      <scheme val="minor"/>
    </font>
    <font>
      <b/>
      <sz val="9"/>
      <name val="Calibri"/>
      <family val="2"/>
      <scheme val="minor"/>
    </font>
    <font>
      <i/>
      <sz val="9"/>
      <color theme="0"/>
      <name val="Calibri"/>
      <family val="2"/>
      <scheme val="minor"/>
    </font>
    <font>
      <b/>
      <sz val="9"/>
      <color theme="0"/>
      <name val="Calibri"/>
      <family val="2"/>
      <scheme val="minor"/>
    </font>
    <font>
      <b/>
      <sz val="8"/>
      <color rgb="FF0070C0"/>
      <name val="Calibri"/>
      <family val="2"/>
      <scheme val="minor"/>
    </font>
    <font>
      <i/>
      <sz val="8"/>
      <color rgb="FF0070C0"/>
      <name val="Calibri"/>
      <family val="2"/>
      <scheme val="minor"/>
    </font>
    <font>
      <i/>
      <sz val="7"/>
      <color rgb="FF0070C0"/>
      <name val="Calibri"/>
      <family val="2"/>
      <scheme val="minor"/>
    </font>
    <font>
      <i/>
      <sz val="7"/>
      <name val="Calibri"/>
      <family val="2"/>
      <scheme val="minor"/>
    </font>
    <font>
      <b/>
      <i/>
      <sz val="7"/>
      <color rgb="FF0070C0"/>
      <name val="Calibri"/>
      <family val="2"/>
      <scheme val="minor"/>
    </font>
    <font>
      <i/>
      <sz val="7"/>
      <color theme="0"/>
      <name val="Calibri"/>
      <family val="2"/>
      <scheme val="minor"/>
    </font>
    <font>
      <sz val="7"/>
      <color theme="1"/>
      <name val="Calibri"/>
      <family val="2"/>
      <scheme val="minor"/>
    </font>
    <font>
      <i/>
      <sz val="7"/>
      <color theme="1"/>
      <name val="Calibri"/>
      <family val="2"/>
      <scheme val="minor"/>
    </font>
    <font>
      <i/>
      <sz val="9"/>
      <name val="Calibri"/>
      <family val="2"/>
      <scheme val="minor"/>
    </font>
    <font>
      <sz val="8"/>
      <color theme="5"/>
      <name val="Arial"/>
      <family val="2"/>
    </font>
    <font>
      <i/>
      <sz val="8"/>
      <color theme="3"/>
      <name val="Arial"/>
      <family val="2"/>
    </font>
    <font>
      <sz val="8"/>
      <color theme="3"/>
      <name val="Arial"/>
      <family val="2"/>
    </font>
    <font>
      <i/>
      <sz val="8"/>
      <color theme="5"/>
      <name val="Arial"/>
      <family val="2"/>
    </font>
    <font>
      <sz val="10"/>
      <color theme="5"/>
      <name val="Calibri"/>
      <family val="2"/>
      <scheme val="minor"/>
    </font>
    <font>
      <sz val="11"/>
      <color theme="5"/>
      <name val="Calibri"/>
      <family val="2"/>
      <scheme val="minor"/>
    </font>
    <font>
      <i/>
      <sz val="9"/>
      <color theme="5"/>
      <name val="Calibri"/>
      <family val="2"/>
      <scheme val="minor"/>
    </font>
    <font>
      <b/>
      <sz val="10"/>
      <color rgb="FF000000"/>
      <name val="Calibri"/>
      <family val="2"/>
      <scheme val="minor"/>
    </font>
    <font>
      <sz val="8"/>
      <color theme="7"/>
      <name val="Optima LT Pro"/>
      <family val="2"/>
    </font>
    <font>
      <sz val="26"/>
      <color theme="1"/>
      <name val="Optima LT Pro"/>
      <family val="2"/>
    </font>
    <font>
      <b/>
      <sz val="48"/>
      <color theme="0"/>
      <name val="Optima LT Pro"/>
      <family val="2"/>
    </font>
    <font>
      <sz val="26"/>
      <color theme="0"/>
      <name val="Optima LT Pro"/>
      <family val="2"/>
    </font>
    <font>
      <b/>
      <sz val="26"/>
      <color theme="0"/>
      <name val="Optima LT Pro"/>
      <family val="2"/>
    </font>
    <font>
      <b/>
      <sz val="26"/>
      <color theme="1"/>
      <name val="Optima LT Pro"/>
      <family val="2"/>
    </font>
    <font>
      <b/>
      <sz val="72"/>
      <color theme="0"/>
      <name val="Optima LT Pro"/>
      <family val="2"/>
    </font>
    <font>
      <i/>
      <sz val="26"/>
      <color theme="0"/>
      <name val="Optima LT Pro"/>
      <family val="2"/>
    </font>
    <font>
      <sz val="11"/>
      <color theme="1" tint="0.34998626667073579"/>
      <name val="Calibri"/>
      <family val="2"/>
      <scheme val="minor"/>
    </font>
    <font>
      <sz val="11"/>
      <color theme="1"/>
      <name val="Optima LT Pro"/>
      <family val="2"/>
    </font>
    <font>
      <b/>
      <sz val="11"/>
      <color theme="1"/>
      <name val="Optima LT Pro"/>
      <family val="2"/>
    </font>
    <font>
      <b/>
      <sz val="14"/>
      <name val="Optima LT Pro"/>
      <family val="2"/>
    </font>
    <font>
      <b/>
      <sz val="14"/>
      <color theme="1"/>
      <name val="Optima LT Pro"/>
      <family val="2"/>
    </font>
    <font>
      <b/>
      <sz val="14"/>
      <color theme="0"/>
      <name val="Optima LT Pro"/>
      <family val="2"/>
    </font>
    <font>
      <i/>
      <sz val="11"/>
      <color theme="1"/>
      <name val="Optima LT Pro"/>
      <family val="2"/>
    </font>
    <font>
      <b/>
      <sz val="9"/>
      <color theme="1" tint="0.499984740745262"/>
      <name val="Calibri"/>
      <family val="2"/>
      <scheme val="minor"/>
    </font>
    <font>
      <i/>
      <sz val="9"/>
      <color theme="1" tint="0.499984740745262"/>
      <name val="Calibri"/>
      <family val="2"/>
      <scheme val="minor"/>
    </font>
    <font>
      <sz val="9"/>
      <color theme="1" tint="0.499984740745262"/>
      <name val="Calibri"/>
      <family val="2"/>
      <scheme val="minor"/>
    </font>
    <font>
      <sz val="8"/>
      <name val="Arial"/>
      <family val="2"/>
    </font>
    <font>
      <i/>
      <sz val="8"/>
      <name val="Arial"/>
      <family val="2"/>
    </font>
    <font>
      <b/>
      <sz val="8"/>
      <name val="Arial"/>
      <family val="2"/>
    </font>
    <font>
      <sz val="8"/>
      <color theme="0"/>
      <name val="Calibri"/>
      <family val="2"/>
      <scheme val="minor"/>
    </font>
    <font>
      <b/>
      <sz val="8"/>
      <color indexed="81"/>
      <name val="Tahoma"/>
      <family val="2"/>
    </font>
    <font>
      <i/>
      <sz val="8"/>
      <color theme="0"/>
      <name val="Calibri"/>
      <family val="2"/>
      <scheme val="minor"/>
    </font>
    <font>
      <b/>
      <sz val="9"/>
      <color rgb="FF0070C0"/>
      <name val="Calibri"/>
      <family val="2"/>
      <scheme val="minor"/>
    </font>
    <font>
      <i/>
      <sz val="8"/>
      <name val="Calibri"/>
      <family val="2"/>
      <scheme val="minor"/>
    </font>
    <font>
      <b/>
      <i/>
      <sz val="8"/>
      <color rgb="FF0070C0"/>
      <name val="Calibri"/>
      <family val="2"/>
      <scheme val="minor"/>
    </font>
    <font>
      <sz val="9"/>
      <color theme="0"/>
      <name val="Calibri"/>
      <family val="2"/>
      <scheme val="minor"/>
    </font>
    <font>
      <sz val="12"/>
      <color theme="1"/>
      <name val="Optima LT Pro"/>
      <family val="2"/>
    </font>
    <font>
      <b/>
      <sz val="8"/>
      <color theme="7" tint="-0.249977111117893"/>
      <name val="Calibri"/>
      <family val="2"/>
      <scheme val="minor"/>
    </font>
    <font>
      <i/>
      <sz val="10"/>
      <color theme="1"/>
      <name val="Optima LT Pro"/>
      <family val="2"/>
    </font>
    <font>
      <sz val="10"/>
      <color theme="1"/>
      <name val="Optima LT Pro"/>
      <family val="2"/>
    </font>
    <font>
      <i/>
      <sz val="8"/>
      <color theme="0" tint="-0.499984740745262"/>
      <name val="Optima LT Pro"/>
      <family val="2"/>
    </font>
    <font>
      <b/>
      <sz val="11"/>
      <color theme="7" tint="-9.9978637043366805E-2"/>
      <name val="Optima LT Pro"/>
      <family val="2"/>
    </font>
    <font>
      <sz val="11"/>
      <color theme="7" tint="-9.9978637043366805E-2"/>
      <name val="Optima LT Pro"/>
      <family val="2"/>
    </font>
    <font>
      <sz val="9"/>
      <color theme="1"/>
      <name val="Calibri"/>
      <family val="2"/>
    </font>
    <font>
      <b/>
      <sz val="9"/>
      <name val="Calibri"/>
      <family val="2"/>
    </font>
    <font>
      <b/>
      <sz val="9"/>
      <color rgb="FFFFFFFF"/>
      <name val="Calibri"/>
      <family val="2"/>
    </font>
    <font>
      <sz val="9"/>
      <name val="Calibri"/>
      <family val="2"/>
    </font>
    <font>
      <i/>
      <sz val="9"/>
      <name val="Calibri"/>
      <family val="2"/>
    </font>
    <font>
      <sz val="11"/>
      <color theme="7" tint="-0.499984740745262"/>
      <name val="Calibri"/>
      <family val="2"/>
      <scheme val="minor"/>
    </font>
    <font>
      <sz val="8"/>
      <color theme="5"/>
      <name val="Calibri"/>
      <family val="2"/>
      <scheme val="minor"/>
    </font>
    <font>
      <i/>
      <sz val="8"/>
      <name val="Calibri"/>
      <family val="2"/>
    </font>
    <font>
      <i/>
      <sz val="8"/>
      <color theme="1"/>
      <name val="Calibri"/>
      <family val="2"/>
    </font>
    <font>
      <b/>
      <sz val="11"/>
      <color theme="0"/>
      <name val="Calibri"/>
      <family val="2"/>
      <scheme val="minor"/>
    </font>
    <font>
      <b/>
      <sz val="10"/>
      <color theme="0"/>
      <name val="Calibri"/>
      <family val="2"/>
      <scheme val="minor"/>
    </font>
    <font>
      <b/>
      <sz val="14"/>
      <color theme="0"/>
      <name val="Arial"/>
      <family val="2"/>
    </font>
    <font>
      <b/>
      <i/>
      <sz val="12"/>
      <color theme="0"/>
      <name val="Arial"/>
      <family val="2"/>
    </font>
    <font>
      <b/>
      <sz val="11"/>
      <name val="Arial"/>
      <family val="2"/>
    </font>
    <font>
      <b/>
      <i/>
      <sz val="11"/>
      <color theme="0"/>
      <name val="Arial"/>
      <family val="2"/>
    </font>
    <font>
      <sz val="9"/>
      <color theme="0"/>
      <name val="Calibri"/>
      <family val="2"/>
    </font>
    <font>
      <b/>
      <sz val="9"/>
      <color theme="0"/>
      <name val="Calibri"/>
      <family val="2"/>
    </font>
    <font>
      <i/>
      <sz val="8"/>
      <color theme="0"/>
      <name val="Calibri"/>
      <family val="2"/>
    </font>
    <font>
      <i/>
      <sz val="8"/>
      <color indexed="81"/>
      <name val="Tahoma"/>
      <family val="2"/>
    </font>
    <font>
      <b/>
      <sz val="9"/>
      <color theme="7" tint="-0.499984740745262"/>
      <name val="Calibri"/>
      <family val="2"/>
      <scheme val="minor"/>
    </font>
    <font>
      <b/>
      <sz val="9"/>
      <color theme="1"/>
      <name val="Calibri"/>
      <family val="2"/>
    </font>
    <font>
      <i/>
      <sz val="8"/>
      <color theme="7" tint="-0.499984740745262"/>
      <name val="Calibri"/>
      <family val="2"/>
      <scheme val="minor"/>
    </font>
    <font>
      <i/>
      <sz val="9"/>
      <color theme="1"/>
      <name val="Optima LT Pro"/>
      <family val="2"/>
    </font>
    <font>
      <i/>
      <sz val="8"/>
      <color theme="1"/>
      <name val="Optima LT Pro"/>
      <family val="2"/>
    </font>
    <font>
      <b/>
      <sz val="10"/>
      <color theme="1"/>
      <name val="Optima LT Pro"/>
      <family val="2"/>
    </font>
    <font>
      <b/>
      <sz val="10"/>
      <color theme="0"/>
      <name val="Optima LT Pro"/>
      <family val="2"/>
    </font>
    <font>
      <b/>
      <sz val="10"/>
      <color theme="7" tint="-0.499984740745262"/>
      <name val="Optima LT Pro"/>
      <family val="2"/>
    </font>
    <font>
      <sz val="10"/>
      <color theme="0"/>
      <name val="Optima LT Pro"/>
      <family val="2"/>
    </font>
    <font>
      <b/>
      <i/>
      <sz val="10"/>
      <color theme="1"/>
      <name val="Optima LT Pro"/>
      <family val="2"/>
    </font>
    <font>
      <sz val="11"/>
      <color theme="8" tint="0.59999389629810485"/>
      <name val="Calibri"/>
      <family val="2"/>
      <scheme val="minor"/>
    </font>
    <font>
      <sz val="9"/>
      <color theme="1"/>
      <name val="Optima LT Pro"/>
      <family val="2"/>
    </font>
    <font>
      <sz val="9"/>
      <color theme="0"/>
      <name val="Optima LT Pro"/>
      <family val="2"/>
    </font>
    <font>
      <sz val="9"/>
      <name val="Optima LT Pro"/>
      <family val="2"/>
    </font>
    <font>
      <b/>
      <sz val="9"/>
      <color theme="1"/>
      <name val="Optima LT Pro"/>
      <family val="2"/>
    </font>
    <font>
      <b/>
      <sz val="11"/>
      <name val="Optima LT Pro"/>
      <family val="2"/>
    </font>
    <font>
      <b/>
      <sz val="11"/>
      <color theme="5"/>
      <name val="Optima LT Pro"/>
      <family val="2"/>
    </font>
    <font>
      <b/>
      <sz val="9"/>
      <color rgb="FFFF0000"/>
      <name val="Calibri"/>
      <family val="2"/>
    </font>
    <font>
      <sz val="8"/>
      <color rgb="FFFF0000"/>
      <name val="Calibri"/>
      <family val="2"/>
      <scheme val="minor"/>
    </font>
    <font>
      <i/>
      <sz val="11"/>
      <color theme="1"/>
      <name val="Calibri"/>
      <family val="2"/>
      <scheme val="minor"/>
    </font>
    <font>
      <b/>
      <i/>
      <sz val="8"/>
      <color theme="1"/>
      <name val="Calibri"/>
      <family val="2"/>
      <scheme val="minor"/>
    </font>
    <font>
      <i/>
      <sz val="9"/>
      <name val="Aptos Narrow"/>
      <family val="2"/>
    </font>
    <font>
      <b/>
      <sz val="11"/>
      <color theme="1" tint="0.499984740745262"/>
      <name val="Calibri"/>
      <family val="2"/>
      <scheme val="minor"/>
    </font>
    <font>
      <sz val="11"/>
      <color theme="1"/>
      <name val="Calibri"/>
      <family val="2"/>
      <scheme val="minor"/>
    </font>
    <font>
      <i/>
      <sz val="10"/>
      <color theme="7" tint="-0.499984740745262"/>
      <name val="Calibri"/>
      <family val="2"/>
      <scheme val="minor"/>
    </font>
    <font>
      <i/>
      <sz val="8"/>
      <color rgb="FF94673A"/>
      <name val="Calibri"/>
      <family val="2"/>
      <scheme val="minor"/>
    </font>
    <font>
      <i/>
      <sz val="8"/>
      <color indexed="81"/>
      <name val="Calibri"/>
      <family val="2"/>
      <scheme val="minor"/>
    </font>
    <font>
      <b/>
      <sz val="10"/>
      <color theme="2"/>
      <name val="Calibri"/>
      <family val="2"/>
      <scheme val="minor"/>
    </font>
    <font>
      <i/>
      <sz val="9"/>
      <color theme="2"/>
      <name val="Calibri"/>
      <family val="2"/>
      <scheme val="minor"/>
    </font>
    <font>
      <i/>
      <sz val="10"/>
      <color theme="0"/>
      <name val="Calibri"/>
      <family val="2"/>
      <scheme val="minor"/>
    </font>
    <font>
      <sz val="11"/>
      <color rgb="FFFF0000"/>
      <name val="Calibri"/>
      <family val="2"/>
      <scheme val="minor"/>
    </font>
    <font>
      <sz val="9"/>
      <color theme="0" tint="-0.499984740745262"/>
      <name val="Calibri"/>
      <family val="2"/>
      <scheme val="minor"/>
    </font>
    <font>
      <b/>
      <sz val="11"/>
      <color rgb="FF2C3D38"/>
      <name val="Calibri"/>
      <family val="2"/>
      <scheme val="minor"/>
    </font>
    <font>
      <sz val="11"/>
      <color rgb="FF2C3D38"/>
      <name val="Calibri"/>
      <family val="2"/>
      <scheme val="minor"/>
    </font>
    <font>
      <sz val="9"/>
      <color rgb="FF2C3D38"/>
      <name val="Calibri"/>
      <family val="2"/>
    </font>
    <font>
      <sz val="10"/>
      <color theme="0"/>
      <name val="Calibri"/>
      <family val="2"/>
      <scheme val="minor"/>
    </font>
    <font>
      <sz val="9"/>
      <color rgb="FFFF0000"/>
      <name val="Calibri"/>
      <family val="2"/>
    </font>
    <font>
      <b/>
      <sz val="8"/>
      <name val="Calibri"/>
      <family val="2"/>
    </font>
  </fonts>
  <fills count="25">
    <fill>
      <patternFill patternType="none"/>
    </fill>
    <fill>
      <patternFill patternType="gray125"/>
    </fill>
    <fill>
      <patternFill patternType="solid">
        <fgColor theme="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rgb="FFF9F9F9"/>
        <bgColor indexed="64"/>
      </patternFill>
    </fill>
    <fill>
      <patternFill patternType="solid">
        <fgColor rgb="FFF0F4F3"/>
        <bgColor indexed="64"/>
      </patternFill>
    </fill>
    <fill>
      <patternFill patternType="solid">
        <fgColor rgb="FFDDEBF7"/>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2C3D38"/>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rgb="FF002060"/>
        <bgColor indexed="64"/>
      </patternFill>
    </fill>
    <fill>
      <patternFill patternType="solid">
        <fgColor rgb="FF990033"/>
        <bgColor indexed="64"/>
      </patternFill>
    </fill>
    <fill>
      <patternFill patternType="solid">
        <fgColor rgb="FFD0CECE"/>
        <bgColor indexed="64"/>
      </patternFill>
    </fill>
    <fill>
      <patternFill patternType="solid">
        <fgColor rgb="FF595959"/>
        <bgColor indexed="64"/>
      </patternFill>
    </fill>
    <fill>
      <patternFill patternType="solid">
        <fgColor rgb="FF3B2E5A"/>
        <bgColor indexed="64"/>
      </patternFill>
    </fill>
    <fill>
      <patternFill patternType="solid">
        <fgColor rgb="FF0F6596"/>
        <bgColor indexed="64"/>
      </patternFill>
    </fill>
    <fill>
      <patternFill patternType="solid">
        <fgColor theme="1"/>
        <bgColor indexed="64"/>
      </patternFill>
    </fill>
    <fill>
      <patternFill patternType="solid">
        <fgColor theme="2" tint="-9.9978637043366805E-2"/>
        <bgColor indexed="64"/>
      </patternFill>
    </fill>
  </fills>
  <borders count="230">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ck">
        <color theme="7"/>
      </left>
      <right/>
      <top/>
      <bottom/>
      <diagonal/>
    </border>
    <border>
      <left style="thick">
        <color theme="7"/>
      </left>
      <right/>
      <top style="thin">
        <color indexed="64"/>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style="thin">
        <color theme="0" tint="-0.34998626667073579"/>
      </left>
      <right/>
      <top style="thin">
        <color theme="0" tint="-0.14999847407452621"/>
      </top>
      <bottom/>
      <diagonal/>
    </border>
    <border>
      <left/>
      <right style="thin">
        <color theme="0" tint="-0.34998626667073579"/>
      </right>
      <top style="thin">
        <color theme="0" tint="-0.14999847407452621"/>
      </top>
      <bottom/>
      <diagonal/>
    </border>
    <border>
      <left style="thin">
        <color theme="0" tint="-0.34998626667073579"/>
      </left>
      <right/>
      <top/>
      <bottom/>
      <diagonal/>
    </border>
    <border>
      <left/>
      <right style="thin">
        <color theme="0" tint="-0.34998626667073579"/>
      </right>
      <top/>
      <bottom/>
      <diagonal/>
    </border>
    <border>
      <left/>
      <right/>
      <top style="thin">
        <color theme="0" tint="-0.14999847407452621"/>
      </top>
      <bottom/>
      <diagonal/>
    </border>
    <border>
      <left/>
      <right/>
      <top/>
      <bottom style="thin">
        <color theme="0" tint="-0.14999847407452621"/>
      </bottom>
      <diagonal/>
    </border>
    <border>
      <left style="thin">
        <color theme="0" tint="-0.14999847407452621"/>
      </left>
      <right/>
      <top/>
      <bottom/>
      <diagonal/>
    </border>
    <border>
      <left/>
      <right style="thin">
        <color theme="0" tint="-0.14999847407452621"/>
      </right>
      <top/>
      <bottom/>
      <diagonal/>
    </border>
    <border>
      <left style="medium">
        <color indexed="64"/>
      </left>
      <right/>
      <top style="medium">
        <color indexed="64"/>
      </top>
      <bottom/>
      <diagonal/>
    </border>
    <border>
      <left/>
      <right/>
      <top style="medium">
        <color indexed="64"/>
      </top>
      <bottom style="thick">
        <color theme="0" tint="-0.499984740745262"/>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diagonal/>
    </border>
    <border>
      <left style="hair">
        <color indexed="64"/>
      </left>
      <right style="hair">
        <color indexed="23"/>
      </right>
      <top style="hair">
        <color indexed="64"/>
      </top>
      <bottom style="thin">
        <color indexed="23"/>
      </bottom>
      <diagonal/>
    </border>
    <border>
      <left style="hair">
        <color indexed="23"/>
      </left>
      <right/>
      <top/>
      <bottom style="thin">
        <color indexed="23"/>
      </bottom>
      <diagonal/>
    </border>
    <border>
      <left/>
      <right style="medium">
        <color indexed="64"/>
      </right>
      <top/>
      <bottom style="thin">
        <color indexed="23"/>
      </bottom>
      <diagonal/>
    </border>
    <border>
      <left style="thin">
        <color indexed="23"/>
      </left>
      <right/>
      <top style="thin">
        <color indexed="23"/>
      </top>
      <bottom style="thin">
        <color indexed="9"/>
      </bottom>
      <diagonal/>
    </border>
    <border>
      <left/>
      <right/>
      <top style="thin">
        <color indexed="23"/>
      </top>
      <bottom style="thin">
        <color indexed="9"/>
      </bottom>
      <diagonal/>
    </border>
    <border>
      <left/>
      <right style="medium">
        <color indexed="64"/>
      </right>
      <top style="thin">
        <color indexed="23"/>
      </top>
      <bottom style="thin">
        <color indexed="9"/>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style="medium">
        <color indexed="64"/>
      </top>
      <bottom/>
      <diagonal/>
    </border>
    <border>
      <left/>
      <right/>
      <top style="medium">
        <color indexed="64"/>
      </top>
      <bottom style="thick">
        <color theme="7" tint="-0.24994659260841701"/>
      </bottom>
      <diagonal/>
    </border>
    <border>
      <left/>
      <right/>
      <top style="medium">
        <color indexed="64"/>
      </top>
      <bottom style="thick">
        <color theme="5" tint="0.39994506668294322"/>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medium">
        <color theme="1"/>
      </right>
      <top style="thin">
        <color indexed="23"/>
      </top>
      <bottom style="thin">
        <color indexed="23"/>
      </bottom>
      <diagonal/>
    </border>
    <border>
      <left/>
      <right/>
      <top style="thin">
        <color indexed="23"/>
      </top>
      <bottom/>
      <diagonal/>
    </border>
    <border>
      <left/>
      <right style="medium">
        <color indexed="64"/>
      </right>
      <top style="thin">
        <color indexed="2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tted">
        <color theme="4" tint="0.79998168889431442"/>
      </left>
      <right style="dotted">
        <color theme="4" tint="0.79998168889431442"/>
      </right>
      <top style="dotted">
        <color theme="4" tint="0.79998168889431442"/>
      </top>
      <bottom style="dotted">
        <color theme="4" tint="0.79998168889431442"/>
      </bottom>
      <diagonal/>
    </border>
    <border>
      <left/>
      <right/>
      <top/>
      <bottom style="thin">
        <color indexed="9"/>
      </bottom>
      <diagonal/>
    </border>
    <border>
      <left/>
      <right/>
      <top style="thin">
        <color indexed="9"/>
      </top>
      <bottom/>
      <diagonal/>
    </border>
    <border>
      <left/>
      <right/>
      <top/>
      <bottom style="thin">
        <color theme="5" tint="0.59996337778862885"/>
      </bottom>
      <diagonal/>
    </border>
    <border>
      <left/>
      <right/>
      <top style="thick">
        <color theme="0" tint="-0.499984740745262"/>
      </top>
      <bottom/>
      <diagonal/>
    </border>
    <border>
      <left/>
      <right/>
      <top style="thick">
        <color theme="0" tint="-0.499984740745262"/>
      </top>
      <bottom style="thick">
        <color theme="0" tint="-0.499984740745262"/>
      </bottom>
      <diagonal/>
    </border>
    <border>
      <left/>
      <right style="thin">
        <color auto="1"/>
      </right>
      <top/>
      <bottom/>
      <diagonal/>
    </border>
    <border>
      <left/>
      <right/>
      <top/>
      <bottom style="thick">
        <color theme="1" tint="0.499984740745262"/>
      </bottom>
      <diagonal/>
    </border>
    <border>
      <left/>
      <right style="thin">
        <color auto="1"/>
      </right>
      <top/>
      <bottom style="thick">
        <color theme="1" tint="0.4999847407452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theme="5" tint="0.59996337778862885"/>
      </bottom>
      <diagonal/>
    </border>
    <border>
      <left style="thin">
        <color indexed="64"/>
      </left>
      <right/>
      <top/>
      <bottom style="thin">
        <color theme="5" tint="0.59996337778862885"/>
      </bottom>
      <diagonal/>
    </border>
    <border>
      <left/>
      <right/>
      <top style="thick">
        <color theme="1" tint="0.499984740745262"/>
      </top>
      <bottom/>
      <diagonal/>
    </border>
    <border>
      <left/>
      <right/>
      <top style="thick">
        <color theme="1" tint="0.499984740745262"/>
      </top>
      <bottom style="thin">
        <color theme="5" tint="0.59996337778862885"/>
      </bottom>
      <diagonal/>
    </border>
    <border>
      <left/>
      <right style="thin">
        <color indexed="64"/>
      </right>
      <top style="thick">
        <color theme="1" tint="0.499984740745262"/>
      </top>
      <bottom style="thin">
        <color theme="5" tint="0.59996337778862885"/>
      </bottom>
      <diagonal/>
    </border>
    <border>
      <left style="thin">
        <color indexed="64"/>
      </left>
      <right/>
      <top style="thick">
        <color theme="1" tint="0.499984740745262"/>
      </top>
      <bottom style="thin">
        <color theme="5" tint="0.59996337778862885"/>
      </bottom>
      <diagonal/>
    </border>
    <border>
      <left/>
      <right/>
      <top/>
      <bottom style="medium">
        <color theme="1" tint="0.499984740745262"/>
      </bottom>
      <diagonal/>
    </border>
    <border>
      <left style="thin">
        <color theme="6" tint="-9.9948118533890809E-2"/>
      </left>
      <right/>
      <top style="medium">
        <color theme="1" tint="0.499984740745262"/>
      </top>
      <bottom/>
      <diagonal/>
    </border>
    <border>
      <left/>
      <right/>
      <top style="medium">
        <color theme="1" tint="0.499984740745262"/>
      </top>
      <bottom/>
      <diagonal/>
    </border>
    <border>
      <left/>
      <right style="thin">
        <color theme="6" tint="-9.9948118533890809E-2"/>
      </right>
      <top style="medium">
        <color theme="1" tint="0.499984740745262"/>
      </top>
      <bottom/>
      <diagonal/>
    </border>
    <border>
      <left style="thin">
        <color theme="6" tint="-9.9948118533890809E-2"/>
      </left>
      <right/>
      <top/>
      <bottom style="thin">
        <color theme="6" tint="-9.9948118533890809E-2"/>
      </bottom>
      <diagonal/>
    </border>
    <border>
      <left/>
      <right/>
      <top/>
      <bottom style="thin">
        <color theme="6" tint="-9.9948118533890809E-2"/>
      </bottom>
      <diagonal/>
    </border>
    <border>
      <left/>
      <right style="thin">
        <color theme="6" tint="-9.9948118533890809E-2"/>
      </right>
      <top/>
      <bottom style="thin">
        <color theme="6" tint="-9.9948118533890809E-2"/>
      </bottom>
      <diagonal/>
    </border>
    <border>
      <left style="thin">
        <color theme="5" tint="0.59996337778862885"/>
      </left>
      <right/>
      <top/>
      <bottom style="thin">
        <color theme="5" tint="0.59996337778862885"/>
      </bottom>
      <diagonal/>
    </border>
    <border>
      <left/>
      <right/>
      <top/>
      <bottom style="thick">
        <color auto="1"/>
      </bottom>
      <diagonal/>
    </border>
    <border>
      <left/>
      <right/>
      <top style="thin">
        <color rgb="FF0070C0"/>
      </top>
      <bottom/>
      <diagonal/>
    </border>
    <border>
      <left style="thin">
        <color rgb="FF0070C0"/>
      </left>
      <right style="thin">
        <color rgb="FF0070C0"/>
      </right>
      <top style="thin">
        <color rgb="FF0070C0"/>
      </top>
      <bottom/>
      <diagonal/>
    </border>
    <border>
      <left style="thin">
        <color rgb="FF0070C0"/>
      </left>
      <right style="thin">
        <color rgb="FF0070C0"/>
      </right>
      <top/>
      <bottom/>
      <diagonal/>
    </border>
    <border>
      <left/>
      <right style="thick">
        <color theme="6" tint="-9.9948118533890809E-2"/>
      </right>
      <top/>
      <bottom/>
      <diagonal/>
    </border>
    <border>
      <left/>
      <right style="thick">
        <color theme="6" tint="-9.9917600024414813E-2"/>
      </right>
      <top/>
      <bottom/>
      <diagonal/>
    </border>
    <border>
      <left/>
      <right/>
      <top style="medium">
        <color rgb="FF0070C0"/>
      </top>
      <bottom/>
      <diagonal/>
    </border>
    <border>
      <left/>
      <right/>
      <top/>
      <bottom style="thin">
        <color rgb="FF0070C0"/>
      </bottom>
      <diagonal/>
    </border>
    <border>
      <left/>
      <right style="thin">
        <color rgb="FF0070C0"/>
      </right>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right style="thin">
        <color rgb="FF0070C0"/>
      </right>
      <top style="medium">
        <color rgb="FF0070C0"/>
      </top>
      <bottom/>
      <diagonal/>
    </border>
    <border>
      <left/>
      <right style="thin">
        <color rgb="FF0070C0"/>
      </right>
      <top style="thin">
        <color rgb="FF0070C0"/>
      </top>
      <bottom/>
      <diagonal/>
    </border>
    <border>
      <left/>
      <right/>
      <top/>
      <bottom style="thick">
        <color rgb="FF0070C0"/>
      </bottom>
      <diagonal/>
    </border>
    <border>
      <left style="thin">
        <color rgb="FF0070C0"/>
      </left>
      <right/>
      <top/>
      <bottom/>
      <diagonal/>
    </border>
    <border>
      <left/>
      <right style="thin">
        <color rgb="FF0070C0"/>
      </right>
      <top/>
      <bottom/>
      <diagonal/>
    </border>
    <border>
      <left style="thin">
        <color rgb="FF0070C0"/>
      </left>
      <right style="thin">
        <color rgb="FF0070C0"/>
      </right>
      <top style="dotted">
        <color rgb="FF0070C0"/>
      </top>
      <bottom/>
      <diagonal/>
    </border>
    <border>
      <left style="thin">
        <color rgb="FF0070C0"/>
      </left>
      <right/>
      <top style="dotted">
        <color rgb="FF0070C0"/>
      </top>
      <bottom/>
      <diagonal/>
    </border>
    <border>
      <left style="thin">
        <color rgb="FF0070C0"/>
      </left>
      <right style="thin">
        <color rgb="FF0070C0"/>
      </right>
      <top/>
      <bottom style="dotted">
        <color rgb="FF0070C0"/>
      </bottom>
      <diagonal/>
    </border>
    <border>
      <left style="thin">
        <color rgb="FF0070C0"/>
      </left>
      <right/>
      <top/>
      <bottom style="dotted">
        <color rgb="FF0070C0"/>
      </bottom>
      <diagonal/>
    </border>
    <border>
      <left style="thin">
        <color rgb="FF0070C0"/>
      </left>
      <right/>
      <top style="thick">
        <color rgb="FF0070C0"/>
      </top>
      <bottom/>
      <diagonal/>
    </border>
    <border>
      <left/>
      <right/>
      <top style="dotted">
        <color rgb="FF0070C0"/>
      </top>
      <bottom/>
      <diagonal/>
    </border>
    <border>
      <left/>
      <right/>
      <top/>
      <bottom style="dotted">
        <color rgb="FF0070C0"/>
      </bottom>
      <diagonal/>
    </border>
    <border>
      <left/>
      <right style="thin">
        <color rgb="FF0070C0"/>
      </right>
      <top style="thick">
        <color rgb="FF0070C0"/>
      </top>
      <bottom/>
      <diagonal/>
    </border>
    <border>
      <left/>
      <right style="thin">
        <color rgb="FF0070C0"/>
      </right>
      <top/>
      <bottom style="dotted">
        <color rgb="FF0070C0"/>
      </bottom>
      <diagonal/>
    </border>
    <border>
      <left/>
      <right style="thin">
        <color rgb="FF0070C0"/>
      </right>
      <top style="dotted">
        <color rgb="FF0070C0"/>
      </top>
      <bottom/>
      <diagonal/>
    </border>
    <border>
      <left style="medium">
        <color theme="6" tint="-9.9887081514938816E-2"/>
      </left>
      <right style="medium">
        <color theme="6" tint="-9.9887081514938816E-2"/>
      </right>
      <top style="medium">
        <color theme="6" tint="-9.9887081514938816E-2"/>
      </top>
      <bottom/>
      <diagonal/>
    </border>
    <border>
      <left style="medium">
        <color theme="6" tint="-9.9887081514938816E-2"/>
      </left>
      <right style="medium">
        <color theme="6" tint="-9.9887081514938816E-2"/>
      </right>
      <top style="dotted">
        <color theme="6" tint="-9.9917600024414813E-2"/>
      </top>
      <bottom style="medium">
        <color theme="6" tint="-9.9887081514938816E-2"/>
      </bottom>
      <diagonal/>
    </border>
    <border>
      <left style="medium">
        <color theme="6" tint="-9.9887081514938816E-2"/>
      </left>
      <right/>
      <top style="dotted">
        <color theme="6" tint="-9.9917600024414813E-2"/>
      </top>
      <bottom style="dotted">
        <color theme="6" tint="-9.9917600024414813E-2"/>
      </bottom>
      <diagonal/>
    </border>
    <border>
      <left style="medium">
        <color theme="6" tint="-9.9887081514938816E-2"/>
      </left>
      <right style="medium">
        <color theme="6" tint="-9.985656300546282E-2"/>
      </right>
      <top style="medium">
        <color theme="6" tint="-9.9887081514938816E-2"/>
      </top>
      <bottom style="dotted">
        <color theme="6" tint="-9.9917600024414813E-2"/>
      </bottom>
      <diagonal/>
    </border>
    <border>
      <left style="medium">
        <color theme="6" tint="-9.9887081514938816E-2"/>
      </left>
      <right style="medium">
        <color theme="6" tint="-9.985656300546282E-2"/>
      </right>
      <top style="dotted">
        <color theme="6" tint="-9.9917600024414813E-2"/>
      </top>
      <bottom style="dotted">
        <color theme="6" tint="-9.9917600024414813E-2"/>
      </bottom>
      <diagonal/>
    </border>
    <border>
      <left style="medium">
        <color theme="6" tint="-9.9887081514938816E-2"/>
      </left>
      <right style="medium">
        <color theme="6" tint="-9.985656300546282E-2"/>
      </right>
      <top/>
      <bottom style="medium">
        <color theme="6" tint="-9.985656300546282E-2"/>
      </bottom>
      <diagonal/>
    </border>
    <border>
      <left/>
      <right style="medium">
        <color theme="6" tint="-9.9887081514938816E-2"/>
      </right>
      <top/>
      <bottom/>
      <diagonal/>
    </border>
    <border>
      <left style="dotted">
        <color auto="1"/>
      </left>
      <right/>
      <top/>
      <bottom/>
      <diagonal/>
    </border>
    <border>
      <left style="dotted">
        <color auto="1"/>
      </left>
      <right style="medium">
        <color theme="6" tint="-9.9887081514938816E-2"/>
      </right>
      <top/>
      <bottom/>
      <diagonal/>
    </border>
    <border>
      <left style="hair">
        <color auto="1"/>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right/>
      <top style="medium">
        <color theme="1" tint="0.499984740745262"/>
      </top>
      <bottom style="medium">
        <color theme="1" tint="0.499984740745262"/>
      </bottom>
      <diagonal/>
    </border>
    <border>
      <left/>
      <right/>
      <top style="medium">
        <color theme="0" tint="-0.499984740745262"/>
      </top>
      <bottom style="medium">
        <color theme="0" tint="-0.499984740745262"/>
      </bottom>
      <diagonal/>
    </border>
    <border>
      <left style="thin">
        <color theme="6" tint="-9.9917600024414813E-2"/>
      </left>
      <right/>
      <top style="thin">
        <color theme="6" tint="-9.9948118533890809E-2"/>
      </top>
      <bottom style="thin">
        <color theme="6" tint="-9.9917600024414813E-2"/>
      </bottom>
      <diagonal/>
    </border>
    <border>
      <left/>
      <right/>
      <top style="thin">
        <color theme="6" tint="-9.9948118533890809E-2"/>
      </top>
      <bottom style="thin">
        <color theme="6" tint="-9.9917600024414813E-2"/>
      </bottom>
      <diagonal/>
    </border>
    <border>
      <left/>
      <right style="thin">
        <color theme="6" tint="-9.9917600024414813E-2"/>
      </right>
      <top style="thin">
        <color theme="6" tint="-9.9948118533890809E-2"/>
      </top>
      <bottom style="thin">
        <color theme="6" tint="-9.9917600024414813E-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bottom style="thin">
        <color indexed="23"/>
      </bottom>
      <diagonal/>
    </border>
    <border>
      <left/>
      <right style="hair">
        <color indexed="64"/>
      </right>
      <top/>
      <bottom style="thin">
        <color indexed="23"/>
      </bottom>
      <diagonal/>
    </border>
    <border>
      <left/>
      <right/>
      <top style="medium">
        <color theme="7"/>
      </top>
      <bottom/>
      <diagonal/>
    </border>
    <border>
      <left/>
      <right/>
      <top/>
      <bottom style="thin">
        <color theme="7"/>
      </bottom>
      <diagonal/>
    </border>
    <border>
      <left style="thin">
        <color theme="7"/>
      </left>
      <right style="thin">
        <color theme="7"/>
      </right>
      <top/>
      <bottom style="thin">
        <color theme="7"/>
      </bottom>
      <diagonal/>
    </border>
    <border>
      <left style="thin">
        <color theme="7"/>
      </left>
      <right/>
      <top/>
      <bottom style="thin">
        <color theme="7"/>
      </bottom>
      <diagonal/>
    </border>
    <border>
      <left/>
      <right style="thin">
        <color theme="7"/>
      </right>
      <top/>
      <bottom style="thin">
        <color theme="7"/>
      </bottom>
      <diagonal/>
    </border>
    <border>
      <left/>
      <right/>
      <top/>
      <bottom style="medium">
        <color theme="7"/>
      </bottom>
      <diagonal/>
    </border>
    <border>
      <left/>
      <right/>
      <top style="medium">
        <color theme="7"/>
      </top>
      <bottom style="thin">
        <color theme="7"/>
      </bottom>
      <diagonal/>
    </border>
    <border>
      <left style="medium">
        <color theme="0"/>
      </left>
      <right/>
      <top/>
      <bottom/>
      <diagonal/>
    </border>
    <border>
      <left style="medium">
        <color theme="6" tint="-9.985656300546282E-2"/>
      </left>
      <right/>
      <top/>
      <bottom/>
      <diagonal/>
    </border>
    <border>
      <left/>
      <right/>
      <top style="thin">
        <color theme="5" tint="0.59996337778862885"/>
      </top>
      <bottom/>
      <diagonal/>
    </border>
    <border>
      <left style="medium">
        <color theme="7"/>
      </left>
      <right/>
      <top/>
      <bottom/>
      <diagonal/>
    </border>
    <border>
      <left/>
      <right/>
      <top style="thin">
        <color theme="0" tint="-0.499984740745262"/>
      </top>
      <bottom/>
      <diagonal/>
    </border>
    <border>
      <left/>
      <right/>
      <top/>
      <bottom style="medium">
        <color theme="0"/>
      </bottom>
      <diagonal/>
    </border>
    <border>
      <left/>
      <right/>
      <top style="medium">
        <color theme="0"/>
      </top>
      <bottom/>
      <diagonal/>
    </border>
    <border>
      <left style="thin">
        <color theme="0"/>
      </left>
      <right/>
      <top/>
      <bottom/>
      <diagonal/>
    </border>
    <border>
      <left style="thin">
        <color theme="0"/>
      </left>
      <right/>
      <top/>
      <bottom style="thin">
        <color theme="0"/>
      </bottom>
      <diagonal/>
    </border>
    <border>
      <left/>
      <right style="thick">
        <color theme="7" tint="-9.9948118533890809E-2"/>
      </right>
      <top/>
      <bottom style="medium">
        <color theme="0"/>
      </bottom>
      <diagonal/>
    </border>
    <border>
      <left/>
      <right style="thick">
        <color theme="7" tint="-9.9948118533890809E-2"/>
      </right>
      <top style="medium">
        <color theme="0"/>
      </top>
      <bottom/>
      <diagonal/>
    </border>
    <border>
      <left style="thin">
        <color theme="0"/>
      </left>
      <right/>
      <top style="thin">
        <color theme="0"/>
      </top>
      <bottom/>
      <diagonal/>
    </border>
    <border>
      <left/>
      <right style="thin">
        <color theme="0"/>
      </right>
      <top/>
      <bottom/>
      <diagonal/>
    </border>
    <border>
      <left/>
      <right/>
      <top/>
      <bottom style="hair">
        <color auto="1"/>
      </bottom>
      <diagonal/>
    </border>
    <border>
      <left/>
      <right/>
      <top style="hair">
        <color auto="1"/>
      </top>
      <bottom style="thin">
        <color indexed="64"/>
      </bottom>
      <diagonal/>
    </border>
    <border>
      <left/>
      <right/>
      <top style="hair">
        <color auto="1"/>
      </top>
      <bottom style="hair">
        <color auto="1"/>
      </bottom>
      <diagonal/>
    </border>
    <border>
      <left/>
      <right/>
      <top style="thin">
        <color indexed="64"/>
      </top>
      <bottom style="hair">
        <color auto="1"/>
      </bottom>
      <diagonal/>
    </border>
    <border>
      <left/>
      <right/>
      <top style="hair">
        <color auto="1"/>
      </top>
      <bottom/>
      <diagonal/>
    </border>
    <border>
      <left style="thin">
        <color theme="0"/>
      </left>
      <right/>
      <top/>
      <bottom style="thin">
        <color indexed="64"/>
      </bottom>
      <diagonal/>
    </border>
    <border>
      <left style="hair">
        <color auto="1"/>
      </left>
      <right style="hair">
        <color auto="1"/>
      </right>
      <top/>
      <bottom style="hair">
        <color auto="1"/>
      </bottom>
      <diagonal/>
    </border>
    <border>
      <left/>
      <right/>
      <top/>
      <bottom style="thick">
        <color theme="5" tint="0.79998168889431442"/>
      </bottom>
      <diagonal/>
    </border>
    <border>
      <left style="hair">
        <color theme="5" tint="0.79995117038483843"/>
      </left>
      <right/>
      <top/>
      <bottom style="thick">
        <color theme="5" tint="0.79998168889431442"/>
      </bottom>
      <diagonal/>
    </border>
    <border>
      <left style="hair">
        <color theme="5" tint="0.79995117038483843"/>
      </left>
      <right/>
      <top/>
      <bottom/>
      <diagonal/>
    </border>
    <border>
      <left/>
      <right/>
      <top style="medium">
        <color theme="7" tint="-9.9917600024414813E-2"/>
      </top>
      <bottom/>
      <diagonal/>
    </border>
    <border>
      <left/>
      <right/>
      <top/>
      <bottom style="hair">
        <color theme="5" tint="0.79998168889431442"/>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theme="7" tint="-9.9948118533890809E-2"/>
      </left>
      <right/>
      <top/>
      <bottom/>
      <diagonal/>
    </border>
    <border>
      <left style="medium">
        <color theme="7" tint="-9.9948118533890809E-2"/>
      </left>
      <right/>
      <top/>
      <bottom style="hair">
        <color indexed="64"/>
      </bottom>
      <diagonal/>
    </border>
    <border>
      <left style="medium">
        <color theme="7" tint="-9.9948118533890809E-2"/>
      </left>
      <right style="thin">
        <color indexed="64"/>
      </right>
      <top/>
      <bottom style="hair">
        <color indexed="64"/>
      </bottom>
      <diagonal/>
    </border>
    <border>
      <left style="thin">
        <color indexed="64"/>
      </left>
      <right/>
      <top/>
      <bottom style="hair">
        <color indexed="64"/>
      </bottom>
      <diagonal/>
    </border>
    <border>
      <left style="medium">
        <color theme="7" tint="-9.9948118533890809E-2"/>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theme="7" tint="-9.9948118533890809E-2"/>
      </right>
      <top/>
      <bottom/>
      <diagonal/>
    </border>
    <border>
      <left style="thin">
        <color indexed="64"/>
      </left>
      <right style="medium">
        <color theme="7" tint="-9.9948118533890809E-2"/>
      </right>
      <top/>
      <bottom/>
      <diagonal/>
    </border>
    <border>
      <left style="medium">
        <color theme="7" tint="-9.9948118533890809E-2"/>
      </left>
      <right/>
      <top style="hair">
        <color auto="1"/>
      </top>
      <bottom style="hair">
        <color auto="1"/>
      </bottom>
      <diagonal/>
    </border>
    <border>
      <left style="medium">
        <color theme="7" tint="-9.9948118533890809E-2"/>
      </left>
      <right/>
      <top style="hair">
        <color indexed="64"/>
      </top>
      <bottom/>
      <diagonal/>
    </border>
    <border>
      <left style="thin">
        <color theme="7" tint="-9.9917600024414813E-2"/>
      </left>
      <right/>
      <top/>
      <bottom style="medium">
        <color theme="0"/>
      </bottom>
      <diagonal/>
    </border>
    <border>
      <left style="thin">
        <color theme="7" tint="-9.9917600024414813E-2"/>
      </left>
      <right/>
      <top/>
      <bottom/>
      <diagonal/>
    </border>
    <border>
      <left/>
      <right/>
      <top/>
      <bottom style="thin">
        <color theme="7" tint="-9.9948118533890809E-2"/>
      </bottom>
      <diagonal/>
    </border>
    <border>
      <left style="medium">
        <color theme="7" tint="-9.9948118533890809E-2"/>
      </left>
      <right/>
      <top/>
      <bottom style="thin">
        <color theme="7" tint="-9.9948118533890809E-2"/>
      </bottom>
      <diagonal/>
    </border>
    <border>
      <left/>
      <right/>
      <top style="thin">
        <color theme="7" tint="-9.9948118533890809E-2"/>
      </top>
      <bottom/>
      <diagonal/>
    </border>
    <border>
      <left style="medium">
        <color theme="7" tint="-9.9948118533890809E-2"/>
      </left>
      <right/>
      <top style="thin">
        <color theme="7" tint="-9.9948118533890809E-2"/>
      </top>
      <bottom/>
      <diagonal/>
    </border>
    <border>
      <left style="hair">
        <color theme="1"/>
      </left>
      <right style="hair">
        <color theme="1"/>
      </right>
      <top/>
      <bottom style="thin">
        <color theme="7" tint="-9.9948118533890809E-2"/>
      </bottom>
      <diagonal/>
    </border>
    <border>
      <left style="hair">
        <color theme="1"/>
      </left>
      <right style="hair">
        <color theme="1"/>
      </right>
      <top/>
      <bottom/>
      <diagonal/>
    </border>
    <border>
      <left style="thin">
        <color indexed="64"/>
      </left>
      <right/>
      <top/>
      <bottom/>
      <diagonal/>
    </border>
    <border>
      <left style="hair">
        <color indexed="64"/>
      </left>
      <right/>
      <top/>
      <bottom/>
      <diagonal/>
    </border>
    <border>
      <left/>
      <right style="hair">
        <color indexed="64"/>
      </right>
      <top/>
      <bottom/>
      <diagonal/>
    </border>
    <border>
      <left/>
      <right style="thin">
        <color indexed="64"/>
      </right>
      <top style="hair">
        <color auto="1"/>
      </top>
      <bottom/>
      <diagonal/>
    </border>
    <border>
      <left/>
      <right style="thin">
        <color indexed="64"/>
      </right>
      <top/>
      <bottom style="hair">
        <color auto="1"/>
      </bottom>
      <diagonal/>
    </border>
    <border>
      <left style="thick">
        <color theme="7" tint="-9.9948118533890809E-2"/>
      </left>
      <right/>
      <top/>
      <bottom/>
      <diagonal/>
    </border>
    <border>
      <left/>
      <right style="thick">
        <color theme="7" tint="-9.9948118533890809E-2"/>
      </right>
      <top/>
      <bottom/>
      <diagonal/>
    </border>
    <border>
      <left style="thick">
        <color theme="7" tint="-9.9948118533890809E-2"/>
      </left>
      <right/>
      <top style="hair">
        <color auto="1"/>
      </top>
      <bottom style="hair">
        <color auto="1"/>
      </bottom>
      <diagonal/>
    </border>
    <border>
      <left style="thin">
        <color theme="7" tint="-9.9948118533890809E-2"/>
      </left>
      <right/>
      <top/>
      <bottom/>
      <diagonal/>
    </border>
    <border>
      <left/>
      <right/>
      <top/>
      <bottom style="medium">
        <color theme="5"/>
      </bottom>
      <diagonal/>
    </border>
    <border>
      <left/>
      <right/>
      <top/>
      <bottom style="medium">
        <color theme="5" tint="0.39994506668294322"/>
      </bottom>
      <diagonal/>
    </border>
    <border>
      <left/>
      <right style="thin">
        <color theme="7"/>
      </right>
      <top/>
      <bottom/>
      <diagonal/>
    </border>
    <border>
      <left/>
      <right style="medium">
        <color theme="7"/>
      </right>
      <top/>
      <bottom/>
      <diagonal/>
    </border>
    <border>
      <left/>
      <right/>
      <top/>
      <bottom style="mediumDashed">
        <color theme="7"/>
      </bottom>
      <diagonal/>
    </border>
    <border>
      <left style="medium">
        <color theme="5" tint="0.39994506668294322"/>
      </left>
      <right/>
      <top/>
      <bottom/>
      <diagonal/>
    </border>
    <border>
      <left/>
      <right/>
      <top/>
      <bottom style="mediumDashed">
        <color theme="5" tint="0.39994506668294322"/>
      </bottom>
      <diagonal/>
    </border>
    <border>
      <left style="thin">
        <color indexed="64"/>
      </left>
      <right style="thin">
        <color indexed="64"/>
      </right>
      <top/>
      <bottom style="thin">
        <color indexed="64"/>
      </bottom>
      <diagonal/>
    </border>
    <border>
      <left/>
      <right/>
      <top style="thin">
        <color theme="7"/>
      </top>
      <bottom/>
      <diagonal/>
    </border>
    <border>
      <left style="thin">
        <color theme="7"/>
      </left>
      <right/>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medium">
        <color theme="7"/>
      </right>
      <top style="medium">
        <color theme="0"/>
      </top>
      <bottom/>
      <diagonal/>
    </border>
    <border>
      <left/>
      <right/>
      <top style="medium">
        <color theme="7"/>
      </top>
      <bottom style="thin">
        <color indexed="64"/>
      </bottom>
      <diagonal/>
    </border>
    <border>
      <left/>
      <right/>
      <top style="thin">
        <color indexed="64"/>
      </top>
      <bottom style="medium">
        <color theme="7"/>
      </bottom>
      <diagonal/>
    </border>
    <border>
      <left style="hair">
        <color indexed="64"/>
      </left>
      <right/>
      <top style="thin">
        <color indexed="64"/>
      </top>
      <bottom style="medium">
        <color theme="7"/>
      </bottom>
      <diagonal/>
    </border>
    <border>
      <left style="hair">
        <color auto="1"/>
      </left>
      <right/>
      <top style="medium">
        <color theme="7"/>
      </top>
      <bottom style="thin">
        <color indexed="64"/>
      </bottom>
      <diagonal/>
    </border>
    <border>
      <left/>
      <right style="hair">
        <color auto="1"/>
      </right>
      <top style="medium">
        <color theme="7"/>
      </top>
      <bottom style="thin">
        <color indexed="64"/>
      </bottom>
      <diagonal/>
    </border>
    <border>
      <left style="hair">
        <color indexed="64"/>
      </left>
      <right/>
      <top style="thin">
        <color indexed="64"/>
      </top>
      <bottom/>
      <diagonal/>
    </border>
    <border>
      <left/>
      <right style="hair">
        <color indexed="64"/>
      </right>
      <top style="thin">
        <color indexed="64"/>
      </top>
      <bottom style="medium">
        <color theme="7"/>
      </bottom>
      <diagonal/>
    </border>
    <border>
      <left style="hair">
        <color indexed="64"/>
      </left>
      <right style="hair">
        <color indexed="64"/>
      </right>
      <top style="thin">
        <color indexed="64"/>
      </top>
      <bottom/>
      <diagonal/>
    </border>
    <border>
      <left/>
      <right style="hair">
        <color indexed="64"/>
      </right>
      <top style="thin">
        <color indexed="64"/>
      </top>
      <bottom/>
      <diagonal/>
    </border>
    <border>
      <left style="hair">
        <color indexed="64"/>
      </left>
      <right style="hair">
        <color indexed="64"/>
      </right>
      <top/>
      <bottom/>
      <diagonal/>
    </border>
    <border>
      <left/>
      <right/>
      <top style="hair">
        <color theme="1" tint="0.499984740745262"/>
      </top>
      <bottom/>
      <diagonal/>
    </border>
    <border>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hair">
        <color indexed="64"/>
      </left>
      <right style="hair">
        <color indexed="64"/>
      </right>
      <top style="thin">
        <color indexed="64"/>
      </top>
      <bottom style="medium">
        <color theme="7"/>
      </bottom>
      <diagonal/>
    </border>
    <border>
      <left style="hair">
        <color indexed="64"/>
      </left>
      <right style="hair">
        <color indexed="64"/>
      </right>
      <top/>
      <bottom style="thin">
        <color indexed="64"/>
      </bottom>
      <diagonal/>
    </border>
    <border>
      <left style="hair">
        <color indexed="64"/>
      </left>
      <right style="hair">
        <color indexed="64"/>
      </right>
      <top/>
      <bottom style="hair">
        <color theme="1" tint="0.499984740745262"/>
      </bottom>
      <diagonal/>
    </border>
    <border>
      <left style="hair">
        <color auto="1"/>
      </left>
      <right style="hair">
        <color auto="1"/>
      </right>
      <top style="medium">
        <color theme="7"/>
      </top>
      <bottom style="thin">
        <color indexed="64"/>
      </bottom>
      <diagonal/>
    </border>
    <border>
      <left style="thin">
        <color indexed="64"/>
      </left>
      <right style="medium">
        <color indexed="64"/>
      </right>
      <top/>
      <bottom/>
      <diagonal/>
    </border>
  </borders>
  <cellStyleXfs count="3">
    <xf numFmtId="0" fontId="0" fillId="0" borderId="0"/>
    <xf numFmtId="0" fontId="4" fillId="0" borderId="0"/>
    <xf numFmtId="165" fontId="144" fillId="0" borderId="0" applyFont="0" applyFill="0" applyBorder="0" applyAlignment="0" applyProtection="0"/>
  </cellStyleXfs>
  <cellXfs count="1116">
    <xf numFmtId="0" fontId="0" fillId="0" borderId="0" xfId="0"/>
    <xf numFmtId="14" fontId="0" fillId="0" borderId="0" xfId="0" applyNumberFormat="1"/>
    <xf numFmtId="0" fontId="2" fillId="0" borderId="0" xfId="0" applyFont="1"/>
    <xf numFmtId="0" fontId="2" fillId="0" borderId="0" xfId="0" applyFont="1" applyAlignment="1">
      <alignment horizontal="right"/>
    </xf>
    <xf numFmtId="166" fontId="2" fillId="0" borderId="0" xfId="0" applyNumberFormat="1" applyFont="1" applyAlignment="1">
      <alignment horizontal="left"/>
    </xf>
    <xf numFmtId="0" fontId="0" fillId="2" borderId="0" xfId="0" applyFill="1"/>
    <xf numFmtId="0" fontId="1" fillId="2" borderId="0" xfId="0" applyFont="1" applyFill="1" applyAlignment="1">
      <alignment horizontal="center"/>
    </xf>
    <xf numFmtId="0" fontId="5" fillId="0" borderId="4" xfId="1" applyFont="1" applyBorder="1" applyProtection="1">
      <protection locked="0"/>
    </xf>
    <xf numFmtId="9" fontId="5" fillId="0" borderId="4" xfId="1" applyNumberFormat="1" applyFont="1" applyBorder="1" applyAlignment="1" applyProtection="1">
      <alignment horizontal="center"/>
      <protection locked="0"/>
    </xf>
    <xf numFmtId="9" fontId="5" fillId="0" borderId="7" xfId="1" applyNumberFormat="1" applyFont="1" applyBorder="1" applyAlignment="1" applyProtection="1">
      <alignment horizontal="center"/>
      <protection locked="0"/>
    </xf>
    <xf numFmtId="10" fontId="3" fillId="0" borderId="11" xfId="0" applyNumberFormat="1" applyFont="1" applyBorder="1" applyAlignment="1" applyProtection="1">
      <alignment horizontal="center"/>
      <protection locked="0"/>
    </xf>
    <xf numFmtId="0" fontId="7" fillId="0" borderId="0" xfId="0" applyFont="1" applyAlignment="1">
      <alignment horizontal="right"/>
    </xf>
    <xf numFmtId="168" fontId="5" fillId="0" borderId="4" xfId="1" applyNumberFormat="1" applyFont="1" applyBorder="1" applyAlignment="1" applyProtection="1">
      <alignment horizontal="center"/>
      <protection locked="0"/>
    </xf>
    <xf numFmtId="10" fontId="5" fillId="0" borderId="4" xfId="1" applyNumberFormat="1" applyFont="1" applyBorder="1" applyProtection="1">
      <protection locked="0"/>
    </xf>
    <xf numFmtId="169" fontId="3" fillId="0" borderId="1" xfId="0" applyNumberFormat="1" applyFont="1" applyBorder="1" applyAlignment="1" applyProtection="1">
      <alignment horizontal="center"/>
      <protection locked="0"/>
    </xf>
    <xf numFmtId="169" fontId="3" fillId="0" borderId="2" xfId="0" applyNumberFormat="1" applyFont="1" applyBorder="1" applyAlignment="1" applyProtection="1">
      <alignment horizontal="center"/>
      <protection locked="0"/>
    </xf>
    <xf numFmtId="169" fontId="3" fillId="0" borderId="9" xfId="0" applyNumberFormat="1" applyFont="1" applyBorder="1" applyAlignment="1" applyProtection="1">
      <alignment horizontal="center"/>
      <protection locked="0"/>
    </xf>
    <xf numFmtId="169" fontId="3" fillId="0" borderId="10" xfId="0" applyNumberFormat="1" applyFont="1" applyBorder="1" applyAlignment="1" applyProtection="1">
      <alignment horizontal="center"/>
      <protection locked="0"/>
    </xf>
    <xf numFmtId="169" fontId="5" fillId="0" borderId="4" xfId="1" applyNumberFormat="1" applyFont="1" applyBorder="1" applyProtection="1">
      <protection locked="0"/>
    </xf>
    <xf numFmtId="169" fontId="5" fillId="0" borderId="8" xfId="1" applyNumberFormat="1" applyFont="1" applyBorder="1" applyAlignment="1" applyProtection="1">
      <alignment horizontal="center"/>
      <protection locked="0"/>
    </xf>
    <xf numFmtId="169" fontId="3" fillId="0" borderId="12" xfId="0" applyNumberFormat="1" applyFont="1" applyBorder="1" applyAlignment="1" applyProtection="1">
      <alignment horizontal="center"/>
      <protection locked="0"/>
    </xf>
    <xf numFmtId="169" fontId="3" fillId="0" borderId="3" xfId="0" applyNumberFormat="1" applyFont="1" applyBorder="1" applyAlignment="1" applyProtection="1">
      <alignment horizontal="center"/>
      <protection locked="0"/>
    </xf>
    <xf numFmtId="169" fontId="3" fillId="0" borderId="11" xfId="0" applyNumberFormat="1" applyFont="1" applyBorder="1" applyAlignment="1" applyProtection="1">
      <alignment horizontal="center"/>
      <protection locked="0"/>
    </xf>
    <xf numFmtId="169" fontId="3" fillId="0" borderId="0" xfId="0" applyNumberFormat="1" applyFont="1" applyAlignment="1" applyProtection="1">
      <alignment horizontal="center"/>
      <protection locked="0"/>
    </xf>
    <xf numFmtId="0" fontId="0" fillId="2" borderId="0" xfId="0" applyFill="1" applyProtection="1">
      <protection locked="0"/>
    </xf>
    <xf numFmtId="10" fontId="18" fillId="0" borderId="35" xfId="0" applyNumberFormat="1" applyFont="1" applyBorder="1" applyAlignment="1" applyProtection="1">
      <alignment horizontal="center"/>
      <protection locked="0"/>
    </xf>
    <xf numFmtId="10" fontId="18" fillId="0" borderId="36" xfId="0" applyNumberFormat="1" applyFont="1" applyBorder="1" applyAlignment="1" applyProtection="1">
      <alignment horizontal="center"/>
      <protection locked="0"/>
    </xf>
    <xf numFmtId="10" fontId="18" fillId="0" borderId="37" xfId="0" applyNumberFormat="1" applyFont="1" applyBorder="1" applyAlignment="1" applyProtection="1">
      <alignment horizontal="center"/>
      <protection locked="0"/>
    </xf>
    <xf numFmtId="169" fontId="18" fillId="5" borderId="46" xfId="0" applyNumberFormat="1" applyFont="1" applyFill="1" applyBorder="1" applyAlignment="1" applyProtection="1">
      <alignment horizontal="center"/>
      <protection locked="0"/>
    </xf>
    <xf numFmtId="169" fontId="18" fillId="5" borderId="47" xfId="0" applyNumberFormat="1" applyFont="1" applyFill="1" applyBorder="1" applyAlignment="1" applyProtection="1">
      <alignment horizontal="center"/>
      <protection locked="0"/>
    </xf>
    <xf numFmtId="169" fontId="18" fillId="5" borderId="48" xfId="0" applyNumberFormat="1" applyFont="1" applyFill="1" applyBorder="1" applyAlignment="1" applyProtection="1">
      <alignment horizontal="center"/>
      <protection locked="0"/>
    </xf>
    <xf numFmtId="10" fontId="19" fillId="5" borderId="35" xfId="0" applyNumberFormat="1" applyFont="1" applyFill="1" applyBorder="1" applyAlignment="1" applyProtection="1">
      <alignment horizontal="center"/>
      <protection locked="0"/>
    </xf>
    <xf numFmtId="10" fontId="19" fillId="5" borderId="49" xfId="0" applyNumberFormat="1" applyFont="1" applyFill="1" applyBorder="1" applyAlignment="1" applyProtection="1">
      <alignment horizontal="center"/>
      <protection locked="0"/>
    </xf>
    <xf numFmtId="10" fontId="19" fillId="5" borderId="50" xfId="0" applyNumberFormat="1" applyFont="1" applyFill="1" applyBorder="1" applyAlignment="1" applyProtection="1">
      <alignment horizontal="center"/>
      <protection locked="0"/>
    </xf>
    <xf numFmtId="0" fontId="18" fillId="5" borderId="51" xfId="0" applyFont="1" applyFill="1" applyBorder="1" applyAlignment="1" applyProtection="1">
      <alignment horizontal="center"/>
      <protection locked="0"/>
    </xf>
    <xf numFmtId="0" fontId="2" fillId="0" borderId="0" xfId="0" applyFont="1" applyAlignment="1">
      <alignment horizontal="center"/>
    </xf>
    <xf numFmtId="169" fontId="2" fillId="0" borderId="0" xfId="0" applyNumberFormat="1" applyFont="1" applyAlignment="1">
      <alignment horizontal="center"/>
    </xf>
    <xf numFmtId="164" fontId="2" fillId="0" borderId="0" xfId="0" applyNumberFormat="1" applyFont="1" applyAlignment="1">
      <alignment horizontal="center"/>
    </xf>
    <xf numFmtId="169" fontId="0" fillId="0" borderId="53" xfId="0" applyNumberFormat="1" applyBorder="1" applyAlignment="1" applyProtection="1">
      <alignment horizontal="center" vertical="center" wrapText="1"/>
      <protection locked="0"/>
    </xf>
    <xf numFmtId="10" fontId="0" fillId="0" borderId="53" xfId="0" applyNumberFormat="1" applyBorder="1" applyAlignment="1" applyProtection="1">
      <alignment horizontal="center" vertical="center" wrapText="1"/>
      <protection locked="0"/>
    </xf>
    <xf numFmtId="0" fontId="0" fillId="0" borderId="53" xfId="0" applyBorder="1" applyAlignment="1" applyProtection="1">
      <alignment horizontal="center" vertical="center" wrapText="1"/>
      <protection locked="0"/>
    </xf>
    <xf numFmtId="0" fontId="29" fillId="0" borderId="0" xfId="0" applyFont="1" applyAlignment="1">
      <alignment horizontal="right" vertical="center"/>
    </xf>
    <xf numFmtId="0" fontId="30" fillId="0" borderId="0" xfId="0" applyFont="1"/>
    <xf numFmtId="0" fontId="30" fillId="0" borderId="56" xfId="0" applyFont="1" applyBorder="1" applyAlignment="1" applyProtection="1">
      <alignment horizontal="center" vertical="center"/>
      <protection locked="0"/>
    </xf>
    <xf numFmtId="0" fontId="31" fillId="0" borderId="0" xfId="0" applyFont="1" applyAlignment="1">
      <alignment horizontal="right"/>
    </xf>
    <xf numFmtId="0" fontId="7" fillId="0" borderId="0" xfId="0" applyFont="1" applyAlignment="1">
      <alignment horizontal="left"/>
    </xf>
    <xf numFmtId="0" fontId="13" fillId="0" borderId="0" xfId="0" applyFont="1" applyAlignment="1" applyProtection="1">
      <alignment horizontal="center" vertical="center"/>
      <protection locked="0"/>
    </xf>
    <xf numFmtId="0" fontId="26" fillId="0" borderId="0" xfId="0" applyFont="1" applyAlignment="1">
      <alignment vertical="center"/>
    </xf>
    <xf numFmtId="0" fontId="34" fillId="0" borderId="0" xfId="0" applyFont="1" applyAlignment="1">
      <alignment vertical="center"/>
    </xf>
    <xf numFmtId="0" fontId="13" fillId="0" borderId="0" xfId="0" applyFont="1" applyAlignment="1">
      <alignment vertical="center"/>
    </xf>
    <xf numFmtId="0" fontId="13" fillId="0" borderId="59" xfId="0" applyFont="1" applyBorder="1" applyAlignment="1">
      <alignment vertical="center"/>
    </xf>
    <xf numFmtId="0" fontId="33" fillId="0" borderId="78" xfId="0" applyFont="1" applyBorder="1" applyAlignment="1">
      <alignment horizontal="center" vertical="center"/>
    </xf>
    <xf numFmtId="0" fontId="33" fillId="0" borderId="81" xfId="0" applyFont="1" applyBorder="1" applyAlignment="1">
      <alignment horizontal="center" vertical="center"/>
    </xf>
    <xf numFmtId="169" fontId="39" fillId="2" borderId="0" xfId="0" applyNumberFormat="1" applyFont="1" applyFill="1" applyAlignment="1">
      <alignment horizontal="center" vertical="center"/>
    </xf>
    <xf numFmtId="0" fontId="0" fillId="6" borderId="26" xfId="0" applyFill="1" applyBorder="1"/>
    <xf numFmtId="0" fontId="0" fillId="6" borderId="43" xfId="0" applyFill="1" applyBorder="1"/>
    <xf numFmtId="0" fontId="0" fillId="6" borderId="42" xfId="0" applyFill="1" applyBorder="1"/>
    <xf numFmtId="0" fontId="0" fillId="6" borderId="31" xfId="0" applyFill="1" applyBorder="1"/>
    <xf numFmtId="0" fontId="0" fillId="6" borderId="0" xfId="0" applyFill="1"/>
    <xf numFmtId="169" fontId="28" fillId="6" borderId="49" xfId="0" applyNumberFormat="1" applyFont="1" applyFill="1" applyBorder="1" applyAlignment="1">
      <alignment horizontal="center"/>
    </xf>
    <xf numFmtId="0" fontId="0" fillId="6" borderId="38" xfId="0" applyFill="1" applyBorder="1"/>
    <xf numFmtId="0" fontId="0" fillId="6" borderId="39" xfId="0" applyFill="1" applyBorder="1"/>
    <xf numFmtId="0" fontId="0" fillId="6" borderId="40" xfId="0" applyFill="1" applyBorder="1"/>
    <xf numFmtId="0" fontId="0" fillId="6" borderId="41" xfId="0" applyFill="1" applyBorder="1"/>
    <xf numFmtId="0" fontId="19" fillId="0" borderId="0" xfId="0" applyFont="1"/>
    <xf numFmtId="0" fontId="23" fillId="0" borderId="43" xfId="0" applyFont="1" applyBorder="1"/>
    <xf numFmtId="0" fontId="20" fillId="0" borderId="43" xfId="0" applyFont="1" applyBorder="1"/>
    <xf numFmtId="0" fontId="20" fillId="0" borderId="0" xfId="0" applyFont="1"/>
    <xf numFmtId="0" fontId="24" fillId="0" borderId="0" xfId="0" applyFont="1"/>
    <xf numFmtId="0" fontId="3" fillId="0" borderId="0" xfId="0" applyFont="1" applyAlignment="1">
      <alignment horizontal="left"/>
    </xf>
    <xf numFmtId="0" fontId="6" fillId="3" borderId="4" xfId="0" applyFont="1" applyFill="1" applyBorder="1"/>
    <xf numFmtId="0" fontId="5" fillId="3" borderId="4" xfId="1" applyFont="1" applyFill="1" applyBorder="1" applyAlignment="1">
      <alignment horizontal="center"/>
    </xf>
    <xf numFmtId="0" fontId="3" fillId="0" borderId="0" xfId="0" applyFont="1"/>
    <xf numFmtId="0" fontId="7" fillId="0" borderId="0" xfId="0" applyFont="1"/>
    <xf numFmtId="0" fontId="3" fillId="4" borderId="0" xfId="0" applyFont="1" applyFill="1"/>
    <xf numFmtId="0" fontId="5" fillId="3" borderId="13" xfId="1" applyFont="1" applyFill="1" applyBorder="1"/>
    <xf numFmtId="0" fontId="5" fillId="3" borderId="14" xfId="1" applyFont="1" applyFill="1" applyBorder="1"/>
    <xf numFmtId="0" fontId="5" fillId="3" borderId="14" xfId="1" applyFont="1" applyFill="1" applyBorder="1" applyAlignment="1">
      <alignment horizontal="center"/>
    </xf>
    <xf numFmtId="0" fontId="5" fillId="3" borderId="15" xfId="1" applyFont="1" applyFill="1" applyBorder="1"/>
    <xf numFmtId="0" fontId="3" fillId="0" borderId="22" xfId="0" applyFont="1" applyBorder="1"/>
    <xf numFmtId="169" fontId="3" fillId="0" borderId="19" xfId="0" applyNumberFormat="1" applyFont="1" applyBorder="1" applyProtection="1">
      <protection locked="0"/>
    </xf>
    <xf numFmtId="0" fontId="3" fillId="0" borderId="0" xfId="0" applyFont="1" applyAlignment="1" applyProtection="1">
      <alignment horizontal="center"/>
      <protection locked="0"/>
    </xf>
    <xf numFmtId="169" fontId="3" fillId="0" borderId="21" xfId="0" applyNumberFormat="1" applyFont="1" applyBorder="1" applyProtection="1">
      <protection locked="0"/>
    </xf>
    <xf numFmtId="10" fontId="3" fillId="0" borderId="0" xfId="0" applyNumberFormat="1" applyFont="1" applyAlignment="1" applyProtection="1">
      <alignment horizontal="center"/>
      <protection locked="0"/>
    </xf>
    <xf numFmtId="9" fontId="3" fillId="0" borderId="0" xfId="0" applyNumberFormat="1" applyFont="1" applyAlignment="1" applyProtection="1">
      <alignment horizontal="center"/>
      <protection locked="0"/>
    </xf>
    <xf numFmtId="10" fontId="3" fillId="0" borderId="0" xfId="0" applyNumberFormat="1" applyFont="1" applyProtection="1">
      <protection locked="0"/>
    </xf>
    <xf numFmtId="0" fontId="3" fillId="6" borderId="0" xfId="0" applyFont="1" applyFill="1" applyAlignment="1">
      <alignment horizontal="center"/>
    </xf>
    <xf numFmtId="10" fontId="3" fillId="6" borderId="0" xfId="0" applyNumberFormat="1" applyFont="1" applyFill="1" applyAlignment="1">
      <alignment horizontal="center"/>
    </xf>
    <xf numFmtId="0" fontId="3" fillId="6" borderId="0" xfId="0" applyFont="1" applyFill="1"/>
    <xf numFmtId="169" fontId="3" fillId="6" borderId="18" xfId="0" applyNumberFormat="1" applyFont="1" applyFill="1" applyBorder="1"/>
    <xf numFmtId="169" fontId="3" fillId="6" borderId="20" xfId="0" applyNumberFormat="1" applyFont="1" applyFill="1" applyBorder="1"/>
    <xf numFmtId="169" fontId="3" fillId="6" borderId="21" xfId="0" applyNumberFormat="1" applyFont="1" applyFill="1" applyBorder="1"/>
    <xf numFmtId="169" fontId="3" fillId="6" borderId="0" xfId="0" applyNumberFormat="1" applyFont="1" applyFill="1"/>
    <xf numFmtId="0" fontId="5" fillId="6" borderId="0" xfId="1" applyFont="1" applyFill="1"/>
    <xf numFmtId="0" fontId="5" fillId="6" borderId="4" xfId="1" applyFont="1" applyFill="1" applyBorder="1"/>
    <xf numFmtId="0" fontId="3" fillId="6" borderId="3" xfId="0" applyFont="1" applyFill="1" applyBorder="1"/>
    <xf numFmtId="0" fontId="7" fillId="6" borderId="3" xfId="0" applyFont="1" applyFill="1" applyBorder="1" applyAlignment="1">
      <alignment vertical="center"/>
    </xf>
    <xf numFmtId="0" fontId="7" fillId="6" borderId="0" xfId="0" applyFont="1" applyFill="1" applyAlignment="1">
      <alignment vertical="center"/>
    </xf>
    <xf numFmtId="167" fontId="5" fillId="6" borderId="4" xfId="1" applyNumberFormat="1" applyFont="1" applyFill="1" applyBorder="1"/>
    <xf numFmtId="167" fontId="5" fillId="6" borderId="7" xfId="1" applyNumberFormat="1" applyFont="1" applyFill="1" applyBorder="1"/>
    <xf numFmtId="0" fontId="17" fillId="7" borderId="31" xfId="0" applyFont="1" applyFill="1" applyBorder="1" applyAlignment="1">
      <alignment horizontal="left"/>
    </xf>
    <xf numFmtId="169" fontId="17" fillId="7" borderId="0" xfId="0" applyNumberFormat="1" applyFont="1" applyFill="1" applyAlignment="1">
      <alignment horizontal="center"/>
    </xf>
    <xf numFmtId="169" fontId="17" fillId="7" borderId="38" xfId="0" applyNumberFormat="1" applyFont="1" applyFill="1" applyBorder="1" applyAlignment="1">
      <alignment horizontal="center"/>
    </xf>
    <xf numFmtId="169" fontId="20" fillId="7" borderId="0" xfId="0" applyNumberFormat="1" applyFont="1" applyFill="1" applyAlignment="1">
      <alignment horizontal="center"/>
    </xf>
    <xf numFmtId="169" fontId="16" fillId="7" borderId="0" xfId="0" applyNumberFormat="1" applyFont="1" applyFill="1" applyAlignment="1">
      <alignment horizontal="center"/>
    </xf>
    <xf numFmtId="169" fontId="16" fillId="7" borderId="38" xfId="0" applyNumberFormat="1" applyFont="1" applyFill="1" applyBorder="1" applyAlignment="1">
      <alignment horizontal="center"/>
    </xf>
    <xf numFmtId="169" fontId="21" fillId="7" borderId="0" xfId="0" applyNumberFormat="1" applyFont="1" applyFill="1" applyAlignment="1">
      <alignment horizontal="center"/>
    </xf>
    <xf numFmtId="0" fontId="0" fillId="7" borderId="0" xfId="0" applyFill="1"/>
    <xf numFmtId="0" fontId="0" fillId="7" borderId="38" xfId="0" applyFill="1" applyBorder="1"/>
    <xf numFmtId="0" fontId="17" fillId="7" borderId="39" xfId="0" applyFont="1" applyFill="1" applyBorder="1" applyAlignment="1">
      <alignment horizontal="left"/>
    </xf>
    <xf numFmtId="169" fontId="20" fillId="7" borderId="40" xfId="0" applyNumberFormat="1" applyFont="1" applyFill="1" applyBorder="1" applyAlignment="1">
      <alignment horizontal="center"/>
    </xf>
    <xf numFmtId="0" fontId="0" fillId="7" borderId="40" xfId="0" applyFill="1" applyBorder="1"/>
    <xf numFmtId="0" fontId="0" fillId="7" borderId="41" xfId="0" applyFill="1" applyBorder="1"/>
    <xf numFmtId="0" fontId="16" fillId="7" borderId="26" xfId="0" applyFont="1" applyFill="1" applyBorder="1"/>
    <xf numFmtId="0" fontId="16" fillId="7" borderId="31" xfId="0" applyFont="1" applyFill="1" applyBorder="1" applyAlignment="1">
      <alignment horizontal="left"/>
    </xf>
    <xf numFmtId="0" fontId="17" fillId="7" borderId="44" xfId="0" applyFont="1" applyFill="1" applyBorder="1" applyAlignment="1">
      <alignment horizontal="center"/>
    </xf>
    <xf numFmtId="0" fontId="17" fillId="7" borderId="45" xfId="0" applyFont="1" applyFill="1" applyBorder="1" applyAlignment="1">
      <alignment horizontal="center"/>
    </xf>
    <xf numFmtId="0" fontId="17" fillId="7" borderId="27" xfId="0" applyFont="1" applyFill="1" applyBorder="1" applyAlignment="1">
      <alignment horizontal="center"/>
    </xf>
    <xf numFmtId="0" fontId="17" fillId="7" borderId="30" xfId="0" applyFont="1" applyFill="1" applyBorder="1" applyAlignment="1">
      <alignment horizontal="center"/>
    </xf>
    <xf numFmtId="0" fontId="0" fillId="7" borderId="32" xfId="0" applyFill="1" applyBorder="1" applyAlignment="1">
      <alignment horizontal="center"/>
    </xf>
    <xf numFmtId="9" fontId="16" fillId="7" borderId="0" xfId="0" applyNumberFormat="1" applyFont="1" applyFill="1" applyAlignment="1">
      <alignment horizontal="center"/>
    </xf>
    <xf numFmtId="0" fontId="16" fillId="7" borderId="0" xfId="0" applyFont="1" applyFill="1"/>
    <xf numFmtId="0" fontId="16" fillId="7" borderId="38" xfId="0" applyFont="1" applyFill="1" applyBorder="1"/>
    <xf numFmtId="169" fontId="21" fillId="7" borderId="52" xfId="0" applyNumberFormat="1" applyFont="1" applyFill="1" applyBorder="1" applyAlignment="1">
      <alignment horizontal="center"/>
    </xf>
    <xf numFmtId="9" fontId="35" fillId="0" borderId="79" xfId="0" applyNumberFormat="1" applyFont="1" applyBorder="1" applyAlignment="1">
      <alignment horizontal="center" vertical="center"/>
    </xf>
    <xf numFmtId="9" fontId="35" fillId="0" borderId="79" xfId="0" applyNumberFormat="1" applyFont="1" applyBorder="1" applyAlignment="1">
      <alignment vertical="center"/>
    </xf>
    <xf numFmtId="9" fontId="35" fillId="0" borderId="80" xfId="0" applyNumberFormat="1" applyFont="1" applyBorder="1" applyAlignment="1">
      <alignment vertical="center"/>
    </xf>
    <xf numFmtId="169" fontId="38" fillId="2" borderId="0" xfId="0" applyNumberFormat="1" applyFont="1" applyFill="1" applyAlignment="1">
      <alignment horizontal="center" vertical="center"/>
    </xf>
    <xf numFmtId="0" fontId="37" fillId="2" borderId="0" xfId="0" applyFont="1" applyFill="1" applyAlignment="1">
      <alignment horizontal="center" vertical="center"/>
    </xf>
    <xf numFmtId="0" fontId="36" fillId="2" borderId="0" xfId="0" applyFont="1" applyFill="1" applyAlignment="1">
      <alignment horizontal="center" vertical="center"/>
    </xf>
    <xf numFmtId="0" fontId="40" fillId="2" borderId="0" xfId="0" applyFont="1" applyFill="1" applyAlignment="1">
      <alignment horizontal="center" vertical="center"/>
    </xf>
    <xf numFmtId="0" fontId="39" fillId="2" borderId="0" xfId="0" applyFont="1" applyFill="1" applyAlignment="1">
      <alignment horizontal="center" vertical="center"/>
    </xf>
    <xf numFmtId="169" fontId="41" fillId="0" borderId="0" xfId="0" applyNumberFormat="1" applyFont="1" applyAlignment="1">
      <alignment horizontal="center" vertical="center"/>
    </xf>
    <xf numFmtId="2" fontId="41" fillId="0" borderId="0" xfId="0" applyNumberFormat="1" applyFont="1" applyAlignment="1">
      <alignment horizontal="center" vertical="center"/>
    </xf>
    <xf numFmtId="0" fontId="38" fillId="2" borderId="0" xfId="0" applyFont="1" applyFill="1" applyAlignment="1">
      <alignment horizontal="center" vertical="center"/>
    </xf>
    <xf numFmtId="0" fontId="39" fillId="2" borderId="62" xfId="0" applyFont="1" applyFill="1" applyBorder="1" applyAlignment="1">
      <alignment horizontal="center" vertical="center"/>
    </xf>
    <xf numFmtId="0" fontId="0" fillId="0" borderId="0" xfId="0" applyAlignment="1">
      <alignment vertical="center"/>
    </xf>
    <xf numFmtId="0" fontId="19" fillId="0" borderId="0" xfId="0" applyFont="1" applyAlignment="1">
      <alignment vertical="center"/>
    </xf>
    <xf numFmtId="0" fontId="19" fillId="0" borderId="86" xfId="0" applyFont="1" applyBorder="1" applyAlignment="1">
      <alignment vertical="center"/>
    </xf>
    <xf numFmtId="0" fontId="19" fillId="0" borderId="87" xfId="0" applyFont="1" applyBorder="1" applyAlignment="1">
      <alignment vertical="center"/>
    </xf>
    <xf numFmtId="0" fontId="19" fillId="0" borderId="88" xfId="0" applyFont="1" applyBorder="1" applyAlignment="1">
      <alignment vertical="center"/>
    </xf>
    <xf numFmtId="0" fontId="0" fillId="0" borderId="26" xfId="0" applyBorder="1" applyAlignment="1">
      <alignment vertical="center"/>
    </xf>
    <xf numFmtId="0" fontId="0" fillId="0" borderId="43" xfId="0" applyBorder="1" applyAlignment="1">
      <alignment vertical="center"/>
    </xf>
    <xf numFmtId="0" fontId="0" fillId="0" borderId="42" xfId="0" applyBorder="1" applyAlignment="1">
      <alignment vertical="center"/>
    </xf>
    <xf numFmtId="0" fontId="19" fillId="0" borderId="0" xfId="0" applyFont="1" applyAlignment="1">
      <alignment horizontal="center" vertical="center"/>
    </xf>
    <xf numFmtId="0" fontId="0" fillId="0" borderId="31" xfId="0" applyBorder="1" applyAlignment="1">
      <alignment vertical="center"/>
    </xf>
    <xf numFmtId="0" fontId="43" fillId="0" borderId="0" xfId="0" applyFont="1" applyAlignment="1">
      <alignment vertical="center"/>
    </xf>
    <xf numFmtId="0" fontId="0" fillId="0" borderId="38" xfId="0" applyBorder="1" applyAlignment="1">
      <alignment vertical="center"/>
    </xf>
    <xf numFmtId="0" fontId="19" fillId="0" borderId="0" xfId="0" applyFont="1" applyAlignment="1">
      <alignment horizontal="left" vertical="center"/>
    </xf>
    <xf numFmtId="0" fontId="44" fillId="0" borderId="0" xfId="0" applyFont="1" applyAlignment="1">
      <alignment vertical="center"/>
    </xf>
    <xf numFmtId="0" fontId="44" fillId="0" borderId="0" xfId="0" applyFont="1" applyAlignment="1">
      <alignment horizontal="left" vertical="center"/>
    </xf>
    <xf numFmtId="0" fontId="18" fillId="0" borderId="0" xfId="0" applyFont="1" applyAlignment="1">
      <alignment horizontal="right" vertical="center"/>
    </xf>
    <xf numFmtId="0" fontId="18" fillId="0" borderId="88" xfId="0" applyFont="1" applyBorder="1" applyAlignment="1">
      <alignment horizontal="right" vertical="center"/>
    </xf>
    <xf numFmtId="0" fontId="43" fillId="0" borderId="0" xfId="0" applyFont="1" applyAlignment="1">
      <alignment horizontal="left" vertical="center"/>
    </xf>
    <xf numFmtId="0" fontId="19" fillId="0" borderId="0" xfId="0" applyFont="1" applyAlignment="1">
      <alignment horizontal="right" vertical="center"/>
    </xf>
    <xf numFmtId="0" fontId="19" fillId="0" borderId="88" xfId="0" applyFont="1" applyBorder="1" applyAlignment="1">
      <alignment horizontal="right" vertical="center"/>
    </xf>
    <xf numFmtId="0" fontId="19" fillId="0" borderId="0" xfId="0" applyFont="1" applyAlignment="1" applyProtection="1">
      <alignment horizontal="right" vertical="center"/>
      <protection locked="0"/>
    </xf>
    <xf numFmtId="0" fontId="19" fillId="0" borderId="88" xfId="0" applyFont="1" applyBorder="1" applyAlignment="1" applyProtection="1">
      <alignment horizontal="right" vertical="center"/>
      <protection locked="0"/>
    </xf>
    <xf numFmtId="0" fontId="0" fillId="0" borderId="39" xfId="0" applyBorder="1" applyAlignment="1">
      <alignment vertical="center"/>
    </xf>
    <xf numFmtId="0" fontId="0" fillId="0" borderId="40" xfId="0" applyBorder="1" applyAlignment="1">
      <alignment vertical="center"/>
    </xf>
    <xf numFmtId="0" fontId="0" fillId="0" borderId="41" xfId="0" applyBorder="1" applyAlignment="1">
      <alignment vertical="center"/>
    </xf>
    <xf numFmtId="0" fontId="30" fillId="0" borderId="90" xfId="0" applyFont="1" applyBorder="1"/>
    <xf numFmtId="0" fontId="30" fillId="0" borderId="89" xfId="0" applyFont="1" applyBorder="1"/>
    <xf numFmtId="0" fontId="21" fillId="6" borderId="85" xfId="0" applyFont="1" applyFill="1" applyBorder="1" applyAlignment="1">
      <alignment horizontal="left" vertical="center"/>
    </xf>
    <xf numFmtId="0" fontId="11" fillId="6" borderId="85" xfId="0" applyFont="1" applyFill="1" applyBorder="1" applyAlignment="1">
      <alignment horizontal="right" vertical="center"/>
    </xf>
    <xf numFmtId="0" fontId="11" fillId="6" borderId="85" xfId="0" applyFont="1" applyFill="1" applyBorder="1" applyAlignment="1">
      <alignment horizontal="left" vertical="center"/>
    </xf>
    <xf numFmtId="0" fontId="21" fillId="6" borderId="85" xfId="0" applyFont="1" applyFill="1" applyBorder="1" applyAlignment="1">
      <alignment vertical="center"/>
    </xf>
    <xf numFmtId="0" fontId="45" fillId="0" borderId="0" xfId="0" applyFont="1" applyAlignment="1">
      <alignment horizontal="right" vertical="center"/>
    </xf>
    <xf numFmtId="169" fontId="13" fillId="6" borderId="60" xfId="0" applyNumberFormat="1" applyFont="1" applyFill="1" applyBorder="1" applyAlignment="1">
      <alignment vertical="center"/>
    </xf>
    <xf numFmtId="0" fontId="50" fillId="9" borderId="91" xfId="0" applyFont="1" applyFill="1" applyBorder="1"/>
    <xf numFmtId="0" fontId="43" fillId="9" borderId="91" xfId="0" applyFont="1" applyFill="1" applyBorder="1"/>
    <xf numFmtId="0" fontId="51" fillId="9" borderId="91" xfId="0" applyFont="1" applyFill="1" applyBorder="1"/>
    <xf numFmtId="0" fontId="3" fillId="0" borderId="0" xfId="0" applyFont="1" applyAlignment="1">
      <alignment vertical="center"/>
    </xf>
    <xf numFmtId="169" fontId="3" fillId="0" borderId="0" xfId="0" applyNumberFormat="1" applyFont="1" applyAlignment="1">
      <alignment horizontal="center" vertical="center"/>
    </xf>
    <xf numFmtId="0" fontId="43" fillId="0" borderId="0" xfId="0" applyFont="1" applyAlignment="1">
      <alignment horizontal="right" vertical="center"/>
    </xf>
    <xf numFmtId="0" fontId="52" fillId="9" borderId="0" xfId="0" applyFont="1" applyFill="1"/>
    <xf numFmtId="0" fontId="54" fillId="9" borderId="0" xfId="0" applyFont="1" applyFill="1" applyAlignment="1">
      <alignment horizontal="right"/>
    </xf>
    <xf numFmtId="0" fontId="52" fillId="9" borderId="0" xfId="0" applyFont="1" applyFill="1" applyAlignment="1">
      <alignment horizontal="right"/>
    </xf>
    <xf numFmtId="169" fontId="53" fillId="10" borderId="93" xfId="0" applyNumberFormat="1" applyFont="1" applyFill="1" applyBorder="1" applyAlignment="1">
      <alignment horizontal="center" vertical="center"/>
    </xf>
    <xf numFmtId="169" fontId="55" fillId="10" borderId="95" xfId="0" applyNumberFormat="1" applyFont="1" applyFill="1" applyBorder="1" applyAlignment="1">
      <alignment horizontal="center" vertical="center"/>
    </xf>
    <xf numFmtId="0" fontId="56" fillId="0" borderId="98" xfId="0" applyFont="1" applyBorder="1" applyAlignment="1">
      <alignment vertical="center"/>
    </xf>
    <xf numFmtId="0" fontId="56" fillId="0" borderId="0" xfId="0" applyFont="1" applyAlignment="1">
      <alignment vertical="center"/>
    </xf>
    <xf numFmtId="0" fontId="45" fillId="0" borderId="98" xfId="0" applyFont="1" applyBorder="1" applyAlignment="1">
      <alignment vertical="center"/>
    </xf>
    <xf numFmtId="169" fontId="47" fillId="0" borderId="111" xfId="0" applyNumberFormat="1" applyFont="1" applyBorder="1" applyAlignment="1">
      <alignment horizontal="center" vertical="center"/>
    </xf>
    <xf numFmtId="169" fontId="5" fillId="0" borderId="112" xfId="0" applyNumberFormat="1" applyFont="1" applyBorder="1" applyAlignment="1">
      <alignment horizontal="center" vertical="center"/>
    </xf>
    <xf numFmtId="169" fontId="5" fillId="0" borderId="113" xfId="0" applyNumberFormat="1" applyFont="1" applyBorder="1" applyAlignment="1">
      <alignment horizontal="center" vertical="center"/>
    </xf>
    <xf numFmtId="169" fontId="31" fillId="0" borderId="0" xfId="0" applyNumberFormat="1" applyFont="1" applyAlignment="1">
      <alignment horizontal="center" vertical="center"/>
    </xf>
    <xf numFmtId="0" fontId="3" fillId="0" borderId="0" xfId="0" applyFont="1" applyAlignment="1">
      <alignment horizontal="right" vertical="center"/>
    </xf>
    <xf numFmtId="169" fontId="5" fillId="6" borderId="114" xfId="0" applyNumberFormat="1" applyFont="1" applyFill="1" applyBorder="1" applyAlignment="1">
      <alignment horizontal="center" vertical="center"/>
    </xf>
    <xf numFmtId="169" fontId="5" fillId="6" borderId="115" xfId="0" applyNumberFormat="1" applyFont="1" applyFill="1" applyBorder="1" applyAlignment="1">
      <alignment horizontal="center" vertical="center"/>
    </xf>
    <xf numFmtId="169" fontId="47" fillId="6" borderId="116" xfId="0" applyNumberFormat="1" applyFont="1" applyFill="1" applyBorder="1" applyAlignment="1">
      <alignment horizontal="center" vertical="center"/>
    </xf>
    <xf numFmtId="0" fontId="31" fillId="0" borderId="0" xfId="0" applyFont="1" applyAlignment="1">
      <alignment vertical="center"/>
    </xf>
    <xf numFmtId="0" fontId="31" fillId="0" borderId="0" xfId="0" applyFont="1" applyAlignment="1">
      <alignment horizontal="right" vertical="center"/>
    </xf>
    <xf numFmtId="0" fontId="3" fillId="0" borderId="118" xfId="0" applyFont="1" applyBorder="1" applyAlignment="1">
      <alignment vertical="center"/>
    </xf>
    <xf numFmtId="0" fontId="31" fillId="0" borderId="118" xfId="0" applyFont="1" applyBorder="1" applyAlignment="1">
      <alignment vertical="center"/>
    </xf>
    <xf numFmtId="0" fontId="31" fillId="0" borderId="118" xfId="0" applyFont="1" applyBorder="1" applyAlignment="1">
      <alignment horizontal="right" vertical="center"/>
    </xf>
    <xf numFmtId="0" fontId="45" fillId="0" borderId="0" xfId="0" applyFont="1" applyAlignment="1">
      <alignment horizontal="left" vertical="center"/>
    </xf>
    <xf numFmtId="0" fontId="45" fillId="0" borderId="119" xfId="0" applyFont="1" applyBorder="1" applyAlignment="1">
      <alignment horizontal="left" vertical="center"/>
    </xf>
    <xf numFmtId="169" fontId="57" fillId="10" borderId="95" xfId="0" applyNumberFormat="1" applyFont="1" applyFill="1" applyBorder="1" applyAlignment="1">
      <alignment horizontal="center" vertical="center"/>
    </xf>
    <xf numFmtId="0" fontId="31" fillId="0" borderId="0" xfId="0" applyFont="1" applyAlignment="1">
      <alignment vertical="center" wrapText="1"/>
    </xf>
    <xf numFmtId="0" fontId="58" fillId="0" borderId="56" xfId="0" applyFont="1" applyBorder="1" applyAlignment="1" applyProtection="1">
      <alignment horizontal="center" vertical="center"/>
      <protection locked="0"/>
    </xf>
    <xf numFmtId="0" fontId="30" fillId="0" borderId="11" xfId="0" applyFont="1" applyBorder="1"/>
    <xf numFmtId="0" fontId="0" fillId="0" borderId="11" xfId="0" applyBorder="1"/>
    <xf numFmtId="0" fontId="29" fillId="0" borderId="56" xfId="0" applyFont="1" applyBorder="1" applyAlignment="1">
      <alignment horizontal="center" vertical="center"/>
    </xf>
    <xf numFmtId="0" fontId="39" fillId="2" borderId="130" xfId="0" applyFont="1" applyFill="1" applyBorder="1" applyAlignment="1">
      <alignment horizontal="center" vertical="center"/>
    </xf>
    <xf numFmtId="167" fontId="36" fillId="0" borderId="62" xfId="0" applyNumberFormat="1" applyFont="1" applyBorder="1" applyAlignment="1">
      <alignment horizontal="center" vertical="center"/>
    </xf>
    <xf numFmtId="167" fontId="36" fillId="0" borderId="0" xfId="0" applyNumberFormat="1" applyFont="1" applyAlignment="1">
      <alignment horizontal="center" vertical="center"/>
    </xf>
    <xf numFmtId="9" fontId="36" fillId="0" borderId="0" xfId="0" applyNumberFormat="1" applyFont="1" applyAlignment="1">
      <alignment horizontal="center" vertical="center"/>
    </xf>
    <xf numFmtId="167" fontId="36" fillId="0" borderId="26" xfId="0" applyNumberFormat="1" applyFont="1" applyBorder="1" applyAlignment="1">
      <alignment horizontal="center" vertical="center"/>
    </xf>
    <xf numFmtId="0" fontId="37" fillId="0" borderId="131" xfId="0" applyFont="1" applyBorder="1" applyAlignment="1">
      <alignment horizontal="center" vertical="center"/>
    </xf>
    <xf numFmtId="167" fontId="36" fillId="0" borderId="31" xfId="0" applyNumberFormat="1" applyFont="1" applyBorder="1" applyAlignment="1">
      <alignment horizontal="center" vertical="center"/>
    </xf>
    <xf numFmtId="167" fontId="36" fillId="0" borderId="132" xfId="0" applyNumberFormat="1" applyFont="1" applyBorder="1" applyAlignment="1">
      <alignment horizontal="center" vertical="center"/>
    </xf>
    <xf numFmtId="0" fontId="37" fillId="0" borderId="0" xfId="0" applyFont="1" applyAlignment="1">
      <alignment horizontal="center" vertical="center"/>
    </xf>
    <xf numFmtId="167" fontId="38" fillId="0" borderId="133" xfId="0" applyNumberFormat="1" applyFont="1" applyBorder="1" applyAlignment="1">
      <alignment horizontal="center" vertical="center"/>
    </xf>
    <xf numFmtId="167" fontId="38" fillId="0" borderId="129" xfId="0" applyNumberFormat="1" applyFont="1" applyBorder="1" applyAlignment="1">
      <alignment horizontal="center" vertical="center"/>
    </xf>
    <xf numFmtId="0" fontId="59" fillId="2" borderId="62" xfId="0" applyFont="1" applyFill="1" applyBorder="1" applyAlignment="1">
      <alignment horizontal="center" vertical="center"/>
    </xf>
    <xf numFmtId="167" fontId="60" fillId="0" borderId="0" xfId="0" applyNumberFormat="1" applyFont="1" applyAlignment="1">
      <alignment horizontal="center" vertical="center"/>
    </xf>
    <xf numFmtId="169" fontId="61" fillId="0" borderId="0" xfId="0" applyNumberFormat="1" applyFont="1" applyAlignment="1">
      <alignment horizontal="center" vertical="center"/>
    </xf>
    <xf numFmtId="0" fontId="60" fillId="0" borderId="0" xfId="0" applyFont="1" applyAlignment="1">
      <alignment horizontal="center" vertical="center"/>
    </xf>
    <xf numFmtId="167" fontId="0" fillId="0" borderId="0" xfId="0" applyNumberFormat="1"/>
    <xf numFmtId="169" fontId="62" fillId="2" borderId="0" xfId="0" applyNumberFormat="1" applyFont="1" applyFill="1" applyAlignment="1">
      <alignment horizontal="center" vertical="center"/>
    </xf>
    <xf numFmtId="167" fontId="62" fillId="2" borderId="0" xfId="0" applyNumberFormat="1" applyFont="1" applyFill="1" applyAlignment="1">
      <alignment horizontal="center" vertical="center"/>
    </xf>
    <xf numFmtId="0" fontId="12" fillId="6" borderId="40" xfId="0" applyFont="1" applyFill="1" applyBorder="1"/>
    <xf numFmtId="0" fontId="27" fillId="6" borderId="0" xfId="0" applyFont="1" applyFill="1"/>
    <xf numFmtId="0" fontId="25" fillId="6" borderId="0" xfId="0" applyFont="1" applyFill="1"/>
    <xf numFmtId="14" fontId="0" fillId="0" borderId="53" xfId="0" applyNumberFormat="1" applyBorder="1" applyAlignment="1" applyProtection="1">
      <alignment horizontal="center" vertical="center" wrapText="1"/>
      <protection locked="0"/>
    </xf>
    <xf numFmtId="14" fontId="2" fillId="0" borderId="0" xfId="0" applyNumberFormat="1" applyFont="1" applyAlignment="1">
      <alignment horizontal="center"/>
    </xf>
    <xf numFmtId="169" fontId="63" fillId="6" borderId="54" xfId="0" applyNumberFormat="1" applyFont="1" applyFill="1" applyBorder="1" applyAlignment="1">
      <alignment horizontal="center"/>
    </xf>
    <xf numFmtId="164" fontId="19" fillId="6" borderId="0" xfId="0" applyNumberFormat="1" applyFont="1" applyFill="1" applyAlignment="1">
      <alignment horizontal="center"/>
    </xf>
    <xf numFmtId="169" fontId="65" fillId="6" borderId="49" xfId="0" applyNumberFormat="1" applyFont="1" applyFill="1" applyBorder="1" applyAlignment="1">
      <alignment horizontal="center"/>
    </xf>
    <xf numFmtId="164" fontId="7" fillId="6" borderId="40" xfId="0" applyNumberFormat="1" applyFont="1" applyFill="1" applyBorder="1" applyAlignment="1">
      <alignment horizontal="center"/>
    </xf>
    <xf numFmtId="0" fontId="2" fillId="0" borderId="63" xfId="0" applyFont="1" applyBorder="1" applyAlignment="1">
      <alignment horizontal="center"/>
    </xf>
    <xf numFmtId="2" fontId="1" fillId="0" borderId="0" xfId="0" applyNumberFormat="1" applyFont="1" applyAlignment="1" applyProtection="1">
      <alignment horizontal="center" vertical="center"/>
      <protection locked="0"/>
    </xf>
    <xf numFmtId="0" fontId="67" fillId="0" borderId="0" xfId="0" applyFont="1" applyAlignment="1">
      <alignment horizontal="right"/>
    </xf>
    <xf numFmtId="14" fontId="67" fillId="0" borderId="0" xfId="0" applyNumberFormat="1" applyFont="1" applyAlignment="1">
      <alignment horizontal="left"/>
    </xf>
    <xf numFmtId="0" fontId="0" fillId="12" borderId="0" xfId="0" applyFill="1" applyAlignment="1">
      <alignment vertical="center"/>
    </xf>
    <xf numFmtId="0" fontId="69" fillId="12" borderId="0" xfId="0" applyFont="1" applyFill="1" applyAlignment="1">
      <alignment vertical="center"/>
    </xf>
    <xf numFmtId="0" fontId="71" fillId="12" borderId="0" xfId="0" applyFont="1" applyFill="1" applyAlignment="1">
      <alignment vertical="center"/>
    </xf>
    <xf numFmtId="0" fontId="72" fillId="12" borderId="0" xfId="0" applyFont="1" applyFill="1" applyAlignment="1">
      <alignment vertical="center"/>
    </xf>
    <xf numFmtId="0" fontId="68" fillId="12" borderId="0" xfId="0" applyFont="1" applyFill="1" applyAlignment="1">
      <alignment vertical="center"/>
    </xf>
    <xf numFmtId="0" fontId="64" fillId="0" borderId="0" xfId="0" applyFont="1" applyAlignment="1">
      <alignment vertical="center"/>
    </xf>
    <xf numFmtId="0" fontId="75" fillId="0" borderId="0" xfId="0" applyFont="1" applyAlignment="1">
      <alignment vertical="center"/>
    </xf>
    <xf numFmtId="0" fontId="0" fillId="0" borderId="137" xfId="0" applyBorder="1" applyAlignment="1">
      <alignment vertical="center"/>
    </xf>
    <xf numFmtId="0" fontId="76" fillId="0" borderId="0" xfId="0" applyFont="1"/>
    <xf numFmtId="0" fontId="76" fillId="0" borderId="0" xfId="0" applyFont="1" applyAlignment="1">
      <alignment horizontal="center"/>
    </xf>
    <xf numFmtId="0" fontId="64" fillId="2" borderId="0" xfId="0" applyFont="1" applyFill="1"/>
    <xf numFmtId="0" fontId="64" fillId="2" borderId="0" xfId="0" applyFont="1" applyFill="1" applyAlignment="1">
      <alignment vertical="center"/>
    </xf>
    <xf numFmtId="167" fontId="3" fillId="0" borderId="0" xfId="0" applyNumberFormat="1" applyFont="1"/>
    <xf numFmtId="169" fontId="76" fillId="0" borderId="0" xfId="0" applyNumberFormat="1" applyFont="1" applyAlignment="1">
      <alignment horizontal="center"/>
    </xf>
    <xf numFmtId="0" fontId="76" fillId="0" borderId="139" xfId="0" applyFont="1" applyBorder="1"/>
    <xf numFmtId="0" fontId="76" fillId="0" borderId="140" xfId="0" applyFont="1" applyBorder="1"/>
    <xf numFmtId="169" fontId="76" fillId="0" borderId="0" xfId="0" applyNumberFormat="1" applyFont="1"/>
    <xf numFmtId="0" fontId="76" fillId="0" borderId="138" xfId="0" applyFont="1" applyBorder="1"/>
    <xf numFmtId="169" fontId="77" fillId="0" borderId="0" xfId="0" applyNumberFormat="1" applyFont="1"/>
    <xf numFmtId="0" fontId="3" fillId="3" borderId="0" xfId="0" applyFont="1" applyFill="1" applyAlignment="1">
      <alignment horizontal="center"/>
    </xf>
    <xf numFmtId="0" fontId="76" fillId="0" borderId="0" xfId="0" applyFont="1" applyAlignment="1">
      <alignment horizontal="right"/>
    </xf>
    <xf numFmtId="0" fontId="12" fillId="0" borderId="0" xfId="0" applyFont="1"/>
    <xf numFmtId="0" fontId="31" fillId="0" borderId="0" xfId="0" applyFont="1" applyAlignment="1">
      <alignment horizontal="left"/>
    </xf>
    <xf numFmtId="0" fontId="31" fillId="0" borderId="0" xfId="0" applyFont="1"/>
    <xf numFmtId="0" fontId="85" fillId="5" borderId="0" xfId="0" applyFont="1" applyFill="1" applyAlignment="1">
      <alignment horizontal="center" vertical="center"/>
    </xf>
    <xf numFmtId="0" fontId="86" fillId="5" borderId="0" xfId="0" applyFont="1" applyFill="1" applyAlignment="1">
      <alignment horizontal="center" vertical="center"/>
    </xf>
    <xf numFmtId="169" fontId="87" fillId="5" borderId="0" xfId="0" applyNumberFormat="1" applyFont="1" applyFill="1" applyAlignment="1">
      <alignment horizontal="center" vertical="center"/>
    </xf>
    <xf numFmtId="2" fontId="87" fillId="5" borderId="0" xfId="0" applyNumberFormat="1" applyFont="1" applyFill="1" applyAlignment="1">
      <alignment horizontal="center" vertical="center"/>
    </xf>
    <xf numFmtId="167" fontId="86" fillId="5" borderId="0" xfId="0" applyNumberFormat="1" applyFont="1" applyFill="1" applyAlignment="1">
      <alignment horizontal="center" vertical="center"/>
    </xf>
    <xf numFmtId="9" fontId="86" fillId="5" borderId="0" xfId="0" applyNumberFormat="1" applyFont="1" applyFill="1" applyAlignment="1">
      <alignment horizontal="center" vertical="center"/>
    </xf>
    <xf numFmtId="167" fontId="30" fillId="0" borderId="0" xfId="0" applyNumberFormat="1" applyFont="1"/>
    <xf numFmtId="169" fontId="85" fillId="5" borderId="0" xfId="0" applyNumberFormat="1" applyFont="1" applyFill="1" applyAlignment="1">
      <alignment horizontal="center" vertical="center"/>
    </xf>
    <xf numFmtId="0" fontId="1" fillId="2" borderId="0" xfId="0" applyFont="1" applyFill="1"/>
    <xf numFmtId="167" fontId="38" fillId="2" borderId="0" xfId="0" applyNumberFormat="1" applyFont="1" applyFill="1" applyAlignment="1">
      <alignment horizontal="center" vertical="center"/>
    </xf>
    <xf numFmtId="0" fontId="45" fillId="0" borderId="98" xfId="0" applyFont="1" applyBorder="1" applyAlignment="1">
      <alignment horizontal="left"/>
    </xf>
    <xf numFmtId="0" fontId="43" fillId="0" borderId="88" xfId="0" applyFont="1" applyBorder="1" applyAlignment="1">
      <alignment vertical="center"/>
    </xf>
    <xf numFmtId="0" fontId="44" fillId="0" borderId="0" xfId="0" applyFont="1" applyAlignment="1">
      <alignment horizontal="right" vertical="center"/>
    </xf>
    <xf numFmtId="1" fontId="43" fillId="0" borderId="0" xfId="0" applyNumberFormat="1" applyFont="1" applyAlignment="1">
      <alignment horizontal="right" vertical="center"/>
    </xf>
    <xf numFmtId="0" fontId="43" fillId="0" borderId="103" xfId="0" applyFont="1" applyBorder="1" applyAlignment="1">
      <alignment vertical="center"/>
    </xf>
    <xf numFmtId="1" fontId="31" fillId="0" borderId="99" xfId="0" applyNumberFormat="1" applyFont="1" applyBorder="1" applyAlignment="1">
      <alignment horizontal="right" vertical="center"/>
    </xf>
    <xf numFmtId="0" fontId="43" fillId="0" borderId="88" xfId="0" applyFont="1" applyBorder="1" applyAlignment="1">
      <alignment horizontal="right" vertical="center"/>
    </xf>
    <xf numFmtId="0" fontId="44" fillId="0" borderId="101" xfId="0" applyFont="1" applyBorder="1" applyAlignment="1">
      <alignment horizontal="right" vertical="center"/>
    </xf>
    <xf numFmtId="1" fontId="44" fillId="0" borderId="106" xfId="0" applyNumberFormat="1" applyFont="1" applyBorder="1" applyAlignment="1">
      <alignment horizontal="right" vertical="center"/>
    </xf>
    <xf numFmtId="0" fontId="31" fillId="0" borderId="120" xfId="0" applyFont="1" applyBorder="1" applyAlignment="1">
      <alignment horizontal="right"/>
    </xf>
    <xf numFmtId="0" fontId="31" fillId="0" borderId="121" xfId="0" applyFont="1" applyBorder="1" applyAlignment="1">
      <alignment horizontal="left"/>
    </xf>
    <xf numFmtId="1" fontId="31" fillId="0" borderId="99" xfId="0" applyNumberFormat="1" applyFont="1" applyBorder="1" applyAlignment="1">
      <alignment vertical="center"/>
    </xf>
    <xf numFmtId="1" fontId="31" fillId="0" borderId="0" xfId="0" applyNumberFormat="1" applyFont="1" applyAlignment="1">
      <alignment horizontal="right" vertical="center"/>
    </xf>
    <xf numFmtId="1" fontId="44" fillId="0" borderId="0" xfId="0" applyNumberFormat="1" applyFont="1" applyAlignment="1">
      <alignment horizontal="right" vertical="center"/>
    </xf>
    <xf numFmtId="0" fontId="88" fillId="0" borderId="88" xfId="0" applyFont="1" applyBorder="1" applyAlignment="1">
      <alignment vertical="center"/>
    </xf>
    <xf numFmtId="169" fontId="88" fillId="0" borderId="0" xfId="0" applyNumberFormat="1" applyFont="1" applyAlignment="1">
      <alignment vertical="center"/>
    </xf>
    <xf numFmtId="1" fontId="88" fillId="0" borderId="99" xfId="0" applyNumberFormat="1" applyFont="1" applyBorder="1" applyAlignment="1">
      <alignment vertical="center"/>
    </xf>
    <xf numFmtId="1" fontId="88" fillId="0" borderId="0" xfId="0" applyNumberFormat="1" applyFont="1" applyAlignment="1">
      <alignment vertical="center"/>
    </xf>
    <xf numFmtId="0" fontId="88" fillId="0" borderId="0" xfId="0" applyFont="1" applyAlignment="1">
      <alignment horizontal="right"/>
    </xf>
    <xf numFmtId="0" fontId="88" fillId="0" borderId="0" xfId="0" applyFont="1" applyAlignment="1">
      <alignment horizontal="left"/>
    </xf>
    <xf numFmtId="0" fontId="88" fillId="0" borderId="0" xfId="0" applyFont="1" applyAlignment="1">
      <alignment horizontal="center"/>
    </xf>
    <xf numFmtId="0" fontId="88" fillId="0" borderId="0" xfId="0" applyFont="1"/>
    <xf numFmtId="0" fontId="0" fillId="11" borderId="0" xfId="0" applyFill="1" applyAlignment="1">
      <alignment horizontal="center"/>
    </xf>
    <xf numFmtId="0" fontId="39" fillId="0" borderId="0" xfId="0" applyFont="1" applyAlignment="1">
      <alignment horizontal="center" vertical="center"/>
    </xf>
    <xf numFmtId="0" fontId="1" fillId="0" borderId="0" xfId="0" applyFont="1"/>
    <xf numFmtId="0" fontId="36" fillId="0" borderId="0" xfId="0" applyFont="1" applyAlignment="1">
      <alignment horizontal="center" vertical="center"/>
    </xf>
    <xf numFmtId="0" fontId="41" fillId="0" borderId="0" xfId="0" applyFont="1" applyAlignment="1">
      <alignment horizontal="center" vertical="center"/>
    </xf>
    <xf numFmtId="0" fontId="0" fillId="11" borderId="0" xfId="0" applyFill="1"/>
    <xf numFmtId="0" fontId="0" fillId="0" borderId="0" xfId="0" applyAlignment="1">
      <alignment vertical="center" wrapText="1"/>
    </xf>
    <xf numFmtId="0" fontId="39" fillId="0" borderId="0" xfId="0" applyFont="1" applyAlignment="1">
      <alignment vertical="center"/>
    </xf>
    <xf numFmtId="1" fontId="39" fillId="0" borderId="0" xfId="0" applyNumberFormat="1" applyFont="1" applyAlignment="1">
      <alignment vertical="center"/>
    </xf>
    <xf numFmtId="0" fontId="1" fillId="0" borderId="0" xfId="0" applyFont="1" applyAlignment="1">
      <alignment horizontal="center"/>
    </xf>
    <xf numFmtId="0" fontId="51" fillId="9" borderId="96" xfId="0" applyFont="1" applyFill="1" applyBorder="1"/>
    <xf numFmtId="0" fontId="88" fillId="0" borderId="108" xfId="0" applyFont="1" applyBorder="1" applyAlignment="1">
      <alignment vertical="center"/>
    </xf>
    <xf numFmtId="0" fontId="51" fillId="9" borderId="0" xfId="0" applyFont="1" applyFill="1"/>
    <xf numFmtId="0" fontId="91" fillId="9" borderId="91" xfId="0" applyFont="1" applyFill="1" applyBorder="1"/>
    <xf numFmtId="169" fontId="92" fillId="5" borderId="93" xfId="0" applyNumberFormat="1" applyFont="1" applyFill="1" applyBorder="1" applyAlignment="1">
      <alignment horizontal="center" vertical="center"/>
    </xf>
    <xf numFmtId="0" fontId="93" fillId="9" borderId="0" xfId="0" applyFont="1" applyFill="1" applyAlignment="1">
      <alignment horizontal="right"/>
    </xf>
    <xf numFmtId="169" fontId="90" fillId="5" borderId="95" xfId="0" applyNumberFormat="1" applyFont="1" applyFill="1" applyBorder="1" applyAlignment="1">
      <alignment horizontal="center" vertical="center"/>
    </xf>
    <xf numFmtId="0" fontId="51" fillId="9" borderId="0" xfId="0" applyFont="1" applyFill="1" applyAlignment="1">
      <alignment horizontal="right"/>
    </xf>
    <xf numFmtId="169" fontId="31" fillId="5" borderId="95" xfId="0" applyNumberFormat="1" applyFont="1" applyFill="1" applyBorder="1" applyAlignment="1">
      <alignment horizontal="center" vertical="center"/>
    </xf>
    <xf numFmtId="0" fontId="94" fillId="0" borderId="88" xfId="0" applyFont="1" applyBorder="1" applyAlignment="1">
      <alignment vertical="center"/>
    </xf>
    <xf numFmtId="0" fontId="3" fillId="0" borderId="0" xfId="0" applyFont="1" applyAlignment="1">
      <alignment horizontal="left" vertical="center"/>
    </xf>
    <xf numFmtId="1" fontId="94" fillId="0" borderId="99" xfId="0" applyNumberFormat="1" applyFont="1" applyBorder="1" applyAlignment="1">
      <alignment vertical="center"/>
    </xf>
    <xf numFmtId="0" fontId="94" fillId="0" borderId="100" xfId="0" applyFont="1" applyBorder="1" applyAlignment="1">
      <alignment vertical="center"/>
    </xf>
    <xf numFmtId="1" fontId="94" fillId="0" borderId="0" xfId="0" applyNumberFormat="1" applyFont="1" applyAlignment="1">
      <alignment vertical="center"/>
    </xf>
    <xf numFmtId="0" fontId="3" fillId="0" borderId="88" xfId="0" applyFont="1" applyBorder="1" applyAlignment="1">
      <alignment vertical="center"/>
    </xf>
    <xf numFmtId="0" fontId="45" fillId="0" borderId="100" xfId="0" applyFont="1" applyBorder="1" applyAlignment="1">
      <alignment horizontal="right" vertical="center"/>
    </xf>
    <xf numFmtId="1" fontId="3" fillId="0" borderId="0" xfId="0" applyNumberFormat="1" applyFont="1" applyAlignment="1">
      <alignment horizontal="right" vertical="center"/>
    </xf>
    <xf numFmtId="1" fontId="3" fillId="0" borderId="100" xfId="0" applyNumberFormat="1" applyFont="1" applyBorder="1" applyAlignment="1">
      <alignment horizontal="right" vertical="center"/>
    </xf>
    <xf numFmtId="0" fontId="3" fillId="0" borderId="103" xfId="0" applyFont="1" applyBorder="1" applyAlignment="1">
      <alignment vertical="center"/>
    </xf>
    <xf numFmtId="1" fontId="3" fillId="0" borderId="109" xfId="0" applyNumberFormat="1" applyFont="1" applyBorder="1" applyAlignment="1">
      <alignment horizontal="right" vertical="center"/>
    </xf>
    <xf numFmtId="0" fontId="3" fillId="0" borderId="88" xfId="0" applyFont="1" applyBorder="1" applyAlignment="1">
      <alignment horizontal="right" vertical="center"/>
    </xf>
    <xf numFmtId="0" fontId="45" fillId="0" borderId="101" xfId="0" applyFont="1" applyBorder="1" applyAlignment="1">
      <alignment horizontal="right" vertical="center"/>
    </xf>
    <xf numFmtId="1" fontId="45" fillId="0" borderId="106" xfId="0" applyNumberFormat="1" applyFont="1" applyBorder="1" applyAlignment="1">
      <alignment horizontal="right" vertical="center"/>
    </xf>
    <xf numFmtId="1" fontId="45" fillId="0" borderId="110" xfId="0" applyNumberFormat="1" applyFont="1" applyBorder="1" applyAlignment="1">
      <alignment horizontal="right" vertical="center"/>
    </xf>
    <xf numFmtId="0" fontId="95" fillId="0" borderId="0" xfId="0" applyFont="1"/>
    <xf numFmtId="0" fontId="21" fillId="6" borderId="85" xfId="0" applyFont="1" applyFill="1" applyBorder="1" applyAlignment="1">
      <alignment horizontal="center" vertical="center"/>
    </xf>
    <xf numFmtId="0" fontId="45" fillId="0" borderId="98" xfId="0" applyFont="1" applyBorder="1" applyAlignment="1">
      <alignment horizontal="center"/>
    </xf>
    <xf numFmtId="1" fontId="3" fillId="0" borderId="104" xfId="0" applyNumberFormat="1" applyFont="1" applyBorder="1" applyAlignment="1">
      <alignment horizontal="right" vertical="center"/>
    </xf>
    <xf numFmtId="1" fontId="3" fillId="0" borderId="102" xfId="0" applyNumberFormat="1" applyFont="1" applyBorder="1" applyAlignment="1">
      <alignment horizontal="right" vertical="center"/>
    </xf>
    <xf numFmtId="1" fontId="3" fillId="0" borderId="110" xfId="0" applyNumberFormat="1" applyFont="1" applyBorder="1" applyAlignment="1">
      <alignment horizontal="right" vertical="center"/>
    </xf>
    <xf numFmtId="1" fontId="3" fillId="0" borderId="99" xfId="0" applyNumberFormat="1" applyFont="1" applyBorder="1" applyAlignment="1">
      <alignment horizontal="right" vertical="center"/>
    </xf>
    <xf numFmtId="169" fontId="77" fillId="0" borderId="0" xfId="0" applyNumberFormat="1" applyFont="1" applyAlignment="1">
      <alignment horizontal="center"/>
    </xf>
    <xf numFmtId="0" fontId="0" fillId="0" borderId="84" xfId="0" applyBorder="1" applyAlignment="1" applyProtection="1">
      <alignment horizontal="center"/>
      <protection locked="0"/>
    </xf>
    <xf numFmtId="0" fontId="76" fillId="0" borderId="0" xfId="0" applyFont="1" applyAlignment="1">
      <alignment vertical="center" wrapText="1"/>
    </xf>
    <xf numFmtId="0" fontId="0" fillId="11" borderId="0" xfId="0" applyFill="1" applyAlignment="1">
      <alignment vertical="center"/>
    </xf>
    <xf numFmtId="0" fontId="11" fillId="6" borderId="85" xfId="0" applyFont="1" applyFill="1" applyBorder="1" applyAlignment="1">
      <alignment horizontal="center" vertical="center"/>
    </xf>
    <xf numFmtId="169" fontId="81" fillId="0" borderId="0" xfId="0" applyNumberFormat="1" applyFont="1" applyAlignment="1">
      <alignment horizontal="center"/>
    </xf>
    <xf numFmtId="1" fontId="96" fillId="0" borderId="107" xfId="0" applyNumberFormat="1" applyFont="1" applyBorder="1" applyAlignment="1">
      <alignment horizontal="right" vertical="center"/>
    </xf>
    <xf numFmtId="0" fontId="29" fillId="0" borderId="0" xfId="0" applyFont="1" applyAlignment="1">
      <alignment horizontal="center"/>
    </xf>
    <xf numFmtId="0" fontId="77" fillId="0" borderId="0" xfId="0" applyFont="1"/>
    <xf numFmtId="9" fontId="81" fillId="0" borderId="0" xfId="0" applyNumberFormat="1" applyFont="1"/>
    <xf numFmtId="0" fontId="81" fillId="0" borderId="0" xfId="0" applyFont="1"/>
    <xf numFmtId="0" fontId="77" fillId="0" borderId="0" xfId="0" applyFont="1" applyAlignment="1">
      <alignment horizontal="center" vertical="center" wrapText="1"/>
    </xf>
    <xf numFmtId="0" fontId="98" fillId="0" borderId="0" xfId="0" applyFont="1" applyAlignment="1">
      <alignment horizontal="center"/>
    </xf>
    <xf numFmtId="169" fontId="98" fillId="0" borderId="0" xfId="0" applyNumberFormat="1" applyFont="1" applyAlignment="1">
      <alignment horizontal="center"/>
    </xf>
    <xf numFmtId="9" fontId="97" fillId="0" borderId="0" xfId="0" applyNumberFormat="1" applyFont="1"/>
    <xf numFmtId="169" fontId="97" fillId="0" borderId="0" xfId="0" applyNumberFormat="1" applyFont="1" applyAlignment="1">
      <alignment horizontal="center"/>
    </xf>
    <xf numFmtId="0" fontId="99" fillId="0" borderId="147" xfId="0" applyFont="1" applyBorder="1" applyAlignment="1">
      <alignment vertical="center"/>
    </xf>
    <xf numFmtId="169" fontId="99" fillId="0" borderId="147" xfId="0" applyNumberFormat="1" applyFont="1" applyBorder="1" applyAlignment="1">
      <alignment horizontal="center" vertical="center"/>
    </xf>
    <xf numFmtId="169" fontId="99" fillId="0" borderId="147" xfId="0" applyNumberFormat="1" applyFont="1" applyBorder="1" applyAlignment="1">
      <alignment vertical="center"/>
    </xf>
    <xf numFmtId="0" fontId="99" fillId="0" borderId="0" xfId="0" applyFont="1" applyAlignment="1">
      <alignment vertical="center"/>
    </xf>
    <xf numFmtId="169" fontId="99" fillId="0" borderId="0" xfId="0" applyNumberFormat="1" applyFont="1" applyAlignment="1">
      <alignment horizontal="center" vertical="center"/>
    </xf>
    <xf numFmtId="169" fontId="99" fillId="0" borderId="0" xfId="0" applyNumberFormat="1" applyFont="1" applyAlignment="1">
      <alignment vertical="center"/>
    </xf>
    <xf numFmtId="169" fontId="100" fillId="0" borderId="0" xfId="0" applyNumberFormat="1" applyFont="1"/>
    <xf numFmtId="0" fontId="101" fillId="0" borderId="0" xfId="0" applyFont="1"/>
    <xf numFmtId="0" fontId="102" fillId="5" borderId="0" xfId="0" applyFont="1" applyFill="1" applyAlignment="1">
      <alignment vertical="center"/>
    </xf>
    <xf numFmtId="0" fontId="102" fillId="0" borderId="0" xfId="0" applyFont="1" applyAlignment="1">
      <alignment vertical="center"/>
    </xf>
    <xf numFmtId="0" fontId="103" fillId="0" borderId="0" xfId="0" applyFont="1" applyAlignment="1">
      <alignment horizontal="center" vertical="center" wrapText="1" readingOrder="1"/>
    </xf>
    <xf numFmtId="0" fontId="103" fillId="0" borderId="148" xfId="0" applyFont="1" applyBorder="1" applyAlignment="1">
      <alignment vertical="center" wrapText="1" readingOrder="1"/>
    </xf>
    <xf numFmtId="0" fontId="103" fillId="0" borderId="149" xfId="0" applyFont="1" applyBorder="1" applyAlignment="1">
      <alignment vertical="center" wrapText="1" readingOrder="1"/>
    </xf>
    <xf numFmtId="0" fontId="103" fillId="0" borderId="152" xfId="0" applyFont="1" applyBorder="1" applyAlignment="1">
      <alignment vertical="center" wrapText="1" readingOrder="1"/>
    </xf>
    <xf numFmtId="0" fontId="103" fillId="0" borderId="153" xfId="0" applyFont="1" applyBorder="1" applyAlignment="1">
      <alignment vertical="center" wrapText="1" readingOrder="1"/>
    </xf>
    <xf numFmtId="0" fontId="103" fillId="0" borderId="66" xfId="0" applyFont="1" applyBorder="1" applyAlignment="1">
      <alignment horizontal="right" vertical="center" wrapText="1" readingOrder="1"/>
    </xf>
    <xf numFmtId="0" fontId="103" fillId="0" borderId="66" xfId="0" applyFont="1" applyBorder="1" applyAlignment="1">
      <alignment vertical="center" wrapText="1" readingOrder="1"/>
    </xf>
    <xf numFmtId="0" fontId="104" fillId="0" borderId="161" xfId="0" applyFont="1" applyBorder="1" applyAlignment="1">
      <alignment vertical="center" textRotation="90" wrapText="1" readingOrder="1"/>
    </xf>
    <xf numFmtId="0" fontId="0" fillId="0" borderId="0" xfId="0" applyAlignment="1">
      <alignment horizontal="center"/>
    </xf>
    <xf numFmtId="0" fontId="0" fillId="3" borderId="0" xfId="0" applyFill="1" applyAlignment="1">
      <alignment vertical="center" wrapText="1"/>
    </xf>
    <xf numFmtId="0" fontId="0" fillId="3" borderId="0" xfId="0" applyFill="1" applyAlignment="1">
      <alignment horizontal="center" vertical="center" wrapText="1"/>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107" fillId="0" borderId="62" xfId="0" applyFont="1" applyBorder="1" applyAlignment="1">
      <alignment vertical="center" wrapText="1"/>
    </xf>
    <xf numFmtId="0" fontId="107" fillId="0" borderId="62" xfId="0" applyFont="1" applyBorder="1" applyAlignment="1">
      <alignment horizontal="center" vertical="center" wrapText="1"/>
    </xf>
    <xf numFmtId="0" fontId="43" fillId="0" borderId="62" xfId="0" applyFont="1" applyBorder="1" applyAlignment="1">
      <alignment horizontal="center" vertical="center" wrapText="1"/>
    </xf>
    <xf numFmtId="10" fontId="43" fillId="0" borderId="62" xfId="0" applyNumberFormat="1" applyFont="1" applyBorder="1" applyAlignment="1">
      <alignment horizontal="center" vertical="center" wrapText="1"/>
    </xf>
    <xf numFmtId="0" fontId="43" fillId="0" borderId="0" xfId="0" applyFont="1"/>
    <xf numFmtId="0" fontId="43" fillId="0" borderId="62" xfId="0" applyFont="1" applyBorder="1"/>
    <xf numFmtId="0" fontId="108" fillId="2" borderId="0" xfId="0" applyFont="1" applyFill="1"/>
    <xf numFmtId="0" fontId="108" fillId="2" borderId="0" xfId="0" applyFont="1" applyFill="1" applyAlignment="1">
      <alignment horizontal="center"/>
    </xf>
    <xf numFmtId="0" fontId="88" fillId="16" borderId="0" xfId="0" applyFont="1" applyFill="1" applyAlignment="1">
      <alignment horizontal="center"/>
    </xf>
    <xf numFmtId="0" fontId="103" fillId="0" borderId="0" xfId="0" applyFont="1" applyAlignment="1">
      <alignment vertical="center" wrapText="1" readingOrder="1"/>
    </xf>
    <xf numFmtId="0" fontId="103" fillId="0" borderId="3" xfId="0" applyFont="1" applyBorder="1" applyAlignment="1">
      <alignment vertical="center" wrapText="1" readingOrder="1"/>
    </xf>
    <xf numFmtId="0" fontId="106" fillId="0" borderId="0" xfId="0" applyFont="1" applyAlignment="1">
      <alignment vertical="center" wrapText="1" readingOrder="1"/>
    </xf>
    <xf numFmtId="0" fontId="106" fillId="0" borderId="63" xfId="0" applyFont="1" applyBorder="1" applyAlignment="1">
      <alignment vertical="center" wrapText="1" readingOrder="1"/>
    </xf>
    <xf numFmtId="0" fontId="105" fillId="0" borderId="0" xfId="0" applyFont="1" applyAlignment="1">
      <alignment vertical="center" wrapText="1" readingOrder="1"/>
    </xf>
    <xf numFmtId="0" fontId="106" fillId="0" borderId="3" xfId="0" applyFont="1" applyBorder="1" applyAlignment="1">
      <alignment vertical="center" wrapText="1" readingOrder="1"/>
    </xf>
    <xf numFmtId="0" fontId="105" fillId="0" borderId="63" xfId="0" applyFont="1" applyBorder="1" applyAlignment="1">
      <alignment vertical="center" wrapText="1" readingOrder="1"/>
    </xf>
    <xf numFmtId="0" fontId="0" fillId="0" borderId="0" xfId="0" applyAlignment="1">
      <alignment horizontal="center" vertical="center" wrapText="1"/>
    </xf>
    <xf numFmtId="0" fontId="103" fillId="0" borderId="66" xfId="0" applyFont="1" applyBorder="1" applyAlignment="1" applyProtection="1">
      <alignment horizontal="center" vertical="center" wrapText="1" readingOrder="1"/>
      <protection locked="0"/>
    </xf>
    <xf numFmtId="0" fontId="0" fillId="0" borderId="63" xfId="0" applyBorder="1" applyAlignment="1">
      <alignment horizontal="center"/>
    </xf>
    <xf numFmtId="169" fontId="45" fillId="0" borderId="156" xfId="0" applyNumberFormat="1" applyFont="1" applyBorder="1" applyAlignment="1">
      <alignment horizontal="center" vertical="center"/>
    </xf>
    <xf numFmtId="14" fontId="45" fillId="0" borderId="0" xfId="0" applyNumberFormat="1" applyFont="1" applyAlignment="1">
      <alignment horizontal="center" vertical="center"/>
    </xf>
    <xf numFmtId="0" fontId="3" fillId="0" borderId="0" xfId="0" applyFont="1" applyAlignment="1">
      <alignment horizontal="center" vertical="center"/>
    </xf>
    <xf numFmtId="169" fontId="45" fillId="0" borderId="159" xfId="0" applyNumberFormat="1" applyFont="1" applyBorder="1" applyAlignment="1">
      <alignment horizontal="center" vertical="center"/>
    </xf>
    <xf numFmtId="169" fontId="3" fillId="0" borderId="63" xfId="0" applyNumberFormat="1" applyFont="1" applyBorder="1" applyAlignment="1">
      <alignment horizontal="center" vertical="center"/>
    </xf>
    <xf numFmtId="0" fontId="3" fillId="0" borderId="156" xfId="0" applyFont="1" applyBorder="1" applyAlignment="1">
      <alignment horizontal="center" vertical="center"/>
    </xf>
    <xf numFmtId="10" fontId="3" fillId="0" borderId="0" xfId="0" applyNumberFormat="1" applyFont="1" applyAlignment="1">
      <alignment horizontal="center" vertical="center"/>
    </xf>
    <xf numFmtId="10" fontId="3" fillId="0" borderId="159" xfId="0" applyNumberFormat="1" applyFont="1" applyBorder="1" applyAlignment="1">
      <alignment horizontal="center" vertical="center"/>
    </xf>
    <xf numFmtId="10" fontId="3" fillId="0" borderId="156" xfId="0" applyNumberFormat="1" applyFont="1" applyBorder="1" applyAlignment="1">
      <alignment horizontal="center" vertical="center"/>
    </xf>
    <xf numFmtId="10" fontId="3" fillId="0" borderId="63" xfId="0" applyNumberFormat="1" applyFont="1" applyBorder="1" applyAlignment="1">
      <alignment horizontal="center" vertical="center"/>
    </xf>
    <xf numFmtId="0" fontId="45" fillId="0" borderId="156" xfId="0" applyFont="1" applyBorder="1" applyAlignment="1">
      <alignment horizontal="center" vertical="center"/>
    </xf>
    <xf numFmtId="0" fontId="3" fillId="0" borderId="63" xfId="0" applyFont="1" applyBorder="1" applyAlignment="1">
      <alignment horizontal="center" vertical="center"/>
    </xf>
    <xf numFmtId="0" fontId="3" fillId="0" borderId="158" xfId="0" applyFont="1" applyBorder="1" applyAlignment="1">
      <alignment horizontal="center" vertical="center"/>
    </xf>
    <xf numFmtId="0" fontId="3" fillId="0" borderId="157" xfId="0" applyFont="1" applyBorder="1" applyAlignment="1">
      <alignment horizontal="center" vertical="center"/>
    </xf>
    <xf numFmtId="10" fontId="3" fillId="0" borderId="158" xfId="0" applyNumberFormat="1" applyFont="1" applyBorder="1" applyAlignment="1">
      <alignment horizontal="center" vertical="center"/>
    </xf>
    <xf numFmtId="0" fontId="103" fillId="0" borderId="66" xfId="0" applyFont="1" applyBorder="1" applyAlignment="1">
      <alignment horizontal="center" vertical="center" wrapText="1" readingOrder="1"/>
    </xf>
    <xf numFmtId="169" fontId="3" fillId="0" borderId="66" xfId="0" applyNumberFormat="1" applyFont="1" applyBorder="1" applyAlignment="1">
      <alignment horizontal="center" vertical="center"/>
    </xf>
    <xf numFmtId="169" fontId="45" fillId="0" borderId="156" xfId="0" applyNumberFormat="1" applyFont="1" applyBorder="1" applyAlignment="1" applyProtection="1">
      <alignment horizontal="center" vertical="center" wrapText="1"/>
      <protection locked="0"/>
    </xf>
    <xf numFmtId="14" fontId="45" fillId="0" borderId="0" xfId="0" applyNumberFormat="1" applyFont="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169" fontId="45" fillId="0" borderId="159" xfId="0" applyNumberFormat="1" applyFont="1" applyBorder="1" applyAlignment="1" applyProtection="1">
      <alignment horizontal="center" vertical="center" wrapText="1"/>
      <protection locked="0"/>
    </xf>
    <xf numFmtId="169" fontId="3" fillId="0" borderId="63" xfId="0" applyNumberFormat="1" applyFont="1" applyBorder="1" applyAlignment="1" applyProtection="1">
      <alignment horizontal="center" vertical="center" wrapText="1"/>
      <protection locked="0"/>
    </xf>
    <xf numFmtId="0" fontId="3" fillId="0" borderId="156" xfId="0" applyFont="1" applyBorder="1" applyAlignment="1" applyProtection="1">
      <alignment horizontal="center" vertical="center" wrapText="1"/>
      <protection locked="0"/>
    </xf>
    <xf numFmtId="10" fontId="3" fillId="0" borderId="0" xfId="0" applyNumberFormat="1" applyFont="1" applyAlignment="1" applyProtection="1">
      <alignment horizontal="center" vertical="center" wrapText="1"/>
      <protection locked="0"/>
    </xf>
    <xf numFmtId="10" fontId="3" fillId="0" borderId="159" xfId="0" applyNumberFormat="1" applyFont="1" applyBorder="1" applyAlignment="1" applyProtection="1">
      <alignment horizontal="center" vertical="center" wrapText="1"/>
      <protection locked="0"/>
    </xf>
    <xf numFmtId="10" fontId="3" fillId="0" borderId="156" xfId="0" applyNumberFormat="1" applyFont="1" applyBorder="1" applyAlignment="1" applyProtection="1">
      <alignment horizontal="center" vertical="center" wrapText="1"/>
      <protection locked="0"/>
    </xf>
    <xf numFmtId="10" fontId="3" fillId="0" borderId="63" xfId="0" applyNumberFormat="1" applyFont="1" applyBorder="1" applyAlignment="1" applyProtection="1">
      <alignment horizontal="center" vertical="center" wrapText="1"/>
      <protection locked="0"/>
    </xf>
    <xf numFmtId="0" fontId="3" fillId="0" borderId="63" xfId="0" applyFont="1" applyBorder="1" applyAlignment="1" applyProtection="1">
      <alignment horizontal="center" vertical="center" wrapText="1"/>
      <protection locked="0"/>
    </xf>
    <xf numFmtId="0" fontId="3" fillId="0" borderId="158" xfId="0" applyFont="1" applyBorder="1" applyAlignment="1" applyProtection="1">
      <alignment horizontal="center" vertical="center" wrapText="1"/>
      <protection locked="0"/>
    </xf>
    <xf numFmtId="0" fontId="3" fillId="0" borderId="160" xfId="0" applyFont="1" applyBorder="1" applyAlignment="1" applyProtection="1">
      <alignment horizontal="center" vertical="center" wrapText="1"/>
      <protection locked="0"/>
    </xf>
    <xf numFmtId="0" fontId="3" fillId="0" borderId="159" xfId="0" applyFont="1" applyBorder="1" applyAlignment="1" applyProtection="1">
      <alignment horizontal="center" vertical="center" wrapText="1"/>
      <protection locked="0"/>
    </xf>
    <xf numFmtId="10" fontId="3" fillId="0" borderId="158" xfId="0" applyNumberFormat="1" applyFont="1" applyBorder="1" applyAlignment="1" applyProtection="1">
      <alignment horizontal="center" vertical="center" wrapText="1"/>
      <protection locked="0"/>
    </xf>
    <xf numFmtId="0" fontId="3" fillId="0" borderId="157" xfId="0" applyFont="1" applyBorder="1" applyAlignment="1" applyProtection="1">
      <alignment horizontal="center" vertical="center" wrapText="1"/>
      <protection locked="0"/>
    </xf>
    <xf numFmtId="169" fontId="3" fillId="0" borderId="66" xfId="0" applyNumberFormat="1" applyFont="1" applyBorder="1" applyAlignment="1" applyProtection="1">
      <alignment horizontal="center" vertical="center" wrapText="1"/>
      <protection locked="0"/>
    </xf>
    <xf numFmtId="0" fontId="105" fillId="0" borderId="148" xfId="0" applyFont="1" applyBorder="1" applyAlignment="1">
      <alignment horizontal="center" vertical="center" wrapText="1" readingOrder="1"/>
    </xf>
    <xf numFmtId="10" fontId="45" fillId="0" borderId="156" xfId="0" applyNumberFormat="1" applyFont="1" applyBorder="1" applyAlignment="1" applyProtection="1">
      <alignment horizontal="center" vertical="center" wrapText="1"/>
      <protection locked="0"/>
    </xf>
    <xf numFmtId="0" fontId="111" fillId="0" borderId="0" xfId="0" applyFont="1"/>
    <xf numFmtId="10" fontId="0" fillId="0" borderId="0" xfId="0" applyNumberFormat="1"/>
    <xf numFmtId="0" fontId="45" fillId="0" borderId="156" xfId="0" applyFont="1" applyBorder="1" applyAlignment="1" applyProtection="1">
      <alignment horizontal="center" vertical="center" wrapText="1"/>
      <protection locked="0"/>
    </xf>
    <xf numFmtId="0" fontId="7" fillId="0" borderId="0" xfId="0" applyFont="1" applyAlignment="1">
      <alignment vertical="center"/>
    </xf>
    <xf numFmtId="0" fontId="31" fillId="0" borderId="165" xfId="0" applyFont="1" applyBorder="1" applyAlignment="1">
      <alignment vertical="center"/>
    </xf>
    <xf numFmtId="0" fontId="45" fillId="0" borderId="164" xfId="0" applyFont="1" applyBorder="1" applyAlignment="1">
      <alignment vertical="center"/>
    </xf>
    <xf numFmtId="0" fontId="0" fillId="0" borderId="166" xfId="0" applyBorder="1"/>
    <xf numFmtId="0" fontId="0" fillId="0" borderId="166" xfId="0" applyBorder="1" applyAlignment="1">
      <alignment vertical="center"/>
    </xf>
    <xf numFmtId="0" fontId="2" fillId="0" borderId="166" xfId="0" applyFont="1" applyBorder="1" applyAlignment="1">
      <alignment horizontal="center" vertical="center"/>
    </xf>
    <xf numFmtId="169" fontId="2" fillId="0" borderId="166" xfId="0" applyNumberFormat="1" applyFont="1" applyBorder="1" applyAlignment="1">
      <alignment horizontal="center" vertical="center"/>
    </xf>
    <xf numFmtId="0" fontId="7" fillId="6" borderId="156" xfId="0" applyFont="1" applyFill="1" applyBorder="1" applyAlignment="1">
      <alignment horizontal="center" vertical="center"/>
    </xf>
    <xf numFmtId="0" fontId="7" fillId="6" borderId="162" xfId="0" applyFont="1" applyFill="1" applyBorder="1" applyAlignment="1">
      <alignment horizontal="center" vertical="center"/>
    </xf>
    <xf numFmtId="169" fontId="45" fillId="0" borderId="163" xfId="0" applyNumberFormat="1" applyFont="1" applyBorder="1" applyAlignment="1">
      <alignment vertical="center"/>
    </xf>
    <xf numFmtId="169" fontId="31" fillId="0" borderId="0" xfId="0" applyNumberFormat="1" applyFont="1" applyAlignment="1">
      <alignment vertical="center"/>
    </xf>
    <xf numFmtId="0" fontId="115" fillId="19" borderId="0" xfId="0" applyFont="1" applyFill="1"/>
    <xf numFmtId="0" fontId="115" fillId="19" borderId="0" xfId="0" applyFont="1" applyFill="1" applyAlignment="1">
      <alignment horizontal="center"/>
    </xf>
    <xf numFmtId="0" fontId="116" fillId="18" borderId="168" xfId="0" applyFont="1" applyFill="1" applyBorder="1" applyAlignment="1">
      <alignment horizontal="center"/>
    </xf>
    <xf numFmtId="0" fontId="34" fillId="0" borderId="0" xfId="0" applyFont="1"/>
    <xf numFmtId="0" fontId="115" fillId="5" borderId="0" xfId="0" applyFont="1" applyFill="1" applyAlignment="1">
      <alignment horizontal="center"/>
    </xf>
    <xf numFmtId="0" fontId="115" fillId="19" borderId="40" xfId="0" applyFont="1" applyFill="1" applyBorder="1" applyAlignment="1">
      <alignment horizontal="center"/>
    </xf>
    <xf numFmtId="0" fontId="115" fillId="0" borderId="40" xfId="0" applyFont="1" applyBorder="1" applyAlignment="1">
      <alignment horizontal="center"/>
    </xf>
    <xf numFmtId="10" fontId="116" fillId="18" borderId="169" xfId="0" applyNumberFormat="1" applyFont="1" applyFill="1" applyBorder="1" applyAlignment="1">
      <alignment horizontal="center"/>
    </xf>
    <xf numFmtId="0" fontId="26" fillId="22" borderId="31" xfId="0" applyFont="1" applyFill="1" applyBorder="1" applyAlignment="1">
      <alignment horizontal="center"/>
    </xf>
    <xf numFmtId="0" fontId="26" fillId="22" borderId="0" xfId="0" applyFont="1" applyFill="1" applyAlignment="1">
      <alignment horizontal="center"/>
    </xf>
    <xf numFmtId="0" fontId="26" fillId="22" borderId="38" xfId="0" applyFont="1" applyFill="1" applyBorder="1" applyAlignment="1">
      <alignment horizontal="center"/>
    </xf>
    <xf numFmtId="10" fontId="34" fillId="4" borderId="0" xfId="0" applyNumberFormat="1" applyFont="1" applyFill="1" applyAlignment="1">
      <alignment horizontal="center"/>
    </xf>
    <xf numFmtId="10" fontId="34" fillId="4" borderId="38" xfId="0" applyNumberFormat="1" applyFont="1" applyFill="1" applyBorder="1" applyAlignment="1">
      <alignment horizontal="center"/>
    </xf>
    <xf numFmtId="10" fontId="34" fillId="4" borderId="31" xfId="0" applyNumberFormat="1" applyFont="1" applyFill="1" applyBorder="1" applyAlignment="1">
      <alignment horizontal="center"/>
    </xf>
    <xf numFmtId="10" fontId="34" fillId="23" borderId="31" xfId="0" applyNumberFormat="1" applyFont="1" applyFill="1" applyBorder="1" applyAlignment="1">
      <alignment horizontal="center"/>
    </xf>
    <xf numFmtId="10" fontId="34" fillId="23" borderId="0" xfId="0" applyNumberFormat="1" applyFont="1" applyFill="1" applyAlignment="1">
      <alignment horizontal="center"/>
    </xf>
    <xf numFmtId="171" fontId="34" fillId="0" borderId="0" xfId="0" applyNumberFormat="1" applyFont="1"/>
    <xf numFmtId="10" fontId="7" fillId="0" borderId="0" xfId="0" applyNumberFormat="1" applyFont="1"/>
    <xf numFmtId="164" fontId="5" fillId="0" borderId="4" xfId="1" applyNumberFormat="1" applyFont="1" applyBorder="1" applyAlignment="1" applyProtection="1">
      <alignment horizontal="center"/>
      <protection locked="0"/>
    </xf>
    <xf numFmtId="0" fontId="118" fillId="0" borderId="148" xfId="0" applyFont="1" applyBorder="1" applyAlignment="1">
      <alignment vertical="center" wrapText="1" readingOrder="1"/>
    </xf>
    <xf numFmtId="10" fontId="94" fillId="0" borderId="0" xfId="0" applyNumberFormat="1" applyFont="1" applyAlignment="1">
      <alignment horizontal="center" vertical="center" wrapText="1"/>
    </xf>
    <xf numFmtId="0" fontId="105" fillId="0" borderId="148" xfId="0" applyFont="1" applyBorder="1" applyAlignment="1">
      <alignment vertical="center" wrapText="1" readingOrder="1"/>
    </xf>
    <xf numFmtId="0" fontId="111" fillId="0" borderId="0" xfId="0" applyFont="1" applyAlignment="1">
      <alignment horizontal="center"/>
    </xf>
    <xf numFmtId="0" fontId="119" fillId="0" borderId="148" xfId="0" applyFont="1" applyBorder="1" applyAlignment="1">
      <alignment horizontal="right" vertical="center" wrapText="1" readingOrder="1"/>
    </xf>
    <xf numFmtId="0" fontId="103" fillId="0" borderId="180" xfId="0" applyFont="1" applyBorder="1" applyAlignment="1">
      <alignment vertical="center" wrapText="1" readingOrder="1"/>
    </xf>
    <xf numFmtId="0" fontId="103" fillId="0" borderId="181" xfId="0" applyFont="1" applyBorder="1" applyAlignment="1">
      <alignment vertical="center" wrapText="1" readingOrder="1"/>
    </xf>
    <xf numFmtId="0" fontId="3" fillId="0" borderId="156" xfId="0" applyFont="1" applyBorder="1" applyAlignment="1">
      <alignment horizontal="center" vertical="center" wrapText="1"/>
    </xf>
    <xf numFmtId="10" fontId="3" fillId="0" borderId="171" xfId="0" applyNumberFormat="1" applyFont="1" applyBorder="1" applyAlignment="1" applyProtection="1">
      <alignment horizontal="center"/>
      <protection locked="0"/>
    </xf>
    <xf numFmtId="0" fontId="0" fillId="5" borderId="0" xfId="0" applyFill="1"/>
    <xf numFmtId="0" fontId="3" fillId="5" borderId="0" xfId="0" applyFont="1" applyFill="1"/>
    <xf numFmtId="0" fontId="3" fillId="5" borderId="170" xfId="0" applyFont="1" applyFill="1" applyBorder="1"/>
    <xf numFmtId="10" fontId="5" fillId="5" borderId="171" xfId="0" applyNumberFormat="1" applyFont="1" applyFill="1" applyBorder="1" applyAlignment="1">
      <alignment horizontal="center"/>
    </xf>
    <xf numFmtId="0" fontId="3" fillId="0" borderId="59" xfId="0" applyFont="1" applyBorder="1"/>
    <xf numFmtId="0" fontId="3" fillId="0" borderId="177" xfId="0" applyFont="1" applyBorder="1"/>
    <xf numFmtId="10" fontId="5" fillId="5" borderId="178" xfId="0" applyNumberFormat="1" applyFont="1" applyFill="1" applyBorder="1" applyAlignment="1">
      <alignment horizontal="center"/>
    </xf>
    <xf numFmtId="169" fontId="3" fillId="5" borderId="178" xfId="0" applyNumberFormat="1" applyFont="1" applyFill="1" applyBorder="1" applyAlignment="1">
      <alignment horizontal="center"/>
    </xf>
    <xf numFmtId="0" fontId="0" fillId="5" borderId="170" xfId="0" applyFill="1" applyBorder="1"/>
    <xf numFmtId="1" fontId="3" fillId="5" borderId="0" xfId="0" applyNumberFormat="1" applyFont="1" applyFill="1" applyAlignment="1">
      <alignment horizontal="center"/>
    </xf>
    <xf numFmtId="169" fontId="3" fillId="5" borderId="0" xfId="0" applyNumberFormat="1" applyFont="1" applyFill="1" applyAlignment="1">
      <alignment horizontal="center"/>
    </xf>
    <xf numFmtId="0" fontId="30" fillId="5" borderId="0" xfId="0" applyFont="1" applyFill="1"/>
    <xf numFmtId="0" fontId="3" fillId="0" borderId="182" xfId="0" applyFont="1" applyBorder="1"/>
    <xf numFmtId="0" fontId="0" fillId="5" borderId="182" xfId="0" applyFill="1" applyBorder="1"/>
    <xf numFmtId="0" fontId="0" fillId="5" borderId="183" xfId="0" applyFill="1" applyBorder="1"/>
    <xf numFmtId="0" fontId="3" fillId="0" borderId="184" xfId="0" applyFont="1" applyBorder="1"/>
    <xf numFmtId="0" fontId="0" fillId="5" borderId="184" xfId="0" applyFill="1" applyBorder="1"/>
    <xf numFmtId="0" fontId="0" fillId="5" borderId="185" xfId="0" applyFill="1" applyBorder="1"/>
    <xf numFmtId="0" fontId="111" fillId="2" borderId="0" xfId="0" applyFont="1" applyFill="1"/>
    <xf numFmtId="0" fontId="47" fillId="8" borderId="0" xfId="0" applyFont="1" applyFill="1" applyAlignment="1">
      <alignment horizontal="center" vertical="center" wrapText="1"/>
    </xf>
    <xf numFmtId="10" fontId="3" fillId="0" borderId="170" xfId="0" applyNumberFormat="1" applyFont="1" applyBorder="1" applyAlignment="1">
      <alignment horizontal="center" vertical="center" wrapText="1"/>
    </xf>
    <xf numFmtId="0" fontId="3" fillId="0" borderId="171" xfId="0" applyFont="1" applyBorder="1" applyAlignment="1" applyProtection="1">
      <alignment horizontal="center"/>
      <protection locked="0"/>
    </xf>
    <xf numFmtId="0" fontId="7" fillId="5" borderId="0" xfId="0" applyFont="1" applyFill="1"/>
    <xf numFmtId="0" fontId="3" fillId="0" borderId="171" xfId="0" applyFont="1" applyBorder="1" applyAlignment="1">
      <alignment horizontal="center"/>
    </xf>
    <xf numFmtId="0" fontId="58" fillId="5" borderId="0" xfId="0" applyFont="1" applyFill="1"/>
    <xf numFmtId="169" fontId="3" fillId="0" borderId="0" xfId="0" applyNumberFormat="1" applyFont="1" applyAlignment="1">
      <alignment horizontal="center"/>
    </xf>
    <xf numFmtId="0" fontId="5" fillId="5" borderId="184" xfId="0" applyFont="1" applyFill="1" applyBorder="1" applyAlignment="1">
      <alignment horizontal="center"/>
    </xf>
    <xf numFmtId="169" fontId="5" fillId="5" borderId="184" xfId="0" applyNumberFormat="1" applyFont="1" applyFill="1" applyBorder="1" applyAlignment="1">
      <alignment horizontal="center"/>
    </xf>
    <xf numFmtId="0" fontId="30" fillId="5" borderId="184" xfId="0" applyFont="1" applyFill="1" applyBorder="1"/>
    <xf numFmtId="169" fontId="5" fillId="5" borderId="184" xfId="0" applyNumberFormat="1" applyFont="1" applyFill="1" applyBorder="1"/>
    <xf numFmtId="0" fontId="47" fillId="0" borderId="0" xfId="0" applyFont="1" applyAlignment="1">
      <alignment horizontal="right"/>
    </xf>
    <xf numFmtId="169" fontId="5" fillId="0" borderId="0" xfId="0" applyNumberFormat="1" applyFont="1" applyAlignment="1">
      <alignment horizontal="left"/>
    </xf>
    <xf numFmtId="169" fontId="5" fillId="0" borderId="0" xfId="0" applyNumberFormat="1" applyFont="1" applyAlignment="1">
      <alignment horizontal="center"/>
    </xf>
    <xf numFmtId="0" fontId="45" fillId="8" borderId="0" xfId="0" applyFont="1" applyFill="1" applyAlignment="1">
      <alignment horizontal="center" vertical="center" wrapText="1"/>
    </xf>
    <xf numFmtId="0" fontId="121" fillId="5" borderId="0" xfId="0" applyFont="1" applyFill="1"/>
    <xf numFmtId="0" fontId="47" fillId="8" borderId="187" xfId="0" applyFont="1" applyFill="1" applyBorder="1" applyAlignment="1">
      <alignment horizontal="center" vertical="center" wrapText="1"/>
    </xf>
    <xf numFmtId="169" fontId="3" fillId="5" borderId="187" xfId="0" applyNumberFormat="1" applyFont="1" applyFill="1" applyBorder="1" applyAlignment="1">
      <alignment horizontal="center"/>
    </xf>
    <xf numFmtId="169" fontId="3" fillId="5" borderId="186" xfId="0" applyNumberFormat="1" applyFont="1" applyFill="1" applyBorder="1" applyAlignment="1">
      <alignment horizontal="center"/>
    </xf>
    <xf numFmtId="10" fontId="90" fillId="0" borderId="0" xfId="0" applyNumberFormat="1" applyFont="1" applyAlignment="1" applyProtection="1">
      <alignment horizontal="center" vertical="center" wrapText="1"/>
      <protection locked="0"/>
    </xf>
    <xf numFmtId="0" fontId="105" fillId="0" borderId="148" xfId="0" applyFont="1" applyBorder="1" applyAlignment="1">
      <alignment horizontal="right" vertical="center" wrapText="1" readingOrder="1"/>
    </xf>
    <xf numFmtId="0" fontId="0" fillId="0" borderId="0" xfId="0" applyAlignment="1">
      <alignment horizontal="right" vertical="center"/>
    </xf>
    <xf numFmtId="0" fontId="0" fillId="0" borderId="0" xfId="0" applyAlignment="1">
      <alignment horizontal="right"/>
    </xf>
    <xf numFmtId="0" fontId="3" fillId="0" borderId="0" xfId="0" applyFont="1" applyAlignment="1">
      <alignment horizontal="right"/>
    </xf>
    <xf numFmtId="0" fontId="122" fillId="0" borderId="148" xfId="0" applyFont="1" applyBorder="1" applyAlignment="1">
      <alignment vertical="center" wrapText="1" readingOrder="1"/>
    </xf>
    <xf numFmtId="0" fontId="45" fillId="0" borderId="0" xfId="0" applyFont="1" applyAlignment="1" applyProtection="1">
      <alignment horizontal="center" vertical="center" wrapText="1"/>
      <protection locked="0"/>
    </xf>
    <xf numFmtId="0" fontId="123" fillId="0" borderId="0" xfId="0" applyFont="1" applyAlignment="1">
      <alignment vertical="center"/>
    </xf>
    <xf numFmtId="0" fontId="123" fillId="0" borderId="0" xfId="0" applyFont="1"/>
    <xf numFmtId="0" fontId="90" fillId="0" borderId="0" xfId="0" applyFont="1"/>
    <xf numFmtId="0" fontId="0" fillId="0" borderId="0" xfId="0" applyProtection="1">
      <protection locked="0"/>
    </xf>
    <xf numFmtId="0" fontId="75" fillId="0" borderId="0" xfId="0" applyFont="1" applyAlignment="1">
      <alignment vertical="center" wrapText="1"/>
    </xf>
    <xf numFmtId="0" fontId="0" fillId="3" borderId="0" xfId="0" applyFill="1"/>
    <xf numFmtId="0" fontId="124" fillId="6" borderId="156" xfId="0" applyFont="1" applyFill="1" applyBorder="1" applyAlignment="1">
      <alignment horizontal="center" vertical="center"/>
    </xf>
    <xf numFmtId="0" fontId="124" fillId="6" borderId="162" xfId="0" applyFont="1" applyFill="1" applyBorder="1" applyAlignment="1">
      <alignment horizontal="center" vertical="center"/>
    </xf>
    <xf numFmtId="0" fontId="0" fillId="0" borderId="188" xfId="0" applyBorder="1"/>
    <xf numFmtId="0" fontId="0" fillId="0" borderId="59" xfId="0" applyBorder="1"/>
    <xf numFmtId="0" fontId="0" fillId="0" borderId="63" xfId="0" applyBorder="1"/>
    <xf numFmtId="0" fontId="0" fillId="0" borderId="120" xfId="0" applyBorder="1"/>
    <xf numFmtId="0" fontId="0" fillId="0" borderId="160" xfId="0" applyBorder="1"/>
    <xf numFmtId="0" fontId="0" fillId="0" borderId="121" xfId="0" applyBorder="1"/>
    <xf numFmtId="0" fontId="0" fillId="0" borderId="122" xfId="0" applyBorder="1"/>
    <xf numFmtId="0" fontId="0" fillId="0" borderId="156" xfId="0" applyBorder="1"/>
    <xf numFmtId="0" fontId="0" fillId="0" borderId="123" xfId="0" applyBorder="1"/>
    <xf numFmtId="0" fontId="0" fillId="0" borderId="191" xfId="0" applyBorder="1"/>
    <xf numFmtId="0" fontId="0" fillId="0" borderId="192" xfId="0" applyBorder="1"/>
    <xf numFmtId="0" fontId="0" fillId="0" borderId="173" xfId="0" applyBorder="1"/>
    <xf numFmtId="0" fontId="124" fillId="0" borderId="0" xfId="0" applyFont="1" applyAlignment="1">
      <alignment wrapText="1"/>
    </xf>
    <xf numFmtId="0" fontId="98" fillId="0" borderId="0" xfId="0" applyFont="1"/>
    <xf numFmtId="0" fontId="126" fillId="0" borderId="0" xfId="0" applyFont="1" applyAlignment="1">
      <alignment horizontal="center" vertical="center"/>
    </xf>
    <xf numFmtId="0" fontId="98" fillId="0" borderId="0" xfId="0" applyFont="1" applyAlignment="1">
      <alignment horizontal="center" vertical="center"/>
    </xf>
    <xf numFmtId="0" fontId="97" fillId="0" borderId="0" xfId="0" applyFont="1" applyAlignment="1">
      <alignment horizontal="center" vertical="center"/>
    </xf>
    <xf numFmtId="0" fontId="126" fillId="0" borderId="66" xfId="0" applyFont="1" applyBorder="1" applyAlignment="1">
      <alignment horizontal="center" vertical="center"/>
    </xf>
    <xf numFmtId="0" fontId="126" fillId="0" borderId="66" xfId="0" applyFont="1" applyBorder="1" applyAlignment="1">
      <alignment vertical="center"/>
    </xf>
    <xf numFmtId="0" fontId="97" fillId="0" borderId="0" xfId="0" applyFont="1"/>
    <xf numFmtId="10" fontId="97" fillId="0" borderId="0" xfId="0" applyNumberFormat="1" applyFont="1" applyAlignment="1">
      <alignment horizontal="center"/>
    </xf>
    <xf numFmtId="0" fontId="126" fillId="0" borderId="182" xfId="0" applyFont="1" applyBorder="1"/>
    <xf numFmtId="0" fontId="98" fillId="0" borderId="182" xfId="0" applyFont="1" applyBorder="1"/>
    <xf numFmtId="0" fontId="98" fillId="0" borderId="189" xfId="0" applyFont="1" applyBorder="1"/>
    <xf numFmtId="0" fontId="98" fillId="0" borderId="122" xfId="0" applyFont="1" applyBorder="1"/>
    <xf numFmtId="0" fontId="129" fillId="14" borderId="0" xfId="0" applyFont="1" applyFill="1"/>
    <xf numFmtId="169" fontId="97" fillId="0" borderId="0" xfId="0" applyNumberFormat="1" applyFont="1"/>
    <xf numFmtId="0" fontId="98" fillId="0" borderId="184" xfId="0" applyFont="1" applyBorder="1"/>
    <xf numFmtId="10" fontId="97" fillId="0" borderId="196" xfId="0" applyNumberFormat="1" applyFont="1" applyBorder="1" applyAlignment="1">
      <alignment horizontal="center"/>
    </xf>
    <xf numFmtId="169" fontId="97" fillId="0" borderId="196" xfId="0" applyNumberFormat="1" applyFont="1" applyBorder="1" applyAlignment="1">
      <alignment horizontal="center"/>
    </xf>
    <xf numFmtId="0" fontId="130" fillId="0" borderId="0" xfId="0" applyFont="1"/>
    <xf numFmtId="0" fontId="130" fillId="0" borderId="0" xfId="0" applyFont="1" applyAlignment="1">
      <alignment horizontal="center"/>
    </xf>
    <xf numFmtId="0" fontId="130" fillId="0" borderId="196" xfId="0" applyFont="1" applyBorder="1" applyAlignment="1">
      <alignment horizontal="center"/>
    </xf>
    <xf numFmtId="0" fontId="130" fillId="0" borderId="0" xfId="0" applyFont="1" applyAlignment="1">
      <alignment vertical="center"/>
    </xf>
    <xf numFmtId="0" fontId="130" fillId="0" borderId="0" xfId="0" applyFont="1" applyAlignment="1">
      <alignment horizontal="center" vertical="center"/>
    </xf>
    <xf numFmtId="0" fontId="130" fillId="0" borderId="196" xfId="0" applyFont="1" applyBorder="1" applyAlignment="1">
      <alignment horizontal="center" vertical="center"/>
    </xf>
    <xf numFmtId="0" fontId="97" fillId="0" borderId="0" xfId="0" applyFont="1" applyAlignment="1">
      <alignment vertical="center"/>
    </xf>
    <xf numFmtId="10" fontId="97" fillId="0" borderId="0" xfId="0" applyNumberFormat="1" applyFont="1" applyAlignment="1">
      <alignment horizontal="center" vertical="center"/>
    </xf>
    <xf numFmtId="10" fontId="97" fillId="0" borderId="196" xfId="0" applyNumberFormat="1" applyFont="1" applyBorder="1" applyAlignment="1">
      <alignment horizontal="center" vertical="center"/>
    </xf>
    <xf numFmtId="0" fontId="98" fillId="0" borderId="0" xfId="0" applyFont="1" applyAlignment="1">
      <alignment vertical="center"/>
    </xf>
    <xf numFmtId="169" fontId="97" fillId="0" borderId="196" xfId="0" applyNumberFormat="1" applyFont="1" applyBorder="1" applyAlignment="1">
      <alignment horizontal="center" vertical="center"/>
    </xf>
    <xf numFmtId="0" fontId="128" fillId="0" borderId="0" xfId="0" applyFont="1"/>
    <xf numFmtId="0" fontId="97" fillId="0" borderId="0" xfId="0" applyFont="1" applyAlignment="1">
      <alignment horizontal="right" vertical="center"/>
    </xf>
    <xf numFmtId="0" fontId="131" fillId="0" borderId="0" xfId="0" applyFont="1" applyProtection="1">
      <protection locked="0"/>
    </xf>
    <xf numFmtId="0" fontId="132" fillId="0" borderId="0" xfId="0" applyFont="1"/>
    <xf numFmtId="0" fontId="132" fillId="0" borderId="0" xfId="0" applyFont="1" applyAlignment="1">
      <alignment horizontal="right"/>
    </xf>
    <xf numFmtId="0" fontId="125" fillId="0" borderId="0" xfId="0" applyFont="1" applyAlignment="1">
      <alignment vertical="center"/>
    </xf>
    <xf numFmtId="169" fontId="125" fillId="0" borderId="0" xfId="0" applyNumberFormat="1" applyFont="1" applyAlignment="1">
      <alignment vertical="center"/>
    </xf>
    <xf numFmtId="169" fontId="135" fillId="0" borderId="197" xfId="0" applyNumberFormat="1" applyFont="1" applyBorder="1" applyAlignment="1">
      <alignment vertical="center"/>
    </xf>
    <xf numFmtId="0" fontId="135" fillId="0" borderId="0" xfId="0" applyFont="1" applyAlignment="1">
      <alignment vertical="center"/>
    </xf>
    <xf numFmtId="169" fontId="132" fillId="0" borderId="198" xfId="0" applyNumberFormat="1" applyFont="1" applyBorder="1" applyAlignment="1">
      <alignment vertical="center"/>
    </xf>
    <xf numFmtId="0" fontId="0" fillId="0" borderId="199" xfId="0" applyBorder="1"/>
    <xf numFmtId="0" fontId="107" fillId="0" borderId="0" xfId="0" applyFont="1" applyProtection="1">
      <protection locked="0"/>
    </xf>
    <xf numFmtId="0" fontId="126" fillId="0" borderId="0" xfId="0" applyFont="1" applyAlignment="1">
      <alignment horizontal="center"/>
    </xf>
    <xf numFmtId="169" fontId="76" fillId="0" borderId="141" xfId="0" applyNumberFormat="1" applyFont="1" applyBorder="1" applyAlignment="1">
      <alignment horizontal="center"/>
    </xf>
    <xf numFmtId="0" fontId="76" fillId="0" borderId="141" xfId="0" applyFont="1" applyBorder="1" applyAlignment="1">
      <alignment horizontal="center"/>
    </xf>
    <xf numFmtId="0" fontId="76" fillId="0" borderId="201" xfId="0" applyFont="1" applyBorder="1" applyAlignment="1">
      <alignment horizontal="center"/>
    </xf>
    <xf numFmtId="169" fontId="76" fillId="0" borderId="123" xfId="0" applyNumberFormat="1" applyFont="1" applyBorder="1" applyAlignment="1">
      <alignment horizontal="center"/>
    </xf>
    <xf numFmtId="0" fontId="76" fillId="0" borderId="202" xfId="0" applyFont="1" applyBorder="1"/>
    <xf numFmtId="169" fontId="76" fillId="0" borderId="198" xfId="0" applyNumberFormat="1" applyFont="1" applyBorder="1" applyAlignment="1">
      <alignment horizontal="center"/>
    </xf>
    <xf numFmtId="0" fontId="76" fillId="0" borderId="198" xfId="0" applyFont="1" applyBorder="1" applyAlignment="1">
      <alignment horizontal="center"/>
    </xf>
    <xf numFmtId="0" fontId="76" fillId="0" borderId="203" xfId="0" applyFont="1" applyBorder="1" applyAlignment="1">
      <alignment horizontal="center"/>
    </xf>
    <xf numFmtId="0" fontId="19" fillId="24" borderId="0" xfId="0" applyFont="1" applyFill="1"/>
    <xf numFmtId="0" fontId="137" fillId="0" borderId="0" xfId="0" applyFont="1" applyAlignment="1">
      <alignment horizontal="center"/>
    </xf>
    <xf numFmtId="0" fontId="105" fillId="0" borderId="0" xfId="0" applyFont="1" applyAlignment="1">
      <alignment horizontal="right" vertical="center" wrapText="1" readingOrder="1"/>
    </xf>
    <xf numFmtId="0" fontId="123" fillId="0" borderId="0" xfId="0" applyFont="1" applyAlignment="1">
      <alignment horizontal="left" vertical="center"/>
    </xf>
    <xf numFmtId="0" fontId="92" fillId="0" borderId="0" xfId="0" applyFont="1" applyAlignment="1">
      <alignment horizontal="left" vertical="center"/>
    </xf>
    <xf numFmtId="0" fontId="1" fillId="2" borderId="1" xfId="0" applyFont="1" applyFill="1" applyBorder="1" applyAlignment="1">
      <alignment horizontal="center" vertical="center" wrapText="1"/>
    </xf>
    <xf numFmtId="0" fontId="107" fillId="0" borderId="9" xfId="0" applyFont="1" applyBorder="1" applyAlignment="1">
      <alignment horizontal="center" vertical="center" wrapText="1"/>
    </xf>
    <xf numFmtId="0" fontId="43" fillId="0" borderId="0" xfId="0" applyFont="1" applyAlignment="1">
      <alignment horizontal="center" vertical="center" wrapText="1"/>
    </xf>
    <xf numFmtId="0" fontId="43" fillId="0" borderId="63" xfId="0" applyFont="1" applyBorder="1" applyAlignment="1">
      <alignment horizontal="center" vertical="center" wrapText="1"/>
    </xf>
    <xf numFmtId="10" fontId="43" fillId="0" borderId="63" xfId="0" applyNumberFormat="1" applyFont="1" applyBorder="1" applyAlignment="1">
      <alignment horizontal="center" vertical="center" wrapText="1"/>
    </xf>
    <xf numFmtId="0" fontId="43" fillId="0" borderId="157" xfId="0" applyFont="1" applyBorder="1" applyAlignment="1">
      <alignment horizontal="center" vertical="center" wrapText="1"/>
    </xf>
    <xf numFmtId="10" fontId="43" fillId="0" borderId="159" xfId="0" applyNumberFormat="1" applyFont="1" applyBorder="1" applyAlignment="1">
      <alignment horizontal="center" vertical="center" wrapText="1"/>
    </xf>
    <xf numFmtId="0" fontId="43" fillId="0" borderId="158" xfId="0" applyFont="1" applyBorder="1" applyAlignment="1">
      <alignment horizontal="center" vertical="center" wrapText="1"/>
    </xf>
    <xf numFmtId="169" fontId="44" fillId="0" borderId="156" xfId="0" applyNumberFormat="1" applyFont="1" applyBorder="1" applyAlignment="1">
      <alignment horizontal="center" vertical="center" wrapText="1"/>
    </xf>
    <xf numFmtId="14" fontId="44" fillId="0" borderId="158" xfId="0" applyNumberFormat="1" applyFont="1" applyBorder="1" applyAlignment="1">
      <alignment horizontal="center" vertical="center" wrapText="1"/>
    </xf>
    <xf numFmtId="169" fontId="44" fillId="0" borderId="159" xfId="0" applyNumberFormat="1" applyFont="1" applyBorder="1" applyAlignment="1">
      <alignment horizontal="center" vertical="center" wrapText="1"/>
    </xf>
    <xf numFmtId="169" fontId="43" fillId="0" borderId="63" xfId="0" applyNumberFormat="1" applyFont="1" applyBorder="1" applyAlignment="1">
      <alignment horizontal="center" vertical="center" wrapText="1"/>
    </xf>
    <xf numFmtId="0" fontId="43" fillId="0" borderId="156" xfId="0" applyFont="1" applyBorder="1" applyAlignment="1">
      <alignment horizontal="center" vertical="center" wrapText="1"/>
    </xf>
    <xf numFmtId="10" fontId="43" fillId="0" borderId="0" xfId="0" applyNumberFormat="1" applyFont="1" applyAlignment="1">
      <alignment horizontal="center" vertical="center" wrapText="1"/>
    </xf>
    <xf numFmtId="10" fontId="43" fillId="0" borderId="156" xfId="0" applyNumberFormat="1" applyFont="1" applyBorder="1" applyAlignment="1">
      <alignment horizontal="center" vertical="center" wrapText="1"/>
    </xf>
    <xf numFmtId="10" fontId="43" fillId="0" borderId="158" xfId="0" applyNumberFormat="1" applyFont="1" applyBorder="1" applyAlignment="1">
      <alignment horizontal="center" vertical="center" wrapText="1"/>
    </xf>
    <xf numFmtId="10" fontId="139" fillId="0" borderId="159" xfId="0" applyNumberFormat="1" applyFont="1" applyBorder="1" applyAlignment="1">
      <alignment horizontal="center" vertical="center" wrapText="1"/>
    </xf>
    <xf numFmtId="0" fontId="107" fillId="0" borderId="204" xfId="0" applyFont="1" applyBorder="1" applyAlignment="1">
      <alignment horizontal="center" vertical="center" wrapText="1"/>
    </xf>
    <xf numFmtId="0" fontId="1" fillId="2" borderId="130" xfId="0" applyFont="1" applyFill="1" applyBorder="1" applyAlignment="1">
      <alignment horizontal="center" vertical="center" wrapText="1"/>
    </xf>
    <xf numFmtId="10" fontId="139" fillId="0" borderId="157" xfId="0" applyNumberFormat="1" applyFont="1" applyBorder="1" applyAlignment="1">
      <alignment horizontal="center" vertical="center" wrapText="1"/>
    </xf>
    <xf numFmtId="0" fontId="138" fillId="0" borderId="0" xfId="0" applyFont="1" applyAlignment="1">
      <alignment horizontal="center" vertical="center" wrapText="1" readingOrder="1"/>
    </xf>
    <xf numFmtId="10" fontId="139" fillId="0" borderId="0" xfId="0" applyNumberFormat="1" applyFont="1" applyAlignment="1">
      <alignment horizontal="center" vertical="center" wrapText="1"/>
    </xf>
    <xf numFmtId="9" fontId="123" fillId="0" borderId="0" xfId="0" applyNumberFormat="1" applyFont="1" applyAlignment="1">
      <alignment horizontal="left" vertical="center"/>
    </xf>
    <xf numFmtId="169" fontId="3" fillId="0" borderId="156" xfId="0" applyNumberFormat="1" applyFont="1" applyBorder="1" applyAlignment="1" applyProtection="1">
      <alignment horizontal="center" vertical="center" wrapText="1"/>
      <protection locked="0"/>
    </xf>
    <xf numFmtId="169" fontId="7" fillId="4" borderId="156" xfId="0" applyNumberFormat="1" applyFont="1" applyFill="1" applyBorder="1" applyAlignment="1">
      <alignment horizontal="center" vertical="center" wrapText="1"/>
    </xf>
    <xf numFmtId="169" fontId="123" fillId="0" borderId="0" xfId="0" applyNumberFormat="1" applyFont="1" applyAlignment="1">
      <alignment horizontal="left" vertical="center"/>
    </xf>
    <xf numFmtId="0" fontId="140" fillId="0" borderId="0" xfId="0" applyFont="1" applyAlignment="1">
      <alignment horizontal="center"/>
    </xf>
    <xf numFmtId="0" fontId="12" fillId="0" borderId="0" xfId="0" applyFont="1" applyAlignment="1">
      <alignment horizontal="center" vertical="center" wrapText="1"/>
    </xf>
    <xf numFmtId="169" fontId="31" fillId="0" borderId="0" xfId="0" applyNumberFormat="1" applyFont="1" applyAlignment="1">
      <alignment horizontal="left"/>
    </xf>
    <xf numFmtId="0" fontId="141" fillId="0" borderId="205" xfId="0" applyFont="1" applyBorder="1"/>
    <xf numFmtId="169" fontId="141" fillId="0" borderId="205" xfId="0" applyNumberFormat="1" applyFont="1" applyBorder="1" applyAlignment="1">
      <alignment horizontal="left"/>
    </xf>
    <xf numFmtId="169" fontId="141" fillId="0" borderId="0" xfId="0" applyNumberFormat="1" applyFont="1" applyAlignment="1">
      <alignment horizontal="left"/>
    </xf>
    <xf numFmtId="0" fontId="12" fillId="0" borderId="0" xfId="0" applyFont="1" applyAlignment="1">
      <alignment vertical="center" textRotation="90" wrapText="1"/>
    </xf>
    <xf numFmtId="0" fontId="12" fillId="0" borderId="0" xfId="0" applyFont="1" applyAlignment="1">
      <alignment vertical="center"/>
    </xf>
    <xf numFmtId="0" fontId="45" fillId="0" borderId="0" xfId="0" applyFont="1"/>
    <xf numFmtId="10" fontId="123" fillId="0" borderId="0" xfId="0" applyNumberFormat="1" applyFont="1" applyAlignment="1">
      <alignment horizontal="left" vertical="center"/>
    </xf>
    <xf numFmtId="169" fontId="3" fillId="0" borderId="171" xfId="0" applyNumberFormat="1" applyFont="1" applyBorder="1" applyAlignment="1">
      <alignment horizontal="center"/>
    </xf>
    <xf numFmtId="10" fontId="3" fillId="0" borderId="171" xfId="0" applyNumberFormat="1" applyFont="1" applyBorder="1" applyAlignment="1">
      <alignment horizontal="center"/>
    </xf>
    <xf numFmtId="0" fontId="7" fillId="5" borderId="0" xfId="0" applyFont="1" applyFill="1" applyAlignment="1">
      <alignment horizontal="center"/>
    </xf>
    <xf numFmtId="169" fontId="31" fillId="0" borderId="206" xfId="0" applyNumberFormat="1" applyFont="1" applyBorder="1" applyAlignment="1">
      <alignment horizontal="left"/>
    </xf>
    <xf numFmtId="0" fontId="83" fillId="5" borderId="208" xfId="0" applyFont="1" applyFill="1" applyBorder="1" applyAlignment="1">
      <alignment horizontal="center"/>
    </xf>
    <xf numFmtId="0" fontId="83" fillId="5" borderId="209" xfId="0" applyFont="1" applyFill="1" applyBorder="1" applyAlignment="1">
      <alignment horizontal="center"/>
    </xf>
    <xf numFmtId="169" fontId="84" fillId="5" borderId="208" xfId="0" applyNumberFormat="1" applyFont="1" applyFill="1" applyBorder="1" applyAlignment="1">
      <alignment horizontal="center"/>
    </xf>
    <xf numFmtId="169" fontId="84" fillId="5" borderId="209" xfId="0" applyNumberFormat="1" applyFont="1" applyFill="1" applyBorder="1"/>
    <xf numFmtId="169" fontId="31" fillId="0" borderId="0" xfId="0" applyNumberFormat="1" applyFont="1" applyAlignment="1">
      <alignment horizontal="left" vertical="center"/>
    </xf>
    <xf numFmtId="1" fontId="47" fillId="0" borderId="0" xfId="0" applyNumberFormat="1" applyFont="1"/>
    <xf numFmtId="0" fontId="3" fillId="5" borderId="0" xfId="0" applyFont="1" applyFill="1" applyAlignment="1">
      <alignment horizontal="center"/>
    </xf>
    <xf numFmtId="169" fontId="84" fillId="0" borderId="208" xfId="0" applyNumberFormat="1" applyFont="1" applyBorder="1" applyAlignment="1">
      <alignment horizontal="center"/>
    </xf>
    <xf numFmtId="169" fontId="84" fillId="0" borderId="209" xfId="0" applyNumberFormat="1" applyFont="1" applyBorder="1" applyAlignment="1">
      <alignment horizontal="center"/>
    </xf>
    <xf numFmtId="0" fontId="11" fillId="0" borderId="0" xfId="0" applyFont="1" applyAlignment="1" applyProtection="1">
      <alignment horizontal="left"/>
      <protection locked="0"/>
    </xf>
    <xf numFmtId="0" fontId="123" fillId="0" borderId="0" xfId="0" applyFont="1" applyAlignment="1">
      <alignment vertical="center" wrapText="1"/>
    </xf>
    <xf numFmtId="0" fontId="43" fillId="0" borderId="0" xfId="0" applyFont="1" applyAlignment="1">
      <alignment horizontal="center" vertical="center"/>
    </xf>
    <xf numFmtId="0" fontId="0" fillId="0" borderId="0" xfId="0" applyAlignment="1">
      <alignment horizontal="center" vertical="center"/>
    </xf>
    <xf numFmtId="169" fontId="3" fillId="4" borderId="156" xfId="0" applyNumberFormat="1" applyFont="1" applyFill="1" applyBorder="1" applyAlignment="1">
      <alignment horizontal="center" vertical="center" wrapText="1"/>
    </xf>
    <xf numFmtId="0" fontId="27" fillId="6" borderId="3" xfId="0" applyFont="1" applyFill="1" applyBorder="1"/>
    <xf numFmtId="0" fontId="25" fillId="6" borderId="3" xfId="0" applyFont="1" applyFill="1" applyBorder="1"/>
    <xf numFmtId="172" fontId="18" fillId="6" borderId="0" xfId="0" applyNumberFormat="1" applyFont="1" applyFill="1" applyAlignment="1">
      <alignment horizontal="center"/>
    </xf>
    <xf numFmtId="0" fontId="105" fillId="0" borderId="0" xfId="0" applyFont="1" applyAlignment="1">
      <alignment horizontal="center" vertical="center" wrapText="1" readingOrder="1"/>
    </xf>
    <xf numFmtId="0" fontId="123" fillId="0" borderId="0" xfId="0" applyFont="1" applyAlignment="1">
      <alignment horizontal="center" vertical="top"/>
    </xf>
    <xf numFmtId="14" fontId="2" fillId="0" borderId="0" xfId="0" applyNumberFormat="1" applyFont="1" applyAlignment="1">
      <alignment horizontal="center" vertical="center"/>
    </xf>
    <xf numFmtId="0" fontId="105" fillId="0" borderId="200" xfId="0" applyFont="1" applyBorder="1" applyAlignment="1">
      <alignment horizontal="center" vertical="center" wrapText="1" readingOrder="1"/>
    </xf>
    <xf numFmtId="0" fontId="31" fillId="0" borderId="0" xfId="0" applyFont="1" applyAlignment="1">
      <alignment horizontal="center" vertical="center"/>
    </xf>
    <xf numFmtId="169" fontId="31" fillId="0" borderId="3" xfId="0" applyNumberFormat="1" applyFont="1" applyBorder="1" applyAlignment="1">
      <alignment horizontal="center" vertical="center"/>
    </xf>
    <xf numFmtId="0" fontId="31" fillId="0" borderId="63" xfId="0" applyFont="1" applyBorder="1" applyAlignment="1">
      <alignment horizontal="center" vertical="center" wrapText="1"/>
    </xf>
    <xf numFmtId="0" fontId="31" fillId="0" borderId="211" xfId="0" applyFont="1" applyBorder="1" applyAlignment="1">
      <alignment horizontal="center" vertical="center" wrapText="1"/>
    </xf>
    <xf numFmtId="169" fontId="31" fillId="0" borderId="0" xfId="0" applyNumberFormat="1" applyFont="1" applyAlignment="1">
      <alignment horizontal="right" vertical="center"/>
    </xf>
    <xf numFmtId="169" fontId="145" fillId="0" borderId="213" xfId="0" applyNumberFormat="1" applyFont="1" applyBorder="1" applyAlignment="1">
      <alignment horizontal="center" vertical="center"/>
    </xf>
    <xf numFmtId="0" fontId="31" fillId="0" borderId="214" xfId="0" applyFont="1" applyBorder="1" applyAlignment="1">
      <alignment horizontal="center" vertical="center" wrapText="1"/>
    </xf>
    <xf numFmtId="0" fontId="31" fillId="0" borderId="215" xfId="0" applyFont="1" applyBorder="1" applyAlignment="1">
      <alignment horizontal="center" vertical="center" wrapText="1"/>
    </xf>
    <xf numFmtId="169" fontId="31" fillId="0" borderId="216" xfId="0" applyNumberFormat="1" applyFont="1" applyBorder="1" applyAlignment="1">
      <alignment horizontal="center" vertical="center"/>
    </xf>
    <xf numFmtId="169" fontId="31" fillId="0" borderId="219" xfId="0" applyNumberFormat="1" applyFont="1" applyBorder="1" applyAlignment="1">
      <alignment horizontal="center" vertical="center"/>
    </xf>
    <xf numFmtId="169" fontId="31" fillId="0" borderId="189" xfId="0" applyNumberFormat="1" applyFont="1" applyBorder="1" applyAlignment="1">
      <alignment horizontal="center" vertical="center"/>
    </xf>
    <xf numFmtId="169" fontId="31" fillId="0" borderId="190" xfId="0" applyNumberFormat="1" applyFont="1" applyBorder="1" applyAlignment="1">
      <alignment horizontal="center" vertical="center"/>
    </xf>
    <xf numFmtId="169" fontId="31" fillId="0" borderId="218" xfId="0" applyNumberFormat="1" applyFont="1" applyBorder="1" applyAlignment="1">
      <alignment horizontal="center" vertical="center"/>
    </xf>
    <xf numFmtId="169" fontId="31" fillId="0" borderId="220" xfId="0" applyNumberFormat="1" applyFont="1" applyBorder="1" applyAlignment="1">
      <alignment horizontal="center" vertical="center"/>
    </xf>
    <xf numFmtId="14" fontId="0" fillId="0" borderId="0" xfId="0" applyNumberFormat="1" applyAlignment="1">
      <alignment horizontal="center" vertical="center"/>
    </xf>
    <xf numFmtId="0" fontId="7" fillId="0" borderId="0" xfId="0" applyFont="1" applyAlignment="1">
      <alignment horizontal="center" vertical="center"/>
    </xf>
    <xf numFmtId="0" fontId="123" fillId="0" borderId="0" xfId="0" applyFont="1" applyAlignment="1">
      <alignment vertical="top"/>
    </xf>
    <xf numFmtId="0" fontId="146" fillId="0" borderId="0" xfId="0" applyFont="1" applyAlignment="1">
      <alignment horizontal="left" vertical="center"/>
    </xf>
    <xf numFmtId="0" fontId="19" fillId="6" borderId="0" xfId="0" applyFont="1" applyFill="1" applyAlignment="1">
      <alignment horizontal="center"/>
    </xf>
    <xf numFmtId="1" fontId="3" fillId="0" borderId="156" xfId="0" applyNumberFormat="1" applyFont="1" applyBorder="1" applyAlignment="1" applyProtection="1">
      <alignment horizontal="center" vertical="center" wrapText="1"/>
      <protection locked="0"/>
    </xf>
    <xf numFmtId="169" fontId="145" fillId="0" borderId="212" xfId="0" applyNumberFormat="1" applyFont="1" applyBorder="1" applyAlignment="1">
      <alignment horizontal="center" vertical="center"/>
    </xf>
    <xf numFmtId="0" fontId="0" fillId="0" borderId="221" xfId="0" applyBorder="1" applyAlignment="1">
      <alignment horizontal="center" vertical="center"/>
    </xf>
    <xf numFmtId="14" fontId="2" fillId="0" borderId="221" xfId="0" applyNumberFormat="1" applyFont="1" applyBorder="1" applyAlignment="1">
      <alignment horizontal="center" vertical="center"/>
    </xf>
    <xf numFmtId="169" fontId="31" fillId="0" borderId="221" xfId="0" applyNumberFormat="1" applyFont="1" applyBorder="1" applyAlignment="1">
      <alignment horizontal="center" vertical="center"/>
    </xf>
    <xf numFmtId="169" fontId="31" fillId="0" borderId="221" xfId="0" applyNumberFormat="1" applyFont="1" applyBorder="1" applyAlignment="1">
      <alignment vertical="center"/>
    </xf>
    <xf numFmtId="9" fontId="3" fillId="0" borderId="156" xfId="0" applyNumberFormat="1" applyFont="1" applyBorder="1" applyAlignment="1" applyProtection="1">
      <alignment horizontal="center" vertical="center" wrapText="1"/>
      <protection locked="0"/>
    </xf>
    <xf numFmtId="172" fontId="148" fillId="6" borderId="0" xfId="0" applyNumberFormat="1" applyFont="1" applyFill="1" applyAlignment="1">
      <alignment horizontal="center"/>
    </xf>
    <xf numFmtId="164" fontId="149" fillId="6" borderId="40" xfId="0" applyNumberFormat="1" applyFont="1" applyFill="1" applyBorder="1" applyAlignment="1">
      <alignment horizontal="center"/>
    </xf>
    <xf numFmtId="0" fontId="150" fillId="0" borderId="63" xfId="0" applyFont="1" applyBorder="1" applyAlignment="1">
      <alignment horizontal="center"/>
    </xf>
    <xf numFmtId="164" fontId="150" fillId="0" borderId="0" xfId="0" applyNumberFormat="1" applyFont="1" applyAlignment="1">
      <alignment horizontal="center"/>
    </xf>
    <xf numFmtId="0" fontId="0" fillId="0" borderId="62" xfId="0" applyBorder="1"/>
    <xf numFmtId="0" fontId="0" fillId="0" borderId="62" xfId="0" applyBorder="1" applyAlignment="1">
      <alignment horizontal="center"/>
    </xf>
    <xf numFmtId="169" fontId="0" fillId="0" borderId="0" xfId="0" applyNumberFormat="1"/>
    <xf numFmtId="169" fontId="151" fillId="0" borderId="0" xfId="0" applyNumberFormat="1" applyFont="1"/>
    <xf numFmtId="169" fontId="152" fillId="4" borderId="122" xfId="0" applyNumberFormat="1" applyFont="1" applyFill="1" applyBorder="1" applyAlignment="1">
      <alignment horizontal="center" vertical="center" wrapText="1"/>
    </xf>
    <xf numFmtId="169" fontId="18" fillId="6" borderId="0" xfId="0" applyNumberFormat="1" applyFont="1" applyFill="1" applyAlignment="1">
      <alignment horizontal="center" vertical="center" wrapText="1"/>
    </xf>
    <xf numFmtId="169" fontId="28" fillId="6" borderId="0" xfId="0" applyNumberFormat="1" applyFont="1" applyFill="1" applyAlignment="1">
      <alignment horizontal="center"/>
    </xf>
    <xf numFmtId="0" fontId="27" fillId="6" borderId="222" xfId="0" applyFont="1" applyFill="1" applyBorder="1"/>
    <xf numFmtId="0" fontId="25" fillId="6" borderId="222" xfId="0" applyFont="1" applyFill="1" applyBorder="1"/>
    <xf numFmtId="0" fontId="153" fillId="6" borderId="223" xfId="0" applyFont="1" applyFill="1" applyBorder="1"/>
    <xf numFmtId="0" fontId="25" fillId="6" borderId="224" xfId="0" applyFont="1" applyFill="1" applyBorder="1"/>
    <xf numFmtId="169" fontId="28" fillId="6" borderId="66" xfId="0" applyNumberFormat="1" applyFont="1" applyFill="1" applyBorder="1" applyAlignment="1">
      <alignment horizontal="center"/>
    </xf>
    <xf numFmtId="14" fontId="19" fillId="6" borderId="3" xfId="0" applyNumberFormat="1" applyFont="1" applyFill="1" applyBorder="1" applyAlignment="1">
      <alignment horizontal="center" vertical="center" wrapText="1"/>
    </xf>
    <xf numFmtId="169" fontId="0" fillId="0" borderId="62" xfId="0" applyNumberFormat="1" applyBorder="1"/>
    <xf numFmtId="0" fontId="145" fillId="0" borderId="63" xfId="0" applyFont="1" applyBorder="1" applyAlignment="1">
      <alignment vertical="center"/>
    </xf>
    <xf numFmtId="169" fontId="145" fillId="0" borderId="225" xfId="0" applyNumberFormat="1" applyFont="1" applyBorder="1" applyAlignment="1">
      <alignment horizontal="center" vertical="center"/>
    </xf>
    <xf numFmtId="0" fontId="31" fillId="0" borderId="226" xfId="0" applyFont="1" applyBorder="1" applyAlignment="1">
      <alignment horizontal="center" vertical="center" wrapText="1"/>
    </xf>
    <xf numFmtId="169" fontId="141" fillId="0" borderId="190" xfId="0" applyNumberFormat="1" applyFont="1" applyBorder="1" applyAlignment="1">
      <alignment horizontal="center" vertical="center"/>
    </xf>
    <xf numFmtId="0" fontId="156" fillId="0" borderId="0" xfId="0" applyFont="1"/>
    <xf numFmtId="0" fontId="106" fillId="0" borderId="148" xfId="0" applyFont="1" applyBorder="1" applyAlignment="1">
      <alignment vertical="center" wrapText="1" readingOrder="1"/>
    </xf>
    <xf numFmtId="0" fontId="106" fillId="0" borderId="148" xfId="0" applyFont="1" applyBorder="1" applyAlignment="1">
      <alignment horizontal="center" vertical="center" wrapText="1" readingOrder="1"/>
    </xf>
    <xf numFmtId="0" fontId="157" fillId="0" borderId="0" xfId="0" applyFont="1" applyAlignment="1">
      <alignment horizontal="right" vertical="center" wrapText="1" readingOrder="1"/>
    </xf>
    <xf numFmtId="0" fontId="1" fillId="0" borderId="0" xfId="0" applyFont="1" applyAlignment="1">
      <alignment horizontal="center" vertical="center"/>
    </xf>
    <xf numFmtId="0" fontId="31" fillId="6" borderId="63" xfId="0" applyFont="1" applyFill="1" applyBorder="1" applyAlignment="1">
      <alignment horizontal="center" vertical="center" wrapText="1"/>
    </xf>
    <xf numFmtId="169" fontId="145" fillId="0" borderId="212" xfId="0" applyNumberFormat="1" applyFont="1" applyBorder="1" applyAlignment="1">
      <alignment vertical="center"/>
    </xf>
    <xf numFmtId="169" fontId="141" fillId="0" borderId="0" xfId="0" applyNumberFormat="1" applyFont="1" applyAlignment="1">
      <alignment horizontal="center" vertical="center"/>
    </xf>
    <xf numFmtId="169" fontId="31" fillId="0" borderId="227" xfId="0" applyNumberFormat="1" applyFont="1" applyBorder="1" applyAlignment="1">
      <alignment horizontal="center" vertical="center"/>
    </xf>
    <xf numFmtId="0" fontId="31" fillId="0" borderId="228" xfId="0" applyFont="1" applyBorder="1" applyAlignment="1">
      <alignment horizontal="center" vertical="center" wrapText="1"/>
    </xf>
    <xf numFmtId="0" fontId="88" fillId="0" borderId="0" xfId="0" applyFont="1" applyAlignment="1">
      <alignment horizontal="center" vertical="center" wrapText="1"/>
    </xf>
    <xf numFmtId="0" fontId="88" fillId="0" borderId="0" xfId="0" applyFont="1" applyAlignment="1">
      <alignment horizontal="center" vertical="center"/>
    </xf>
    <xf numFmtId="169" fontId="123" fillId="0" borderId="0" xfId="0" applyNumberFormat="1" applyFont="1" applyAlignment="1">
      <alignment horizontal="left"/>
    </xf>
    <xf numFmtId="169" fontId="43" fillId="0" borderId="0" xfId="0" applyNumberFormat="1" applyFont="1" applyAlignment="1">
      <alignment horizontal="left"/>
    </xf>
    <xf numFmtId="169" fontId="43" fillId="0" borderId="0" xfId="0" applyNumberFormat="1" applyFont="1" applyAlignment="1">
      <alignment horizontal="left" vertical="center"/>
    </xf>
    <xf numFmtId="9" fontId="3" fillId="0" borderId="156" xfId="0" applyNumberFormat="1" applyFont="1" applyBorder="1" applyAlignment="1">
      <alignment horizontal="center" vertical="center" wrapText="1"/>
    </xf>
    <xf numFmtId="169" fontId="65" fillId="6" borderId="50" xfId="0" applyNumberFormat="1" applyFont="1" applyFill="1" applyBorder="1" applyAlignment="1">
      <alignment horizontal="center"/>
    </xf>
    <xf numFmtId="0" fontId="31" fillId="6" borderId="229" xfId="0" applyFont="1" applyFill="1" applyBorder="1" applyAlignment="1">
      <alignment horizontal="left"/>
    </xf>
    <xf numFmtId="169" fontId="31" fillId="6" borderId="229" xfId="0" applyNumberFormat="1" applyFont="1" applyFill="1" applyBorder="1" applyAlignment="1">
      <alignment horizontal="left" vertical="center" wrapText="1"/>
    </xf>
    <xf numFmtId="0" fontId="151" fillId="0" borderId="0" xfId="0" applyFont="1"/>
    <xf numFmtId="0" fontId="103" fillId="0" borderId="0" xfId="0" applyFont="1" applyAlignment="1">
      <alignment horizontal="right" vertical="center" wrapText="1" readingOrder="1"/>
    </xf>
    <xf numFmtId="0" fontId="0" fillId="5" borderId="0" xfId="0" applyFill="1" applyAlignment="1">
      <alignment horizontal="center" vertical="center"/>
    </xf>
    <xf numFmtId="14" fontId="11" fillId="0" borderId="0" xfId="0" applyNumberFormat="1" applyFont="1" applyAlignment="1">
      <alignment horizontal="left" vertical="center"/>
    </xf>
    <xf numFmtId="0" fontId="5" fillId="6" borderId="24" xfId="1" applyFont="1" applyFill="1" applyBorder="1"/>
    <xf numFmtId="0" fontId="5" fillId="6" borderId="0" xfId="1" applyFont="1" applyFill="1"/>
    <xf numFmtId="0" fontId="5" fillId="6" borderId="25" xfId="1" applyFont="1" applyFill="1" applyBorder="1"/>
    <xf numFmtId="0" fontId="3" fillId="0" borderId="22" xfId="0" applyFont="1" applyBorder="1" applyAlignment="1">
      <alignment horizontal="center"/>
    </xf>
    <xf numFmtId="0" fontId="3" fillId="6" borderId="22" xfId="0" applyFont="1" applyFill="1" applyBorder="1" applyAlignment="1">
      <alignment horizontal="center" vertical="center" wrapText="1"/>
    </xf>
    <xf numFmtId="0" fontId="3" fillId="6" borderId="23" xfId="0" applyFont="1" applyFill="1" applyBorder="1" applyAlignment="1">
      <alignment horizontal="center" vertical="center" wrapText="1"/>
    </xf>
    <xf numFmtId="0" fontId="3" fillId="3" borderId="0" xfId="0" applyFont="1" applyFill="1" applyAlignment="1">
      <alignment horizontal="center"/>
    </xf>
    <xf numFmtId="169" fontId="3" fillId="6" borderId="0" xfId="0" applyNumberFormat="1" applyFont="1" applyFill="1" applyAlignment="1" applyProtection="1">
      <alignment horizontal="center"/>
      <protection locked="0"/>
    </xf>
    <xf numFmtId="0" fontId="3" fillId="6" borderId="0" xfId="0" applyFont="1" applyFill="1" applyAlignment="1" applyProtection="1">
      <alignment horizontal="center"/>
      <protection locked="0"/>
    </xf>
    <xf numFmtId="0" fontId="5" fillId="3" borderId="13" xfId="1" applyFont="1" applyFill="1" applyBorder="1" applyAlignment="1">
      <alignment horizontal="center"/>
    </xf>
    <xf numFmtId="0" fontId="5" fillId="3" borderId="14" xfId="1" applyFont="1" applyFill="1" applyBorder="1" applyAlignment="1">
      <alignment horizontal="center"/>
    </xf>
    <xf numFmtId="0" fontId="5" fillId="3" borderId="15" xfId="1" applyFont="1" applyFill="1" applyBorder="1" applyAlignment="1">
      <alignment horizontal="center"/>
    </xf>
    <xf numFmtId="167" fontId="5" fillId="6" borderId="7" xfId="1" applyNumberFormat="1" applyFont="1" applyFill="1" applyBorder="1" applyAlignment="1">
      <alignment horizontal="center" vertical="center" wrapText="1"/>
    </xf>
    <xf numFmtId="167" fontId="5" fillId="6" borderId="16" xfId="1" applyNumberFormat="1" applyFont="1" applyFill="1" applyBorder="1" applyAlignment="1">
      <alignment horizontal="center" vertical="center" wrapText="1"/>
    </xf>
    <xf numFmtId="167" fontId="5" fillId="6" borderId="17" xfId="1" applyNumberFormat="1" applyFont="1" applyFill="1" applyBorder="1" applyAlignment="1">
      <alignment horizontal="center" vertical="center" wrapText="1"/>
    </xf>
    <xf numFmtId="0" fontId="5" fillId="6" borderId="5" xfId="1" applyFont="1" applyFill="1" applyBorder="1" applyAlignment="1">
      <alignment horizontal="center"/>
    </xf>
    <xf numFmtId="0" fontId="5" fillId="6" borderId="6" xfId="1" applyFont="1" applyFill="1" applyBorder="1" applyAlignment="1">
      <alignment horizontal="center"/>
    </xf>
    <xf numFmtId="0" fontId="3" fillId="6" borderId="3" xfId="0" applyFont="1" applyFill="1" applyBorder="1" applyAlignment="1">
      <alignment horizontal="center" vertical="center" wrapText="1"/>
    </xf>
    <xf numFmtId="0" fontId="3" fillId="6" borderId="0" xfId="0" applyFont="1" applyFill="1" applyAlignment="1">
      <alignment horizontal="center" vertical="center" wrapText="1"/>
    </xf>
    <xf numFmtId="0" fontId="12" fillId="7" borderId="28" xfId="0" applyFont="1" applyFill="1" applyBorder="1" applyAlignment="1">
      <alignment horizontal="center"/>
    </xf>
    <xf numFmtId="0" fontId="12" fillId="7" borderId="29" xfId="0" applyFont="1" applyFill="1" applyBorder="1" applyAlignment="1">
      <alignment horizontal="center"/>
    </xf>
    <xf numFmtId="0" fontId="0" fillId="7" borderId="33" xfId="0" applyFill="1" applyBorder="1" applyAlignment="1">
      <alignment horizontal="center"/>
    </xf>
    <xf numFmtId="0" fontId="0" fillId="7" borderId="34" xfId="0" applyFill="1" applyBorder="1" applyAlignment="1">
      <alignment horizontal="center"/>
    </xf>
    <xf numFmtId="0" fontId="22" fillId="7" borderId="26" xfId="0" applyFont="1" applyFill="1" applyBorder="1" applyAlignment="1">
      <alignment horizontal="center"/>
    </xf>
    <xf numFmtId="0" fontId="22" fillId="7" borderId="42" xfId="0" applyFont="1" applyFill="1" applyBorder="1" applyAlignment="1">
      <alignment horizontal="center"/>
    </xf>
    <xf numFmtId="0" fontId="16" fillId="7" borderId="134" xfId="0" applyFont="1" applyFill="1" applyBorder="1" applyAlignment="1">
      <alignment horizontal="center"/>
    </xf>
    <xf numFmtId="0" fontId="16" fillId="7" borderId="135" xfId="0" applyFont="1" applyFill="1" applyBorder="1" applyAlignment="1">
      <alignment horizontal="center"/>
    </xf>
    <xf numFmtId="169" fontId="2" fillId="0" borderId="0" xfId="0" applyNumberFormat="1" applyFont="1" applyAlignment="1">
      <alignment horizontal="center"/>
    </xf>
    <xf numFmtId="169" fontId="28" fillId="6" borderId="49" xfId="0" applyNumberFormat="1" applyFont="1" applyFill="1" applyBorder="1" applyAlignment="1">
      <alignment horizontal="center"/>
    </xf>
    <xf numFmtId="169" fontId="63" fillId="6" borderId="54" xfId="0" applyNumberFormat="1" applyFont="1" applyFill="1" applyBorder="1" applyAlignment="1">
      <alignment horizontal="center"/>
    </xf>
    <xf numFmtId="164" fontId="18" fillId="6" borderId="55" xfId="0" applyNumberFormat="1" applyFont="1" applyFill="1" applyBorder="1" applyAlignment="1">
      <alignment horizontal="center"/>
    </xf>
    <xf numFmtId="0" fontId="19" fillId="6" borderId="0" xfId="0" applyFont="1" applyFill="1" applyAlignment="1">
      <alignment horizontal="center"/>
    </xf>
    <xf numFmtId="0" fontId="2" fillId="0" borderId="63" xfId="0" applyFont="1" applyBorder="1" applyAlignment="1">
      <alignment horizontal="center"/>
    </xf>
    <xf numFmtId="169" fontId="65" fillId="6" borderId="49" xfId="0" applyNumberFormat="1" applyFont="1" applyFill="1" applyBorder="1" applyAlignment="1">
      <alignment horizontal="center"/>
    </xf>
    <xf numFmtId="0" fontId="7" fillId="6" borderId="40" xfId="0" applyFont="1" applyFill="1" applyBorder="1" applyAlignment="1">
      <alignment horizontal="center"/>
    </xf>
    <xf numFmtId="169" fontId="62" fillId="2" borderId="31" xfId="0" applyNumberFormat="1" applyFont="1" applyFill="1" applyBorder="1" applyAlignment="1">
      <alignment horizontal="center" vertical="center"/>
    </xf>
    <xf numFmtId="169" fontId="62" fillId="2" borderId="0" xfId="0" applyNumberFormat="1" applyFont="1" applyFill="1" applyAlignment="1">
      <alignment horizontal="center" vertical="center"/>
    </xf>
    <xf numFmtId="0" fontId="31" fillId="0" borderId="126" xfId="0" applyFont="1" applyBorder="1" applyAlignment="1">
      <alignment horizontal="center" vertical="center"/>
    </xf>
    <xf numFmtId="0" fontId="31" fillId="0" borderId="127" xfId="0" applyFont="1" applyBorder="1" applyAlignment="1">
      <alignment horizontal="center" vertical="center"/>
    </xf>
    <xf numFmtId="169" fontId="31" fillId="0" borderId="127" xfId="0" applyNumberFormat="1" applyFont="1" applyBorder="1" applyAlignment="1">
      <alignment horizontal="center" vertical="center"/>
    </xf>
    <xf numFmtId="169" fontId="31" fillId="0" borderId="128" xfId="0" applyNumberFormat="1" applyFont="1" applyBorder="1" applyAlignment="1">
      <alignment horizontal="center" vertical="center"/>
    </xf>
    <xf numFmtId="169" fontId="42" fillId="2" borderId="64" xfId="0" applyNumberFormat="1" applyFont="1" applyFill="1" applyBorder="1" applyAlignment="1">
      <alignment horizontal="center" vertical="center"/>
    </xf>
    <xf numFmtId="169" fontId="42" fillId="2" borderId="66" xfId="0" applyNumberFormat="1" applyFont="1" applyFill="1" applyBorder="1" applyAlignment="1">
      <alignment horizontal="center" vertical="center"/>
    </xf>
    <xf numFmtId="169" fontId="40" fillId="2" borderId="69" xfId="0" applyNumberFormat="1" applyFont="1" applyFill="1" applyBorder="1" applyAlignment="1">
      <alignment horizontal="center" vertical="center"/>
    </xf>
    <xf numFmtId="169" fontId="40" fillId="2" borderId="70" xfId="0" applyNumberFormat="1" applyFont="1" applyFill="1" applyBorder="1" applyAlignment="1">
      <alignment horizontal="center" vertical="center"/>
    </xf>
    <xf numFmtId="169" fontId="38" fillId="2" borderId="0" xfId="0" applyNumberFormat="1" applyFont="1" applyFill="1" applyAlignment="1">
      <alignment horizontal="center" vertical="center"/>
    </xf>
    <xf numFmtId="169" fontId="38" fillId="2" borderId="40" xfId="0" applyNumberFormat="1" applyFont="1" applyFill="1" applyBorder="1" applyAlignment="1">
      <alignment horizontal="center" vertical="center"/>
    </xf>
    <xf numFmtId="169" fontId="38" fillId="2" borderId="64" xfId="0" applyNumberFormat="1" applyFont="1" applyFill="1" applyBorder="1" applyAlignment="1">
      <alignment horizontal="center" vertical="center"/>
    </xf>
    <xf numFmtId="169" fontId="38" fillId="2" borderId="66" xfId="0" applyNumberFormat="1" applyFont="1" applyFill="1" applyBorder="1" applyAlignment="1">
      <alignment horizontal="center" vertical="center"/>
    </xf>
    <xf numFmtId="169" fontId="39" fillId="2" borderId="67" xfId="0" applyNumberFormat="1" applyFont="1" applyFill="1" applyBorder="1" applyAlignment="1">
      <alignment horizontal="center" vertical="center"/>
    </xf>
    <xf numFmtId="169" fontId="39" fillId="2" borderId="68" xfId="0" applyNumberFormat="1" applyFont="1" applyFill="1" applyBorder="1" applyAlignment="1">
      <alignment horizontal="center" vertical="center"/>
    </xf>
    <xf numFmtId="169" fontId="30" fillId="5" borderId="74" xfId="0" applyNumberFormat="1" applyFont="1" applyFill="1" applyBorder="1" applyAlignment="1" applyProtection="1">
      <alignment horizontal="center" vertical="center"/>
      <protection locked="0"/>
    </xf>
    <xf numFmtId="169" fontId="30" fillId="5" borderId="75" xfId="0" applyNumberFormat="1" applyFont="1" applyFill="1" applyBorder="1" applyAlignment="1" applyProtection="1">
      <alignment horizontal="center" vertical="center"/>
      <protection locked="0"/>
    </xf>
    <xf numFmtId="169" fontId="30" fillId="5" borderId="76" xfId="0" applyNumberFormat="1" applyFont="1" applyFill="1" applyBorder="1" applyAlignment="1" applyProtection="1">
      <alignment horizontal="center" vertical="center"/>
      <protection locked="0"/>
    </xf>
    <xf numFmtId="169" fontId="14" fillId="0" borderId="82" xfId="0" applyNumberFormat="1" applyFont="1" applyBorder="1" applyAlignment="1">
      <alignment horizontal="center" vertical="center"/>
    </xf>
    <xf numFmtId="169" fontId="14" fillId="0" borderId="83" xfId="0" applyNumberFormat="1" applyFont="1" applyBorder="1" applyAlignment="1">
      <alignment horizontal="center" vertical="center"/>
    </xf>
    <xf numFmtId="0" fontId="26" fillId="2" borderId="77" xfId="0" applyFont="1" applyFill="1" applyBorder="1" applyAlignment="1">
      <alignment horizontal="center" vertical="center"/>
    </xf>
    <xf numFmtId="0" fontId="40" fillId="2" borderId="0" xfId="0" applyFont="1" applyFill="1" applyAlignment="1">
      <alignment horizontal="left" vertical="center"/>
    </xf>
    <xf numFmtId="0" fontId="38" fillId="2" borderId="0" xfId="0" applyFont="1" applyFill="1" applyAlignment="1">
      <alignment horizontal="center" vertical="center"/>
    </xf>
    <xf numFmtId="0" fontId="32" fillId="2" borderId="60" xfId="0" applyFont="1" applyFill="1" applyBorder="1" applyAlignment="1">
      <alignment horizontal="center" vertical="center"/>
    </xf>
    <xf numFmtId="0" fontId="32" fillId="2" borderId="61" xfId="0" applyFont="1" applyFill="1" applyBorder="1" applyAlignment="1">
      <alignment horizontal="center" vertical="center"/>
    </xf>
    <xf numFmtId="169" fontId="30" fillId="5" borderId="56" xfId="0" applyNumberFormat="1" applyFont="1" applyFill="1" applyBorder="1" applyAlignment="1" applyProtection="1">
      <alignment horizontal="center" vertical="center"/>
      <protection locked="0"/>
    </xf>
    <xf numFmtId="169" fontId="30" fillId="5" borderId="71" xfId="0" applyNumberFormat="1" applyFont="1" applyFill="1" applyBorder="1" applyAlignment="1" applyProtection="1">
      <alignment horizontal="center" vertical="center"/>
      <protection locked="0"/>
    </xf>
    <xf numFmtId="169" fontId="30" fillId="5" borderId="72" xfId="0" applyNumberFormat="1" applyFont="1" applyFill="1" applyBorder="1" applyAlignment="1" applyProtection="1">
      <alignment horizontal="center" vertical="center"/>
      <protection locked="0"/>
    </xf>
    <xf numFmtId="0" fontId="31" fillId="0" borderId="126" xfId="0" applyFont="1" applyBorder="1" applyAlignment="1">
      <alignment horizontal="right" vertical="center"/>
    </xf>
    <xf numFmtId="0" fontId="31" fillId="0" borderId="127" xfId="0" applyFont="1" applyBorder="1" applyAlignment="1">
      <alignment horizontal="right" vertical="center"/>
    </xf>
    <xf numFmtId="0" fontId="13" fillId="0" borderId="0" xfId="0" applyFont="1" applyAlignment="1">
      <alignment horizontal="right" vertical="center"/>
    </xf>
    <xf numFmtId="169" fontId="13" fillId="6" borderId="0" xfId="0" applyNumberFormat="1" applyFont="1" applyFill="1" applyAlignment="1">
      <alignment horizontal="center" vertical="center"/>
    </xf>
    <xf numFmtId="169" fontId="13" fillId="6" borderId="59" xfId="0" applyNumberFormat="1" applyFont="1" applyFill="1" applyBorder="1" applyAlignment="1">
      <alignment horizontal="center" vertical="center"/>
    </xf>
    <xf numFmtId="0" fontId="14" fillId="0" borderId="73" xfId="0" applyFont="1" applyBorder="1" applyAlignment="1">
      <alignment horizontal="right" vertical="center"/>
    </xf>
    <xf numFmtId="0" fontId="14" fillId="0" borderId="58" xfId="0" applyFont="1" applyBorder="1" applyAlignment="1">
      <alignment horizontal="right" vertical="center"/>
    </xf>
    <xf numFmtId="0" fontId="14" fillId="0" borderId="0" xfId="0" applyFont="1" applyAlignment="1">
      <alignment horizontal="right" vertical="center"/>
    </xf>
    <xf numFmtId="0" fontId="39" fillId="2" borderId="0" xfId="0" applyFont="1" applyFill="1" applyAlignment="1">
      <alignment horizontal="center" vertical="center"/>
    </xf>
    <xf numFmtId="0" fontId="36" fillId="0" borderId="9" xfId="0" applyFont="1" applyBorder="1" applyAlignment="1">
      <alignment horizontal="center" vertical="center"/>
    </xf>
    <xf numFmtId="0" fontId="36" fillId="0" borderId="63" xfId="0" applyFont="1" applyBorder="1" applyAlignment="1">
      <alignment horizontal="center" vertical="center"/>
    </xf>
    <xf numFmtId="167" fontId="36" fillId="0" borderId="64" xfId="0" applyNumberFormat="1" applyFont="1" applyBorder="1" applyAlignment="1">
      <alignment horizontal="center" vertical="center"/>
    </xf>
    <xf numFmtId="167" fontId="36" fillId="0" borderId="65" xfId="0" applyNumberFormat="1" applyFont="1" applyBorder="1" applyAlignment="1">
      <alignment horizontal="center" vertical="center"/>
    </xf>
    <xf numFmtId="10" fontId="38" fillId="2" borderId="0" xfId="0" applyNumberFormat="1" applyFont="1" applyFill="1" applyAlignment="1">
      <alignment horizontal="center" vertical="center"/>
    </xf>
    <xf numFmtId="169" fontId="13" fillId="0" borderId="0" xfId="0" applyNumberFormat="1" applyFont="1" applyAlignment="1" applyProtection="1">
      <alignment horizontal="center" vertical="center"/>
      <protection locked="0"/>
    </xf>
    <xf numFmtId="169" fontId="13" fillId="0" borderId="59" xfId="0" applyNumberFormat="1" applyFont="1" applyBorder="1" applyAlignment="1" applyProtection="1">
      <alignment horizontal="center" vertical="center"/>
      <protection locked="0"/>
    </xf>
    <xf numFmtId="169" fontId="13" fillId="6" borderId="60" xfId="0" applyNumberFormat="1" applyFont="1" applyFill="1" applyBorder="1" applyAlignment="1">
      <alignment horizontal="right" vertical="center"/>
    </xf>
    <xf numFmtId="0" fontId="14" fillId="6" borderId="0" xfId="0" applyFont="1" applyFill="1" applyAlignment="1">
      <alignment horizontal="right" vertical="center"/>
    </xf>
    <xf numFmtId="169" fontId="14" fillId="6" borderId="0" xfId="0" applyNumberFormat="1" applyFont="1" applyFill="1" applyAlignment="1">
      <alignment horizontal="center" vertical="center"/>
    </xf>
    <xf numFmtId="169" fontId="14" fillId="6" borderId="59" xfId="0" applyNumberFormat="1" applyFont="1" applyFill="1" applyBorder="1" applyAlignment="1">
      <alignment horizontal="center" vertical="center"/>
    </xf>
    <xf numFmtId="0" fontId="13" fillId="0" borderId="57" xfId="0" applyFont="1" applyBorder="1" applyAlignment="1">
      <alignment horizontal="right" vertical="center"/>
    </xf>
    <xf numFmtId="9" fontId="78" fillId="6" borderId="0" xfId="0" applyNumberFormat="1" applyFont="1" applyFill="1" applyAlignment="1">
      <alignment horizontal="center" vertical="center"/>
    </xf>
    <xf numFmtId="0" fontId="78" fillId="6" borderId="0" xfId="0" applyFont="1" applyFill="1" applyAlignment="1">
      <alignment horizontal="center" vertical="center"/>
    </xf>
    <xf numFmtId="9" fontId="79" fillId="3" borderId="0" xfId="0" applyNumberFormat="1" applyFont="1" applyFill="1" applyAlignment="1">
      <alignment horizontal="center" vertical="center"/>
    </xf>
    <xf numFmtId="0" fontId="79" fillId="3" borderId="0" xfId="0" applyFont="1" applyFill="1" applyAlignment="1">
      <alignment horizontal="center" vertical="center"/>
    </xf>
    <xf numFmtId="9" fontId="79" fillId="13" borderId="0" xfId="0" applyNumberFormat="1" applyFont="1" applyFill="1" applyAlignment="1">
      <alignment horizontal="center" vertical="center"/>
    </xf>
    <xf numFmtId="0" fontId="79" fillId="13" borderId="0" xfId="0" applyFont="1" applyFill="1" applyAlignment="1">
      <alignment horizontal="center" vertical="center"/>
    </xf>
    <xf numFmtId="9" fontId="79" fillId="14" borderId="0" xfId="0" applyNumberFormat="1" applyFont="1" applyFill="1" applyAlignment="1">
      <alignment horizontal="center" vertical="center"/>
    </xf>
    <xf numFmtId="0" fontId="67" fillId="0" borderId="0" xfId="0" applyFont="1" applyAlignment="1">
      <alignment horizontal="center"/>
    </xf>
    <xf numFmtId="9" fontId="80" fillId="2" borderId="0" xfId="0" applyNumberFormat="1" applyFont="1" applyFill="1" applyAlignment="1">
      <alignment horizontal="center" vertical="center"/>
    </xf>
    <xf numFmtId="0" fontId="80" fillId="2" borderId="0" xfId="0" applyFont="1" applyFill="1" applyAlignment="1">
      <alignment horizontal="center" vertical="center"/>
    </xf>
    <xf numFmtId="0" fontId="76" fillId="0" borderId="0" xfId="0" applyFont="1" applyAlignment="1">
      <alignment horizontal="center"/>
    </xf>
    <xf numFmtId="9" fontId="76" fillId="0" borderId="0" xfId="0" applyNumberFormat="1" applyFont="1" applyAlignment="1">
      <alignment horizontal="center"/>
    </xf>
    <xf numFmtId="169" fontId="77" fillId="0" borderId="0" xfId="0" applyNumberFormat="1" applyFont="1" applyAlignment="1">
      <alignment horizontal="center"/>
    </xf>
    <xf numFmtId="169" fontId="81" fillId="0" borderId="0" xfId="0" applyNumberFormat="1" applyFont="1" applyAlignment="1">
      <alignment horizontal="center"/>
    </xf>
    <xf numFmtId="169" fontId="76" fillId="0" borderId="0" xfId="0" applyNumberFormat="1" applyFont="1" applyAlignment="1">
      <alignment horizontal="center"/>
    </xf>
    <xf numFmtId="2" fontId="76" fillId="0" borderId="0" xfId="0" applyNumberFormat="1" applyFont="1" applyAlignment="1">
      <alignment horizontal="center"/>
    </xf>
    <xf numFmtId="169" fontId="76" fillId="0" borderId="142" xfId="0" applyNumberFormat="1" applyFont="1" applyBorder="1" applyAlignment="1">
      <alignment horizontal="center"/>
    </xf>
    <xf numFmtId="169" fontId="77" fillId="0" borderId="141" xfId="0" applyNumberFormat="1" applyFont="1" applyBorder="1" applyAlignment="1">
      <alignment horizontal="center"/>
    </xf>
    <xf numFmtId="0" fontId="0" fillId="11" borderId="0" xfId="0" applyFill="1" applyAlignment="1">
      <alignment horizontal="center"/>
    </xf>
    <xf numFmtId="0" fontId="76" fillId="0" borderId="0" xfId="0" applyFont="1" applyAlignment="1">
      <alignment horizontal="right"/>
    </xf>
    <xf numFmtId="0" fontId="69" fillId="12" borderId="136" xfId="0" applyFont="1" applyFill="1" applyBorder="1" applyAlignment="1">
      <alignment horizontal="center" vertical="center"/>
    </xf>
    <xf numFmtId="0" fontId="73" fillId="12" borderId="0" xfId="0" applyFont="1" applyFill="1" applyAlignment="1">
      <alignment horizontal="center"/>
    </xf>
    <xf numFmtId="170" fontId="71" fillId="12" borderId="0" xfId="0" applyNumberFormat="1" applyFont="1" applyFill="1" applyAlignment="1">
      <alignment horizontal="center" vertical="center"/>
    </xf>
    <xf numFmtId="0" fontId="70" fillId="12" borderId="0" xfId="0" applyFont="1" applyFill="1" applyAlignment="1">
      <alignment horizontal="center" vertical="center"/>
    </xf>
    <xf numFmtId="0" fontId="74" fillId="12" borderId="0" xfId="0" applyFont="1" applyFill="1" applyAlignment="1">
      <alignment horizontal="center" vertical="center"/>
    </xf>
    <xf numFmtId="0" fontId="30" fillId="0" borderId="56" xfId="0" applyFont="1" applyBorder="1" applyAlignment="1" applyProtection="1">
      <alignment horizontal="center" vertical="center"/>
      <protection locked="0"/>
    </xf>
    <xf numFmtId="0" fontId="19" fillId="0" borderId="0" xfId="0" applyFont="1" applyAlignment="1">
      <alignment vertical="center"/>
    </xf>
    <xf numFmtId="0" fontId="19" fillId="0" borderId="0" xfId="0" applyFont="1" applyAlignment="1">
      <alignment horizontal="center" vertical="center"/>
    </xf>
    <xf numFmtId="0" fontId="21" fillId="6" borderId="85" xfId="0" applyFont="1" applyFill="1" applyBorder="1" applyAlignment="1">
      <alignment horizontal="right" vertical="center"/>
    </xf>
    <xf numFmtId="0" fontId="82" fillId="0" borderId="0" xfId="0" applyFont="1" applyAlignment="1">
      <alignment horizontal="right" vertical="center"/>
    </xf>
    <xf numFmtId="169" fontId="5" fillId="5" borderId="56" xfId="0" applyNumberFormat="1" applyFont="1" applyFill="1" applyBorder="1" applyAlignment="1" applyProtection="1">
      <alignment horizontal="center" vertical="center"/>
      <protection locked="0"/>
    </xf>
    <xf numFmtId="169" fontId="5" fillId="5" borderId="71" xfId="0" applyNumberFormat="1" applyFont="1" applyFill="1" applyBorder="1" applyAlignment="1" applyProtection="1">
      <alignment horizontal="center" vertical="center"/>
      <protection locked="0"/>
    </xf>
    <xf numFmtId="169" fontId="5" fillId="5" borderId="72" xfId="0" applyNumberFormat="1" applyFont="1" applyFill="1" applyBorder="1" applyAlignment="1" applyProtection="1">
      <alignment horizontal="center" vertical="center"/>
      <protection locked="0"/>
    </xf>
    <xf numFmtId="0" fontId="82" fillId="0" borderId="124" xfId="0" applyFont="1" applyBorder="1" applyAlignment="1">
      <alignment horizontal="right" vertical="center"/>
    </xf>
    <xf numFmtId="169" fontId="40" fillId="2" borderId="0" xfId="0" applyNumberFormat="1" applyFont="1" applyFill="1" applyAlignment="1">
      <alignment horizontal="center" vertical="center"/>
    </xf>
    <xf numFmtId="169" fontId="39" fillId="2" borderId="0" xfId="0" applyNumberFormat="1" applyFont="1" applyFill="1" applyAlignment="1">
      <alignment horizontal="center" vertical="center"/>
    </xf>
    <xf numFmtId="0" fontId="84" fillId="0" borderId="125" xfId="0" applyFont="1" applyBorder="1" applyAlignment="1">
      <alignment horizontal="right" vertical="center"/>
    </xf>
    <xf numFmtId="0" fontId="31" fillId="0" borderId="0" xfId="0" applyFont="1" applyAlignment="1">
      <alignment horizontal="center" vertical="top" wrapText="1"/>
    </xf>
    <xf numFmtId="0" fontId="57" fillId="0" borderId="145" xfId="0" applyFont="1" applyBorder="1" applyAlignment="1">
      <alignment horizontal="center" vertical="top" wrapText="1"/>
    </xf>
    <xf numFmtId="0" fontId="57" fillId="0" borderId="0" xfId="0" applyFont="1" applyAlignment="1">
      <alignment horizontal="center" vertical="top" wrapText="1"/>
    </xf>
    <xf numFmtId="0" fontId="41" fillId="0" borderId="0" xfId="0" applyFont="1" applyAlignment="1">
      <alignment horizontal="left" vertical="center"/>
    </xf>
    <xf numFmtId="167" fontId="38" fillId="2" borderId="0" xfId="0" applyNumberFormat="1" applyFont="1" applyFill="1" applyAlignment="1">
      <alignment horizontal="center" vertical="center"/>
    </xf>
    <xf numFmtId="169" fontId="42" fillId="2" borderId="0" xfId="0" applyNumberFormat="1" applyFont="1" applyFill="1" applyAlignment="1">
      <alignment horizontal="center" vertical="center"/>
    </xf>
    <xf numFmtId="0" fontId="12" fillId="0" borderId="77" xfId="0" applyFont="1" applyBorder="1" applyAlignment="1">
      <alignment horizontal="center" vertical="top"/>
    </xf>
    <xf numFmtId="0" fontId="31" fillId="0" borderId="0" xfId="0" applyFont="1" applyAlignment="1">
      <alignment horizontal="right"/>
    </xf>
    <xf numFmtId="0" fontId="31" fillId="0" borderId="0" xfId="0" applyFont="1" applyAlignment="1">
      <alignment horizontal="left"/>
    </xf>
    <xf numFmtId="0" fontId="32" fillId="14" borderId="60" xfId="0" applyFont="1" applyFill="1" applyBorder="1" applyAlignment="1">
      <alignment horizontal="center" vertical="center"/>
    </xf>
    <xf numFmtId="0" fontId="32" fillId="14" borderId="61" xfId="0" applyFont="1" applyFill="1" applyBorder="1" applyAlignment="1">
      <alignment horizontal="center" vertical="center"/>
    </xf>
    <xf numFmtId="0" fontId="43" fillId="0" borderId="0" xfId="0" applyFont="1" applyAlignment="1">
      <alignment vertical="center"/>
    </xf>
    <xf numFmtId="1" fontId="43" fillId="0" borderId="99" xfId="0" applyNumberFormat="1" applyFont="1" applyBorder="1" applyAlignment="1">
      <alignment horizontal="right" vertical="center"/>
    </xf>
    <xf numFmtId="1" fontId="43" fillId="0" borderId="100" xfId="0" applyNumberFormat="1" applyFont="1" applyBorder="1" applyAlignment="1">
      <alignment horizontal="right" vertical="center"/>
    </xf>
    <xf numFmtId="1" fontId="96" fillId="0" borderId="104" xfId="0" applyNumberFormat="1" applyFont="1" applyBorder="1" applyAlignment="1">
      <alignment horizontal="right" vertical="center"/>
    </xf>
    <xf numFmtId="1" fontId="96" fillId="0" borderId="109" xfId="0" applyNumberFormat="1" applyFont="1" applyBorder="1" applyAlignment="1">
      <alignment horizontal="right" vertical="center"/>
    </xf>
    <xf numFmtId="169" fontId="88" fillId="0" borderId="99" xfId="0" applyNumberFormat="1" applyFont="1" applyBorder="1" applyAlignment="1">
      <alignment horizontal="right" vertical="center"/>
    </xf>
    <xf numFmtId="0" fontId="88" fillId="0" borderId="100" xfId="0" applyFont="1" applyBorder="1" applyAlignment="1">
      <alignment horizontal="right" vertical="center"/>
    </xf>
    <xf numFmtId="169" fontId="88" fillId="0" borderId="105" xfId="0" applyNumberFormat="1" applyFont="1" applyBorder="1" applyAlignment="1">
      <alignment horizontal="right" vertical="center"/>
    </xf>
    <xf numFmtId="0" fontId="88" fillId="0" borderId="108" xfId="0" applyFont="1" applyBorder="1" applyAlignment="1">
      <alignment horizontal="right" vertical="center"/>
    </xf>
    <xf numFmtId="0" fontId="88" fillId="0" borderId="99" xfId="0" applyFont="1" applyBorder="1" applyAlignment="1">
      <alignment horizontal="right" vertical="center"/>
    </xf>
    <xf numFmtId="1" fontId="31" fillId="0" borderId="99" xfId="0" applyNumberFormat="1" applyFont="1" applyBorder="1" applyAlignment="1">
      <alignment horizontal="right" vertical="center"/>
    </xf>
    <xf numFmtId="1" fontId="31" fillId="0" borderId="100" xfId="0" applyNumberFormat="1" applyFont="1" applyBorder="1" applyAlignment="1">
      <alignment horizontal="right" vertical="center"/>
    </xf>
    <xf numFmtId="0" fontId="52" fillId="9" borderId="0" xfId="0" applyFont="1" applyFill="1"/>
    <xf numFmtId="169" fontId="53" fillId="0" borderId="86" xfId="0" applyNumberFormat="1" applyFont="1" applyBorder="1" applyAlignment="1" applyProtection="1">
      <alignment horizontal="center" vertical="center"/>
      <protection locked="0"/>
    </xf>
    <xf numFmtId="169" fontId="53" fillId="0" borderId="97" xfId="0" applyNumberFormat="1" applyFont="1" applyBorder="1" applyAlignment="1" applyProtection="1">
      <alignment horizontal="center" vertical="center"/>
      <protection locked="0"/>
    </xf>
    <xf numFmtId="169" fontId="53" fillId="10" borderId="92" xfId="0" applyNumberFormat="1" applyFont="1" applyFill="1" applyBorder="1" applyAlignment="1">
      <alignment horizontal="center" vertical="center"/>
    </xf>
    <xf numFmtId="169" fontId="53" fillId="10" borderId="93" xfId="0" applyNumberFormat="1" applyFont="1" applyFill="1" applyBorder="1" applyAlignment="1">
      <alignment horizontal="center" vertical="center"/>
    </xf>
    <xf numFmtId="169" fontId="57" fillId="10" borderId="94" xfId="0" applyNumberFormat="1" applyFont="1" applyFill="1" applyBorder="1" applyAlignment="1">
      <alignment horizontal="center" vertical="center"/>
    </xf>
    <xf numFmtId="169" fontId="57" fillId="10" borderId="95" xfId="0" applyNumberFormat="1" applyFont="1" applyFill="1" applyBorder="1" applyAlignment="1">
      <alignment horizontal="center" vertical="center"/>
    </xf>
    <xf numFmtId="0" fontId="44" fillId="0" borderId="99" xfId="0" applyFont="1" applyBorder="1" applyAlignment="1">
      <alignment horizontal="right" vertical="center"/>
    </xf>
    <xf numFmtId="0" fontId="44" fillId="0" borderId="100" xfId="0" applyFont="1" applyBorder="1" applyAlignment="1">
      <alignment horizontal="right" vertical="center"/>
    </xf>
    <xf numFmtId="1" fontId="44" fillId="0" borderId="102" xfId="0" applyNumberFormat="1" applyFont="1" applyBorder="1" applyAlignment="1">
      <alignment horizontal="right" vertical="center"/>
    </xf>
    <xf numFmtId="1" fontId="44" fillId="0" borderId="110" xfId="0" applyNumberFormat="1" applyFont="1" applyBorder="1" applyAlignment="1">
      <alignment horizontal="right" vertical="center"/>
    </xf>
    <xf numFmtId="0" fontId="11" fillId="6" borderId="85" xfId="0" applyFont="1" applyFill="1" applyBorder="1" applyAlignment="1">
      <alignment horizontal="right" vertical="center"/>
    </xf>
    <xf numFmtId="0" fontId="11" fillId="6" borderId="85" xfId="0" applyFont="1" applyFill="1" applyBorder="1" applyAlignment="1">
      <alignment horizontal="left" vertical="center"/>
    </xf>
    <xf numFmtId="0" fontId="45" fillId="0" borderId="98" xfId="0" applyFont="1" applyBorder="1" applyAlignment="1">
      <alignment horizontal="right"/>
    </xf>
    <xf numFmtId="0" fontId="21" fillId="6" borderId="85" xfId="0" applyFont="1" applyFill="1" applyBorder="1" applyAlignment="1">
      <alignment horizontal="center" vertical="center"/>
    </xf>
    <xf numFmtId="169" fontId="55" fillId="10" borderId="94" xfId="0" applyNumberFormat="1" applyFont="1" applyFill="1" applyBorder="1" applyAlignment="1">
      <alignment horizontal="center" vertical="center"/>
    </xf>
    <xf numFmtId="169" fontId="55" fillId="10" borderId="95" xfId="0" applyNumberFormat="1" applyFont="1" applyFill="1" applyBorder="1" applyAlignment="1">
      <alignment horizontal="center" vertical="center"/>
    </xf>
    <xf numFmtId="0" fontId="51" fillId="9" borderId="91" xfId="0" applyFont="1" applyFill="1" applyBorder="1" applyAlignment="1">
      <alignment horizontal="center"/>
    </xf>
    <xf numFmtId="0" fontId="51" fillId="9" borderId="96" xfId="0" applyFont="1" applyFill="1" applyBorder="1" applyAlignment="1">
      <alignment horizontal="center"/>
    </xf>
    <xf numFmtId="0" fontId="39" fillId="0" borderId="0" xfId="0" applyFont="1" applyAlignment="1">
      <alignment horizontal="center" vertical="center"/>
    </xf>
    <xf numFmtId="0" fontId="45" fillId="6" borderId="144" xfId="0" applyFont="1" applyFill="1" applyBorder="1" applyAlignment="1">
      <alignment horizontal="right" vertical="center"/>
    </xf>
    <xf numFmtId="0" fontId="45" fillId="6" borderId="117" xfId="0" applyFont="1" applyFill="1" applyBorder="1" applyAlignment="1">
      <alignment horizontal="right" vertical="center"/>
    </xf>
    <xf numFmtId="0" fontId="45" fillId="6" borderId="0" xfId="0" applyFont="1" applyFill="1" applyAlignment="1">
      <alignment horizontal="right" vertical="center"/>
    </xf>
    <xf numFmtId="0" fontId="31" fillId="0" borderId="122" xfId="0" applyFont="1" applyBorder="1" applyAlignment="1">
      <alignment horizontal="center"/>
    </xf>
    <xf numFmtId="0" fontId="31" fillId="0" borderId="123" xfId="0" applyFont="1" applyBorder="1" applyAlignment="1">
      <alignment horizontal="center"/>
    </xf>
    <xf numFmtId="0" fontId="43" fillId="0" borderId="0" xfId="0" applyFont="1" applyAlignment="1">
      <alignment horizontal="center" vertical="center"/>
    </xf>
    <xf numFmtId="0" fontId="46" fillId="15" borderId="0" xfId="0" applyFont="1" applyFill="1" applyAlignment="1">
      <alignment horizontal="center" vertical="center"/>
    </xf>
    <xf numFmtId="0" fontId="46" fillId="15" borderId="143" xfId="0" applyFont="1" applyFill="1" applyBorder="1" applyAlignment="1">
      <alignment horizontal="center" vertical="center"/>
    </xf>
    <xf numFmtId="0" fontId="88" fillId="0" borderId="0" xfId="0" applyFont="1" applyAlignment="1">
      <alignment horizontal="center"/>
    </xf>
    <xf numFmtId="0" fontId="7" fillId="0" borderId="0" xfId="0" applyFont="1" applyAlignment="1">
      <alignment horizontal="right"/>
    </xf>
    <xf numFmtId="169" fontId="77" fillId="0" borderId="146" xfId="0" applyNumberFormat="1" applyFont="1" applyBorder="1" applyAlignment="1">
      <alignment horizontal="center" vertical="center" wrapText="1"/>
    </xf>
    <xf numFmtId="0" fontId="77" fillId="0" borderId="146" xfId="0" applyFont="1" applyBorder="1" applyAlignment="1">
      <alignment horizontal="center" vertical="center" wrapText="1"/>
    </xf>
    <xf numFmtId="0" fontId="81" fillId="0" borderId="0" xfId="0" applyFont="1"/>
    <xf numFmtId="0" fontId="76" fillId="0" borderId="0" xfId="0" applyFont="1"/>
    <xf numFmtId="0" fontId="99" fillId="0" borderId="147" xfId="0" applyFont="1" applyBorder="1" applyAlignment="1">
      <alignment horizontal="center" vertical="center"/>
    </xf>
    <xf numFmtId="0" fontId="99" fillId="0" borderId="0" xfId="0" applyFont="1" applyAlignment="1">
      <alignment horizontal="center" vertical="center"/>
    </xf>
    <xf numFmtId="0" fontId="51" fillId="9" borderId="0" xfId="0" applyFont="1" applyFill="1"/>
    <xf numFmtId="0" fontId="76" fillId="0" borderId="0" xfId="0" applyFont="1" applyAlignment="1">
      <alignment vertical="center" wrapText="1"/>
    </xf>
    <xf numFmtId="0" fontId="76" fillId="0" borderId="137" xfId="0" applyFont="1" applyBorder="1" applyAlignment="1">
      <alignment horizontal="right" vertical="center" wrapText="1"/>
    </xf>
    <xf numFmtId="0" fontId="3" fillId="0" borderId="0" xfId="0" applyFont="1" applyAlignment="1">
      <alignment vertical="center"/>
    </xf>
    <xf numFmtId="0" fontId="123" fillId="0" borderId="0" xfId="0" applyFont="1" applyAlignment="1">
      <alignment horizontal="center" vertical="center" wrapText="1"/>
    </xf>
    <xf numFmtId="0" fontId="110" fillId="5" borderId="0" xfId="0" applyFont="1" applyFill="1" applyAlignment="1">
      <alignment vertical="top" wrapText="1"/>
    </xf>
    <xf numFmtId="0" fontId="105" fillId="0" borderId="63" xfId="0" applyFont="1" applyBorder="1" applyAlignment="1">
      <alignment horizontal="center" vertical="center" wrapText="1" readingOrder="1"/>
    </xf>
    <xf numFmtId="0" fontId="106" fillId="0" borderId="0" xfId="0" applyFont="1" applyAlignment="1">
      <alignment horizontal="center" vertical="center" wrapText="1" readingOrder="1"/>
    </xf>
    <xf numFmtId="0" fontId="103" fillId="0" borderId="3" xfId="0" applyFont="1" applyBorder="1" applyAlignment="1">
      <alignment horizontal="center" vertical="center" wrapText="1" readingOrder="1"/>
    </xf>
    <xf numFmtId="0" fontId="103" fillId="0" borderId="0" xfId="0" applyFont="1" applyAlignment="1">
      <alignment horizontal="center" vertical="center" wrapText="1" readingOrder="1"/>
    </xf>
    <xf numFmtId="0" fontId="105" fillId="0" borderId="0" xfId="0" applyFont="1" applyAlignment="1">
      <alignment horizontal="center" vertical="center" wrapText="1" readingOrder="1"/>
    </xf>
    <xf numFmtId="0" fontId="0" fillId="0" borderId="63" xfId="0" applyBorder="1" applyAlignment="1">
      <alignment horizontal="center"/>
    </xf>
    <xf numFmtId="0" fontId="104" fillId="2" borderId="155" xfId="0" applyFont="1" applyFill="1" applyBorder="1" applyAlignment="1">
      <alignment horizontal="center" vertical="center" textRotation="90" wrapText="1" readingOrder="1"/>
    </xf>
    <xf numFmtId="0" fontId="104" fillId="13" borderId="150" xfId="0" applyFont="1" applyFill="1" applyBorder="1" applyAlignment="1">
      <alignment horizontal="center" vertical="center" textRotation="90" wrapText="1" readingOrder="1"/>
    </xf>
    <xf numFmtId="0" fontId="104" fillId="13" borderId="151" xfId="0" applyFont="1" applyFill="1" applyBorder="1" applyAlignment="1">
      <alignment horizontal="center" vertical="center" textRotation="90" wrapText="1" readingOrder="1"/>
    </xf>
    <xf numFmtId="0" fontId="104" fillId="13" borderId="154" xfId="0" applyFont="1" applyFill="1" applyBorder="1" applyAlignment="1">
      <alignment horizontal="center" vertical="center" textRotation="90" wrapText="1" readingOrder="1"/>
    </xf>
    <xf numFmtId="0" fontId="104" fillId="2" borderId="0" xfId="0" applyFont="1" applyFill="1" applyAlignment="1">
      <alignment horizontal="center" vertical="center" textRotation="90" wrapText="1" readingOrder="1"/>
    </xf>
    <xf numFmtId="0" fontId="106" fillId="0" borderId="63" xfId="0" applyFont="1" applyBorder="1" applyAlignment="1">
      <alignment horizontal="center" vertical="center" wrapText="1" readingOrder="1"/>
    </xf>
    <xf numFmtId="0" fontId="106" fillId="0" borderId="3" xfId="0" applyFont="1" applyBorder="1" applyAlignment="1">
      <alignment horizontal="center" vertical="center" wrapText="1" readingOrder="1"/>
    </xf>
    <xf numFmtId="0" fontId="103" fillId="0" borderId="66" xfId="0" applyFont="1" applyBorder="1" applyAlignment="1">
      <alignment vertical="center" wrapText="1" readingOrder="1"/>
    </xf>
    <xf numFmtId="0" fontId="109" fillId="0" borderId="0" xfId="0" applyFont="1" applyAlignment="1">
      <alignment vertical="center" wrapText="1" readingOrder="1"/>
    </xf>
    <xf numFmtId="0" fontId="103" fillId="0" borderId="148" xfId="0" applyFont="1" applyBorder="1" applyAlignment="1">
      <alignment horizontal="center" vertical="center" wrapText="1" readingOrder="1"/>
    </xf>
    <xf numFmtId="0" fontId="0" fillId="0" borderId="156" xfId="0" applyBorder="1" applyAlignment="1" applyProtection="1">
      <alignment horizontal="center"/>
      <protection locked="0"/>
    </xf>
    <xf numFmtId="0" fontId="31" fillId="0" borderId="160" xfId="0" applyFont="1" applyBorder="1" applyAlignment="1">
      <alignment horizontal="center"/>
    </xf>
    <xf numFmtId="0" fontId="103" fillId="0" borderId="149" xfId="0" applyFont="1" applyBorder="1" applyAlignment="1">
      <alignment horizontal="center" vertical="center" wrapText="1" readingOrder="1"/>
    </xf>
    <xf numFmtId="0" fontId="12" fillId="0" borderId="0" xfId="0" applyFont="1" applyAlignment="1">
      <alignment horizontal="center" vertical="center" wrapText="1"/>
    </xf>
    <xf numFmtId="10" fontId="45" fillId="0" borderId="156" xfId="0" applyNumberFormat="1" applyFont="1" applyBorder="1" applyAlignment="1" applyProtection="1">
      <alignment horizontal="center" vertical="center" wrapText="1"/>
      <protection locked="0"/>
    </xf>
    <xf numFmtId="0" fontId="0" fillId="0" borderId="0" xfId="0" applyAlignment="1">
      <alignment horizontal="center" vertical="center"/>
    </xf>
    <xf numFmtId="0" fontId="105" fillId="0" borderId="148" xfId="0" applyFont="1" applyBorder="1" applyAlignment="1">
      <alignment horizontal="center" vertical="center" wrapText="1" readingOrder="1"/>
    </xf>
    <xf numFmtId="0" fontId="111" fillId="2" borderId="0" xfId="0" applyFont="1" applyFill="1" applyAlignment="1">
      <alignment horizontal="center"/>
    </xf>
    <xf numFmtId="0" fontId="18" fillId="3" borderId="0" xfId="0" applyFont="1" applyFill="1" applyAlignment="1">
      <alignment horizontal="center" vertical="center" textRotation="90"/>
    </xf>
    <xf numFmtId="0" fontId="45" fillId="0" borderId="167" xfId="0" applyFont="1" applyBorder="1" applyAlignment="1">
      <alignment vertical="center"/>
    </xf>
    <xf numFmtId="0" fontId="105" fillId="0" borderId="148" xfId="0" applyFont="1" applyBorder="1" applyAlignment="1">
      <alignment horizontal="right" vertical="center" wrapText="1" readingOrder="1"/>
    </xf>
    <xf numFmtId="0" fontId="117" fillId="0" borderId="148" xfId="0" applyFont="1" applyBorder="1" applyAlignment="1">
      <alignment horizontal="right" vertical="center" wrapText="1" readingOrder="1"/>
    </xf>
    <xf numFmtId="0" fontId="112" fillId="14" borderId="0" xfId="0" applyFont="1" applyFill="1" applyAlignment="1">
      <alignment horizontal="center" vertical="center" textRotation="90"/>
    </xf>
    <xf numFmtId="0" fontId="3" fillId="0" borderId="0" xfId="0" applyFont="1" applyAlignment="1">
      <alignment horizontal="right"/>
    </xf>
    <xf numFmtId="0" fontId="105" fillId="0" borderId="149" xfId="0" applyFont="1" applyBorder="1" applyAlignment="1">
      <alignment horizontal="right" vertical="center" wrapText="1" readingOrder="1"/>
    </xf>
    <xf numFmtId="0" fontId="121" fillId="0" borderId="0" xfId="0" applyFont="1" applyAlignment="1">
      <alignment horizontal="center"/>
    </xf>
    <xf numFmtId="169" fontId="5" fillId="0" borderId="0" xfId="0" applyNumberFormat="1" applyFont="1" applyAlignment="1">
      <alignment horizontal="left"/>
    </xf>
    <xf numFmtId="169" fontId="5" fillId="0" borderId="0" xfId="0" applyNumberFormat="1" applyFont="1" applyAlignment="1">
      <alignment horizontal="center"/>
    </xf>
    <xf numFmtId="0" fontId="29" fillId="3" borderId="0" xfId="0" applyFont="1" applyFill="1" applyAlignment="1">
      <alignment horizontal="center" vertical="center"/>
    </xf>
    <xf numFmtId="1" fontId="47" fillId="0" borderId="0" xfId="0" applyNumberFormat="1" applyFont="1" applyAlignment="1">
      <alignment horizontal="right"/>
    </xf>
    <xf numFmtId="0" fontId="121" fillId="5" borderId="0" xfId="0" applyFont="1" applyFill="1" applyAlignment="1">
      <alignment horizontal="center"/>
    </xf>
    <xf numFmtId="0" fontId="45" fillId="0" borderId="0" xfId="0" applyFont="1"/>
    <xf numFmtId="0" fontId="45" fillId="0" borderId="176" xfId="0" applyFont="1" applyBorder="1"/>
    <xf numFmtId="0" fontId="3" fillId="0" borderId="172" xfId="0" applyFont="1" applyBorder="1" applyAlignment="1">
      <alignment horizontal="center"/>
    </xf>
    <xf numFmtId="0" fontId="3" fillId="0" borderId="173" xfId="0" applyFont="1" applyBorder="1" applyAlignment="1">
      <alignment horizontal="center"/>
    </xf>
    <xf numFmtId="0" fontId="3" fillId="0" borderId="174" xfId="0" applyFont="1" applyBorder="1" applyAlignment="1">
      <alignment horizontal="center"/>
    </xf>
    <xf numFmtId="0" fontId="3" fillId="0" borderId="175" xfId="0" applyFont="1" applyBorder="1" applyAlignment="1">
      <alignment horizontal="center"/>
    </xf>
    <xf numFmtId="169" fontId="3" fillId="0" borderId="171" xfId="0" applyNumberFormat="1" applyFont="1" applyBorder="1" applyAlignment="1" applyProtection="1">
      <alignment horizontal="center"/>
      <protection locked="0"/>
    </xf>
    <xf numFmtId="169" fontId="3" fillId="0" borderId="156" xfId="0" applyNumberFormat="1" applyFont="1" applyBorder="1" applyAlignment="1" applyProtection="1">
      <alignment horizontal="center"/>
      <protection locked="0"/>
    </xf>
    <xf numFmtId="0" fontId="47" fillId="0" borderId="0" xfId="0" applyFont="1" applyAlignment="1">
      <alignment horizontal="right"/>
    </xf>
    <xf numFmtId="0" fontId="3" fillId="0" borderId="0" xfId="0" applyFont="1"/>
    <xf numFmtId="0" fontId="3" fillId="0" borderId="176" xfId="0" applyFont="1" applyBorder="1"/>
    <xf numFmtId="1" fontId="121" fillId="0" borderId="0" xfId="0" applyNumberFormat="1" applyFont="1" applyAlignment="1">
      <alignment horizontal="center"/>
    </xf>
    <xf numFmtId="0" fontId="111" fillId="2" borderId="0" xfId="0" applyFont="1" applyFill="1" applyAlignment="1">
      <alignment horizontal="center" vertical="center"/>
    </xf>
    <xf numFmtId="0" fontId="29" fillId="13" borderId="0" xfId="0" applyFont="1" applyFill="1" applyAlignment="1">
      <alignment horizontal="center" vertical="center"/>
    </xf>
    <xf numFmtId="0" fontId="45" fillId="0" borderId="0" xfId="0" applyFont="1" applyAlignment="1">
      <alignment horizontal="center"/>
    </xf>
    <xf numFmtId="0" fontId="45" fillId="0" borderId="176" xfId="0" applyFont="1" applyBorder="1" applyAlignment="1">
      <alignment horizontal="center"/>
    </xf>
    <xf numFmtId="0" fontId="0" fillId="5" borderId="0" xfId="0" applyFill="1" applyAlignment="1">
      <alignment horizontal="center"/>
    </xf>
    <xf numFmtId="10" fontId="3" fillId="0" borderId="179" xfId="0" applyNumberFormat="1" applyFont="1" applyBorder="1" applyAlignment="1" applyProtection="1">
      <alignment horizontal="center" vertical="center" wrapText="1"/>
      <protection locked="0"/>
    </xf>
    <xf numFmtId="10" fontId="3" fillId="0" borderId="160" xfId="0" applyNumberFormat="1" applyFont="1" applyBorder="1" applyAlignment="1" applyProtection="1">
      <alignment horizontal="center" vertical="center" wrapText="1"/>
      <protection locked="0"/>
    </xf>
    <xf numFmtId="0" fontId="3" fillId="0" borderId="59" xfId="0" applyFont="1" applyBorder="1"/>
    <xf numFmtId="0" fontId="3" fillId="0" borderId="177" xfId="0" applyFont="1" applyBorder="1"/>
    <xf numFmtId="169" fontId="3" fillId="0" borderId="174" xfId="0" applyNumberFormat="1" applyFont="1" applyBorder="1" applyAlignment="1">
      <alignment horizontal="center" vertical="center"/>
    </xf>
    <xf numFmtId="169" fontId="3" fillId="0" borderId="175" xfId="0" applyNumberFormat="1" applyFont="1" applyBorder="1" applyAlignment="1">
      <alignment horizontal="center" vertical="center"/>
    </xf>
    <xf numFmtId="0" fontId="80" fillId="2" borderId="0" xfId="0" applyFont="1" applyFill="1" applyAlignment="1">
      <alignment horizontal="center"/>
    </xf>
    <xf numFmtId="0" fontId="79" fillId="3" borderId="0" xfId="0" applyFont="1" applyFill="1" applyAlignment="1">
      <alignment horizontal="center"/>
    </xf>
    <xf numFmtId="0" fontId="81" fillId="0" borderId="0" xfId="0" applyFont="1" applyAlignment="1">
      <alignment horizontal="center"/>
    </xf>
    <xf numFmtId="0" fontId="124" fillId="0" borderId="0" xfId="0" applyFont="1" applyAlignment="1">
      <alignment horizontal="center"/>
    </xf>
    <xf numFmtId="0" fontId="7" fillId="0" borderId="189" xfId="0" applyFont="1" applyBorder="1" applyAlignment="1">
      <alignment horizontal="center"/>
    </xf>
    <xf numFmtId="0" fontId="7" fillId="0" borderId="0" xfId="0" applyFont="1" applyAlignment="1">
      <alignment horizontal="center"/>
    </xf>
    <xf numFmtId="0" fontId="7" fillId="0" borderId="190" xfId="0" applyFont="1" applyBorder="1" applyAlignment="1">
      <alignment horizontal="center"/>
    </xf>
    <xf numFmtId="0" fontId="98" fillId="0" borderId="193" xfId="0" applyFont="1" applyBorder="1" applyAlignment="1">
      <alignment horizontal="center"/>
    </xf>
    <xf numFmtId="0" fontId="98" fillId="0" borderId="0" xfId="0" applyFont="1" applyAlignment="1">
      <alignment horizontal="center"/>
    </xf>
    <xf numFmtId="0" fontId="98" fillId="0" borderId="195" xfId="0" applyFont="1" applyBorder="1" applyAlignment="1">
      <alignment horizontal="center"/>
    </xf>
    <xf numFmtId="0" fontId="98" fillId="0" borderId="158" xfId="0" applyFont="1" applyBorder="1" applyAlignment="1">
      <alignment horizontal="center"/>
    </xf>
    <xf numFmtId="0" fontId="126" fillId="0" borderId="0" xfId="0" applyFont="1" applyAlignment="1">
      <alignment horizontal="center" vertical="center"/>
    </xf>
    <xf numFmtId="0" fontId="126" fillId="0" borderId="0" xfId="0" applyFont="1" applyAlignment="1">
      <alignment horizontal="center"/>
    </xf>
    <xf numFmtId="0" fontId="126" fillId="0" borderId="194" xfId="0" applyFont="1" applyBorder="1" applyAlignment="1">
      <alignment horizontal="center"/>
    </xf>
    <xf numFmtId="0" fontId="126" fillId="0" borderId="3" xfId="0" applyFont="1" applyBorder="1" applyAlignment="1">
      <alignment horizontal="center" vertical="center"/>
    </xf>
    <xf numFmtId="0" fontId="98" fillId="0" borderId="63" xfId="0" applyFont="1" applyBorder="1" applyAlignment="1">
      <alignment horizontal="center" vertical="center"/>
    </xf>
    <xf numFmtId="0" fontId="98" fillId="0" borderId="0" xfId="0" applyFont="1" applyAlignment="1">
      <alignment horizontal="center" vertical="center"/>
    </xf>
    <xf numFmtId="0" fontId="126" fillId="0" borderId="194" xfId="0" applyFont="1" applyBorder="1" applyAlignment="1">
      <alignment horizontal="center" vertical="center"/>
    </xf>
    <xf numFmtId="0" fontId="98" fillId="0" borderId="193" xfId="0" applyFont="1" applyBorder="1" applyAlignment="1">
      <alignment horizontal="center" vertical="center"/>
    </xf>
    <xf numFmtId="14" fontId="98" fillId="0" borderId="63" xfId="0" applyNumberFormat="1" applyFont="1" applyBorder="1" applyAlignment="1">
      <alignment horizontal="center" vertical="center"/>
    </xf>
    <xf numFmtId="169" fontId="126" fillId="0" borderId="158" xfId="0" applyNumberFormat="1" applyFont="1" applyBorder="1" applyAlignment="1">
      <alignment horizontal="center" vertical="center"/>
    </xf>
    <xf numFmtId="0" fontId="127" fillId="14" borderId="63" xfId="0" applyFont="1" applyFill="1" applyBorder="1" applyAlignment="1">
      <alignment horizontal="center" vertical="center"/>
    </xf>
    <xf numFmtId="0" fontId="98" fillId="0" borderId="3" xfId="0" applyFont="1" applyBorder="1" applyAlignment="1">
      <alignment horizontal="center" vertical="center"/>
    </xf>
    <xf numFmtId="0" fontId="98" fillId="0" borderId="159" xfId="0" applyFont="1" applyBorder="1" applyAlignment="1">
      <alignment horizontal="center" vertical="center"/>
    </xf>
    <xf numFmtId="0" fontId="125" fillId="0" borderId="0" xfId="0" applyFont="1" applyAlignment="1">
      <alignment horizontal="left" vertical="center"/>
    </xf>
    <xf numFmtId="0" fontId="0" fillId="0" borderId="0" xfId="0" applyAlignment="1">
      <alignment horizontal="left" vertical="center"/>
    </xf>
    <xf numFmtId="0" fontId="127" fillId="2" borderId="63" xfId="0" applyFont="1" applyFill="1" applyBorder="1" applyAlignment="1">
      <alignment horizontal="center"/>
    </xf>
    <xf numFmtId="0" fontId="98" fillId="0" borderId="195" xfId="0" applyFont="1" applyBorder="1" applyAlignment="1">
      <alignment horizontal="center" vertical="center"/>
    </xf>
    <xf numFmtId="0" fontId="98" fillId="0" borderId="158" xfId="0" applyFont="1" applyBorder="1" applyAlignment="1">
      <alignment horizontal="center" vertical="center"/>
    </xf>
    <xf numFmtId="10" fontId="98" fillId="0" borderId="158" xfId="0" applyNumberFormat="1" applyFont="1" applyBorder="1" applyAlignment="1">
      <alignment horizontal="center" vertical="center"/>
    </xf>
    <xf numFmtId="10" fontId="98" fillId="0" borderId="63" xfId="0" applyNumberFormat="1" applyFont="1" applyBorder="1" applyAlignment="1">
      <alignment horizontal="center" vertical="center"/>
    </xf>
    <xf numFmtId="0" fontId="98" fillId="0" borderId="160" xfId="0" applyFont="1" applyBorder="1" applyAlignment="1">
      <alignment horizontal="center" vertical="center"/>
    </xf>
    <xf numFmtId="169" fontId="98" fillId="0" borderId="158" xfId="0" applyNumberFormat="1" applyFont="1" applyBorder="1" applyAlignment="1">
      <alignment horizontal="center" vertical="center"/>
    </xf>
    <xf numFmtId="10" fontId="98" fillId="0" borderId="0" xfId="0" applyNumberFormat="1" applyFont="1" applyAlignment="1">
      <alignment horizontal="center" vertical="center"/>
    </xf>
    <xf numFmtId="0" fontId="126" fillId="0" borderId="63" xfId="0" applyFont="1" applyBorder="1" applyAlignment="1">
      <alignment horizontal="center" vertical="center"/>
    </xf>
    <xf numFmtId="14" fontId="98" fillId="0" borderId="159" xfId="0" applyNumberFormat="1" applyFont="1" applyBorder="1" applyAlignment="1">
      <alignment horizontal="center" vertical="center"/>
    </xf>
    <xf numFmtId="0" fontId="97" fillId="0" borderId="3" xfId="0" applyFont="1" applyBorder="1" applyAlignment="1">
      <alignment horizontal="center" vertical="center"/>
    </xf>
    <xf numFmtId="0" fontId="97" fillId="0" borderId="159" xfId="0" applyFont="1" applyBorder="1" applyAlignment="1">
      <alignment horizontal="center" vertical="center"/>
    </xf>
    <xf numFmtId="0" fontId="97" fillId="0" borderId="0" xfId="0" applyFont="1" applyAlignment="1">
      <alignment horizontal="center" vertical="center"/>
    </xf>
    <xf numFmtId="0" fontId="97" fillId="0" borderId="158" xfId="0" applyFont="1" applyBorder="1" applyAlignment="1">
      <alignment horizontal="center" vertical="center"/>
    </xf>
    <xf numFmtId="10" fontId="97" fillId="0" borderId="158" xfId="0" applyNumberFormat="1" applyFont="1" applyBorder="1" applyAlignment="1">
      <alignment horizontal="center" vertical="center"/>
    </xf>
    <xf numFmtId="0" fontId="126" fillId="0" borderId="159" xfId="0" applyFont="1" applyBorder="1" applyAlignment="1">
      <alignment horizontal="center" vertical="center"/>
    </xf>
    <xf numFmtId="0" fontId="98" fillId="0" borderId="157" xfId="0" applyFont="1" applyBorder="1" applyAlignment="1">
      <alignment horizontal="center" vertical="center"/>
    </xf>
    <xf numFmtId="0" fontId="125" fillId="0" borderId="0" xfId="0" applyFont="1" applyAlignment="1">
      <alignment horizontal="left"/>
    </xf>
    <xf numFmtId="0" fontId="0" fillId="0" borderId="0" xfId="0" applyAlignment="1">
      <alignment horizontal="left"/>
    </xf>
    <xf numFmtId="0" fontId="126" fillId="0" borderId="66" xfId="0" applyFont="1" applyBorder="1" applyAlignment="1">
      <alignment horizontal="right" vertical="center"/>
    </xf>
    <xf numFmtId="169" fontId="128" fillId="0" borderId="0" xfId="0" applyNumberFormat="1" applyFont="1" applyAlignment="1">
      <alignment horizontal="left"/>
    </xf>
    <xf numFmtId="0" fontId="128" fillId="0" borderId="0" xfId="0" applyFont="1" applyAlignment="1">
      <alignment horizontal="right"/>
    </xf>
    <xf numFmtId="0" fontId="97" fillId="0" borderId="157" xfId="0" applyFont="1" applyBorder="1" applyAlignment="1">
      <alignment horizontal="center" vertical="center"/>
    </xf>
    <xf numFmtId="169" fontId="98" fillId="0" borderId="66" xfId="0" applyNumberFormat="1" applyFont="1" applyBorder="1" applyAlignment="1">
      <alignment horizontal="center" vertical="center"/>
    </xf>
    <xf numFmtId="169" fontId="98" fillId="0" borderId="0" xfId="0" applyNumberFormat="1" applyFont="1" applyAlignment="1">
      <alignment horizontal="center"/>
    </xf>
    <xf numFmtId="0" fontId="129" fillId="14" borderId="0" xfId="0" applyFont="1" applyFill="1" applyAlignment="1">
      <alignment horizontal="center"/>
    </xf>
    <xf numFmtId="0" fontId="127" fillId="2" borderId="0" xfId="0" applyFont="1" applyFill="1" applyAlignment="1">
      <alignment horizontal="center" vertical="center" wrapText="1"/>
    </xf>
    <xf numFmtId="0" fontId="0" fillId="3" borderId="0" xfId="0" applyFill="1" applyAlignment="1">
      <alignment horizontal="center"/>
    </xf>
    <xf numFmtId="0" fontId="125" fillId="0" borderId="0" xfId="0" applyFont="1" applyAlignment="1">
      <alignment horizontal="right"/>
    </xf>
    <xf numFmtId="0" fontId="132" fillId="0" borderId="0" xfId="0" applyFont="1" applyAlignment="1">
      <alignment horizontal="right" vertical="center"/>
    </xf>
    <xf numFmtId="0" fontId="125" fillId="0" borderId="0" xfId="0" applyFont="1" applyAlignment="1">
      <alignment horizontal="right" vertical="center"/>
    </xf>
    <xf numFmtId="0" fontId="133" fillId="16" borderId="0" xfId="0" applyFont="1" applyFill="1" applyAlignment="1">
      <alignment horizontal="center"/>
    </xf>
    <xf numFmtId="0" fontId="134" fillId="0" borderId="0" xfId="0" applyFont="1" applyAlignment="1">
      <alignment horizontal="center"/>
    </xf>
    <xf numFmtId="0" fontId="133" fillId="2" borderId="0" xfId="0" applyFont="1" applyFill="1" applyAlignment="1">
      <alignment horizontal="center"/>
    </xf>
    <xf numFmtId="0" fontId="132" fillId="13" borderId="0" xfId="0" applyFont="1" applyFill="1" applyAlignment="1">
      <alignment horizontal="center"/>
    </xf>
    <xf numFmtId="0" fontId="79" fillId="0" borderId="200" xfId="0" applyFont="1" applyBorder="1" applyAlignment="1">
      <alignment horizontal="center" vertical="center" wrapText="1"/>
    </xf>
    <xf numFmtId="0" fontId="79" fillId="0" borderId="0" xfId="0" applyFont="1" applyAlignment="1">
      <alignment horizontal="center" vertical="center" wrapText="1"/>
    </xf>
    <xf numFmtId="0" fontId="80" fillId="14" borderId="0" xfId="0" applyFont="1" applyFill="1" applyAlignment="1">
      <alignment horizontal="center" vertical="center" wrapText="1"/>
    </xf>
    <xf numFmtId="0" fontId="76" fillId="0" borderId="0" xfId="0" applyFont="1" applyAlignment="1">
      <alignment wrapText="1"/>
    </xf>
    <xf numFmtId="0" fontId="136" fillId="0" borderId="3" xfId="0" applyFont="1" applyBorder="1" applyAlignment="1">
      <alignment vertical="center" wrapText="1"/>
    </xf>
    <xf numFmtId="0" fontId="136" fillId="0" borderId="0" xfId="0" applyFont="1" applyAlignment="1">
      <alignment vertical="center" wrapText="1"/>
    </xf>
    <xf numFmtId="0" fontId="45" fillId="0" borderId="156" xfId="0" applyFont="1" applyBorder="1" applyAlignment="1" applyProtection="1">
      <alignment horizontal="center" vertical="center" wrapText="1"/>
      <protection locked="0"/>
    </xf>
    <xf numFmtId="10" fontId="3" fillId="0" borderId="156" xfId="0" applyNumberFormat="1" applyFont="1" applyBorder="1" applyAlignment="1" applyProtection="1">
      <alignment horizontal="center" vertical="center" wrapText="1"/>
      <protection locked="0"/>
    </xf>
    <xf numFmtId="0" fontId="7" fillId="4" borderId="156" xfId="0" applyFont="1" applyFill="1" applyBorder="1" applyAlignment="1">
      <alignment horizontal="center" vertical="center" wrapText="1"/>
    </xf>
    <xf numFmtId="0" fontId="0" fillId="0" borderId="63" xfId="0" applyBorder="1" applyAlignment="1">
      <alignment horizontal="center" vertical="center"/>
    </xf>
    <xf numFmtId="0" fontId="43" fillId="0" borderId="158" xfId="0" applyFont="1" applyBorder="1" applyAlignment="1">
      <alignment horizontal="center" vertical="center" wrapText="1"/>
    </xf>
    <xf numFmtId="0" fontId="43" fillId="0" borderId="157" xfId="0" applyFont="1" applyBorder="1" applyAlignment="1">
      <alignment horizontal="center" vertical="center"/>
    </xf>
    <xf numFmtId="0" fontId="43" fillId="0" borderId="159" xfId="0" applyFont="1" applyBorder="1" applyAlignment="1">
      <alignment horizontal="center" vertical="center"/>
    </xf>
    <xf numFmtId="0" fontId="43" fillId="0" borderId="63" xfId="0" applyFont="1" applyBorder="1" applyAlignment="1">
      <alignment horizontal="center" vertical="center"/>
    </xf>
    <xf numFmtId="0" fontId="138" fillId="0" borderId="63" xfId="0" applyFont="1" applyBorder="1" applyAlignment="1">
      <alignment horizontal="center" vertical="center" wrapText="1" readingOrder="1"/>
    </xf>
    <xf numFmtId="0" fontId="138" fillId="0" borderId="3" xfId="0" applyFont="1" applyBorder="1" applyAlignment="1">
      <alignment horizontal="center" vertical="center" wrapText="1" readingOrder="1"/>
    </xf>
    <xf numFmtId="10" fontId="139" fillId="0" borderId="159" xfId="0" applyNumberFormat="1" applyFont="1" applyBorder="1" applyAlignment="1">
      <alignment horizontal="center" vertical="center" wrapText="1"/>
    </xf>
    <xf numFmtId="0" fontId="43" fillId="0" borderId="157" xfId="0" applyFont="1" applyBorder="1" applyAlignment="1">
      <alignment horizontal="center" vertical="center" wrapText="1"/>
    </xf>
    <xf numFmtId="0" fontId="43" fillId="0" borderId="159" xfId="0" applyFont="1" applyBorder="1" applyAlignment="1">
      <alignment horizontal="center" vertical="center" wrapText="1"/>
    </xf>
    <xf numFmtId="10" fontId="139" fillId="0" borderId="157"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07" fillId="0" borderId="9" xfId="0" applyFont="1" applyBorder="1" applyAlignment="1">
      <alignment horizontal="center" vertical="center" wrapText="1"/>
    </xf>
    <xf numFmtId="0" fontId="107" fillId="0" borderId="10" xfId="0" applyFont="1" applyBorder="1" applyAlignment="1">
      <alignment horizontal="center" vertical="center" wrapText="1"/>
    </xf>
    <xf numFmtId="0" fontId="43" fillId="0" borderId="158" xfId="0" applyFont="1" applyBorder="1" applyAlignment="1">
      <alignment horizontal="center" vertical="center"/>
    </xf>
    <xf numFmtId="10" fontId="43" fillId="0" borderId="159" xfId="0" applyNumberFormat="1" applyFont="1" applyBorder="1" applyAlignment="1">
      <alignment horizontal="center" vertical="center" wrapText="1"/>
    </xf>
    <xf numFmtId="0" fontId="107" fillId="0" borderId="63" xfId="0" applyFont="1" applyBorder="1" applyAlignment="1">
      <alignment horizontal="center" vertical="center" wrapText="1"/>
    </xf>
    <xf numFmtId="0" fontId="1" fillId="2" borderId="188"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3" xfId="0" applyBorder="1" applyAlignment="1">
      <alignment horizontal="center"/>
    </xf>
    <xf numFmtId="169" fontId="3" fillId="0" borderId="156" xfId="0" applyNumberFormat="1" applyFont="1" applyBorder="1" applyAlignment="1" applyProtection="1">
      <alignment horizontal="center" vertical="center" wrapText="1"/>
      <protection locked="0"/>
    </xf>
    <xf numFmtId="10" fontId="139" fillId="0" borderId="158" xfId="0" applyNumberFormat="1" applyFont="1" applyBorder="1" applyAlignment="1">
      <alignment horizontal="center" vertical="center" wrapText="1"/>
    </xf>
    <xf numFmtId="0" fontId="103" fillId="0" borderId="148" xfId="0" applyFont="1" applyBorder="1" applyAlignment="1">
      <alignment horizontal="right" vertical="center" wrapText="1" readingOrder="1"/>
    </xf>
    <xf numFmtId="0" fontId="3" fillId="0" borderId="156" xfId="0" applyFont="1" applyBorder="1" applyAlignment="1" applyProtection="1">
      <alignment horizontal="center" vertical="center" wrapText="1"/>
      <protection locked="0"/>
    </xf>
    <xf numFmtId="0" fontId="31" fillId="0" borderId="137" xfId="0" applyFont="1" applyBorder="1" applyAlignment="1">
      <alignment horizontal="center"/>
    </xf>
    <xf numFmtId="0" fontId="12" fillId="0" borderId="200" xfId="0" applyFont="1" applyBorder="1" applyAlignment="1">
      <alignment horizontal="center" vertical="center" wrapText="1"/>
    </xf>
    <xf numFmtId="0" fontId="12" fillId="0" borderId="0" xfId="0" applyFont="1" applyAlignment="1">
      <alignment horizontal="center" vertical="center"/>
    </xf>
    <xf numFmtId="0" fontId="12" fillId="0" borderId="200" xfId="0" applyFont="1" applyBorder="1" applyAlignment="1">
      <alignment horizontal="center" vertical="center"/>
    </xf>
    <xf numFmtId="0" fontId="12" fillId="0" borderId="0" xfId="0" applyFont="1" applyAlignment="1">
      <alignment horizontal="right" vertical="center" textRotation="90" wrapText="1"/>
    </xf>
    <xf numFmtId="0" fontId="2" fillId="0" borderId="0" xfId="0" applyFont="1" applyAlignment="1">
      <alignment horizontal="center"/>
    </xf>
    <xf numFmtId="0" fontId="143" fillId="0" borderId="141" xfId="0" applyFont="1" applyBorder="1" applyAlignment="1">
      <alignment horizontal="center"/>
    </xf>
    <xf numFmtId="0" fontId="83" fillId="5" borderId="207" xfId="0" applyFont="1" applyFill="1" applyBorder="1" applyAlignment="1">
      <alignment horizontal="center"/>
    </xf>
    <xf numFmtId="0" fontId="83" fillId="5" borderId="208" xfId="0" applyFont="1" applyFill="1" applyBorder="1" applyAlignment="1">
      <alignment horizontal="center"/>
    </xf>
    <xf numFmtId="169" fontId="84" fillId="5" borderId="207" xfId="0" applyNumberFormat="1" applyFont="1" applyFill="1" applyBorder="1" applyAlignment="1">
      <alignment horizontal="center"/>
    </xf>
    <xf numFmtId="169" fontId="84" fillId="5" borderId="208" xfId="0" applyNumberFormat="1" applyFont="1" applyFill="1" applyBorder="1" applyAlignment="1">
      <alignment horizontal="center"/>
    </xf>
    <xf numFmtId="10" fontId="3" fillId="0" borderId="179" xfId="0" applyNumberFormat="1" applyFont="1" applyBorder="1" applyAlignment="1">
      <alignment horizontal="center" vertical="center" wrapText="1"/>
    </xf>
    <xf numFmtId="10" fontId="3" fillId="0" borderId="160" xfId="0" applyNumberFormat="1" applyFont="1" applyBorder="1" applyAlignment="1">
      <alignment horizontal="center" vertical="center" wrapText="1"/>
    </xf>
    <xf numFmtId="169" fontId="3" fillId="0" borderId="171" xfId="0" applyNumberFormat="1" applyFont="1" applyBorder="1" applyAlignment="1">
      <alignment horizontal="center"/>
    </xf>
    <xf numFmtId="169" fontId="3" fillId="0" borderId="156" xfId="0" applyNumberFormat="1" applyFont="1" applyBorder="1" applyAlignment="1">
      <alignment horizontal="center"/>
    </xf>
    <xf numFmtId="169" fontId="84" fillId="0" borderId="207" xfId="0" applyNumberFormat="1" applyFont="1" applyBorder="1" applyAlignment="1">
      <alignment horizontal="center"/>
    </xf>
    <xf numFmtId="169" fontId="84" fillId="0" borderId="208" xfId="0" applyNumberFormat="1" applyFont="1" applyBorder="1" applyAlignment="1">
      <alignment horizontal="center"/>
    </xf>
    <xf numFmtId="0" fontId="113" fillId="17" borderId="0" xfId="0" applyFont="1" applyFill="1" applyAlignment="1">
      <alignment horizontal="center" vertical="center" wrapText="1"/>
    </xf>
    <xf numFmtId="0" fontId="32" fillId="18" borderId="0" xfId="0" applyFont="1" applyFill="1" applyAlignment="1">
      <alignment horizontal="center"/>
    </xf>
    <xf numFmtId="0" fontId="115" fillId="19" borderId="0" xfId="0" applyFont="1" applyFill="1" applyAlignment="1">
      <alignment horizontal="right"/>
    </xf>
    <xf numFmtId="0" fontId="26" fillId="20" borderId="38" xfId="0" applyFont="1" applyFill="1" applyBorder="1" applyAlignment="1">
      <alignment horizontal="center" vertical="center" wrapText="1"/>
    </xf>
    <xf numFmtId="0" fontId="32" fillId="21" borderId="26" xfId="0" applyFont="1" applyFill="1" applyBorder="1" applyAlignment="1">
      <alignment horizontal="center"/>
    </xf>
    <xf numFmtId="0" fontId="32" fillId="21" borderId="43" xfId="0" applyFont="1" applyFill="1" applyBorder="1" applyAlignment="1">
      <alignment horizontal="center"/>
    </xf>
    <xf numFmtId="0" fontId="32" fillId="21" borderId="42" xfId="0" applyFont="1" applyFill="1" applyBorder="1" applyAlignment="1">
      <alignment horizontal="center"/>
    </xf>
    <xf numFmtId="0" fontId="158" fillId="0" borderId="148" xfId="0" applyFont="1" applyBorder="1" applyAlignment="1">
      <alignment horizontal="right" vertical="center" wrapText="1" readingOrder="1"/>
    </xf>
    <xf numFmtId="0" fontId="105" fillId="0" borderId="0" xfId="0" applyFont="1" applyAlignment="1">
      <alignment horizontal="right" vertical="center" wrapText="1" readingOrder="1"/>
    </xf>
    <xf numFmtId="0" fontId="106" fillId="0" borderId="148" xfId="0" applyFont="1" applyBorder="1" applyAlignment="1">
      <alignment horizontal="center" vertical="center" wrapText="1" readingOrder="1"/>
    </xf>
    <xf numFmtId="169" fontId="3" fillId="4" borderId="156" xfId="0" applyNumberFormat="1" applyFont="1" applyFill="1" applyBorder="1" applyAlignment="1">
      <alignment horizontal="center" vertical="center" wrapText="1"/>
    </xf>
    <xf numFmtId="0" fontId="103" fillId="0" borderId="210" xfId="0" applyFont="1" applyBorder="1" applyAlignment="1">
      <alignment horizontal="center" vertical="center" wrapText="1" readingOrder="1"/>
    </xf>
    <xf numFmtId="0" fontId="103" fillId="0" borderId="200" xfId="0" applyFont="1" applyBorder="1" applyAlignment="1">
      <alignment horizontal="center" vertical="center" wrapText="1" readingOrder="1"/>
    </xf>
    <xf numFmtId="169" fontId="45" fillId="0" borderId="156" xfId="0" applyNumberFormat="1" applyFont="1" applyBorder="1" applyAlignment="1" applyProtection="1">
      <alignment horizontal="center" vertical="center" wrapText="1"/>
      <protection locked="0"/>
    </xf>
    <xf numFmtId="9" fontId="3" fillId="4" borderId="0" xfId="0" applyNumberFormat="1" applyFont="1" applyFill="1" applyAlignment="1">
      <alignment horizontal="center" vertical="center" wrapText="1"/>
    </xf>
    <xf numFmtId="164" fontId="45" fillId="4" borderId="0" xfId="0" applyNumberFormat="1" applyFont="1" applyFill="1" applyAlignment="1">
      <alignment horizontal="center" vertical="center" wrapText="1"/>
    </xf>
    <xf numFmtId="0" fontId="27" fillId="6" borderId="66" xfId="0" applyFont="1" applyFill="1" applyBorder="1"/>
    <xf numFmtId="0" fontId="155" fillId="6" borderId="224" xfId="0" applyFont="1" applyFill="1" applyBorder="1" applyAlignment="1">
      <alignment vertical="center" wrapText="1" readingOrder="1"/>
    </xf>
    <xf numFmtId="164" fontId="148" fillId="6" borderId="0" xfId="0" applyNumberFormat="1" applyFont="1" applyFill="1" applyAlignment="1">
      <alignment horizontal="center"/>
    </xf>
    <xf numFmtId="0" fontId="149" fillId="6" borderId="40" xfId="0" applyFont="1" applyFill="1" applyBorder="1" applyAlignment="1">
      <alignment horizontal="center"/>
    </xf>
    <xf numFmtId="169" fontId="3" fillId="0" borderId="0" xfId="0" applyNumberFormat="1" applyFont="1" applyAlignment="1" applyProtection="1">
      <alignment horizontal="center" vertical="center" wrapText="1"/>
      <protection locked="0"/>
    </xf>
    <xf numFmtId="10" fontId="3" fillId="0" borderId="0" xfId="0" applyNumberFormat="1" applyFont="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169" fontId="145" fillId="0" borderId="213" xfId="0" applyNumberFormat="1" applyFont="1" applyBorder="1" applyAlignment="1">
      <alignment horizontal="center" vertical="center"/>
    </xf>
    <xf numFmtId="169" fontId="145" fillId="0" borderId="212" xfId="0" applyNumberFormat="1" applyFont="1" applyBorder="1" applyAlignment="1">
      <alignment horizontal="center" vertical="center"/>
    </xf>
    <xf numFmtId="169" fontId="145" fillId="0" borderId="217" xfId="0" applyNumberFormat="1" applyFont="1" applyBorder="1" applyAlignment="1">
      <alignment horizontal="center" vertical="center"/>
    </xf>
    <xf numFmtId="0" fontId="145" fillId="0" borderId="63" xfId="0" applyFont="1" applyBorder="1" applyAlignment="1">
      <alignment horizontal="center" vertical="center"/>
    </xf>
    <xf numFmtId="169" fontId="31" fillId="0" borderId="0" xfId="0" applyNumberFormat="1" applyFont="1" applyAlignment="1">
      <alignment horizontal="center" vertical="center"/>
    </xf>
    <xf numFmtId="169" fontId="31" fillId="0" borderId="190" xfId="0" applyNumberFormat="1" applyFont="1" applyBorder="1" applyAlignment="1">
      <alignment horizontal="center" vertical="center"/>
    </xf>
    <xf numFmtId="169" fontId="31" fillId="0" borderId="221" xfId="0" applyNumberFormat="1" applyFont="1" applyBorder="1" applyAlignment="1">
      <alignment horizontal="center" vertical="center"/>
    </xf>
    <xf numFmtId="0" fontId="31" fillId="0" borderId="211" xfId="0" applyFont="1" applyBorder="1" applyAlignment="1">
      <alignment horizontal="center" vertical="center" wrapText="1"/>
    </xf>
    <xf numFmtId="0" fontId="31" fillId="0" borderId="215" xfId="0" applyFont="1" applyBorder="1" applyAlignment="1">
      <alignment horizontal="center" vertical="center" wrapText="1"/>
    </xf>
    <xf numFmtId="169" fontId="31" fillId="0" borderId="3" xfId="0" applyNumberFormat="1" applyFont="1" applyBorder="1" applyAlignment="1">
      <alignment horizontal="center" vertical="center"/>
    </xf>
    <xf numFmtId="169" fontId="31" fillId="0" borderId="219" xfId="0" applyNumberFormat="1" applyFont="1" applyBorder="1" applyAlignment="1">
      <alignment horizontal="center" vertical="center"/>
    </xf>
    <xf numFmtId="165" fontId="145" fillId="0" borderId="63" xfId="2" applyFont="1" applyBorder="1" applyAlignment="1">
      <alignment horizontal="center" vertical="center"/>
    </xf>
    <xf numFmtId="169" fontId="3" fillId="6" borderId="0" xfId="0" applyNumberFormat="1" applyFont="1" applyFill="1" applyAlignment="1">
      <alignment horizontal="center" vertical="center" wrapText="1"/>
    </xf>
    <xf numFmtId="165" fontId="105" fillId="0" borderId="0" xfId="2" applyFont="1" applyBorder="1" applyAlignment="1">
      <alignment horizontal="right" vertical="center" wrapText="1" readingOrder="1"/>
    </xf>
  </cellXfs>
  <cellStyles count="3">
    <cellStyle name="Milliers" xfId="2" builtinId="3"/>
    <cellStyle name="Normal" xfId="0" builtinId="0"/>
    <cellStyle name="Normal 2" xfId="1" xr:uid="{5CFBFD1D-C44E-489C-ADF2-8B24D139BE22}"/>
  </cellStyles>
  <dxfs count="227">
    <dxf>
      <fill>
        <patternFill>
          <bgColor theme="5" tint="0.79998168889431442"/>
        </patternFill>
      </fill>
    </dxf>
    <dxf>
      <font>
        <color rgb="FFFF0000"/>
      </font>
    </dxf>
    <dxf>
      <fill>
        <patternFill>
          <bgColor rgb="FFF0F4F3"/>
        </patternFill>
      </fill>
    </dxf>
    <dxf>
      <font>
        <color rgb="FFFF0000"/>
      </font>
    </dxf>
    <dxf>
      <fill>
        <patternFill>
          <bgColor rgb="FFF0F4F3"/>
        </patternFill>
      </fill>
    </dxf>
    <dxf>
      <fill>
        <patternFill>
          <bgColor rgb="FFF0F4F3"/>
        </patternFill>
      </fill>
    </dxf>
    <dxf>
      <font>
        <color theme="2"/>
      </font>
      <fill>
        <patternFill>
          <bgColor theme="2"/>
        </patternFill>
      </fill>
      <border>
        <left/>
        <right/>
        <bottom/>
        <vertical/>
        <horizontal/>
      </border>
    </dxf>
    <dxf>
      <font>
        <color rgb="FFFF0000"/>
      </font>
    </dxf>
    <dxf>
      <font>
        <color rgb="FFFF0000"/>
      </font>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ont>
        <b/>
        <i val="0"/>
        <color theme="7" tint="-0.499984740745262"/>
      </font>
      <fill>
        <patternFill patternType="none">
          <bgColor auto="1"/>
        </patternFill>
      </fill>
    </dxf>
    <dxf>
      <fill>
        <patternFill>
          <bgColor rgb="FFF0F4F3"/>
        </patternFill>
      </fill>
    </dxf>
    <dxf>
      <fill>
        <patternFill>
          <bgColor rgb="FFF0F4F3"/>
        </patternFill>
      </fill>
    </dxf>
    <dxf>
      <fill>
        <patternFill>
          <bgColor rgb="FFF0F4F3"/>
        </patternFill>
      </fill>
    </dxf>
    <dxf>
      <font>
        <b/>
        <i val="0"/>
        <color theme="7" tint="-0.499984740745262"/>
      </font>
    </dxf>
    <dxf>
      <font>
        <color rgb="FFFF0000"/>
      </font>
    </dxf>
    <dxf>
      <fill>
        <patternFill>
          <bgColor rgb="FFF0F4F3"/>
        </patternFill>
      </fill>
    </dxf>
    <dxf>
      <fill>
        <patternFill>
          <bgColor rgb="FFF0F4F3"/>
        </patternFill>
      </fill>
    </dxf>
    <dxf>
      <font>
        <color theme="2"/>
      </font>
      <fill>
        <patternFill>
          <bgColor theme="2"/>
        </patternFill>
      </fill>
      <border>
        <left/>
        <right/>
        <bottom/>
        <vertical/>
        <horizontal/>
      </border>
    </dxf>
    <dxf>
      <font>
        <color theme="0"/>
      </font>
      <fill>
        <patternFill>
          <bgColor theme="0"/>
        </patternFill>
      </fill>
      <border>
        <left/>
        <right/>
        <top/>
        <bottom/>
        <vertical/>
        <horizontal/>
      </border>
    </dxf>
    <dxf>
      <font>
        <color rgb="FFFF0000"/>
      </font>
    </dxf>
    <dxf>
      <font>
        <color theme="0"/>
      </font>
      <fill>
        <patternFill>
          <bgColor theme="0"/>
        </patternFill>
      </fill>
      <border>
        <left/>
        <right/>
        <top/>
        <bottom/>
        <vertical/>
        <horizontal/>
      </border>
    </dxf>
    <dxf>
      <font>
        <color rgb="FFFF0000"/>
      </font>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ont>
        <color theme="1"/>
      </font>
      <fill>
        <patternFill>
          <bgColor theme="5" tint="0.79998168889431442"/>
        </patternFill>
      </fill>
    </dxf>
    <dxf>
      <font>
        <color theme="1"/>
      </font>
      <fill>
        <patternFill>
          <bgColor theme="5" tint="0.79998168889431442"/>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ont>
        <color theme="0"/>
      </font>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rgb="FFFF0000"/>
      </font>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ont>
        <color rgb="FFFF0000"/>
      </font>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ont>
        <b/>
        <i val="0"/>
        <color theme="0"/>
      </font>
      <fill>
        <patternFill>
          <bgColor theme="5" tint="0.39994506668294322"/>
        </patternFill>
      </fill>
    </dxf>
    <dxf>
      <font>
        <b/>
        <i val="0"/>
        <color theme="0"/>
      </font>
      <fill>
        <patternFill>
          <bgColor theme="5" tint="0.39994506668294322"/>
        </patternFill>
      </fill>
    </dxf>
    <dxf>
      <font>
        <b/>
        <i val="0"/>
        <color theme="0"/>
      </font>
      <fill>
        <patternFill>
          <bgColor theme="5" tint="0.39994506668294322"/>
        </patternFill>
      </fill>
    </dxf>
    <dxf>
      <font>
        <b/>
        <i val="0"/>
        <color theme="0"/>
      </font>
      <fill>
        <patternFill>
          <bgColor theme="5" tint="0.39994506668294322"/>
        </patternFill>
      </fill>
    </dxf>
    <dxf>
      <font>
        <b/>
        <i val="0"/>
        <color theme="0"/>
      </font>
      <fill>
        <patternFill>
          <bgColor theme="5" tint="0.39994506668294322"/>
        </patternFill>
      </fill>
    </dxf>
    <dxf>
      <font>
        <color theme="0"/>
      </font>
      <fill>
        <patternFill>
          <bgColor theme="0"/>
        </patternFill>
      </fill>
      <border>
        <left/>
        <right/>
        <top/>
        <bottom/>
        <vertical/>
        <horizontal/>
      </border>
    </dxf>
    <dxf>
      <font>
        <b/>
        <i val="0"/>
        <color theme="0"/>
      </font>
      <fill>
        <patternFill>
          <bgColor theme="5" tint="0.39994506668294322"/>
        </patternFill>
      </fill>
    </dxf>
    <dxf>
      <font>
        <b/>
        <i val="0"/>
        <color theme="0"/>
      </font>
      <fill>
        <patternFill>
          <bgColor theme="5" tint="0.39994506668294322"/>
        </patternFill>
      </fill>
    </dxf>
    <dxf>
      <font>
        <color theme="0"/>
      </font>
      <fill>
        <patternFill>
          <bgColor theme="0"/>
        </patternFill>
      </fill>
      <border>
        <left/>
        <right/>
        <top/>
        <bottom/>
        <vertical/>
        <horizontal/>
      </border>
    </dxf>
    <dxf>
      <font>
        <b/>
        <i val="0"/>
        <color theme="0"/>
      </font>
      <fill>
        <patternFill>
          <bgColor theme="5" tint="0.39994506668294322"/>
        </patternFill>
      </fill>
    </dxf>
    <dxf>
      <fill>
        <patternFill>
          <bgColor rgb="FFF0F4F3"/>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bottom/>
        <vertical/>
        <horizontal/>
      </border>
    </dxf>
    <dxf>
      <font>
        <color theme="0"/>
      </font>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bottom/>
        <vertical/>
        <horizontal/>
      </border>
    </dxf>
    <dxf>
      <font>
        <color theme="0"/>
      </font>
    </dxf>
    <dxf>
      <fill>
        <patternFill>
          <bgColor rgb="FFF0F4F3"/>
        </patternFill>
      </fill>
    </dxf>
    <dxf>
      <fill>
        <patternFill>
          <bgColor rgb="FFF0F4F3"/>
        </patternFill>
      </fill>
    </dxf>
    <dxf>
      <fill>
        <patternFill>
          <bgColor rgb="FFF0F4F3"/>
        </patternFill>
      </fill>
    </dxf>
    <dxf>
      <fill>
        <patternFill>
          <bgColor rgb="FFF0F4F3"/>
        </patternFill>
      </fill>
    </dxf>
    <dxf>
      <font>
        <color rgb="FFFF0000"/>
      </font>
    </dxf>
    <dxf>
      <font>
        <color theme="1"/>
      </font>
      <border>
        <bottom style="hair">
          <color auto="1"/>
        </bottom>
        <vertical/>
        <horizontal/>
      </border>
    </dxf>
    <dxf>
      <font>
        <color theme="1"/>
      </font>
      <border>
        <bottom style="hair">
          <color auto="1"/>
        </bottom>
        <vertical/>
        <horizontal/>
      </border>
    </dxf>
    <dxf>
      <font>
        <b/>
        <i val="0"/>
        <color theme="1"/>
      </font>
    </dxf>
    <dxf>
      <fill>
        <patternFill>
          <bgColor rgb="FFF0F4F3"/>
        </patternFill>
      </fill>
    </dxf>
    <dxf>
      <fill>
        <patternFill>
          <bgColor rgb="FFF0F4F3"/>
        </patternFill>
      </fill>
    </dxf>
    <dxf>
      <font>
        <color theme="1"/>
      </font>
      <border>
        <bottom style="hair">
          <color auto="1"/>
        </bottom>
        <vertical/>
        <horizontal/>
      </border>
    </dxf>
    <dxf>
      <font>
        <color theme="1"/>
      </font>
      <border>
        <bottom style="hair">
          <color auto="1"/>
        </bottom>
        <vertical/>
        <horizontal/>
      </border>
    </dxf>
    <dxf>
      <font>
        <b/>
        <i val="0"/>
        <color theme="1"/>
      </font>
    </dxf>
    <dxf>
      <border>
        <left style="thin">
          <color theme="7" tint="-9.9948118533890809E-2"/>
        </left>
        <vertical/>
        <horizontal/>
      </border>
    </dxf>
    <dxf>
      <border>
        <left style="thin">
          <color theme="7" tint="-9.9948118533890809E-2"/>
        </left>
        <vertical/>
        <horizontal/>
      </border>
    </dxf>
    <dxf>
      <font>
        <color theme="1"/>
      </font>
    </dxf>
    <dxf>
      <font>
        <color theme="1"/>
      </font>
    </dxf>
    <dxf>
      <fill>
        <patternFill>
          <bgColor rgb="FFF0F4F3"/>
        </patternFill>
      </fill>
    </dxf>
    <dxf>
      <fill>
        <patternFill>
          <bgColor rgb="FFF0F4F3"/>
        </patternFill>
      </fill>
    </dxf>
    <dxf>
      <font>
        <color theme="0"/>
      </font>
      <border>
        <left/>
        <right/>
        <bottom/>
        <vertical/>
        <horizontal/>
      </border>
    </dxf>
    <dxf>
      <font>
        <color rgb="FFFF0000"/>
      </font>
    </dxf>
    <dxf>
      <fill>
        <patternFill>
          <bgColor rgb="FFF0F4F3"/>
        </patternFill>
      </fill>
    </dxf>
    <dxf>
      <fill>
        <patternFill>
          <bgColor rgb="FFF0F4F3"/>
        </patternFill>
      </fill>
    </dxf>
    <dxf>
      <fill>
        <patternFill>
          <bgColor rgb="FFF0F4F3"/>
        </patternFill>
      </fill>
    </dxf>
    <dxf>
      <fill>
        <patternFill>
          <bgColor rgb="FFF0F4F3"/>
        </patternFill>
      </fill>
    </dxf>
    <dxf>
      <font>
        <b/>
        <i val="0"/>
        <color theme="0"/>
      </font>
      <fill>
        <patternFill>
          <bgColor theme="5" tint="0.39994506668294322"/>
        </patternFill>
      </fill>
    </dxf>
    <dxf>
      <font>
        <b/>
        <i val="0"/>
        <color theme="0"/>
      </font>
      <fill>
        <patternFill>
          <bgColor theme="5" tint="0.39994506668294322"/>
        </patternFill>
      </fill>
    </dxf>
    <dxf>
      <fill>
        <patternFill>
          <bgColor rgb="FFF0F4F3"/>
        </patternFill>
      </fill>
    </dxf>
    <dxf>
      <fill>
        <patternFill>
          <bgColor rgb="FFF0F4F3"/>
        </patternFill>
      </fill>
    </dxf>
    <dxf>
      <font>
        <b/>
        <i val="0"/>
        <color theme="0"/>
      </font>
      <fill>
        <patternFill>
          <bgColor theme="5" tint="0.39994506668294322"/>
        </patternFill>
      </fill>
    </dxf>
    <dxf>
      <fill>
        <patternFill>
          <bgColor rgb="FFF0F4F3"/>
        </patternFill>
      </fill>
    </dxf>
    <dxf>
      <font>
        <b/>
        <i val="0"/>
        <color theme="0"/>
      </font>
      <fill>
        <patternFill>
          <bgColor theme="5" tint="0.39994506668294322"/>
        </patternFill>
      </fill>
    </dxf>
    <dxf>
      <fill>
        <patternFill>
          <bgColor theme="5" tint="0.79998168889431442"/>
        </patternFill>
      </fill>
    </dxf>
    <dxf>
      <fill>
        <patternFill>
          <bgColor theme="5" tint="0.79998168889431442"/>
        </patternFill>
      </fill>
    </dxf>
    <dxf>
      <font>
        <color rgb="FFFF0000"/>
      </font>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fill>
        <patternFill>
          <bgColor rgb="FFF0F4F3"/>
        </patternFill>
      </fill>
    </dxf>
    <dxf>
      <border>
        <left/>
        <right/>
        <bottom/>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border>
        <left/>
        <right/>
        <bottom/>
        <vertical/>
        <horizontal/>
      </border>
    </dxf>
    <dxf>
      <font>
        <color theme="0"/>
      </font>
      <border>
        <bottom/>
        <vertical/>
        <horizontal/>
      </border>
    </dxf>
    <dxf>
      <border>
        <left/>
        <right/>
        <bottom/>
        <vertical/>
        <horizontal/>
      </border>
    </dxf>
    <dxf>
      <font>
        <color theme="0"/>
      </font>
      <border>
        <left/>
        <right/>
        <top/>
        <bottom/>
        <vertical/>
        <horizontal/>
      </border>
    </dxf>
    <dxf>
      <border>
        <left/>
        <right/>
        <bottom/>
        <vertical/>
        <horizontal/>
      </border>
    </dxf>
    <dxf>
      <font>
        <color theme="0"/>
      </font>
      <border>
        <left/>
        <right/>
        <top/>
        <bottom/>
        <vertical/>
        <horizontal/>
      </border>
    </dxf>
    <dxf>
      <font>
        <color theme="0"/>
      </font>
      <border>
        <left/>
        <right/>
        <top/>
        <bottom/>
        <vertical/>
        <horizontal/>
      </border>
    </dxf>
    <dxf>
      <font>
        <color theme="0"/>
      </font>
    </dxf>
    <dxf>
      <font>
        <color theme="0"/>
      </font>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top/>
        <bottom/>
        <vertical/>
        <horizontal/>
      </border>
    </dxf>
    <dxf>
      <fill>
        <patternFill>
          <bgColor theme="5" tint="0.79998168889431442"/>
        </patternFill>
      </fill>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ill>
        <patternFill>
          <bgColor rgb="FFF0F4F3"/>
        </patternFill>
      </fill>
    </dxf>
    <dxf>
      <font>
        <color rgb="FFFF0000"/>
      </font>
    </dxf>
    <dxf>
      <fill>
        <patternFill>
          <bgColor theme="2"/>
        </patternFill>
      </fill>
    </dxf>
    <dxf>
      <font>
        <color theme="0"/>
      </font>
      <fill>
        <patternFill>
          <bgColor theme="0"/>
        </patternFill>
      </fill>
      <border>
        <right/>
        <top/>
        <bottom/>
        <vertical/>
        <horizontal/>
      </border>
    </dxf>
    <dxf>
      <font>
        <b/>
        <i val="0"/>
      </font>
      <fill>
        <patternFill>
          <bgColor theme="5" tint="0.79998168889431442"/>
        </patternFill>
      </fill>
    </dxf>
    <dxf>
      <font>
        <color theme="0"/>
      </font>
      <border>
        <left/>
        <right/>
        <bottom/>
        <vertical/>
        <horizontal/>
      </border>
    </dxf>
    <dxf>
      <fill>
        <patternFill>
          <bgColor theme="2"/>
        </patternFill>
      </fill>
    </dxf>
    <dxf>
      <fill>
        <patternFill>
          <bgColor rgb="FFF0F4F3"/>
        </patternFill>
      </fill>
    </dxf>
    <dxf>
      <fill>
        <patternFill>
          <bgColor rgb="FFF0F4F3"/>
        </patternFill>
      </fill>
    </dxf>
    <dxf>
      <fill>
        <patternFill>
          <bgColor rgb="FFF0F4F3"/>
        </patternFill>
      </fill>
    </dxf>
    <dxf>
      <fill>
        <patternFill>
          <bgColor rgb="FFF0F4F3"/>
        </patternFill>
      </fill>
    </dxf>
    <dxf>
      <font>
        <color theme="0"/>
      </font>
      <fill>
        <patternFill>
          <bgColor theme="0"/>
        </patternFill>
      </fill>
      <border>
        <left/>
        <right/>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top/>
        <bottom/>
        <vertical/>
        <horizontal/>
      </border>
    </dxf>
    <dxf>
      <fill>
        <patternFill>
          <bgColor theme="5" tint="0.79998168889431442"/>
        </patternFill>
      </fill>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ill>
        <patternFill>
          <bgColor rgb="FFF0F4F3"/>
        </patternFill>
      </fill>
    </dxf>
    <dxf>
      <font>
        <color rgb="FFFF0000"/>
      </font>
    </dxf>
    <dxf>
      <fill>
        <patternFill>
          <bgColor theme="2"/>
        </patternFill>
      </fill>
    </dxf>
    <dxf>
      <font>
        <color theme="0"/>
      </font>
      <fill>
        <patternFill>
          <bgColor theme="0"/>
        </patternFill>
      </fill>
      <border>
        <right/>
        <top/>
        <bottom/>
        <vertical/>
        <horizontal/>
      </border>
    </dxf>
    <dxf>
      <font>
        <b/>
        <i val="0"/>
      </font>
      <fill>
        <patternFill>
          <bgColor theme="5" tint="0.79998168889431442"/>
        </patternFill>
      </fill>
    </dxf>
    <dxf>
      <font>
        <color theme="0"/>
      </font>
      <border>
        <left/>
        <right/>
        <bottom/>
        <vertical/>
        <horizontal/>
      </border>
    </dxf>
    <dxf>
      <fill>
        <patternFill>
          <bgColor theme="2"/>
        </patternFill>
      </fill>
    </dxf>
    <dxf>
      <fill>
        <patternFill>
          <bgColor rgb="FFF0F4F3"/>
        </patternFill>
      </fill>
    </dxf>
    <dxf>
      <fill>
        <patternFill>
          <bgColor rgb="FFF0F4F3"/>
        </patternFill>
      </fill>
    </dxf>
    <dxf>
      <fill>
        <patternFill>
          <bgColor rgb="FFF0F4F3"/>
        </patternFill>
      </fill>
    </dxf>
    <dxf>
      <fill>
        <patternFill>
          <bgColor rgb="FFF0F4F3"/>
        </patternFill>
      </fill>
    </dxf>
    <dxf>
      <font>
        <color theme="0"/>
      </font>
      <fill>
        <patternFill>
          <bgColor theme="0"/>
        </patternFill>
      </fill>
      <border>
        <left/>
        <right/>
        <bottom/>
        <vertical/>
        <horizontal/>
      </border>
    </dxf>
    <dxf>
      <font>
        <color rgb="FFFF0000"/>
      </font>
    </dxf>
    <dxf>
      <fill>
        <patternFill>
          <bgColor rgb="FFF0F4F3"/>
        </patternFill>
      </fill>
    </dxf>
    <dxf>
      <font>
        <color rgb="FFFF0000"/>
      </font>
    </dxf>
    <dxf>
      <fill>
        <patternFill>
          <bgColor rgb="FFF0F4F3"/>
        </patternFill>
      </fill>
    </dxf>
    <dxf>
      <font>
        <color theme="0"/>
      </font>
      <fill>
        <patternFill>
          <bgColor theme="0"/>
        </patternFill>
      </fill>
      <border>
        <left/>
        <right/>
        <top/>
        <bottom/>
        <vertical/>
        <horizontal/>
      </border>
    </dxf>
    <dxf>
      <fill>
        <patternFill>
          <bgColor rgb="FFF0F4F3"/>
        </patternFill>
      </fill>
    </dxf>
    <dxf>
      <fill>
        <patternFill>
          <bgColor rgb="FFF0F4F3"/>
        </patternFill>
      </fill>
    </dxf>
    <dxf>
      <font>
        <color theme="0"/>
      </font>
      <fill>
        <patternFill>
          <bgColor theme="0"/>
        </patternFill>
      </fill>
      <border>
        <left/>
        <right/>
        <top/>
        <bottom/>
        <vertical/>
        <horizontal/>
      </border>
    </dxf>
    <dxf>
      <border>
        <left/>
        <right/>
        <bottom/>
        <vertical/>
        <horizontal/>
      </border>
    </dxf>
    <dxf>
      <border>
        <left/>
        <right/>
        <bottom/>
        <vertical/>
        <horizontal/>
      </border>
    </dxf>
    <dxf>
      <font>
        <color theme="0"/>
      </font>
      <border>
        <bottom/>
        <vertical/>
        <horizontal/>
      </border>
    </dxf>
    <dxf>
      <border>
        <left/>
        <right/>
        <bottom/>
        <vertical/>
        <horizontal/>
      </border>
    </dxf>
    <dxf>
      <border>
        <left/>
        <right/>
        <bottom/>
        <vertical/>
        <horizontal/>
      </border>
    </dxf>
    <dxf>
      <font>
        <color theme="0"/>
      </font>
    </dxf>
    <dxf>
      <font>
        <color theme="1"/>
      </font>
      <fill>
        <patternFill>
          <bgColor theme="5" tint="0.79998168889431442"/>
        </patternFill>
      </fill>
    </dxf>
    <dxf>
      <font>
        <color theme="1"/>
      </font>
      <fill>
        <patternFill>
          <bgColor theme="5" tint="0.79998168889431442"/>
        </patternFill>
      </fill>
    </dxf>
    <dxf>
      <font>
        <color rgb="FFFF0000"/>
      </font>
    </dxf>
    <dxf>
      <fill>
        <patternFill>
          <bgColor theme="2"/>
        </patternFill>
      </fill>
    </dxf>
    <dxf>
      <font>
        <color theme="0"/>
      </font>
      <fill>
        <patternFill>
          <bgColor theme="0"/>
        </patternFill>
      </fill>
      <border>
        <right/>
        <top/>
        <bottom/>
        <vertical/>
        <horizontal/>
      </border>
    </dxf>
    <dxf>
      <font>
        <b/>
        <i val="0"/>
      </font>
      <fill>
        <patternFill>
          <bgColor theme="5" tint="0.79998168889431442"/>
        </patternFill>
      </fill>
    </dxf>
    <dxf>
      <font>
        <color theme="0"/>
      </font>
      <border>
        <left/>
        <right/>
        <bottom/>
        <vertical/>
        <horizontal/>
      </border>
    </dxf>
    <dxf>
      <fill>
        <patternFill>
          <bgColor theme="2"/>
        </patternFill>
      </fill>
    </dxf>
    <dxf>
      <fill>
        <patternFill>
          <bgColor rgb="FFF0F4F3"/>
        </patternFill>
      </fill>
    </dxf>
    <dxf>
      <fill>
        <patternFill>
          <bgColor rgb="FFF0F4F3"/>
        </patternFill>
      </fill>
    </dxf>
    <dxf>
      <fill>
        <patternFill>
          <bgColor rgb="FFF0F4F3"/>
        </patternFill>
      </fill>
    </dxf>
    <dxf>
      <fill>
        <patternFill>
          <bgColor rgb="FFF0F4F3"/>
        </patternFill>
      </fill>
    </dxf>
    <dxf>
      <font>
        <color theme="0"/>
      </font>
      <fill>
        <patternFill>
          <bgColor theme="0"/>
        </patternFill>
      </fill>
      <border>
        <left/>
        <right/>
        <bottom/>
        <vertical/>
        <horizontal/>
      </border>
    </dxf>
    <dxf>
      <font>
        <color rgb="FFFF0000"/>
      </font>
    </dxf>
    <dxf>
      <font>
        <color rgb="FFFF0000"/>
      </font>
    </dxf>
    <dxf>
      <font>
        <color rgb="FFFF0000"/>
      </font>
    </dxf>
  </dxfs>
  <tableStyles count="0" defaultTableStyle="TableStyleMedium2" defaultPivotStyle="PivotStyleLight16"/>
  <colors>
    <mruColors>
      <color rgb="FFF0F4F3"/>
      <color rgb="FF2C3D38"/>
      <color rgb="FF94673A"/>
      <color rgb="FF679386"/>
      <color rgb="FF000000"/>
      <color rgb="FFF2F2F2"/>
      <color rgb="FFFFFFFF"/>
      <color rgb="FFF9F9F9"/>
      <color rgb="FFF3F3F3"/>
      <color rgb="FF9AB8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748809624074746"/>
          <c:y val="5.5555555555555552E-2"/>
          <c:w val="0.82751196791788439"/>
          <c:h val="0.8416746864975212"/>
        </c:manualLayout>
      </c:layout>
      <c:lineChart>
        <c:grouping val="standard"/>
        <c:varyColors val="0"/>
        <c:ser>
          <c:idx val="0"/>
          <c:order val="0"/>
          <c:tx>
            <c:strRef>
              <c:f>Placement!$E$12</c:f>
              <c:strCache>
                <c:ptCount val="1"/>
                <c:pt idx="0">
                  <c:v>Placement 1</c:v>
                </c:pt>
              </c:strCache>
            </c:strRef>
          </c:tx>
          <c:spPr>
            <a:ln w="28575" cap="rnd">
              <a:solidFill>
                <a:schemeClr val="accent4">
                  <a:lumMod val="75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474C-4C6E-8EDF-7B7113140608}"/>
                </c:ext>
              </c:extLst>
            </c:dLbl>
            <c:dLbl>
              <c:idx val="1"/>
              <c:delete val="1"/>
              <c:extLst>
                <c:ext xmlns:c15="http://schemas.microsoft.com/office/drawing/2012/chart" uri="{CE6537A1-D6FC-4f65-9D91-7224C49458BB}"/>
                <c:ext xmlns:c16="http://schemas.microsoft.com/office/drawing/2014/chart" uri="{C3380CC4-5D6E-409C-BE32-E72D297353CC}">
                  <c16:uniqueId val="{00000001-474C-4C6E-8EDF-7B7113140608}"/>
                </c:ext>
              </c:extLst>
            </c:dLbl>
            <c:dLbl>
              <c:idx val="2"/>
              <c:delete val="1"/>
              <c:extLst>
                <c:ext xmlns:c15="http://schemas.microsoft.com/office/drawing/2012/chart" uri="{CE6537A1-D6FC-4f65-9D91-7224C49458BB}"/>
                <c:ext xmlns:c16="http://schemas.microsoft.com/office/drawing/2014/chart" uri="{C3380CC4-5D6E-409C-BE32-E72D297353CC}">
                  <c16:uniqueId val="{00000002-474C-4C6E-8EDF-7B7113140608}"/>
                </c:ext>
              </c:extLst>
            </c:dLbl>
            <c:dLbl>
              <c:idx val="3"/>
              <c:delete val="1"/>
              <c:extLst>
                <c:ext xmlns:c15="http://schemas.microsoft.com/office/drawing/2012/chart" uri="{CE6537A1-D6FC-4f65-9D91-7224C49458BB}"/>
                <c:ext xmlns:c16="http://schemas.microsoft.com/office/drawing/2014/chart" uri="{C3380CC4-5D6E-409C-BE32-E72D297353CC}">
                  <c16:uniqueId val="{00000003-474C-4C6E-8EDF-7B7113140608}"/>
                </c:ext>
              </c:extLst>
            </c:dLbl>
            <c:dLbl>
              <c:idx val="4"/>
              <c:delete val="1"/>
              <c:extLst>
                <c:ext xmlns:c15="http://schemas.microsoft.com/office/drawing/2012/chart" uri="{CE6537A1-D6FC-4f65-9D91-7224C49458BB}"/>
                <c:ext xmlns:c16="http://schemas.microsoft.com/office/drawing/2014/chart" uri="{C3380CC4-5D6E-409C-BE32-E72D297353CC}">
                  <c16:uniqueId val="{00000004-474C-4C6E-8EDF-7B7113140608}"/>
                </c:ext>
              </c:extLst>
            </c:dLbl>
            <c:dLbl>
              <c:idx val="5"/>
              <c:delete val="1"/>
              <c:extLst>
                <c:ext xmlns:c15="http://schemas.microsoft.com/office/drawing/2012/chart" uri="{CE6537A1-D6FC-4f65-9D91-7224C49458BB}"/>
                <c:ext xmlns:c16="http://schemas.microsoft.com/office/drawing/2014/chart" uri="{C3380CC4-5D6E-409C-BE32-E72D297353CC}">
                  <c16:uniqueId val="{00000005-474C-4C6E-8EDF-7B7113140608}"/>
                </c:ext>
              </c:extLst>
            </c:dLbl>
            <c:dLbl>
              <c:idx val="6"/>
              <c:delete val="1"/>
              <c:extLst>
                <c:ext xmlns:c15="http://schemas.microsoft.com/office/drawing/2012/chart" uri="{CE6537A1-D6FC-4f65-9D91-7224C49458BB}"/>
                <c:ext xmlns:c16="http://schemas.microsoft.com/office/drawing/2014/chart" uri="{C3380CC4-5D6E-409C-BE32-E72D297353CC}">
                  <c16:uniqueId val="{00000006-474C-4C6E-8EDF-7B7113140608}"/>
                </c:ext>
              </c:extLst>
            </c:dLbl>
            <c:dLbl>
              <c:idx val="7"/>
              <c:delete val="1"/>
              <c:extLst>
                <c:ext xmlns:c15="http://schemas.microsoft.com/office/drawing/2012/chart" uri="{CE6537A1-D6FC-4f65-9D91-7224C49458BB}"/>
                <c:ext xmlns:c16="http://schemas.microsoft.com/office/drawing/2014/chart" uri="{C3380CC4-5D6E-409C-BE32-E72D297353CC}">
                  <c16:uniqueId val="{00000007-474C-4C6E-8EDF-7B7113140608}"/>
                </c:ext>
              </c:extLst>
            </c:dLbl>
            <c:dLbl>
              <c:idx val="8"/>
              <c:delete val="1"/>
              <c:extLst>
                <c:ext xmlns:c15="http://schemas.microsoft.com/office/drawing/2012/chart" uri="{CE6537A1-D6FC-4f65-9D91-7224C49458BB}"/>
                <c:ext xmlns:c16="http://schemas.microsoft.com/office/drawing/2014/chart" uri="{C3380CC4-5D6E-409C-BE32-E72D297353CC}">
                  <c16:uniqueId val="{00000008-474C-4C6E-8EDF-7B7113140608}"/>
                </c:ext>
              </c:extLst>
            </c:dLbl>
            <c:dLbl>
              <c:idx val="9"/>
              <c:delete val="1"/>
              <c:extLst>
                <c:ext xmlns:c15="http://schemas.microsoft.com/office/drawing/2012/chart" uri="{CE6537A1-D6FC-4f65-9D91-7224C49458BB}"/>
                <c:ext xmlns:c16="http://schemas.microsoft.com/office/drawing/2014/chart" uri="{C3380CC4-5D6E-409C-BE32-E72D297353CC}">
                  <c16:uniqueId val="{00000009-474C-4C6E-8EDF-7B7113140608}"/>
                </c:ext>
              </c:extLst>
            </c:dLbl>
            <c:dLbl>
              <c:idx val="10"/>
              <c:delete val="1"/>
              <c:extLst>
                <c:ext xmlns:c15="http://schemas.microsoft.com/office/drawing/2012/chart" uri="{CE6537A1-D6FC-4f65-9D91-7224C49458BB}"/>
                <c:ext xmlns:c16="http://schemas.microsoft.com/office/drawing/2014/chart" uri="{C3380CC4-5D6E-409C-BE32-E72D297353CC}">
                  <c16:uniqueId val="{0000000A-474C-4C6E-8EDF-7B7113140608}"/>
                </c:ext>
              </c:extLst>
            </c:dLbl>
            <c:dLbl>
              <c:idx val="11"/>
              <c:delete val="1"/>
              <c:extLst>
                <c:ext xmlns:c15="http://schemas.microsoft.com/office/drawing/2012/chart" uri="{CE6537A1-D6FC-4f65-9D91-7224C49458BB}"/>
                <c:ext xmlns:c16="http://schemas.microsoft.com/office/drawing/2014/chart" uri="{C3380CC4-5D6E-409C-BE32-E72D297353CC}">
                  <c16:uniqueId val="{0000000B-474C-4C6E-8EDF-7B7113140608}"/>
                </c:ext>
              </c:extLst>
            </c:dLbl>
            <c:dLbl>
              <c:idx val="12"/>
              <c:delete val="1"/>
              <c:extLst>
                <c:ext xmlns:c15="http://schemas.microsoft.com/office/drawing/2012/chart" uri="{CE6537A1-D6FC-4f65-9D91-7224C49458BB}"/>
                <c:ext xmlns:c16="http://schemas.microsoft.com/office/drawing/2014/chart" uri="{C3380CC4-5D6E-409C-BE32-E72D297353CC}">
                  <c16:uniqueId val="{0000000C-474C-4C6E-8EDF-7B7113140608}"/>
                </c:ext>
              </c:extLst>
            </c:dLbl>
            <c:dLbl>
              <c:idx val="13"/>
              <c:delete val="1"/>
              <c:extLst>
                <c:ext xmlns:c15="http://schemas.microsoft.com/office/drawing/2012/chart" uri="{CE6537A1-D6FC-4f65-9D91-7224C49458BB}"/>
                <c:ext xmlns:c16="http://schemas.microsoft.com/office/drawing/2014/chart" uri="{C3380CC4-5D6E-409C-BE32-E72D297353CC}">
                  <c16:uniqueId val="{0000000D-474C-4C6E-8EDF-7B7113140608}"/>
                </c:ext>
              </c:extLst>
            </c:dLbl>
            <c:dLbl>
              <c:idx val="14"/>
              <c:delete val="1"/>
              <c:extLst>
                <c:ext xmlns:c15="http://schemas.microsoft.com/office/drawing/2012/chart" uri="{CE6537A1-D6FC-4f65-9D91-7224C49458BB}"/>
                <c:ext xmlns:c16="http://schemas.microsoft.com/office/drawing/2014/chart" uri="{C3380CC4-5D6E-409C-BE32-E72D297353CC}">
                  <c16:uniqueId val="{0000000E-474C-4C6E-8EDF-7B71131406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Placement!$E$18:$E$33</c:f>
              <c:numCache>
                <c:formatCode>#\ ##0\ "€"</c:formatCode>
                <c:ptCount val="16"/>
                <c:pt idx="0">
                  <c:v>591937.5</c:v>
                </c:pt>
                <c:pt idx="1">
                  <c:v>621534.375</c:v>
                </c:pt>
                <c:pt idx="2">
                  <c:v>652611.09375</c:v>
                </c:pt>
                <c:pt idx="3">
                  <c:v>685241.6484375</c:v>
                </c:pt>
                <c:pt idx="4">
                  <c:v>719503.73085937498</c:v>
                </c:pt>
                <c:pt idx="5">
                  <c:v>755478.91740234371</c:v>
                </c:pt>
                <c:pt idx="6">
                  <c:v>793252.86327246088</c:v>
                </c:pt>
                <c:pt idx="7">
                  <c:v>832915.50643608393</c:v>
                </c:pt>
                <c:pt idx="8">
                  <c:v>874561.28175788815</c:v>
                </c:pt>
                <c:pt idx="9">
                  <c:v>918289.34584578255</c:v>
                </c:pt>
                <c:pt idx="10">
                  <c:v>964203.81313807168</c:v>
                </c:pt>
                <c:pt idx="11">
                  <c:v>1012414.0037949752</c:v>
                </c:pt>
                <c:pt idx="12">
                  <c:v>1063034.7039847239</c:v>
                </c:pt>
                <c:pt idx="13">
                  <c:v>1116186.4391839602</c:v>
                </c:pt>
                <c:pt idx="14">
                  <c:v>1171995.7611431582</c:v>
                </c:pt>
                <c:pt idx="15">
                  <c:v>1230595.5492003162</c:v>
                </c:pt>
              </c:numCache>
            </c:numRef>
          </c:val>
          <c:smooth val="0"/>
          <c:extLst>
            <c:ext xmlns:c16="http://schemas.microsoft.com/office/drawing/2014/chart" uri="{C3380CC4-5D6E-409C-BE32-E72D297353CC}">
              <c16:uniqueId val="{00000010-474C-4C6E-8EDF-7B7113140608}"/>
            </c:ext>
          </c:extLst>
        </c:ser>
        <c:ser>
          <c:idx val="1"/>
          <c:order val="1"/>
          <c:tx>
            <c:strRef>
              <c:f>Placement!$F$12</c:f>
              <c:strCache>
                <c:ptCount val="1"/>
                <c:pt idx="0">
                  <c:v>Placement 2</c:v>
                </c:pt>
              </c:strCache>
            </c:strRef>
          </c:tx>
          <c:spPr>
            <a:ln w="28575" cap="rnd">
              <a:solidFill>
                <a:schemeClr val="accent2">
                  <a:lumMod val="60000"/>
                  <a:lumOff val="4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474C-4C6E-8EDF-7B7113140608}"/>
                </c:ext>
              </c:extLst>
            </c:dLbl>
            <c:dLbl>
              <c:idx val="1"/>
              <c:delete val="1"/>
              <c:extLst>
                <c:ext xmlns:c15="http://schemas.microsoft.com/office/drawing/2012/chart" uri="{CE6537A1-D6FC-4f65-9D91-7224C49458BB}"/>
                <c:ext xmlns:c16="http://schemas.microsoft.com/office/drawing/2014/chart" uri="{C3380CC4-5D6E-409C-BE32-E72D297353CC}">
                  <c16:uniqueId val="{00000012-474C-4C6E-8EDF-7B7113140608}"/>
                </c:ext>
              </c:extLst>
            </c:dLbl>
            <c:dLbl>
              <c:idx val="2"/>
              <c:delete val="1"/>
              <c:extLst>
                <c:ext xmlns:c15="http://schemas.microsoft.com/office/drawing/2012/chart" uri="{CE6537A1-D6FC-4f65-9D91-7224C49458BB}"/>
                <c:ext xmlns:c16="http://schemas.microsoft.com/office/drawing/2014/chart" uri="{C3380CC4-5D6E-409C-BE32-E72D297353CC}">
                  <c16:uniqueId val="{00000013-474C-4C6E-8EDF-7B7113140608}"/>
                </c:ext>
              </c:extLst>
            </c:dLbl>
            <c:dLbl>
              <c:idx val="3"/>
              <c:delete val="1"/>
              <c:extLst>
                <c:ext xmlns:c15="http://schemas.microsoft.com/office/drawing/2012/chart" uri="{CE6537A1-D6FC-4f65-9D91-7224C49458BB}"/>
                <c:ext xmlns:c16="http://schemas.microsoft.com/office/drawing/2014/chart" uri="{C3380CC4-5D6E-409C-BE32-E72D297353CC}">
                  <c16:uniqueId val="{00000014-474C-4C6E-8EDF-7B7113140608}"/>
                </c:ext>
              </c:extLst>
            </c:dLbl>
            <c:dLbl>
              <c:idx val="4"/>
              <c:delete val="1"/>
              <c:extLst>
                <c:ext xmlns:c15="http://schemas.microsoft.com/office/drawing/2012/chart" uri="{CE6537A1-D6FC-4f65-9D91-7224C49458BB}"/>
                <c:ext xmlns:c16="http://schemas.microsoft.com/office/drawing/2014/chart" uri="{C3380CC4-5D6E-409C-BE32-E72D297353CC}">
                  <c16:uniqueId val="{00000015-474C-4C6E-8EDF-7B7113140608}"/>
                </c:ext>
              </c:extLst>
            </c:dLbl>
            <c:dLbl>
              <c:idx val="5"/>
              <c:delete val="1"/>
              <c:extLst>
                <c:ext xmlns:c15="http://schemas.microsoft.com/office/drawing/2012/chart" uri="{CE6537A1-D6FC-4f65-9D91-7224C49458BB}"/>
                <c:ext xmlns:c16="http://schemas.microsoft.com/office/drawing/2014/chart" uri="{C3380CC4-5D6E-409C-BE32-E72D297353CC}">
                  <c16:uniqueId val="{00000016-474C-4C6E-8EDF-7B7113140608}"/>
                </c:ext>
              </c:extLst>
            </c:dLbl>
            <c:dLbl>
              <c:idx val="6"/>
              <c:delete val="1"/>
              <c:extLst>
                <c:ext xmlns:c15="http://schemas.microsoft.com/office/drawing/2012/chart" uri="{CE6537A1-D6FC-4f65-9D91-7224C49458BB}"/>
                <c:ext xmlns:c16="http://schemas.microsoft.com/office/drawing/2014/chart" uri="{C3380CC4-5D6E-409C-BE32-E72D297353CC}">
                  <c16:uniqueId val="{00000017-474C-4C6E-8EDF-7B7113140608}"/>
                </c:ext>
              </c:extLst>
            </c:dLbl>
            <c:dLbl>
              <c:idx val="7"/>
              <c:delete val="1"/>
              <c:extLst>
                <c:ext xmlns:c15="http://schemas.microsoft.com/office/drawing/2012/chart" uri="{CE6537A1-D6FC-4f65-9D91-7224C49458BB}"/>
                <c:ext xmlns:c16="http://schemas.microsoft.com/office/drawing/2014/chart" uri="{C3380CC4-5D6E-409C-BE32-E72D297353CC}">
                  <c16:uniqueId val="{00000018-474C-4C6E-8EDF-7B7113140608}"/>
                </c:ext>
              </c:extLst>
            </c:dLbl>
            <c:dLbl>
              <c:idx val="8"/>
              <c:delete val="1"/>
              <c:extLst>
                <c:ext xmlns:c15="http://schemas.microsoft.com/office/drawing/2012/chart" uri="{CE6537A1-D6FC-4f65-9D91-7224C49458BB}"/>
                <c:ext xmlns:c16="http://schemas.microsoft.com/office/drawing/2014/chart" uri="{C3380CC4-5D6E-409C-BE32-E72D297353CC}">
                  <c16:uniqueId val="{00000019-474C-4C6E-8EDF-7B7113140608}"/>
                </c:ext>
              </c:extLst>
            </c:dLbl>
            <c:dLbl>
              <c:idx val="9"/>
              <c:delete val="1"/>
              <c:extLst>
                <c:ext xmlns:c15="http://schemas.microsoft.com/office/drawing/2012/chart" uri="{CE6537A1-D6FC-4f65-9D91-7224C49458BB}"/>
                <c:ext xmlns:c16="http://schemas.microsoft.com/office/drawing/2014/chart" uri="{C3380CC4-5D6E-409C-BE32-E72D297353CC}">
                  <c16:uniqueId val="{0000001A-474C-4C6E-8EDF-7B7113140608}"/>
                </c:ext>
              </c:extLst>
            </c:dLbl>
            <c:dLbl>
              <c:idx val="10"/>
              <c:delete val="1"/>
              <c:extLst>
                <c:ext xmlns:c15="http://schemas.microsoft.com/office/drawing/2012/chart" uri="{CE6537A1-D6FC-4f65-9D91-7224C49458BB}"/>
                <c:ext xmlns:c16="http://schemas.microsoft.com/office/drawing/2014/chart" uri="{C3380CC4-5D6E-409C-BE32-E72D297353CC}">
                  <c16:uniqueId val="{0000001B-474C-4C6E-8EDF-7B7113140608}"/>
                </c:ext>
              </c:extLst>
            </c:dLbl>
            <c:dLbl>
              <c:idx val="11"/>
              <c:delete val="1"/>
              <c:extLst>
                <c:ext xmlns:c15="http://schemas.microsoft.com/office/drawing/2012/chart" uri="{CE6537A1-D6FC-4f65-9D91-7224C49458BB}"/>
                <c:ext xmlns:c16="http://schemas.microsoft.com/office/drawing/2014/chart" uri="{C3380CC4-5D6E-409C-BE32-E72D297353CC}">
                  <c16:uniqueId val="{0000001C-474C-4C6E-8EDF-7B7113140608}"/>
                </c:ext>
              </c:extLst>
            </c:dLbl>
            <c:dLbl>
              <c:idx val="12"/>
              <c:delete val="1"/>
              <c:extLst>
                <c:ext xmlns:c15="http://schemas.microsoft.com/office/drawing/2012/chart" uri="{CE6537A1-D6FC-4f65-9D91-7224C49458BB}"/>
                <c:ext xmlns:c16="http://schemas.microsoft.com/office/drawing/2014/chart" uri="{C3380CC4-5D6E-409C-BE32-E72D297353CC}">
                  <c16:uniqueId val="{0000001D-474C-4C6E-8EDF-7B7113140608}"/>
                </c:ext>
              </c:extLst>
            </c:dLbl>
            <c:dLbl>
              <c:idx val="13"/>
              <c:delete val="1"/>
              <c:extLst>
                <c:ext xmlns:c15="http://schemas.microsoft.com/office/drawing/2012/chart" uri="{CE6537A1-D6FC-4f65-9D91-7224C49458BB}"/>
                <c:ext xmlns:c16="http://schemas.microsoft.com/office/drawing/2014/chart" uri="{C3380CC4-5D6E-409C-BE32-E72D297353CC}">
                  <c16:uniqueId val="{0000001E-474C-4C6E-8EDF-7B7113140608}"/>
                </c:ext>
              </c:extLst>
            </c:dLbl>
            <c:dLbl>
              <c:idx val="14"/>
              <c:delete val="1"/>
              <c:extLst>
                <c:ext xmlns:c15="http://schemas.microsoft.com/office/drawing/2012/chart" uri="{CE6537A1-D6FC-4f65-9D91-7224C49458BB}"/>
                <c:ext xmlns:c16="http://schemas.microsoft.com/office/drawing/2014/chart" uri="{C3380CC4-5D6E-409C-BE32-E72D297353CC}">
                  <c16:uniqueId val="{0000001F-474C-4C6E-8EDF-7B71131406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Placement!$F$18:$F$33</c:f>
              <c:numCache>
                <c:formatCode>#\ ##0\ "€"</c:formatCode>
                <c:ptCount val="16"/>
                <c:pt idx="0">
                  <c:v>598500</c:v>
                </c:pt>
                <c:pt idx="1">
                  <c:v>628425</c:v>
                </c:pt>
                <c:pt idx="2">
                  <c:v>659846.25</c:v>
                </c:pt>
                <c:pt idx="3">
                  <c:v>692838.5625</c:v>
                </c:pt>
                <c:pt idx="4">
                  <c:v>727480.49062499998</c:v>
                </c:pt>
                <c:pt idx="5">
                  <c:v>763854.51515624998</c:v>
                </c:pt>
                <c:pt idx="6">
                  <c:v>802047.24091406248</c:v>
                </c:pt>
                <c:pt idx="7">
                  <c:v>842149.60295976559</c:v>
                </c:pt>
                <c:pt idx="8">
                  <c:v>884257.08310775389</c:v>
                </c:pt>
                <c:pt idx="9">
                  <c:v>928469.93726314162</c:v>
                </c:pt>
                <c:pt idx="10">
                  <c:v>974893.43412629864</c:v>
                </c:pt>
                <c:pt idx="11">
                  <c:v>1023638.1058326135</c:v>
                </c:pt>
                <c:pt idx="12">
                  <c:v>1074820.0111242442</c:v>
                </c:pt>
                <c:pt idx="13">
                  <c:v>1128561.0116804563</c:v>
                </c:pt>
                <c:pt idx="14">
                  <c:v>1184989.0622644792</c:v>
                </c:pt>
                <c:pt idx="15">
                  <c:v>1244238.5153777031</c:v>
                </c:pt>
              </c:numCache>
            </c:numRef>
          </c:val>
          <c:smooth val="0"/>
          <c:extLst>
            <c:ext xmlns:c16="http://schemas.microsoft.com/office/drawing/2014/chart" uri="{C3380CC4-5D6E-409C-BE32-E72D297353CC}">
              <c16:uniqueId val="{00000021-474C-4C6E-8EDF-7B7113140608}"/>
            </c:ext>
          </c:extLst>
        </c:ser>
        <c:ser>
          <c:idx val="2"/>
          <c:order val="2"/>
          <c:tx>
            <c:strRef>
              <c:f>Placement!$G$12</c:f>
              <c:strCache>
                <c:ptCount val="1"/>
                <c:pt idx="0">
                  <c:v>Placement 3</c:v>
                </c:pt>
              </c:strCache>
            </c:strRef>
          </c:tx>
          <c:spPr>
            <a:ln w="28575" cap="rnd">
              <a:solidFill>
                <a:schemeClr val="tx1">
                  <a:lumMod val="50000"/>
                  <a:lumOff val="5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2-474C-4C6E-8EDF-7B7113140608}"/>
                </c:ext>
              </c:extLst>
            </c:dLbl>
            <c:dLbl>
              <c:idx val="1"/>
              <c:delete val="1"/>
              <c:extLst>
                <c:ext xmlns:c15="http://schemas.microsoft.com/office/drawing/2012/chart" uri="{CE6537A1-D6FC-4f65-9D91-7224C49458BB}"/>
                <c:ext xmlns:c16="http://schemas.microsoft.com/office/drawing/2014/chart" uri="{C3380CC4-5D6E-409C-BE32-E72D297353CC}">
                  <c16:uniqueId val="{00000023-474C-4C6E-8EDF-7B7113140608}"/>
                </c:ext>
              </c:extLst>
            </c:dLbl>
            <c:dLbl>
              <c:idx val="2"/>
              <c:delete val="1"/>
              <c:extLst>
                <c:ext xmlns:c15="http://schemas.microsoft.com/office/drawing/2012/chart" uri="{CE6537A1-D6FC-4f65-9D91-7224C49458BB}"/>
                <c:ext xmlns:c16="http://schemas.microsoft.com/office/drawing/2014/chart" uri="{C3380CC4-5D6E-409C-BE32-E72D297353CC}">
                  <c16:uniqueId val="{00000024-474C-4C6E-8EDF-7B7113140608}"/>
                </c:ext>
              </c:extLst>
            </c:dLbl>
            <c:dLbl>
              <c:idx val="3"/>
              <c:delete val="1"/>
              <c:extLst>
                <c:ext xmlns:c15="http://schemas.microsoft.com/office/drawing/2012/chart" uri="{CE6537A1-D6FC-4f65-9D91-7224C49458BB}"/>
                <c:ext xmlns:c16="http://schemas.microsoft.com/office/drawing/2014/chart" uri="{C3380CC4-5D6E-409C-BE32-E72D297353CC}">
                  <c16:uniqueId val="{00000025-474C-4C6E-8EDF-7B7113140608}"/>
                </c:ext>
              </c:extLst>
            </c:dLbl>
            <c:dLbl>
              <c:idx val="4"/>
              <c:delete val="1"/>
              <c:extLst>
                <c:ext xmlns:c15="http://schemas.microsoft.com/office/drawing/2012/chart" uri="{CE6537A1-D6FC-4f65-9D91-7224C49458BB}"/>
                <c:ext xmlns:c16="http://schemas.microsoft.com/office/drawing/2014/chart" uri="{C3380CC4-5D6E-409C-BE32-E72D297353CC}">
                  <c16:uniqueId val="{00000026-474C-4C6E-8EDF-7B7113140608}"/>
                </c:ext>
              </c:extLst>
            </c:dLbl>
            <c:dLbl>
              <c:idx val="5"/>
              <c:delete val="1"/>
              <c:extLst>
                <c:ext xmlns:c15="http://schemas.microsoft.com/office/drawing/2012/chart" uri="{CE6537A1-D6FC-4f65-9D91-7224C49458BB}"/>
                <c:ext xmlns:c16="http://schemas.microsoft.com/office/drawing/2014/chart" uri="{C3380CC4-5D6E-409C-BE32-E72D297353CC}">
                  <c16:uniqueId val="{00000027-474C-4C6E-8EDF-7B7113140608}"/>
                </c:ext>
              </c:extLst>
            </c:dLbl>
            <c:dLbl>
              <c:idx val="6"/>
              <c:delete val="1"/>
              <c:extLst>
                <c:ext xmlns:c15="http://schemas.microsoft.com/office/drawing/2012/chart" uri="{CE6537A1-D6FC-4f65-9D91-7224C49458BB}"/>
                <c:ext xmlns:c16="http://schemas.microsoft.com/office/drawing/2014/chart" uri="{C3380CC4-5D6E-409C-BE32-E72D297353CC}">
                  <c16:uniqueId val="{00000028-474C-4C6E-8EDF-7B7113140608}"/>
                </c:ext>
              </c:extLst>
            </c:dLbl>
            <c:dLbl>
              <c:idx val="7"/>
              <c:delete val="1"/>
              <c:extLst>
                <c:ext xmlns:c15="http://schemas.microsoft.com/office/drawing/2012/chart" uri="{CE6537A1-D6FC-4f65-9D91-7224C49458BB}"/>
                <c:ext xmlns:c16="http://schemas.microsoft.com/office/drawing/2014/chart" uri="{C3380CC4-5D6E-409C-BE32-E72D297353CC}">
                  <c16:uniqueId val="{00000029-474C-4C6E-8EDF-7B7113140608}"/>
                </c:ext>
              </c:extLst>
            </c:dLbl>
            <c:dLbl>
              <c:idx val="8"/>
              <c:delete val="1"/>
              <c:extLst>
                <c:ext xmlns:c15="http://schemas.microsoft.com/office/drawing/2012/chart" uri="{CE6537A1-D6FC-4f65-9D91-7224C49458BB}"/>
                <c:ext xmlns:c16="http://schemas.microsoft.com/office/drawing/2014/chart" uri="{C3380CC4-5D6E-409C-BE32-E72D297353CC}">
                  <c16:uniqueId val="{0000002A-474C-4C6E-8EDF-7B7113140608}"/>
                </c:ext>
              </c:extLst>
            </c:dLbl>
            <c:dLbl>
              <c:idx val="9"/>
              <c:delete val="1"/>
              <c:extLst>
                <c:ext xmlns:c15="http://schemas.microsoft.com/office/drawing/2012/chart" uri="{CE6537A1-D6FC-4f65-9D91-7224C49458BB}"/>
                <c:ext xmlns:c16="http://schemas.microsoft.com/office/drawing/2014/chart" uri="{C3380CC4-5D6E-409C-BE32-E72D297353CC}">
                  <c16:uniqueId val="{0000002B-474C-4C6E-8EDF-7B7113140608}"/>
                </c:ext>
              </c:extLst>
            </c:dLbl>
            <c:dLbl>
              <c:idx val="10"/>
              <c:delete val="1"/>
              <c:extLst>
                <c:ext xmlns:c15="http://schemas.microsoft.com/office/drawing/2012/chart" uri="{CE6537A1-D6FC-4f65-9D91-7224C49458BB}"/>
                <c:ext xmlns:c16="http://schemas.microsoft.com/office/drawing/2014/chart" uri="{C3380CC4-5D6E-409C-BE32-E72D297353CC}">
                  <c16:uniqueId val="{0000002C-474C-4C6E-8EDF-7B7113140608}"/>
                </c:ext>
              </c:extLst>
            </c:dLbl>
            <c:dLbl>
              <c:idx val="11"/>
              <c:delete val="1"/>
              <c:extLst>
                <c:ext xmlns:c15="http://schemas.microsoft.com/office/drawing/2012/chart" uri="{CE6537A1-D6FC-4f65-9D91-7224C49458BB}"/>
                <c:ext xmlns:c16="http://schemas.microsoft.com/office/drawing/2014/chart" uri="{C3380CC4-5D6E-409C-BE32-E72D297353CC}">
                  <c16:uniqueId val="{0000002D-474C-4C6E-8EDF-7B7113140608}"/>
                </c:ext>
              </c:extLst>
            </c:dLbl>
            <c:dLbl>
              <c:idx val="12"/>
              <c:delete val="1"/>
              <c:extLst>
                <c:ext xmlns:c15="http://schemas.microsoft.com/office/drawing/2012/chart" uri="{CE6537A1-D6FC-4f65-9D91-7224C49458BB}"/>
                <c:ext xmlns:c16="http://schemas.microsoft.com/office/drawing/2014/chart" uri="{C3380CC4-5D6E-409C-BE32-E72D297353CC}">
                  <c16:uniqueId val="{0000002E-474C-4C6E-8EDF-7B7113140608}"/>
                </c:ext>
              </c:extLst>
            </c:dLbl>
            <c:dLbl>
              <c:idx val="13"/>
              <c:delete val="1"/>
              <c:extLst>
                <c:ext xmlns:c15="http://schemas.microsoft.com/office/drawing/2012/chart" uri="{CE6537A1-D6FC-4f65-9D91-7224C49458BB}"/>
                <c:ext xmlns:c16="http://schemas.microsoft.com/office/drawing/2014/chart" uri="{C3380CC4-5D6E-409C-BE32-E72D297353CC}">
                  <c16:uniqueId val="{0000002F-474C-4C6E-8EDF-7B7113140608}"/>
                </c:ext>
              </c:extLst>
            </c:dLbl>
            <c:dLbl>
              <c:idx val="14"/>
              <c:delete val="1"/>
              <c:extLst>
                <c:ext xmlns:c15="http://schemas.microsoft.com/office/drawing/2012/chart" uri="{CE6537A1-D6FC-4f65-9D91-7224C49458BB}"/>
                <c:ext xmlns:c16="http://schemas.microsoft.com/office/drawing/2014/chart" uri="{C3380CC4-5D6E-409C-BE32-E72D297353CC}">
                  <c16:uniqueId val="{00000030-474C-4C6E-8EDF-7B71131406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Placement!$G$18:$G$33</c:f>
              <c:numCache>
                <c:formatCode>#\ ##0\ "€"</c:formatCode>
                <c:ptCount val="16"/>
                <c:pt idx="0">
                  <c:v>100880</c:v>
                </c:pt>
                <c:pt idx="1">
                  <c:v>104915.2</c:v>
                </c:pt>
                <c:pt idx="2">
                  <c:v>109111.80799999999</c:v>
                </c:pt>
                <c:pt idx="3">
                  <c:v>113476.28031999999</c:v>
                </c:pt>
                <c:pt idx="4">
                  <c:v>118015.33153279999</c:v>
                </c:pt>
                <c:pt idx="5">
                  <c:v>122735.94479411199</c:v>
                </c:pt>
                <c:pt idx="6">
                  <c:v>127645.38258587646</c:v>
                </c:pt>
                <c:pt idx="7">
                  <c:v>132751.19788931153</c:v>
                </c:pt>
                <c:pt idx="8">
                  <c:v>138061.24580488401</c:v>
                </c:pt>
                <c:pt idx="9">
                  <c:v>143583.69563707936</c:v>
                </c:pt>
                <c:pt idx="10">
                  <c:v>149327.04346256255</c:v>
                </c:pt>
                <c:pt idx="11">
                  <c:v>155300.12520106506</c:v>
                </c:pt>
                <c:pt idx="12">
                  <c:v>161512.13020910768</c:v>
                </c:pt>
                <c:pt idx="13">
                  <c:v>167972.615417472</c:v>
                </c:pt>
                <c:pt idx="14">
                  <c:v>174691.52003417088</c:v>
                </c:pt>
                <c:pt idx="15">
                  <c:v>181679.18083553773</c:v>
                </c:pt>
              </c:numCache>
            </c:numRef>
          </c:val>
          <c:smooth val="0"/>
          <c:extLst>
            <c:ext xmlns:c16="http://schemas.microsoft.com/office/drawing/2014/chart" uri="{C3380CC4-5D6E-409C-BE32-E72D297353CC}">
              <c16:uniqueId val="{00000032-474C-4C6E-8EDF-7B7113140608}"/>
            </c:ext>
          </c:extLst>
        </c:ser>
        <c:dLbls>
          <c:showLegendKey val="0"/>
          <c:showVal val="1"/>
          <c:showCatName val="0"/>
          <c:showSerName val="0"/>
          <c:showPercent val="0"/>
          <c:showBubbleSize val="0"/>
        </c:dLbls>
        <c:smooth val="0"/>
        <c:axId val="574818832"/>
        <c:axId val="574812600"/>
      </c:lineChart>
      <c:catAx>
        <c:axId val="57481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4812600"/>
        <c:crosses val="autoZero"/>
        <c:auto val="1"/>
        <c:lblAlgn val="ctr"/>
        <c:lblOffset val="100"/>
        <c:noMultiLvlLbl val="0"/>
      </c:catAx>
      <c:valAx>
        <c:axId val="574812600"/>
        <c:scaling>
          <c:orientation val="minMax"/>
        </c:scaling>
        <c:delete val="0"/>
        <c:axPos val="l"/>
        <c:majorGridlines>
          <c:spPr>
            <a:ln w="9525" cap="flat" cmpd="sng" algn="ctr">
              <a:solidFill>
                <a:schemeClr val="tx1">
                  <a:lumMod val="15000"/>
                  <a:lumOff val="85000"/>
                </a:schemeClr>
              </a:solidFill>
              <a:round/>
            </a:ln>
            <a:effectLst/>
          </c:spPr>
        </c:majorGridlines>
        <c:numFmt formatCode="#\ ##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481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accent2"/>
            </a:solidFill>
            <a:ln>
              <a:noFill/>
            </a:ln>
          </c:spPr>
          <c:dPt>
            <c:idx val="0"/>
            <c:bubble3D val="0"/>
            <c:spPr>
              <a:solidFill>
                <a:schemeClr val="accent2"/>
              </a:solidFill>
              <a:ln w="19050">
                <a:noFill/>
              </a:ln>
              <a:effectLst/>
            </c:spPr>
            <c:extLst>
              <c:ext xmlns:c16="http://schemas.microsoft.com/office/drawing/2014/chart" uri="{C3380CC4-5D6E-409C-BE32-E72D297353CC}">
                <c16:uniqueId val="{00000001-76E8-4470-9106-DE5DEF5B2A9F}"/>
              </c:ext>
            </c:extLst>
          </c:dPt>
          <c:cat>
            <c:numRef>
              <c:f>'Impr (3)'!$D$310</c:f>
              <c:numCache>
                <c:formatCode>#\ ##0\ "€"</c:formatCode>
                <c:ptCount val="1"/>
                <c:pt idx="0">
                  <c:v>0</c:v>
                </c:pt>
              </c:numCache>
            </c:numRef>
          </c:cat>
          <c:val>
            <c:numLit>
              <c:formatCode>General</c:formatCode>
              <c:ptCount val="1"/>
              <c:pt idx="0">
                <c:v>1</c:v>
              </c:pt>
            </c:numLit>
          </c:val>
          <c:extLst>
            <c:ext xmlns:c16="http://schemas.microsoft.com/office/drawing/2014/chart" uri="{C3380CC4-5D6E-409C-BE32-E72D297353CC}">
              <c16:uniqueId val="{00000000-E01B-445B-BE4F-3903BA509C6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1-5809-4EB2-82F9-C694090692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09-4EB2-82F9-C69409069279}"/>
              </c:ext>
            </c:extLst>
          </c:dPt>
          <c:cat>
            <c:strRef>
              <c:f>'Impr (3)'!$R$306:$R$307</c:f>
              <c:strCache>
                <c:ptCount val="2"/>
                <c:pt idx="0">
                  <c:v>Part</c:v>
                </c:pt>
                <c:pt idx="1">
                  <c:v>Durée</c:v>
                </c:pt>
              </c:strCache>
            </c:strRef>
          </c:cat>
          <c:val>
            <c:numRef>
              <c:f>'Impr (3)'!$S$306:$S$307</c:f>
              <c:numCache>
                <c:formatCode>General</c:formatCode>
                <c:ptCount val="2"/>
                <c:pt idx="0">
                  <c:v>1</c:v>
                </c:pt>
                <c:pt idx="1">
                  <c:v>80</c:v>
                </c:pt>
              </c:numCache>
            </c:numRef>
          </c:val>
          <c:extLst>
            <c:ext xmlns:c16="http://schemas.microsoft.com/office/drawing/2014/chart" uri="{C3380CC4-5D6E-409C-BE32-E72D297353CC}">
              <c16:uniqueId val="{00000005-2B60-4A58-ADF1-AF09251E1BF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4B1-4794-B40B-548F47C44E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B1-4794-B40B-548F47C44E72}"/>
              </c:ext>
            </c:extLst>
          </c:dPt>
          <c:cat>
            <c:strRef>
              <c:f>'Impr (3)'!$T$306:$T$307</c:f>
              <c:strCache>
                <c:ptCount val="2"/>
                <c:pt idx="0">
                  <c:v>Part</c:v>
                </c:pt>
                <c:pt idx="1">
                  <c:v>Durée</c:v>
                </c:pt>
              </c:strCache>
            </c:strRef>
          </c:cat>
          <c:val>
            <c:numRef>
              <c:f>'Impr (3)'!$U$306:$U$307</c:f>
              <c:numCache>
                <c:formatCode>General</c:formatCode>
                <c:ptCount val="2"/>
                <c:pt idx="0">
                  <c:v>1</c:v>
                </c:pt>
                <c:pt idx="1">
                  <c:v>90</c:v>
                </c:pt>
              </c:numCache>
            </c:numRef>
          </c:val>
          <c:extLst>
            <c:ext xmlns:c16="http://schemas.microsoft.com/office/drawing/2014/chart" uri="{C3380CC4-5D6E-409C-BE32-E72D297353CC}">
              <c16:uniqueId val="{00000004-74B1-4794-B40B-548F47C44E7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bg2">
                <a:lumMod val="90000"/>
              </a:schemeClr>
            </a:solidFill>
            <a:ln>
              <a:noFill/>
            </a:ln>
          </c:spPr>
          <c:dPt>
            <c:idx val="0"/>
            <c:bubble3D val="0"/>
            <c:spPr>
              <a:solidFill>
                <a:schemeClr val="bg2">
                  <a:lumMod val="90000"/>
                </a:schemeClr>
              </a:solidFill>
              <a:ln w="19050">
                <a:noFill/>
              </a:ln>
              <a:effectLst/>
            </c:spPr>
            <c:extLst>
              <c:ext xmlns:c16="http://schemas.microsoft.com/office/drawing/2014/chart" uri="{C3380CC4-5D6E-409C-BE32-E72D297353CC}">
                <c16:uniqueId val="{00000001-F304-4F69-8C01-ADD668ECB01C}"/>
              </c:ext>
            </c:extLst>
          </c:dPt>
          <c:cat>
            <c:numRef>
              <c:f>'Impr (3)'!$D$310</c:f>
              <c:numCache>
                <c:formatCode>#\ ##0\ "€"</c:formatCode>
                <c:ptCount val="1"/>
                <c:pt idx="0">
                  <c:v>0</c:v>
                </c:pt>
              </c:numCache>
            </c:numRef>
          </c:cat>
          <c:val>
            <c:numLit>
              <c:formatCode>General</c:formatCode>
              <c:ptCount val="1"/>
              <c:pt idx="0">
                <c:v>1</c:v>
              </c:pt>
            </c:numLit>
          </c:val>
          <c:extLst>
            <c:ext xmlns:c16="http://schemas.microsoft.com/office/drawing/2014/chart" uri="{C3380CC4-5D6E-409C-BE32-E72D297353CC}">
              <c16:uniqueId val="{00000002-F304-4F69-8C01-ADD668ECB01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accent2"/>
            </a:solidFill>
            <a:ln>
              <a:noFill/>
            </a:ln>
          </c:spPr>
          <c:dPt>
            <c:idx val="0"/>
            <c:bubble3D val="0"/>
            <c:spPr>
              <a:solidFill>
                <a:schemeClr val="accent2"/>
              </a:solidFill>
              <a:ln w="19050">
                <a:noFill/>
              </a:ln>
              <a:effectLst/>
            </c:spPr>
            <c:extLst>
              <c:ext xmlns:c16="http://schemas.microsoft.com/office/drawing/2014/chart" uri="{C3380CC4-5D6E-409C-BE32-E72D297353CC}">
                <c16:uniqueId val="{00000001-05B1-4EDA-B72C-3C98F6A0647D}"/>
              </c:ext>
            </c:extLst>
          </c:dPt>
          <c:cat>
            <c:numRef>
              <c:f>'Impr (3)'!$D$310</c:f>
              <c:numCache>
                <c:formatCode>#\ ##0\ "€"</c:formatCode>
                <c:ptCount val="1"/>
                <c:pt idx="0">
                  <c:v>0</c:v>
                </c:pt>
              </c:numCache>
            </c:numRef>
          </c:cat>
          <c:val>
            <c:numLit>
              <c:formatCode>General</c:formatCode>
              <c:ptCount val="1"/>
              <c:pt idx="0">
                <c:v>1</c:v>
              </c:pt>
            </c:numLit>
          </c:val>
          <c:extLst>
            <c:ext xmlns:c16="http://schemas.microsoft.com/office/drawing/2014/chart" uri="{C3380CC4-5D6E-409C-BE32-E72D297353CC}">
              <c16:uniqueId val="{00000002-05B1-4EDA-B72C-3C98F6A0647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1-3F12-4567-AD3A-B033226CC4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12-4567-AD3A-B033226CC4E2}"/>
              </c:ext>
            </c:extLst>
          </c:dPt>
          <c:cat>
            <c:strRef>
              <c:f>'Impr (3)'!$R$306:$R$307</c:f>
              <c:strCache>
                <c:ptCount val="2"/>
                <c:pt idx="0">
                  <c:v>Part</c:v>
                </c:pt>
                <c:pt idx="1">
                  <c:v>Durée</c:v>
                </c:pt>
              </c:strCache>
            </c:strRef>
          </c:cat>
          <c:val>
            <c:numRef>
              <c:f>'Impr (3)'!$S$306:$S$307</c:f>
              <c:numCache>
                <c:formatCode>General</c:formatCode>
                <c:ptCount val="2"/>
                <c:pt idx="0">
                  <c:v>1</c:v>
                </c:pt>
                <c:pt idx="1">
                  <c:v>80</c:v>
                </c:pt>
              </c:numCache>
            </c:numRef>
          </c:val>
          <c:extLst>
            <c:ext xmlns:c16="http://schemas.microsoft.com/office/drawing/2014/chart" uri="{C3380CC4-5D6E-409C-BE32-E72D297353CC}">
              <c16:uniqueId val="{00000004-3F12-4567-AD3A-B033226CC4E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803F-4B7B-997A-5EC1E0360C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3F-4B7B-997A-5EC1E0360C2C}"/>
              </c:ext>
            </c:extLst>
          </c:dPt>
          <c:cat>
            <c:strRef>
              <c:f>'Impr (3)'!$T$306:$T$307</c:f>
              <c:strCache>
                <c:ptCount val="2"/>
                <c:pt idx="0">
                  <c:v>Part</c:v>
                </c:pt>
                <c:pt idx="1">
                  <c:v>Durée</c:v>
                </c:pt>
              </c:strCache>
            </c:strRef>
          </c:cat>
          <c:val>
            <c:numRef>
              <c:f>'Impr (3)'!$U$306:$U$307</c:f>
              <c:numCache>
                <c:formatCode>General</c:formatCode>
                <c:ptCount val="2"/>
                <c:pt idx="0">
                  <c:v>1</c:v>
                </c:pt>
                <c:pt idx="1">
                  <c:v>90</c:v>
                </c:pt>
              </c:numCache>
            </c:numRef>
          </c:val>
          <c:extLst>
            <c:ext xmlns:c16="http://schemas.microsoft.com/office/drawing/2014/chart" uri="{C3380CC4-5D6E-409C-BE32-E72D297353CC}">
              <c16:uniqueId val="{00000004-803F-4B7B-997A-5EC1E0360C2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bg2">
                <a:lumMod val="90000"/>
              </a:schemeClr>
            </a:solidFill>
            <a:ln>
              <a:noFill/>
            </a:ln>
          </c:spPr>
          <c:dPt>
            <c:idx val="0"/>
            <c:bubble3D val="0"/>
            <c:spPr>
              <a:solidFill>
                <a:schemeClr val="bg2">
                  <a:lumMod val="90000"/>
                </a:schemeClr>
              </a:solidFill>
              <a:ln w="19050">
                <a:noFill/>
              </a:ln>
              <a:effectLst/>
            </c:spPr>
            <c:extLst>
              <c:ext xmlns:c16="http://schemas.microsoft.com/office/drawing/2014/chart" uri="{C3380CC4-5D6E-409C-BE32-E72D297353CC}">
                <c16:uniqueId val="{00000001-4761-4F59-AA91-BAB6127527CA}"/>
              </c:ext>
            </c:extLst>
          </c:dPt>
          <c:cat>
            <c:numRef>
              <c:f>'Impr (3)'!$D$310</c:f>
              <c:numCache>
                <c:formatCode>#\ ##0\ "€"</c:formatCode>
                <c:ptCount val="1"/>
                <c:pt idx="0">
                  <c:v>0</c:v>
                </c:pt>
              </c:numCache>
            </c:numRef>
          </c:cat>
          <c:val>
            <c:numLit>
              <c:formatCode>General</c:formatCode>
              <c:ptCount val="1"/>
              <c:pt idx="0">
                <c:v>1</c:v>
              </c:pt>
            </c:numLit>
          </c:val>
          <c:extLst>
            <c:ext xmlns:c16="http://schemas.microsoft.com/office/drawing/2014/chart" uri="{C3380CC4-5D6E-409C-BE32-E72D297353CC}">
              <c16:uniqueId val="{00000002-4761-4F59-AA91-BAB6127527C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MEPPER3!$F$33</c:f>
              <c:strCache>
                <c:ptCount val="1"/>
                <c:pt idx="0">
                  <c:v>Versements annuels nets</c:v>
                </c:pt>
              </c:strCache>
            </c:strRef>
          </c:tx>
          <c:spPr>
            <a:solidFill>
              <a:schemeClr val="accent2">
                <a:lumMod val="20000"/>
                <a:lumOff val="80000"/>
              </a:schemeClr>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3-4AE3-43B9-9AA5-B2C14FFBCF08}"/>
              </c:ext>
            </c:extLst>
          </c:dPt>
          <c:dLbls>
            <c:dLbl>
              <c:idx val="0"/>
              <c:numFmt formatCode="#\ ##0\ &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extLst>
                <c:ext xmlns:c16="http://schemas.microsoft.com/office/drawing/2014/chart" uri="{C3380CC4-5D6E-409C-BE32-E72D297353CC}">
                  <c16:uniqueId val="{00000003-4AE3-43B9-9AA5-B2C14FFBCF08}"/>
                </c:ext>
              </c:extLst>
            </c:dLbl>
            <c:numFmt formatCode="#\ ##0\ &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1</c:v>
              </c:pt>
              <c:pt idx="1">
                <c:v>5</c:v>
              </c:pt>
              <c:pt idx="2">
                <c:v>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MEPPER3!$G$33:$O$33</c15:sqref>
                  </c15:fullRef>
                </c:ext>
              </c:extLst>
              <c:f>(MEPPER3!$G$33,MEPPER3!$K$33,MEPPER3!$O$33)</c:f>
              <c:numCache>
                <c:formatCode>#\ ##0\ "€"</c:formatCode>
                <c:ptCount val="3"/>
                <c:pt idx="0">
                  <c:v>13560</c:v>
                </c:pt>
                <c:pt idx="1">
                  <c:v>140000</c:v>
                </c:pt>
                <c:pt idx="2">
                  <c:v>129080</c:v>
                </c:pt>
              </c:numCache>
            </c:numRef>
          </c:val>
          <c:extLst>
            <c:ext xmlns:c16="http://schemas.microsoft.com/office/drawing/2014/chart" uri="{C3380CC4-5D6E-409C-BE32-E72D297353CC}">
              <c16:uniqueId val="{00000000-4AE3-43B9-9AA5-B2C14FFBCF08}"/>
            </c:ext>
          </c:extLst>
        </c:ser>
        <c:ser>
          <c:idx val="1"/>
          <c:order val="1"/>
          <c:tx>
            <c:strRef>
              <c:f>MEPPER3!$F$34</c:f>
              <c:strCache>
                <c:ptCount val="1"/>
                <c:pt idx="0">
                  <c:v>Frais sur versements</c:v>
                </c:pt>
              </c:strCache>
            </c:strRef>
          </c:tx>
          <c:spPr>
            <a:solidFill>
              <a:schemeClr val="accent2"/>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2-4AE3-43B9-9AA5-B2C14FFBCF08}"/>
              </c:ext>
            </c:extLst>
          </c:dPt>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1</c:v>
              </c:pt>
              <c:pt idx="1">
                <c:v> 5 €</c:v>
              </c:pt>
              <c:pt idx="2">
                <c:v> 9 €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MEPPER3!$G$34:$O$34</c15:sqref>
                  </c15:fullRef>
                </c:ext>
              </c:extLst>
              <c:f>(MEPPER3!$G$34,MEPPER3!$K$34,MEPPER3!$O$34)</c:f>
              <c:numCache>
                <c:formatCode>#\ ##0\ "€"</c:formatCode>
                <c:ptCount val="3"/>
                <c:pt idx="0">
                  <c:v>440</c:v>
                </c:pt>
                <c:pt idx="2">
                  <c:v>46352.227479889669</c:v>
                </c:pt>
              </c:numCache>
            </c:numRef>
          </c:val>
          <c:extLst>
            <c:ext xmlns:c16="http://schemas.microsoft.com/office/drawing/2014/chart" uri="{C3380CC4-5D6E-409C-BE32-E72D297353CC}">
              <c16:uniqueId val="{00000001-4AE3-43B9-9AA5-B2C14FFBCF08}"/>
            </c:ext>
          </c:extLst>
        </c:ser>
        <c:dLbls>
          <c:showLegendKey val="0"/>
          <c:showVal val="0"/>
          <c:showCatName val="0"/>
          <c:showSerName val="0"/>
          <c:showPercent val="0"/>
          <c:showBubbleSize val="0"/>
        </c:dLbls>
        <c:gapWidth val="150"/>
        <c:overlap val="100"/>
        <c:axId val="331852479"/>
        <c:axId val="226832975"/>
      </c:barChart>
      <c:catAx>
        <c:axId val="331852479"/>
        <c:scaling>
          <c:orientation val="minMax"/>
        </c:scaling>
        <c:delete val="1"/>
        <c:axPos val="b"/>
        <c:numFmt formatCode="General" sourceLinked="1"/>
        <c:majorTickMark val="none"/>
        <c:minorTickMark val="none"/>
        <c:tickLblPos val="nextTo"/>
        <c:crossAx val="226832975"/>
        <c:crosses val="autoZero"/>
        <c:auto val="1"/>
        <c:lblAlgn val="ctr"/>
        <c:lblOffset val="100"/>
        <c:noMultiLvlLbl val="0"/>
      </c:catAx>
      <c:valAx>
        <c:axId val="226832975"/>
        <c:scaling>
          <c:orientation val="minMax"/>
        </c:scaling>
        <c:delete val="1"/>
        <c:axPos val="l"/>
        <c:numFmt formatCode="#\ ##0\ &quot;€&quot;" sourceLinked="1"/>
        <c:majorTickMark val="none"/>
        <c:minorTickMark val="none"/>
        <c:tickLblPos val="nextTo"/>
        <c:crossAx val="3318524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MEPPER3!$F$20</c:f>
              <c:strCache>
                <c:ptCount val="1"/>
                <c:pt idx="0">
                  <c:v>Versements annuels nets</c:v>
                </c:pt>
              </c:strCache>
            </c:strRef>
          </c:tx>
          <c:spPr>
            <a:solidFill>
              <a:schemeClr val="accent2">
                <a:lumMod val="20000"/>
                <a:lumOff val="80000"/>
              </a:schemeClr>
            </a:solidFill>
            <a:ln>
              <a:noFill/>
            </a:ln>
            <a:effectLst/>
          </c:spPr>
          <c:invertIfNegative val="0"/>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 5 €</c:v>
              </c:pt>
              <c:pt idx="1">
                <c:v> 9 €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MEPPER3!$G$20:$O$20</c15:sqref>
                  </c15:fullRef>
                </c:ext>
              </c:extLst>
              <c:f>(MEPPER3!$K$20,MEPPER3!$O$20)</c:f>
              <c:numCache>
                <c:formatCode>#\ ##0\ "€"</c:formatCode>
                <c:ptCount val="2"/>
                <c:pt idx="0">
                  <c:v>133000</c:v>
                </c:pt>
                <c:pt idx="1">
                  <c:v>184400</c:v>
                </c:pt>
              </c:numCache>
            </c:numRef>
          </c:val>
          <c:extLst>
            <c:ext xmlns:c16="http://schemas.microsoft.com/office/drawing/2014/chart" uri="{C3380CC4-5D6E-409C-BE32-E72D297353CC}">
              <c16:uniqueId val="{00000000-12A3-43A0-8511-B54A6551ACEC}"/>
            </c:ext>
          </c:extLst>
        </c:ser>
        <c:ser>
          <c:idx val="1"/>
          <c:order val="1"/>
          <c:tx>
            <c:strRef>
              <c:f>MEPPER3!$F$21</c:f>
              <c:strCache>
                <c:ptCount val="1"/>
                <c:pt idx="0">
                  <c:v>Frais sur versements</c:v>
                </c:pt>
              </c:strCache>
            </c:strRef>
          </c:tx>
          <c:spPr>
            <a:solidFill>
              <a:schemeClr val="accent2"/>
            </a:solidFill>
            <a:ln>
              <a:noFill/>
            </a:ln>
            <a:effectLst/>
          </c:spPr>
          <c:invertIfNegative val="0"/>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 5 €</c:v>
              </c:pt>
              <c:pt idx="1">
                <c:v> 9 €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MEPPER3!$G$21:$O$21</c15:sqref>
                  </c15:fullRef>
                </c:ext>
              </c:extLst>
              <c:f>(MEPPER3!$K$21,MEPPER3!$O$21)</c:f>
              <c:numCache>
                <c:formatCode>#\ ##0\ "€"</c:formatCode>
                <c:ptCount val="2"/>
                <c:pt idx="0">
                  <c:v>57000</c:v>
                </c:pt>
                <c:pt idx="1">
                  <c:v>66217.467828413704</c:v>
                </c:pt>
              </c:numCache>
            </c:numRef>
          </c:val>
          <c:extLst>
            <c:ext xmlns:c16="http://schemas.microsoft.com/office/drawing/2014/chart" uri="{C3380CC4-5D6E-409C-BE32-E72D297353CC}">
              <c16:uniqueId val="{00000001-12A3-43A0-8511-B54A6551ACEC}"/>
            </c:ext>
          </c:extLst>
        </c:ser>
        <c:dLbls>
          <c:dLblPos val="inEnd"/>
          <c:showLegendKey val="0"/>
          <c:showVal val="1"/>
          <c:showCatName val="0"/>
          <c:showSerName val="0"/>
          <c:showPercent val="0"/>
          <c:showBubbleSize val="0"/>
        </c:dLbls>
        <c:gapWidth val="150"/>
        <c:overlap val="100"/>
        <c:axId val="566864352"/>
        <c:axId val="634281520"/>
      </c:barChart>
      <c:catAx>
        <c:axId val="566864352"/>
        <c:scaling>
          <c:orientation val="minMax"/>
        </c:scaling>
        <c:delete val="1"/>
        <c:axPos val="b"/>
        <c:numFmt formatCode="General" sourceLinked="1"/>
        <c:majorTickMark val="none"/>
        <c:minorTickMark val="none"/>
        <c:tickLblPos val="nextTo"/>
        <c:crossAx val="634281520"/>
        <c:crosses val="autoZero"/>
        <c:auto val="1"/>
        <c:lblAlgn val="ctr"/>
        <c:lblOffset val="100"/>
        <c:noMultiLvlLbl val="0"/>
      </c:catAx>
      <c:valAx>
        <c:axId val="634281520"/>
        <c:scaling>
          <c:orientation val="minMax"/>
        </c:scaling>
        <c:delete val="1"/>
        <c:axPos val="l"/>
        <c:numFmt formatCode="#\ ##0\ &quot;€&quot;" sourceLinked="1"/>
        <c:majorTickMark val="none"/>
        <c:minorTickMark val="none"/>
        <c:tickLblPos val="nextTo"/>
        <c:crossAx val="566864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MEPPER3!$F$20</c:f>
              <c:strCache>
                <c:ptCount val="1"/>
                <c:pt idx="0">
                  <c:v>Versements annuels nets</c:v>
                </c:pt>
              </c:strCache>
            </c:strRef>
          </c:tx>
          <c:spPr>
            <a:solidFill>
              <a:schemeClr val="accent2">
                <a:lumMod val="20000"/>
                <a:lumOff val="80000"/>
              </a:schemeClr>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3829793832817725"/>
                      <c:h val="0.3364220610643941"/>
                    </c:manualLayout>
                  </c15:layout>
                </c:ext>
                <c:ext xmlns:c16="http://schemas.microsoft.com/office/drawing/2014/chart" uri="{C3380CC4-5D6E-409C-BE32-E72D297353CC}">
                  <c16:uniqueId val="{00000000-9E41-4BCB-A8A4-CD9A477FAE22}"/>
                </c:ext>
              </c:extLst>
            </c:dLbl>
            <c:numFmt formatCode="#\ ##0\ &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MEPPER3!$G$20</c:f>
              <c:numCache>
                <c:formatCode>#\ ##0\ "€"</c:formatCode>
                <c:ptCount val="1"/>
                <c:pt idx="0">
                  <c:v>19500</c:v>
                </c:pt>
              </c:numCache>
            </c:numRef>
          </c:val>
          <c:extLst>
            <c:ext xmlns:c16="http://schemas.microsoft.com/office/drawing/2014/chart" uri="{C3380CC4-5D6E-409C-BE32-E72D297353CC}">
              <c16:uniqueId val="{00000000-9257-42B9-9022-6F35502F4FD3}"/>
            </c:ext>
          </c:extLst>
        </c:ser>
        <c:ser>
          <c:idx val="1"/>
          <c:order val="1"/>
          <c:tx>
            <c:strRef>
              <c:f>MEPPER3!$F$21</c:f>
              <c:strCache>
                <c:ptCount val="1"/>
                <c:pt idx="0">
                  <c:v>Frais sur versements</c:v>
                </c:pt>
              </c:strCache>
            </c:strRef>
          </c:tx>
          <c:spPr>
            <a:solidFill>
              <a:schemeClr val="bg2">
                <a:lumMod val="90000"/>
              </a:schemeClr>
            </a:solidFill>
            <a:ln>
              <a:noFill/>
            </a:ln>
            <a:effectLst/>
          </c:spPr>
          <c:invertIfNegative val="0"/>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MEPPER3!$G$21</c:f>
              <c:numCache>
                <c:formatCode>#\ ##0\ "€"</c:formatCode>
                <c:ptCount val="1"/>
                <c:pt idx="0">
                  <c:v>500</c:v>
                </c:pt>
              </c:numCache>
            </c:numRef>
          </c:val>
          <c:extLst>
            <c:ext xmlns:c16="http://schemas.microsoft.com/office/drawing/2014/chart" uri="{C3380CC4-5D6E-409C-BE32-E72D297353CC}">
              <c16:uniqueId val="{00000001-9257-42B9-9022-6F35502F4FD3}"/>
            </c:ext>
          </c:extLst>
        </c:ser>
        <c:dLbls>
          <c:dLblPos val="ctr"/>
          <c:showLegendKey val="0"/>
          <c:showVal val="1"/>
          <c:showCatName val="0"/>
          <c:showSerName val="0"/>
          <c:showPercent val="0"/>
          <c:showBubbleSize val="0"/>
        </c:dLbls>
        <c:gapWidth val="150"/>
        <c:overlap val="100"/>
        <c:axId val="566864352"/>
        <c:axId val="634281520"/>
      </c:barChart>
      <c:catAx>
        <c:axId val="566864352"/>
        <c:scaling>
          <c:orientation val="minMax"/>
        </c:scaling>
        <c:delete val="1"/>
        <c:axPos val="b"/>
        <c:numFmt formatCode="General" sourceLinked="1"/>
        <c:majorTickMark val="none"/>
        <c:minorTickMark val="none"/>
        <c:tickLblPos val="nextTo"/>
        <c:crossAx val="634281520"/>
        <c:crosses val="autoZero"/>
        <c:auto val="1"/>
        <c:lblAlgn val="ctr"/>
        <c:lblOffset val="100"/>
        <c:noMultiLvlLbl val="0"/>
      </c:catAx>
      <c:valAx>
        <c:axId val="634281520"/>
        <c:scaling>
          <c:orientation val="minMax"/>
        </c:scaling>
        <c:delete val="1"/>
        <c:axPos val="l"/>
        <c:numFmt formatCode="#\ ##0\ &quot;€&quot;" sourceLinked="1"/>
        <c:majorTickMark val="none"/>
        <c:minorTickMark val="none"/>
        <c:tickLblPos val="nextTo"/>
        <c:crossAx val="566864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strRef>
              <c:f>MEPPER3!$S$22</c:f>
              <c:strCache>
                <c:ptCount val="1"/>
                <c:pt idx="0">
                  <c:v>Fractionnement net annuel</c:v>
                </c:pt>
              </c:strCache>
            </c:strRef>
          </c:tx>
          <c:spPr>
            <a:solidFill>
              <a:schemeClr val="accent2">
                <a:lumMod val="20000"/>
                <a:lumOff val="80000"/>
              </a:schemeClr>
            </a:solidFill>
            <a:ln>
              <a:noFill/>
            </a:ln>
            <a:effectLst/>
          </c:spPr>
          <c:invertIfNegative val="0"/>
          <c:dLbls>
            <c:dLbl>
              <c:idx val="0"/>
              <c:tx>
                <c:rich>
                  <a:bodyPr/>
                  <a:lstStyle/>
                  <a:p>
                    <a:fld id="{38390A9B-6F75-4816-9020-D2CF777E3F6D}" type="VALUE">
                      <a:rPr lang="en-US" sz="800" b="1"/>
                      <a:pPr/>
                      <a:t>[VALEUR]</a:t>
                    </a:fld>
                    <a:endParaRPr lang="fr-FR"/>
                  </a:p>
                </c:rich>
              </c:tx>
              <c:dLblPos val="ctr"/>
              <c:showLegendKey val="0"/>
              <c:showVal val="1"/>
              <c:showCatName val="0"/>
              <c:showSerName val="0"/>
              <c:showPercent val="0"/>
              <c:showBubbleSize val="0"/>
              <c:extLst>
                <c:ext xmlns:c15="http://schemas.microsoft.com/office/drawing/2012/chart" uri="{CE6537A1-D6FC-4f65-9D91-7224C49458BB}">
                  <c15:layout>
                    <c:manualLayout>
                      <c:w val="0.2771662933887144"/>
                      <c:h val="0.36946519883633006"/>
                    </c:manualLayout>
                  </c15:layout>
                  <c15:dlblFieldTable/>
                  <c15:showDataLabelsRange val="0"/>
                </c:ext>
                <c:ext xmlns:c16="http://schemas.microsoft.com/office/drawing/2014/chart" uri="{C3380CC4-5D6E-409C-BE32-E72D297353CC}">
                  <c16:uniqueId val="{00000007-9A8E-4C22-AE7B-D809FF7AD750}"/>
                </c:ext>
              </c:extLst>
            </c:dLbl>
            <c:numFmt formatCode="#\ ##0\ &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MEPPER3!$T$22</c:f>
              <c:numCache>
                <c:formatCode>#\ ##0\ "€"</c:formatCode>
                <c:ptCount val="1"/>
                <c:pt idx="0">
                  <c:v>10685.869655998231</c:v>
                </c:pt>
              </c:numCache>
            </c:numRef>
          </c:val>
          <c:extLst>
            <c:ext xmlns:c16="http://schemas.microsoft.com/office/drawing/2014/chart" uri="{C3380CC4-5D6E-409C-BE32-E72D297353CC}">
              <c16:uniqueId val="{00000001-9A11-4C4B-B48E-BE5CD1E88F34}"/>
            </c:ext>
          </c:extLst>
        </c:ser>
        <c:ser>
          <c:idx val="0"/>
          <c:order val="1"/>
          <c:tx>
            <c:strRef>
              <c:f>MEPPER3!$S$21</c:f>
              <c:strCache>
                <c:ptCount val="1"/>
                <c:pt idx="0">
                  <c:v>PS et IR sur fractionnement</c:v>
                </c:pt>
              </c:strCache>
            </c:strRef>
          </c:tx>
          <c:spPr>
            <a:solidFill>
              <a:schemeClr val="bg2">
                <a:lumMod val="90000"/>
              </a:schemeClr>
            </a:solidFill>
            <a:ln>
              <a:noFill/>
            </a:ln>
            <a:effectLst/>
          </c:spPr>
          <c:invertIfNegative val="0"/>
          <c:dLbls>
            <c:dLbl>
              <c:idx val="0"/>
              <c:tx>
                <c:rich>
                  <a:bodyPr/>
                  <a:lstStyle/>
                  <a:p>
                    <a:fld id="{4E06A25B-D3EC-458B-B94D-14F1FA4BD8D8}" type="VALUE">
                      <a:rPr lang="en-US" sz="800" b="1"/>
                      <a:pPr/>
                      <a:t>[VALEUR]</a:t>
                    </a:fld>
                    <a:endParaRPr lang="fr-FR"/>
                  </a:p>
                </c:rich>
              </c:tx>
              <c:dLblPos val="ctr"/>
              <c:showLegendKey val="0"/>
              <c:showVal val="1"/>
              <c:showCatName val="0"/>
              <c:showSerName val="0"/>
              <c:showPercent val="0"/>
              <c:showBubbleSize val="0"/>
              <c:extLst>
                <c:ext xmlns:c15="http://schemas.microsoft.com/office/drawing/2012/chart" uri="{CE6537A1-D6FC-4f65-9D91-7224C49458BB}">
                  <c15:layout>
                    <c:manualLayout>
                      <c:w val="0.24240102963579052"/>
                      <c:h val="0.36946519883633006"/>
                    </c:manualLayout>
                  </c15:layout>
                  <c15:dlblFieldTable/>
                  <c15:showDataLabelsRange val="0"/>
                </c:ext>
                <c:ext xmlns:c16="http://schemas.microsoft.com/office/drawing/2014/chart" uri="{C3380CC4-5D6E-409C-BE32-E72D297353CC}">
                  <c16:uniqueId val="{00000006-9A8E-4C22-AE7B-D809FF7AD750}"/>
                </c:ext>
              </c:extLst>
            </c:dLbl>
            <c:numFmt formatCode="#\ ##0\ &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MEPPER3!$T$21</c:f>
              <c:numCache>
                <c:formatCode>#\ ##0\ "€"</c:formatCode>
                <c:ptCount val="1"/>
                <c:pt idx="0">
                  <c:v>2100.4479253246645</c:v>
                </c:pt>
              </c:numCache>
            </c:numRef>
          </c:val>
          <c:extLst>
            <c:ext xmlns:c16="http://schemas.microsoft.com/office/drawing/2014/chart" uri="{C3380CC4-5D6E-409C-BE32-E72D297353CC}">
              <c16:uniqueId val="{00000000-9A11-4C4B-B48E-BE5CD1E88F34}"/>
            </c:ext>
          </c:extLst>
        </c:ser>
        <c:dLbls>
          <c:dLblPos val="ctr"/>
          <c:showLegendKey val="0"/>
          <c:showVal val="1"/>
          <c:showCatName val="0"/>
          <c:showSerName val="0"/>
          <c:showPercent val="0"/>
          <c:showBubbleSize val="0"/>
        </c:dLbls>
        <c:gapWidth val="150"/>
        <c:overlap val="100"/>
        <c:axId val="566864352"/>
        <c:axId val="634281520"/>
      </c:barChart>
      <c:catAx>
        <c:axId val="566864352"/>
        <c:scaling>
          <c:orientation val="minMax"/>
        </c:scaling>
        <c:delete val="1"/>
        <c:axPos val="b"/>
        <c:numFmt formatCode="General" sourceLinked="1"/>
        <c:majorTickMark val="none"/>
        <c:minorTickMark val="none"/>
        <c:tickLblPos val="nextTo"/>
        <c:crossAx val="634281520"/>
        <c:crosses val="autoZero"/>
        <c:auto val="1"/>
        <c:lblAlgn val="ctr"/>
        <c:lblOffset val="100"/>
        <c:noMultiLvlLbl val="0"/>
      </c:catAx>
      <c:valAx>
        <c:axId val="634281520"/>
        <c:scaling>
          <c:orientation val="minMax"/>
        </c:scaling>
        <c:delete val="1"/>
        <c:axPos val="l"/>
        <c:numFmt formatCode="#\ ##0\ &quot;€&quot;" sourceLinked="1"/>
        <c:majorTickMark val="none"/>
        <c:minorTickMark val="none"/>
        <c:tickLblPos val="nextTo"/>
        <c:crossAx val="566864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0-066E-4B07-91E8-345B8A9C84E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465768557866533"/>
                      <c:h val="0.24804601487594705"/>
                    </c:manualLayout>
                  </c15:layout>
                </c:ext>
                <c:ext xmlns:c16="http://schemas.microsoft.com/office/drawing/2014/chart" uri="{C3380CC4-5D6E-409C-BE32-E72D297353CC}">
                  <c16:uniqueId val="{00000001-D789-4C08-B739-E8FB0A61ECB9}"/>
                </c:ext>
              </c:extLst>
            </c:dLbl>
            <c:numFmt formatCode="#\ ##0\ &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MEPPER3!$W$21:$W$22</c:f>
              <c:strCache>
                <c:ptCount val="2"/>
                <c:pt idx="0">
                  <c:v>Total retraits nets cumulés avant le décès</c:v>
                </c:pt>
                <c:pt idx="1">
                  <c:v>Transmission nette aux héritiers</c:v>
                </c:pt>
              </c:strCache>
            </c:strRef>
          </c:cat>
          <c:val>
            <c:numRef>
              <c:f>MEPPER3!$X$21:$X$22</c:f>
              <c:numCache>
                <c:formatCode>#\ ##0\ "€"</c:formatCode>
                <c:ptCount val="2"/>
                <c:pt idx="0">
                  <c:v>264666.02832898009</c:v>
                </c:pt>
                <c:pt idx="1">
                  <c:v>47528.000659361889</c:v>
                </c:pt>
              </c:numCache>
            </c:numRef>
          </c:val>
          <c:extLst>
            <c:ext xmlns:c16="http://schemas.microsoft.com/office/drawing/2014/chart" uri="{C3380CC4-5D6E-409C-BE32-E72D297353CC}">
              <c16:uniqueId val="{00000000-D789-4C08-B739-E8FB0A61ECB9}"/>
            </c:ext>
          </c:extLst>
        </c:ser>
        <c:dLbls>
          <c:dLblPos val="outEnd"/>
          <c:showLegendKey val="0"/>
          <c:showVal val="1"/>
          <c:showCatName val="0"/>
          <c:showSerName val="0"/>
          <c:showPercent val="0"/>
          <c:showBubbleSize val="0"/>
        </c:dLbls>
        <c:gapWidth val="50"/>
        <c:overlap val="-27"/>
        <c:axId val="861351504"/>
        <c:axId val="492054144"/>
      </c:barChart>
      <c:catAx>
        <c:axId val="861351504"/>
        <c:scaling>
          <c:orientation val="minMax"/>
        </c:scaling>
        <c:delete val="1"/>
        <c:axPos val="b"/>
        <c:numFmt formatCode="General" sourceLinked="1"/>
        <c:majorTickMark val="none"/>
        <c:minorTickMark val="none"/>
        <c:tickLblPos val="nextTo"/>
        <c:crossAx val="492054144"/>
        <c:crosses val="autoZero"/>
        <c:auto val="1"/>
        <c:lblAlgn val="ctr"/>
        <c:lblOffset val="100"/>
        <c:noMultiLvlLbl val="0"/>
      </c:catAx>
      <c:valAx>
        <c:axId val="492054144"/>
        <c:scaling>
          <c:orientation val="minMax"/>
        </c:scaling>
        <c:delete val="1"/>
        <c:axPos val="l"/>
        <c:numFmt formatCode="#\ ##0\ &quot;€&quot;" sourceLinked="1"/>
        <c:majorTickMark val="none"/>
        <c:minorTickMark val="none"/>
        <c:tickLblPos val="nextTo"/>
        <c:crossAx val="86135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MEPPER3!$F$33</c:f>
              <c:strCache>
                <c:ptCount val="1"/>
                <c:pt idx="0">
                  <c:v>Versements annuels nets</c:v>
                </c:pt>
              </c:strCache>
            </c:strRef>
          </c:tx>
          <c:spPr>
            <a:solidFill>
              <a:schemeClr val="accent2">
                <a:lumMod val="20000"/>
                <a:lumOff val="80000"/>
              </a:schemeClr>
            </a:solidFill>
            <a:ln>
              <a:noFill/>
            </a:ln>
            <a:effectLst/>
          </c:spPr>
          <c:invertIfNegative val="0"/>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MEPPER3!$G$33</c:f>
              <c:numCache>
                <c:formatCode>#\ ##0\ "€"</c:formatCode>
                <c:ptCount val="1"/>
                <c:pt idx="0">
                  <c:v>13560</c:v>
                </c:pt>
              </c:numCache>
            </c:numRef>
          </c:val>
          <c:extLst>
            <c:ext xmlns:c16="http://schemas.microsoft.com/office/drawing/2014/chart" uri="{C3380CC4-5D6E-409C-BE32-E72D297353CC}">
              <c16:uniqueId val="{00000000-D190-4CF2-8595-DDD8D8BE87D7}"/>
            </c:ext>
          </c:extLst>
        </c:ser>
        <c:ser>
          <c:idx val="1"/>
          <c:order val="1"/>
          <c:tx>
            <c:strRef>
              <c:f>MEPPER3!$F$34</c:f>
              <c:strCache>
                <c:ptCount val="1"/>
                <c:pt idx="0">
                  <c:v>Frais sur versements</c:v>
                </c:pt>
              </c:strCache>
            </c:strRef>
          </c:tx>
          <c:spPr>
            <a:solidFill>
              <a:schemeClr val="bg2">
                <a:lumMod val="90000"/>
              </a:schemeClr>
            </a:solidFill>
            <a:ln>
              <a:noFill/>
            </a:ln>
            <a:effectLst/>
          </c:spPr>
          <c:invertIfNegative val="0"/>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MEPPER3!$G$34</c:f>
              <c:numCache>
                <c:formatCode>#\ ##0\ "€"</c:formatCode>
                <c:ptCount val="1"/>
                <c:pt idx="0">
                  <c:v>440</c:v>
                </c:pt>
              </c:numCache>
            </c:numRef>
          </c:val>
          <c:extLst>
            <c:ext xmlns:c16="http://schemas.microsoft.com/office/drawing/2014/chart" uri="{C3380CC4-5D6E-409C-BE32-E72D297353CC}">
              <c16:uniqueId val="{00000001-D190-4CF2-8595-DDD8D8BE87D7}"/>
            </c:ext>
          </c:extLst>
        </c:ser>
        <c:dLbls>
          <c:dLblPos val="ctr"/>
          <c:showLegendKey val="0"/>
          <c:showVal val="1"/>
          <c:showCatName val="0"/>
          <c:showSerName val="0"/>
          <c:showPercent val="0"/>
          <c:showBubbleSize val="0"/>
        </c:dLbls>
        <c:gapWidth val="150"/>
        <c:overlap val="100"/>
        <c:axId val="566864352"/>
        <c:axId val="634281520"/>
      </c:barChart>
      <c:catAx>
        <c:axId val="566864352"/>
        <c:scaling>
          <c:orientation val="minMax"/>
        </c:scaling>
        <c:delete val="1"/>
        <c:axPos val="b"/>
        <c:numFmt formatCode="General" sourceLinked="1"/>
        <c:majorTickMark val="none"/>
        <c:minorTickMark val="none"/>
        <c:tickLblPos val="nextTo"/>
        <c:crossAx val="634281520"/>
        <c:crosses val="autoZero"/>
        <c:auto val="1"/>
        <c:lblAlgn val="ctr"/>
        <c:lblOffset val="100"/>
        <c:noMultiLvlLbl val="0"/>
      </c:catAx>
      <c:valAx>
        <c:axId val="634281520"/>
        <c:scaling>
          <c:orientation val="minMax"/>
        </c:scaling>
        <c:delete val="1"/>
        <c:axPos val="l"/>
        <c:numFmt formatCode="#\ ##0\ &quot;€&quot;" sourceLinked="1"/>
        <c:majorTickMark val="none"/>
        <c:minorTickMark val="none"/>
        <c:tickLblPos val="nextTo"/>
        <c:crossAx val="566864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E2FD-47E1-99EA-2B0B14F22478}"/>
              </c:ext>
            </c:extLst>
          </c:dPt>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1-E2FD-47E1-99EA-2B0B14F22478}"/>
              </c:ext>
            </c:extLst>
          </c:dPt>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MEPPER3!$W$34:$W$35</c:f>
              <c:strCache>
                <c:ptCount val="2"/>
                <c:pt idx="0">
                  <c:v>Total retraits nets cumulés avant le décès</c:v>
                </c:pt>
                <c:pt idx="1">
                  <c:v>Transmission nette aux héritiers</c:v>
                </c:pt>
              </c:strCache>
            </c:strRef>
          </c:cat>
          <c:val>
            <c:numRef>
              <c:f>MEPPER3!$X$34:$X$35</c:f>
              <c:numCache>
                <c:formatCode>#\ ##0\ "€"</c:formatCode>
                <c:ptCount val="2"/>
                <c:pt idx="0">
                  <c:v>212934.10100880871</c:v>
                </c:pt>
                <c:pt idx="1">
                  <c:v>28485.342023316582</c:v>
                </c:pt>
              </c:numCache>
            </c:numRef>
          </c:val>
          <c:extLst>
            <c:ext xmlns:c16="http://schemas.microsoft.com/office/drawing/2014/chart" uri="{C3380CC4-5D6E-409C-BE32-E72D297353CC}">
              <c16:uniqueId val="{00000003-E2FD-47E1-99EA-2B0B14F22478}"/>
            </c:ext>
          </c:extLst>
        </c:ser>
        <c:dLbls>
          <c:dLblPos val="outEnd"/>
          <c:showLegendKey val="0"/>
          <c:showVal val="1"/>
          <c:showCatName val="0"/>
          <c:showSerName val="0"/>
          <c:showPercent val="0"/>
          <c:showBubbleSize val="0"/>
        </c:dLbls>
        <c:gapWidth val="50"/>
        <c:overlap val="-27"/>
        <c:axId val="861351504"/>
        <c:axId val="492054144"/>
      </c:barChart>
      <c:catAx>
        <c:axId val="861351504"/>
        <c:scaling>
          <c:orientation val="minMax"/>
        </c:scaling>
        <c:delete val="1"/>
        <c:axPos val="b"/>
        <c:numFmt formatCode="General" sourceLinked="1"/>
        <c:majorTickMark val="none"/>
        <c:minorTickMark val="none"/>
        <c:tickLblPos val="nextTo"/>
        <c:crossAx val="492054144"/>
        <c:crosses val="autoZero"/>
        <c:auto val="1"/>
        <c:lblAlgn val="ctr"/>
        <c:lblOffset val="100"/>
        <c:noMultiLvlLbl val="0"/>
      </c:catAx>
      <c:valAx>
        <c:axId val="492054144"/>
        <c:scaling>
          <c:orientation val="minMax"/>
        </c:scaling>
        <c:delete val="1"/>
        <c:axPos val="l"/>
        <c:numFmt formatCode="#\ ##0\ &quot;€&quot;" sourceLinked="1"/>
        <c:majorTickMark val="none"/>
        <c:minorTickMark val="none"/>
        <c:tickLblPos val="nextTo"/>
        <c:crossAx val="86135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736316880360494E-2"/>
          <c:y val="4.4389090769282748E-2"/>
          <c:w val="0.87252736623927896"/>
          <c:h val="0.86683272769215181"/>
        </c:manualLayout>
      </c:layout>
      <c:barChart>
        <c:barDir val="col"/>
        <c:grouping val="stacked"/>
        <c:varyColors val="0"/>
        <c:ser>
          <c:idx val="1"/>
          <c:order val="0"/>
          <c:tx>
            <c:strRef>
              <c:f>MEPPER3!$S$35</c:f>
              <c:strCache>
                <c:ptCount val="1"/>
                <c:pt idx="0">
                  <c:v>Rachat net annuel</c:v>
                </c:pt>
              </c:strCache>
            </c:strRef>
          </c:tx>
          <c:spPr>
            <a:solidFill>
              <a:schemeClr val="accent2">
                <a:lumMod val="20000"/>
                <a:lumOff val="80000"/>
              </a:schemeClr>
            </a:solidFill>
            <a:ln>
              <a:noFill/>
            </a:ln>
            <a:effectLst/>
          </c:spPr>
          <c:invertIfNegative val="0"/>
          <c:dLbls>
            <c:dLbl>
              <c:idx val="0"/>
              <c:tx>
                <c:rich>
                  <a:bodyPr/>
                  <a:lstStyle/>
                  <a:p>
                    <a:fld id="{E4FD6FCC-43B1-4A2A-AE95-63167515D9B9}" type="VALUE">
                      <a:rPr lang="en-US" sz="800" b="1"/>
                      <a:pPr/>
                      <a:t>[VALEUR]</a:t>
                    </a:fld>
                    <a:endParaRPr lang="fr-FR"/>
                  </a:p>
                </c:rich>
              </c:tx>
              <c:dLblPos val="ctr"/>
              <c:showLegendKey val="0"/>
              <c:showVal val="1"/>
              <c:showCatName val="0"/>
              <c:showSerName val="0"/>
              <c:showPercent val="0"/>
              <c:showBubbleSize val="0"/>
              <c:extLst>
                <c:ext xmlns:c15="http://schemas.microsoft.com/office/drawing/2012/chart" uri="{CE6537A1-D6FC-4f65-9D91-7224C49458BB}">
                  <c15:layout>
                    <c:manualLayout>
                      <c:w val="0.24819524026127784"/>
                      <c:h val="0.36946519883633006"/>
                    </c:manualLayout>
                  </c15:layout>
                  <c15:dlblFieldTable/>
                  <c15:showDataLabelsRange val="0"/>
                </c:ext>
                <c:ext xmlns:c16="http://schemas.microsoft.com/office/drawing/2014/chart" uri="{C3380CC4-5D6E-409C-BE32-E72D297353CC}">
                  <c16:uniqueId val="{00000000-4399-4F48-A959-8BB3546FA713}"/>
                </c:ext>
              </c:extLst>
            </c:dLbl>
            <c:numFmt formatCode="#\ ##0\ &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MEPPER3!$T$35</c:f>
              <c:numCache>
                <c:formatCode>#\ ##0\ "€"</c:formatCode>
                <c:ptCount val="1"/>
                <c:pt idx="0">
                  <c:v>8510.6752534415591</c:v>
                </c:pt>
              </c:numCache>
            </c:numRef>
          </c:val>
          <c:extLst>
            <c:ext xmlns:c16="http://schemas.microsoft.com/office/drawing/2014/chart" uri="{C3380CC4-5D6E-409C-BE32-E72D297353CC}">
              <c16:uniqueId val="{00000001-4399-4F48-A959-8BB3546FA713}"/>
            </c:ext>
          </c:extLst>
        </c:ser>
        <c:ser>
          <c:idx val="0"/>
          <c:order val="1"/>
          <c:tx>
            <c:strRef>
              <c:f>MEPPER3!$S$34</c:f>
              <c:strCache>
                <c:ptCount val="1"/>
                <c:pt idx="0">
                  <c:v>PS et IR sur rachat</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F85ABD8-3E77-4EF4-A8CE-D38BB2601AF6}" type="VALUE">
                      <a:rPr lang="en-US" sz="800" b="1"/>
                      <a:pPr>
                        <a:defRPr/>
                      </a:pPr>
                      <a:t>[VALEUR]</a:t>
                    </a:fld>
                    <a:endParaRPr lang="fr-FR"/>
                  </a:p>
                </c:rich>
              </c:tx>
              <c:numFmt formatCode="#\ ##0\ &quot;€&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15:layout>
                    <c:manualLayout>
                      <c:w val="0.25998623076561594"/>
                      <c:h val="0.23652045451632783"/>
                    </c:manualLayout>
                  </c15:layout>
                  <c15:dlblFieldTable/>
                  <c15:showDataLabelsRange val="0"/>
                </c:ext>
                <c:ext xmlns:c16="http://schemas.microsoft.com/office/drawing/2014/chart" uri="{C3380CC4-5D6E-409C-BE32-E72D297353CC}">
                  <c16:uniqueId val="{00000002-4399-4F48-A959-8BB3546FA713}"/>
                </c:ext>
              </c:extLst>
            </c:dLbl>
            <c:numFmt formatCode="#\ ##0\ &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MEPPER3!$T$34</c:f>
              <c:numCache>
                <c:formatCode>#\ ##0\ "€"</c:formatCode>
                <c:ptCount val="1"/>
                <c:pt idx="0">
                  <c:v>439.7470534844706</c:v>
                </c:pt>
              </c:numCache>
            </c:numRef>
          </c:val>
          <c:extLst>
            <c:ext xmlns:c16="http://schemas.microsoft.com/office/drawing/2014/chart" uri="{C3380CC4-5D6E-409C-BE32-E72D297353CC}">
              <c16:uniqueId val="{00000003-4399-4F48-A959-8BB3546FA713}"/>
            </c:ext>
          </c:extLst>
        </c:ser>
        <c:dLbls>
          <c:dLblPos val="ctr"/>
          <c:showLegendKey val="0"/>
          <c:showVal val="1"/>
          <c:showCatName val="0"/>
          <c:showSerName val="0"/>
          <c:showPercent val="0"/>
          <c:showBubbleSize val="0"/>
        </c:dLbls>
        <c:gapWidth val="150"/>
        <c:overlap val="100"/>
        <c:axId val="566864352"/>
        <c:axId val="634281520"/>
      </c:barChart>
      <c:catAx>
        <c:axId val="566864352"/>
        <c:scaling>
          <c:orientation val="minMax"/>
        </c:scaling>
        <c:delete val="1"/>
        <c:axPos val="b"/>
        <c:numFmt formatCode="General" sourceLinked="1"/>
        <c:majorTickMark val="none"/>
        <c:minorTickMark val="none"/>
        <c:tickLblPos val="nextTo"/>
        <c:crossAx val="634281520"/>
        <c:crosses val="autoZero"/>
        <c:auto val="1"/>
        <c:lblAlgn val="ctr"/>
        <c:lblOffset val="100"/>
        <c:noMultiLvlLbl val="0"/>
      </c:catAx>
      <c:valAx>
        <c:axId val="634281520"/>
        <c:scaling>
          <c:orientation val="minMax"/>
        </c:scaling>
        <c:delete val="1"/>
        <c:axPos val="l"/>
        <c:numFmt formatCode="#\ ##0\ &quot;€&quot;" sourceLinked="1"/>
        <c:majorTickMark val="none"/>
        <c:minorTickMark val="none"/>
        <c:tickLblPos val="nextTo"/>
        <c:crossAx val="566864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strRef>
              <c:f>'Treso IS'!$V$1</c:f>
              <c:strCache>
                <c:ptCount val="1"/>
                <c:pt idx="0">
                  <c:v>Revenus N</c:v>
                </c:pt>
              </c:strCache>
            </c:strRef>
          </c:tx>
          <c:spPr>
            <a:solidFill>
              <a:schemeClr val="accent2"/>
            </a:solidFill>
            <a:ln>
              <a:noFill/>
            </a:ln>
            <a:effectLst/>
          </c:spPr>
          <c:invertIfNegative val="0"/>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'Treso IS'!$V$2:$V$4</c:f>
            </c:numRef>
          </c:val>
          <c:extLst>
            <c:ext xmlns:c15="http://schemas.microsoft.com/office/drawing/2012/chart" uri="{02D57815-91ED-43cb-92C2-25804820EDAC}">
              <c15:filteredCategoryTitle>
                <c15:cat>
                  <c:multiLvlStrRef>
                    <c:extLst>
                      <c:ext uri="{02D57815-91ED-43cb-92C2-25804820EDAC}">
                        <c15:formulaRef>
                          <c15:sqref>'Treso IS'!$U$2:$U$4</c15:sqref>
                        </c15:formulaRef>
                      </c:ext>
                    </c:extLst>
                  </c:multiLvlStrRef>
                </c15:cat>
              </c15:filteredCategoryTitle>
            </c:ext>
            <c:ext xmlns:c16="http://schemas.microsoft.com/office/drawing/2014/chart" uri="{C3380CC4-5D6E-409C-BE32-E72D297353CC}">
              <c16:uniqueId val="{00000001-CCD3-40E4-B9E6-B0065FB68023}"/>
            </c:ext>
          </c:extLst>
        </c:ser>
        <c:ser>
          <c:idx val="2"/>
          <c:order val="1"/>
          <c:tx>
            <c:strRef>
              <c:f>'Treso IS'!$W$1</c:f>
              <c:strCache>
                <c:ptCount val="1"/>
                <c:pt idx="0">
                  <c:v>IR</c:v>
                </c:pt>
              </c:strCache>
            </c:strRef>
          </c:tx>
          <c:spPr>
            <a:solidFill>
              <a:schemeClr val="accent3"/>
            </a:solidFill>
            <a:ln>
              <a:noFill/>
            </a:ln>
            <a:effectLst/>
          </c:spPr>
          <c:invertIfNegative val="0"/>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'Treso IS'!$W$2:$W$4</c:f>
            </c:numRef>
          </c:val>
          <c:extLst>
            <c:ext xmlns:c15="http://schemas.microsoft.com/office/drawing/2012/chart" uri="{02D57815-91ED-43cb-92C2-25804820EDAC}">
              <c15:filteredCategoryTitle>
                <c15:cat>
                  <c:multiLvlStrRef>
                    <c:extLst>
                      <c:ext uri="{02D57815-91ED-43cb-92C2-25804820EDAC}">
                        <c15:formulaRef>
                          <c15:sqref>'Treso IS'!$U$2:$U$4</c15:sqref>
                        </c15:formulaRef>
                      </c:ext>
                    </c:extLst>
                  </c:multiLvlStrRef>
                </c15:cat>
              </c15:filteredCategoryTitle>
            </c:ext>
            <c:ext xmlns:c16="http://schemas.microsoft.com/office/drawing/2014/chart" uri="{C3380CC4-5D6E-409C-BE32-E72D297353CC}">
              <c16:uniqueId val="{00000002-CCD3-40E4-B9E6-B0065FB68023}"/>
            </c:ext>
          </c:extLst>
        </c:ser>
        <c:ser>
          <c:idx val="3"/>
          <c:order val="2"/>
          <c:tx>
            <c:strRef>
              <c:f>'Treso IS'!$X$1</c:f>
              <c:strCache>
                <c:ptCount val="1"/>
                <c:pt idx="0">
                  <c:v>Retraite</c:v>
                </c:pt>
              </c:strCache>
            </c:strRef>
          </c:tx>
          <c:spPr>
            <a:solidFill>
              <a:schemeClr val="accent4"/>
            </a:solidFill>
            <a:ln>
              <a:noFill/>
            </a:ln>
            <a:effectLst/>
          </c:spPr>
          <c:invertIfNegative val="0"/>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'Treso IS'!$X$2:$X$4</c:f>
            </c:numRef>
          </c:val>
          <c:extLst>
            <c:ext xmlns:c15="http://schemas.microsoft.com/office/drawing/2012/chart" uri="{02D57815-91ED-43cb-92C2-25804820EDAC}">
              <c15:filteredCategoryTitle>
                <c15:cat>
                  <c:multiLvlStrRef>
                    <c:extLst>
                      <c:ext uri="{02D57815-91ED-43cb-92C2-25804820EDAC}">
                        <c15:formulaRef>
                          <c15:sqref>'Treso IS'!$U$2:$U$4</c15:sqref>
                        </c15:formulaRef>
                      </c:ext>
                    </c:extLst>
                  </c:multiLvlStrRef>
                </c15:cat>
              </c15:filteredCategoryTitle>
            </c:ext>
            <c:ext xmlns:c16="http://schemas.microsoft.com/office/drawing/2014/chart" uri="{C3380CC4-5D6E-409C-BE32-E72D297353CC}">
              <c16:uniqueId val="{00000003-CCD3-40E4-B9E6-B0065FB68023}"/>
            </c:ext>
          </c:extLst>
        </c:ser>
        <c:ser>
          <c:idx val="4"/>
          <c:order val="3"/>
          <c:tx>
            <c:strRef>
              <c:f>'Treso IS'!$Y$1</c:f>
              <c:strCache>
                <c:ptCount val="1"/>
                <c:pt idx="0">
                  <c:v>IR retraite</c:v>
                </c:pt>
              </c:strCache>
            </c:strRef>
          </c:tx>
          <c:spPr>
            <a:solidFill>
              <a:schemeClr val="accent5"/>
            </a:solidFill>
            <a:ln>
              <a:noFill/>
            </a:ln>
            <a:effectLst/>
          </c:spPr>
          <c:invertIfNegative val="0"/>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'Treso IS'!$Y$2:$Y$4</c:f>
            </c:numRef>
          </c:val>
          <c:extLst>
            <c:ext xmlns:c15="http://schemas.microsoft.com/office/drawing/2012/chart" uri="{02D57815-91ED-43cb-92C2-25804820EDAC}">
              <c15:filteredCategoryTitle>
                <c15:cat>
                  <c:multiLvlStrRef>
                    <c:extLst>
                      <c:ext uri="{02D57815-91ED-43cb-92C2-25804820EDAC}">
                        <c15:formulaRef>
                          <c15:sqref>'Treso IS'!$U$2:$U$4</c15:sqref>
                        </c15:formulaRef>
                      </c:ext>
                    </c:extLst>
                  </c:multiLvlStrRef>
                </c15:cat>
              </c15:filteredCategoryTitle>
            </c:ext>
            <c:ext xmlns:c16="http://schemas.microsoft.com/office/drawing/2014/chart" uri="{C3380CC4-5D6E-409C-BE32-E72D297353CC}">
              <c16:uniqueId val="{00000004-CCD3-40E4-B9E6-B0065FB68023}"/>
            </c:ext>
          </c:extLst>
        </c:ser>
        <c:ser>
          <c:idx val="5"/>
          <c:order val="4"/>
          <c:tx>
            <c:strRef>
              <c:f>'Treso IS'!$Z$1</c:f>
              <c:strCache>
                <c:ptCount val="1"/>
                <c:pt idx="0">
                  <c:v>Revenus Comp</c:v>
                </c:pt>
              </c:strCache>
            </c:strRef>
          </c:tx>
          <c:spPr>
            <a:solidFill>
              <a:schemeClr val="accent6"/>
            </a:solidFill>
            <a:ln>
              <a:noFill/>
            </a:ln>
            <a:effectLst/>
          </c:spPr>
          <c:invertIfNegative val="0"/>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'Treso IS'!$Z$2:$Z$4</c:f>
            </c:numRef>
          </c:val>
          <c:extLst>
            <c:ext xmlns:c15="http://schemas.microsoft.com/office/drawing/2012/chart" uri="{02D57815-91ED-43cb-92C2-25804820EDAC}">
              <c15:filteredCategoryTitle>
                <c15:cat>
                  <c:multiLvlStrRef>
                    <c:extLst>
                      <c:ext uri="{02D57815-91ED-43cb-92C2-25804820EDAC}">
                        <c15:formulaRef>
                          <c15:sqref>'Treso IS'!$U$2:$U$4</c15:sqref>
                        </c15:formulaRef>
                      </c:ext>
                    </c:extLst>
                  </c:multiLvlStrRef>
                </c15:cat>
              </c15:filteredCategoryTitle>
            </c:ext>
            <c:ext xmlns:c16="http://schemas.microsoft.com/office/drawing/2014/chart" uri="{C3380CC4-5D6E-409C-BE32-E72D297353CC}">
              <c16:uniqueId val="{00000005-CCD3-40E4-B9E6-B0065FB68023}"/>
            </c:ext>
          </c:extLst>
        </c:ser>
        <c:ser>
          <c:idx val="0"/>
          <c:order val="5"/>
          <c:tx>
            <c:strRef>
              <c:f>'Treso IS'!$AA$1</c:f>
              <c:strCache>
                <c:ptCount val="1"/>
                <c:pt idx="0">
                  <c:v>Delta</c:v>
                </c:pt>
              </c:strCache>
            </c:strRef>
          </c:tx>
          <c:spPr>
            <a:solidFill>
              <a:schemeClr val="accent1"/>
            </a:solidFill>
            <a:ln>
              <a:noFill/>
            </a:ln>
            <a:effectLst/>
          </c:spPr>
          <c:invertIfNegative val="0"/>
          <c:dLbls>
            <c:numFmt formatCode="#\ ##0\ &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'Treso IS'!$AA$2:$AA$4</c:f>
            </c:numRef>
          </c:val>
          <c:extLst>
            <c:ext xmlns:c15="http://schemas.microsoft.com/office/drawing/2012/chart" uri="{02D57815-91ED-43cb-92C2-25804820EDAC}">
              <c15:filteredCategoryTitle>
                <c15:cat>
                  <c:multiLvlStrRef>
                    <c:extLst>
                      <c:ext uri="{02D57815-91ED-43cb-92C2-25804820EDAC}">
                        <c15:formulaRef>
                          <c15:sqref>'Treso IS'!$U$2:$U$4</c15:sqref>
                        </c15:formulaRef>
                      </c:ext>
                    </c:extLst>
                  </c:multiLvlStrRef>
                </c15:cat>
              </c15:filteredCategoryTitle>
            </c:ext>
            <c:ext xmlns:c16="http://schemas.microsoft.com/office/drawing/2014/chart" uri="{C3380CC4-5D6E-409C-BE32-E72D297353CC}">
              <c16:uniqueId val="{00000007-CCD3-40E4-B9E6-B0065FB68023}"/>
            </c:ext>
          </c:extLst>
        </c:ser>
        <c:dLbls>
          <c:dLblPos val="ctr"/>
          <c:showLegendKey val="0"/>
          <c:showVal val="1"/>
          <c:showCatName val="0"/>
          <c:showSerName val="0"/>
          <c:showPercent val="0"/>
          <c:showBubbleSize val="0"/>
        </c:dLbls>
        <c:gapWidth val="150"/>
        <c:overlap val="100"/>
        <c:axId val="566864352"/>
        <c:axId val="634281520"/>
      </c:barChart>
      <c:catAx>
        <c:axId val="56686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34281520"/>
        <c:crosses val="autoZero"/>
        <c:auto val="1"/>
        <c:lblAlgn val="ctr"/>
        <c:lblOffset val="100"/>
        <c:noMultiLvlLbl val="0"/>
      </c:catAx>
      <c:valAx>
        <c:axId val="634281520"/>
        <c:scaling>
          <c:orientation val="minMax"/>
        </c:scaling>
        <c:delete val="1"/>
        <c:axPos val="l"/>
        <c:numFmt formatCode="#\ ##0\ &quot;€&quot;" sourceLinked="1"/>
        <c:majorTickMark val="out"/>
        <c:minorTickMark val="none"/>
        <c:tickLblPos val="nextTo"/>
        <c:crossAx val="566864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2" fmlaLink="Données!$R$4" inc="10" max="140" min="70" page="10" val="95"/>
</file>

<file path=xl/ctrlProps/ctrlProp2.xml><?xml version="1.0" encoding="utf-8"?>
<formControlPr xmlns="http://schemas.microsoft.com/office/spreadsheetml/2009/9/main" objectType="Spin" dx="22" fmlaLink="Données!$R$4" max="140" min="70" page="10" val="95"/>
</file>

<file path=xl/ctrlProps/ctrlProp3.xml><?xml version="1.0" encoding="utf-8"?>
<formControlPr xmlns="http://schemas.microsoft.com/office/spreadsheetml/2009/9/main" objectType="Spin" dx="22" fmlaLink="$I$15" max="30000" page="10" val="0"/>
</file>

<file path=xl/ctrlProps/ctrlProp4.xml><?xml version="1.0" encoding="utf-8"?>
<formControlPr xmlns="http://schemas.microsoft.com/office/spreadsheetml/2009/9/main" objectType="Spin" dx="22" fmlaLink="$I$15" max="30000" page="10" val="0"/>
</file>

<file path=xl/ctrlProps/ctrlProp5.xml><?xml version="1.0" encoding="utf-8"?>
<formControlPr xmlns="http://schemas.microsoft.com/office/spreadsheetml/2009/9/main" objectType="Spin" dx="22" fmlaLink="$I$15" max="30000" page="10" val="0"/>
</file>

<file path=xl/drawings/_rels/drawing1.xml.rels><?xml version="1.0" encoding="UTF-8" standalone="yes"?>
<Relationships xmlns="http://schemas.openxmlformats.org/package/2006/relationships"><Relationship Id="rId8" Type="http://schemas.openxmlformats.org/officeDocument/2006/relationships/hyperlink" Target="#Home!A1"/><Relationship Id="rId3" Type="http://schemas.openxmlformats.org/officeDocument/2006/relationships/image" Target="../media/image2.png"/><Relationship Id="rId7" Type="http://schemas.openxmlformats.org/officeDocument/2006/relationships/image" Target="../media/image6.sv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svg"/><Relationship Id="rId10" Type="http://schemas.openxmlformats.org/officeDocument/2006/relationships/image" Target="../media/image8.svg"/><Relationship Id="rId4" Type="http://schemas.openxmlformats.org/officeDocument/2006/relationships/image" Target="../media/image3.png"/><Relationship Id="rId9"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15.png"/><Relationship Id="rId18" Type="http://schemas.openxmlformats.org/officeDocument/2006/relationships/hyperlink" Target="#Placement!A1"/><Relationship Id="rId26" Type="http://schemas.openxmlformats.org/officeDocument/2006/relationships/hyperlink" Target="#'Treso IS'!A1"/><Relationship Id="rId3" Type="http://schemas.openxmlformats.org/officeDocument/2006/relationships/image" Target="../media/image9.png"/><Relationship Id="rId21" Type="http://schemas.openxmlformats.org/officeDocument/2006/relationships/hyperlink" Target="#IR!A1"/><Relationship Id="rId7" Type="http://schemas.openxmlformats.org/officeDocument/2006/relationships/image" Target="../media/image11.png"/><Relationship Id="rId12" Type="http://schemas.openxmlformats.org/officeDocument/2006/relationships/hyperlink" Target="#MEPPER!A1"/><Relationship Id="rId17" Type="http://schemas.openxmlformats.org/officeDocument/2006/relationships/image" Target="../media/image18.svg"/><Relationship Id="rId25" Type="http://schemas.openxmlformats.org/officeDocument/2006/relationships/image" Target="../media/image24.svg"/><Relationship Id="rId2" Type="http://schemas.openxmlformats.org/officeDocument/2006/relationships/image" Target="../media/image2.png"/><Relationship Id="rId16" Type="http://schemas.openxmlformats.org/officeDocument/2006/relationships/image" Target="../media/image17.png"/><Relationship Id="rId20" Type="http://schemas.openxmlformats.org/officeDocument/2006/relationships/image" Target="../media/image20.svg"/><Relationship Id="rId1" Type="http://schemas.openxmlformats.org/officeDocument/2006/relationships/hyperlink" Target="#Login!A1"/><Relationship Id="rId6" Type="http://schemas.openxmlformats.org/officeDocument/2006/relationships/hyperlink" Target="#'Pot ER Mode'!A1"/><Relationship Id="rId11" Type="http://schemas.openxmlformats.org/officeDocument/2006/relationships/image" Target="../media/image14.svg"/><Relationship Id="rId24" Type="http://schemas.openxmlformats.org/officeDocument/2006/relationships/image" Target="../media/image23.png"/><Relationship Id="rId5" Type="http://schemas.openxmlformats.org/officeDocument/2006/relationships/hyperlink" Target="#Donn&#233;es!A1"/><Relationship Id="rId15" Type="http://schemas.openxmlformats.org/officeDocument/2006/relationships/hyperlink" Target="#Cr&#233;dit!A1"/><Relationship Id="rId23" Type="http://schemas.openxmlformats.org/officeDocument/2006/relationships/image" Target="../media/image22.svg"/><Relationship Id="rId28" Type="http://schemas.openxmlformats.org/officeDocument/2006/relationships/image" Target="../media/image26.svg"/><Relationship Id="rId10" Type="http://schemas.openxmlformats.org/officeDocument/2006/relationships/image" Target="../media/image13.png"/><Relationship Id="rId19" Type="http://schemas.openxmlformats.org/officeDocument/2006/relationships/image" Target="../media/image19.png"/><Relationship Id="rId4" Type="http://schemas.openxmlformats.org/officeDocument/2006/relationships/image" Target="../media/image10.svg"/><Relationship Id="rId9" Type="http://schemas.openxmlformats.org/officeDocument/2006/relationships/hyperlink" Target="#'CT &#224; Transf'!A1"/><Relationship Id="rId14" Type="http://schemas.openxmlformats.org/officeDocument/2006/relationships/image" Target="../media/image16.svg"/><Relationship Id="rId22" Type="http://schemas.openxmlformats.org/officeDocument/2006/relationships/image" Target="../media/image21.png"/><Relationship Id="rId27" Type="http://schemas.openxmlformats.org/officeDocument/2006/relationships/image" Target="../media/image25.png"/></Relationships>
</file>

<file path=xl/drawings/_rels/drawing3.xml.rels><?xml version="1.0" encoding="UTF-8" standalone="yes"?>
<Relationships xmlns="http://schemas.openxmlformats.org/package/2006/relationships"><Relationship Id="rId3" Type="http://schemas.openxmlformats.org/officeDocument/2006/relationships/hyperlink" Target="#'Home Board'!A1"/><Relationship Id="rId2" Type="http://schemas.openxmlformats.org/officeDocument/2006/relationships/image" Target="../media/image2.png"/><Relationship Id="rId1" Type="http://schemas.openxmlformats.org/officeDocument/2006/relationships/hyperlink" Target="#Login!A1"/><Relationship Id="rId4" Type="http://schemas.openxmlformats.org/officeDocument/2006/relationships/hyperlink" Target="#Home!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hyperlink" Target="#Login!A1"/><Relationship Id="rId4" Type="http://schemas.openxmlformats.org/officeDocument/2006/relationships/hyperlink" Target="#Home!A1"/></Relationships>
</file>

<file path=xl/drawings/_rels/drawing5.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2.png"/><Relationship Id="rId1" Type="http://schemas.openxmlformats.org/officeDocument/2006/relationships/hyperlink" Target="#Login!A1"/></Relationships>
</file>

<file path=xl/drawings/_rels/drawing6.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hyperlink" Target="#Home!A1"/><Relationship Id="rId7" Type="http://schemas.openxmlformats.org/officeDocument/2006/relationships/image" Target="../media/image24.svg"/><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image" Target="../media/image23.png"/><Relationship Id="rId5" Type="http://schemas.openxmlformats.org/officeDocument/2006/relationships/image" Target="../media/image28.svg"/><Relationship Id="rId4" Type="http://schemas.openxmlformats.org/officeDocument/2006/relationships/image" Target="../media/image27.png"/><Relationship Id="rId9" Type="http://schemas.openxmlformats.org/officeDocument/2006/relationships/image" Target="../media/image30.svg"/></Relationships>
</file>

<file path=xl/drawings/_rels/drawing7.xml.rels><?xml version="1.0" encoding="UTF-8" standalone="yes"?>
<Relationships xmlns="http://schemas.openxmlformats.org/package/2006/relationships"><Relationship Id="rId8" Type="http://schemas.openxmlformats.org/officeDocument/2006/relationships/image" Target="../media/image38.svg"/><Relationship Id="rId13" Type="http://schemas.openxmlformats.org/officeDocument/2006/relationships/image" Target="../media/image43.png"/><Relationship Id="rId3" Type="http://schemas.openxmlformats.org/officeDocument/2006/relationships/image" Target="../media/image33.png"/><Relationship Id="rId7" Type="http://schemas.openxmlformats.org/officeDocument/2006/relationships/image" Target="../media/image37.png"/><Relationship Id="rId12" Type="http://schemas.openxmlformats.org/officeDocument/2006/relationships/image" Target="../media/image42.png"/><Relationship Id="rId2" Type="http://schemas.openxmlformats.org/officeDocument/2006/relationships/image" Target="../media/image32.jpeg"/><Relationship Id="rId1" Type="http://schemas.openxmlformats.org/officeDocument/2006/relationships/image" Target="../media/image31.png"/><Relationship Id="rId6" Type="http://schemas.openxmlformats.org/officeDocument/2006/relationships/image" Target="../media/image36.svg"/><Relationship Id="rId11" Type="http://schemas.openxmlformats.org/officeDocument/2006/relationships/image" Target="../media/image41.png"/><Relationship Id="rId5" Type="http://schemas.openxmlformats.org/officeDocument/2006/relationships/image" Target="../media/image35.png"/><Relationship Id="rId15" Type="http://schemas.openxmlformats.org/officeDocument/2006/relationships/image" Target="../media/image45.png"/><Relationship Id="rId10" Type="http://schemas.openxmlformats.org/officeDocument/2006/relationships/image" Target="../media/image40.svg"/><Relationship Id="rId4" Type="http://schemas.openxmlformats.org/officeDocument/2006/relationships/image" Target="../media/image34.svg"/><Relationship Id="rId9" Type="http://schemas.openxmlformats.org/officeDocument/2006/relationships/image" Target="../media/image39.png"/><Relationship Id="rId14" Type="http://schemas.openxmlformats.org/officeDocument/2006/relationships/image" Target="../media/image44.png"/></Relationships>
</file>

<file path=xl/drawings/_rels/drawing8.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image" Target="../media/image24.svg"/><Relationship Id="rId5" Type="http://schemas.openxmlformats.org/officeDocument/2006/relationships/image" Target="../media/image23.png"/><Relationship Id="rId4" Type="http://schemas.openxmlformats.org/officeDocument/2006/relationships/hyperlink" Target="#'Avis IR N-2'!A1"/></Relationships>
</file>

<file path=xl/drawings/_rels/drawing9.xml.rels><?xml version="1.0" encoding="UTF-8" standalone="yes"?>
<Relationships xmlns="http://schemas.openxmlformats.org/package/2006/relationships"><Relationship Id="rId8" Type="http://schemas.openxmlformats.org/officeDocument/2006/relationships/hyperlink" Target="#'D&#233;cla N-1'!A1"/><Relationship Id="rId3" Type="http://schemas.openxmlformats.org/officeDocument/2006/relationships/hyperlink" Target="#Home!A1"/><Relationship Id="rId7" Type="http://schemas.openxmlformats.org/officeDocument/2006/relationships/hyperlink" Target="#'Pot ER Mode'!A1"/><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image" Target="../media/image48.png"/><Relationship Id="rId5" Type="http://schemas.openxmlformats.org/officeDocument/2006/relationships/image" Target="../media/image47.png"/><Relationship Id="rId10" Type="http://schemas.openxmlformats.org/officeDocument/2006/relationships/hyperlink" Target="#'Estimation N'!A1"/><Relationship Id="rId4" Type="http://schemas.openxmlformats.org/officeDocument/2006/relationships/image" Target="../media/image46.png"/><Relationship Id="rId9" Type="http://schemas.openxmlformats.org/officeDocument/2006/relationships/hyperlink" Target="#'Avis IR N-2'!A1"/></Relationships>
</file>

<file path=xl/drawings/_rels/drawing10.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hyperlink" Target="#'Synth&#232;se d&#233;cla'!A1"/><Relationship Id="rId5" Type="http://schemas.openxmlformats.org/officeDocument/2006/relationships/hyperlink" Target="#'Avis IR N-2'!A1"/><Relationship Id="rId4" Type="http://schemas.openxmlformats.org/officeDocument/2006/relationships/hyperlink" Target="#'Pot ER Mode'!A1"/></Relationships>
</file>

<file path=xl/drawings/_rels/drawing11.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hyperlink" Target="#Home!A1"/><Relationship Id="rId7" Type="http://schemas.openxmlformats.org/officeDocument/2006/relationships/hyperlink" Target="#'Estimation N'!A1"/><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hyperlink" Target="#'D&#233;cla N-1'!A1"/><Relationship Id="rId5" Type="http://schemas.openxmlformats.org/officeDocument/2006/relationships/hyperlink" Target="#'Avis IR N-2'!A1"/><Relationship Id="rId4" Type="http://schemas.openxmlformats.org/officeDocument/2006/relationships/hyperlink" Target="#'Pot ER Mode'!A1"/><Relationship Id="rId9" Type="http://schemas.openxmlformats.org/officeDocument/2006/relationships/image" Target="../media/image30.svg"/></Relationships>
</file>

<file path=xl/drawings/_rels/drawing12.xml.rels><?xml version="1.0" encoding="UTF-8" standalone="yes"?>
<Relationships xmlns="http://schemas.openxmlformats.org/package/2006/relationships"><Relationship Id="rId8" Type="http://schemas.openxmlformats.org/officeDocument/2006/relationships/hyperlink" Target="#Synth&#232;se!A1"/><Relationship Id="rId3" Type="http://schemas.openxmlformats.org/officeDocument/2006/relationships/hyperlink" Target="#Home!A1"/><Relationship Id="rId7" Type="http://schemas.openxmlformats.org/officeDocument/2006/relationships/hyperlink" Target="#'Synth&#232;se d&#233;cla'!A1"/><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hyperlink" Target="#'D&#233;cla N-1'!A1"/><Relationship Id="rId5" Type="http://schemas.openxmlformats.org/officeDocument/2006/relationships/hyperlink" Target="#'Avis IR N-2'!A1"/><Relationship Id="rId4" Type="http://schemas.openxmlformats.org/officeDocument/2006/relationships/hyperlink" Target="#'Pot ER Mode'!A1"/></Relationships>
</file>

<file path=xl/drawings/_rels/drawing13.xml.rels><?xml version="1.0" encoding="UTF-8" standalone="yes"?>
<Relationships xmlns="http://schemas.openxmlformats.org/package/2006/relationships"><Relationship Id="rId8" Type="http://schemas.openxmlformats.org/officeDocument/2006/relationships/hyperlink" Target="#'Estimation N'!A1"/><Relationship Id="rId3" Type="http://schemas.openxmlformats.org/officeDocument/2006/relationships/hyperlink" Target="#Home!A1"/><Relationship Id="rId7" Type="http://schemas.openxmlformats.org/officeDocument/2006/relationships/hyperlink" Target="#'Synth&#232;se d&#233;cla'!A1"/><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hyperlink" Target="#'D&#233;cla N-1'!A1"/><Relationship Id="rId5" Type="http://schemas.openxmlformats.org/officeDocument/2006/relationships/hyperlink" Target="#'Avis IR N-2'!A1"/><Relationship Id="rId10" Type="http://schemas.openxmlformats.org/officeDocument/2006/relationships/image" Target="../media/image30.svg"/><Relationship Id="rId4" Type="http://schemas.openxmlformats.org/officeDocument/2006/relationships/hyperlink" Target="#'Pot ER Mode'!A1"/><Relationship Id="rId9" Type="http://schemas.openxmlformats.org/officeDocument/2006/relationships/image" Target="../media/image29.png"/></Relationships>
</file>

<file path=xl/drawings/_rels/drawing14.xml.rels><?xml version="1.0" encoding="UTF-8" standalone="yes"?>
<Relationships xmlns="http://schemas.openxmlformats.org/package/2006/relationships"><Relationship Id="rId8" Type="http://schemas.openxmlformats.org/officeDocument/2006/relationships/image" Target="../media/image38.svg"/><Relationship Id="rId13" Type="http://schemas.openxmlformats.org/officeDocument/2006/relationships/image" Target="../media/image43.png"/><Relationship Id="rId18" Type="http://schemas.openxmlformats.org/officeDocument/2006/relationships/image" Target="../media/image51.png"/><Relationship Id="rId3" Type="http://schemas.openxmlformats.org/officeDocument/2006/relationships/image" Target="../media/image33.png"/><Relationship Id="rId21" Type="http://schemas.openxmlformats.org/officeDocument/2006/relationships/image" Target="../media/image54.svg"/><Relationship Id="rId7" Type="http://schemas.openxmlformats.org/officeDocument/2006/relationships/image" Target="../media/image37.png"/><Relationship Id="rId12" Type="http://schemas.openxmlformats.org/officeDocument/2006/relationships/image" Target="../media/image42.png"/><Relationship Id="rId17" Type="http://schemas.openxmlformats.org/officeDocument/2006/relationships/image" Target="../media/image50.svg"/><Relationship Id="rId25" Type="http://schemas.openxmlformats.org/officeDocument/2006/relationships/image" Target="../media/image58.svg"/><Relationship Id="rId2" Type="http://schemas.openxmlformats.org/officeDocument/2006/relationships/image" Target="../media/image32.jpeg"/><Relationship Id="rId16" Type="http://schemas.openxmlformats.org/officeDocument/2006/relationships/image" Target="../media/image49.png"/><Relationship Id="rId20" Type="http://schemas.openxmlformats.org/officeDocument/2006/relationships/image" Target="../media/image53.png"/><Relationship Id="rId1" Type="http://schemas.openxmlformats.org/officeDocument/2006/relationships/image" Target="../media/image31.png"/><Relationship Id="rId6" Type="http://schemas.openxmlformats.org/officeDocument/2006/relationships/image" Target="../media/image36.svg"/><Relationship Id="rId11" Type="http://schemas.openxmlformats.org/officeDocument/2006/relationships/image" Target="../media/image41.png"/><Relationship Id="rId24" Type="http://schemas.openxmlformats.org/officeDocument/2006/relationships/image" Target="../media/image57.png"/><Relationship Id="rId5" Type="http://schemas.openxmlformats.org/officeDocument/2006/relationships/image" Target="../media/image35.png"/><Relationship Id="rId15" Type="http://schemas.openxmlformats.org/officeDocument/2006/relationships/image" Target="../media/image45.png"/><Relationship Id="rId23" Type="http://schemas.openxmlformats.org/officeDocument/2006/relationships/image" Target="../media/image56.svg"/><Relationship Id="rId10" Type="http://schemas.openxmlformats.org/officeDocument/2006/relationships/image" Target="../media/image40.svg"/><Relationship Id="rId19" Type="http://schemas.openxmlformats.org/officeDocument/2006/relationships/image" Target="../media/image52.svg"/><Relationship Id="rId4" Type="http://schemas.openxmlformats.org/officeDocument/2006/relationships/image" Target="../media/image34.svg"/><Relationship Id="rId9" Type="http://schemas.openxmlformats.org/officeDocument/2006/relationships/image" Target="../media/image39.png"/><Relationship Id="rId14" Type="http://schemas.openxmlformats.org/officeDocument/2006/relationships/image" Target="../media/image44.png"/><Relationship Id="rId22" Type="http://schemas.openxmlformats.org/officeDocument/2006/relationships/image" Target="../media/image55.png"/></Relationships>
</file>

<file path=xl/drawings/_rels/drawing15.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2.png"/><Relationship Id="rId1" Type="http://schemas.openxmlformats.org/officeDocument/2006/relationships/hyperlink" Target="#Login!A1"/><Relationship Id="rId5" Type="http://schemas.openxmlformats.org/officeDocument/2006/relationships/image" Target="../media/image24.svg"/><Relationship Id="rId4" Type="http://schemas.openxmlformats.org/officeDocument/2006/relationships/image" Target="../media/image23.png"/></Relationships>
</file>

<file path=xl/drawings/_rels/drawing16.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hyperlink" Target="#Synth&#232;sePER!A1"/><Relationship Id="rId5" Type="http://schemas.openxmlformats.org/officeDocument/2006/relationships/hyperlink" Target="#'Avis IR N-2'!A1"/><Relationship Id="rId4" Type="http://schemas.openxmlformats.org/officeDocument/2006/relationships/hyperlink" Target="#'CT &#224; Transf'!A1"/></Relationships>
</file>

<file path=xl/drawings/_rels/drawing17.xml.rels><?xml version="1.0" encoding="UTF-8" standalone="yes"?>
<Relationships xmlns="http://schemas.openxmlformats.org/package/2006/relationships"><Relationship Id="rId8" Type="http://schemas.openxmlformats.org/officeDocument/2006/relationships/image" Target="../media/image28.svg"/><Relationship Id="rId3" Type="http://schemas.openxmlformats.org/officeDocument/2006/relationships/hyperlink" Target="#Home!A1"/><Relationship Id="rId7" Type="http://schemas.openxmlformats.org/officeDocument/2006/relationships/image" Target="../media/image27.png"/><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hyperlink" Target="#'Sit 1'!A1"/><Relationship Id="rId11" Type="http://schemas.openxmlformats.org/officeDocument/2006/relationships/image" Target="../media/image30.svg"/><Relationship Id="rId5" Type="http://schemas.openxmlformats.org/officeDocument/2006/relationships/hyperlink" Target="#NewPER!A1"/><Relationship Id="rId10" Type="http://schemas.openxmlformats.org/officeDocument/2006/relationships/image" Target="../media/image29.png"/><Relationship Id="rId4" Type="http://schemas.openxmlformats.org/officeDocument/2006/relationships/hyperlink" Target="#'CT &#224; Transf'!A1"/><Relationship Id="rId9" Type="http://schemas.openxmlformats.org/officeDocument/2006/relationships/hyperlink" Target="#'Sit 2'!A1"/></Relationships>
</file>

<file path=xl/drawings/_rels/drawing18.xml.rels><?xml version="1.0" encoding="UTF-8" standalone="yes"?>
<Relationships xmlns="http://schemas.openxmlformats.org/package/2006/relationships"><Relationship Id="rId3" Type="http://schemas.openxmlformats.org/officeDocument/2006/relationships/image" Target="../media/image64.svg"/><Relationship Id="rId2" Type="http://schemas.openxmlformats.org/officeDocument/2006/relationships/image" Target="../media/image63.png"/><Relationship Id="rId1" Type="http://schemas.openxmlformats.org/officeDocument/2006/relationships/hyperlink" Target="#Synth&#232;sePER!A1"/></Relationships>
</file>

<file path=xl/drawings/_rels/drawing19.xml.rels><?xml version="1.0" encoding="UTF-8" standalone="yes"?>
<Relationships xmlns="http://schemas.openxmlformats.org/package/2006/relationships"><Relationship Id="rId3" Type="http://schemas.openxmlformats.org/officeDocument/2006/relationships/image" Target="../media/image64.svg"/><Relationship Id="rId2" Type="http://schemas.openxmlformats.org/officeDocument/2006/relationships/image" Target="../media/image63.png"/><Relationship Id="rId1" Type="http://schemas.openxmlformats.org/officeDocument/2006/relationships/hyperlink" Target="#Synth&#232;sePER!A1"/></Relationships>
</file>

<file path=xl/drawings/_rels/drawing20.xml.rels><?xml version="1.0" encoding="UTF-8" standalone="yes"?>
<Relationships xmlns="http://schemas.openxmlformats.org/package/2006/relationships"><Relationship Id="rId8" Type="http://schemas.openxmlformats.org/officeDocument/2006/relationships/image" Target="../media/image66.jpeg"/><Relationship Id="rId13" Type="http://schemas.openxmlformats.org/officeDocument/2006/relationships/image" Target="../media/image41.png"/><Relationship Id="rId18" Type="http://schemas.openxmlformats.org/officeDocument/2006/relationships/image" Target="../media/image67.jpeg"/><Relationship Id="rId3" Type="http://schemas.openxmlformats.org/officeDocument/2006/relationships/image" Target="../media/image65.jpeg"/><Relationship Id="rId21" Type="http://schemas.openxmlformats.org/officeDocument/2006/relationships/image" Target="../media/image70.png"/><Relationship Id="rId7" Type="http://schemas.openxmlformats.org/officeDocument/2006/relationships/chart" Target="../charts/chart5.xml"/><Relationship Id="rId12" Type="http://schemas.openxmlformats.org/officeDocument/2006/relationships/chart" Target="../charts/chart9.xml"/><Relationship Id="rId17" Type="http://schemas.openxmlformats.org/officeDocument/2006/relationships/image" Target="../media/image45.png"/><Relationship Id="rId2" Type="http://schemas.openxmlformats.org/officeDocument/2006/relationships/image" Target="../media/image32.jpeg"/><Relationship Id="rId16" Type="http://schemas.openxmlformats.org/officeDocument/2006/relationships/image" Target="../media/image44.png"/><Relationship Id="rId20" Type="http://schemas.openxmlformats.org/officeDocument/2006/relationships/image" Target="../media/image69.svg"/><Relationship Id="rId1" Type="http://schemas.openxmlformats.org/officeDocument/2006/relationships/image" Target="../media/image31.png"/><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chart" Target="../charts/chart3.xml"/><Relationship Id="rId15" Type="http://schemas.openxmlformats.org/officeDocument/2006/relationships/image" Target="../media/image43.png"/><Relationship Id="rId10" Type="http://schemas.openxmlformats.org/officeDocument/2006/relationships/chart" Target="../charts/chart7.xml"/><Relationship Id="rId19" Type="http://schemas.openxmlformats.org/officeDocument/2006/relationships/image" Target="../media/image68.png"/><Relationship Id="rId4" Type="http://schemas.openxmlformats.org/officeDocument/2006/relationships/chart" Target="../charts/chart2.xml"/><Relationship Id="rId9" Type="http://schemas.openxmlformats.org/officeDocument/2006/relationships/chart" Target="../charts/chart6.xml"/><Relationship Id="rId14" Type="http://schemas.openxmlformats.org/officeDocument/2006/relationships/image" Target="../media/image42.png"/><Relationship Id="rId22" Type="http://schemas.openxmlformats.org/officeDocument/2006/relationships/image" Target="../media/image71.svg"/></Relationships>
</file>

<file path=xl/drawings/_rels/drawing21.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2.png"/><Relationship Id="rId1" Type="http://schemas.openxmlformats.org/officeDocument/2006/relationships/hyperlink" Target="#Login!A1"/><Relationship Id="rId5" Type="http://schemas.openxmlformats.org/officeDocument/2006/relationships/image" Target="../media/image24.svg"/><Relationship Id="rId4" Type="http://schemas.openxmlformats.org/officeDocument/2006/relationships/image" Target="../media/image23.png"/></Relationships>
</file>

<file path=xl/drawings/_rels/drawing22.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2.png"/><Relationship Id="rId1" Type="http://schemas.openxmlformats.org/officeDocument/2006/relationships/hyperlink" Target="#Login!A1"/><Relationship Id="rId4" Type="http://schemas.openxmlformats.org/officeDocument/2006/relationships/hyperlink" Target="#MEPPER!A1"/></Relationships>
</file>

<file path=xl/drawings/_rels/drawing2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28.svg"/><Relationship Id="rId18" Type="http://schemas.openxmlformats.org/officeDocument/2006/relationships/image" Target="../media/image30.svg"/><Relationship Id="rId3" Type="http://schemas.openxmlformats.org/officeDocument/2006/relationships/image" Target="../media/image2.png"/><Relationship Id="rId7" Type="http://schemas.openxmlformats.org/officeDocument/2006/relationships/chart" Target="../charts/chart11.xml"/><Relationship Id="rId12" Type="http://schemas.openxmlformats.org/officeDocument/2006/relationships/image" Target="../media/image27.png"/><Relationship Id="rId17" Type="http://schemas.openxmlformats.org/officeDocument/2006/relationships/image" Target="../media/image29.png"/><Relationship Id="rId2" Type="http://schemas.openxmlformats.org/officeDocument/2006/relationships/hyperlink" Target="#Login!A1"/><Relationship Id="rId16" Type="http://schemas.openxmlformats.org/officeDocument/2006/relationships/chart" Target="../charts/chart16.xml"/><Relationship Id="rId1" Type="http://schemas.openxmlformats.org/officeDocument/2006/relationships/chart" Target="../charts/chart10.xml"/><Relationship Id="rId6" Type="http://schemas.openxmlformats.org/officeDocument/2006/relationships/hyperlink" Target="#MEPPER2!A1"/><Relationship Id="rId11" Type="http://schemas.openxmlformats.org/officeDocument/2006/relationships/hyperlink" Target="#'Sit 1(2)'!A1"/><Relationship Id="rId5" Type="http://schemas.openxmlformats.org/officeDocument/2006/relationships/hyperlink" Target="#MEPPER!A1"/><Relationship Id="rId15" Type="http://schemas.openxmlformats.org/officeDocument/2006/relationships/chart" Target="../charts/chart15.xml"/><Relationship Id="rId10" Type="http://schemas.openxmlformats.org/officeDocument/2006/relationships/chart" Target="../charts/chart14.xml"/><Relationship Id="rId19" Type="http://schemas.openxmlformats.org/officeDocument/2006/relationships/chart" Target="../charts/chart17.xml"/><Relationship Id="rId4" Type="http://schemas.openxmlformats.org/officeDocument/2006/relationships/hyperlink" Target="#Home!A1"/><Relationship Id="rId9" Type="http://schemas.openxmlformats.org/officeDocument/2006/relationships/chart" Target="../charts/chart13.xml"/><Relationship Id="rId14" Type="http://schemas.openxmlformats.org/officeDocument/2006/relationships/hyperlink" Target="#'Sit 2(2)'!A1"/></Relationships>
</file>

<file path=xl/drawings/_rels/drawing24.xml.rels><?xml version="1.0" encoding="UTF-8" standalone="yes"?>
<Relationships xmlns="http://schemas.openxmlformats.org/package/2006/relationships"><Relationship Id="rId3" Type="http://schemas.openxmlformats.org/officeDocument/2006/relationships/image" Target="../media/image64.svg"/><Relationship Id="rId2" Type="http://schemas.openxmlformats.org/officeDocument/2006/relationships/image" Target="../media/image63.png"/><Relationship Id="rId1" Type="http://schemas.openxmlformats.org/officeDocument/2006/relationships/hyperlink" Target="#MEPPER3!A1"/></Relationships>
</file>

<file path=xl/drawings/_rels/drawing25.xml.rels><?xml version="1.0" encoding="UTF-8" standalone="yes"?>
<Relationships xmlns="http://schemas.openxmlformats.org/package/2006/relationships"><Relationship Id="rId3" Type="http://schemas.openxmlformats.org/officeDocument/2006/relationships/image" Target="../media/image64.svg"/><Relationship Id="rId2" Type="http://schemas.openxmlformats.org/officeDocument/2006/relationships/image" Target="../media/image63.png"/><Relationship Id="rId1" Type="http://schemas.openxmlformats.org/officeDocument/2006/relationships/hyperlink" Target="#MEPPER3!A1"/></Relationships>
</file>

<file path=xl/drawings/_rels/drawing26.xml.rels><?xml version="1.0" encoding="UTF-8" standalone="yes"?>
<Relationships xmlns="http://schemas.openxmlformats.org/package/2006/relationships"><Relationship Id="rId3" Type="http://schemas.openxmlformats.org/officeDocument/2006/relationships/hyperlink" Target="#Home!A1"/><Relationship Id="rId7" Type="http://schemas.openxmlformats.org/officeDocument/2006/relationships/chart" Target="../charts/chart18.xml"/><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image" Target="../media/image24.svg"/><Relationship Id="rId5" Type="http://schemas.openxmlformats.org/officeDocument/2006/relationships/image" Target="../media/image23.png"/><Relationship Id="rId4" Type="http://schemas.openxmlformats.org/officeDocument/2006/relationships/hyperlink" Target="#'Param treso'!A1"/></Relationships>
</file>

<file path=xl/drawings/_rels/drawing27.xml.rels><?xml version="1.0" encoding="UTF-8" standalone="yes"?>
<Relationships xmlns="http://schemas.openxmlformats.org/package/2006/relationships"><Relationship Id="rId8" Type="http://schemas.openxmlformats.org/officeDocument/2006/relationships/image" Target="../media/image28.svg"/><Relationship Id="rId3" Type="http://schemas.openxmlformats.org/officeDocument/2006/relationships/hyperlink" Target="#Home!A1"/><Relationship Id="rId7" Type="http://schemas.openxmlformats.org/officeDocument/2006/relationships/image" Target="../media/image27.png"/><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hyperlink" Target="#'Cr&#233;dit (IR)'!A1"/><Relationship Id="rId5" Type="http://schemas.openxmlformats.org/officeDocument/2006/relationships/hyperlink" Target="#'R&#233;sultat tr&#233;so'!A1"/><Relationship Id="rId4" Type="http://schemas.openxmlformats.org/officeDocument/2006/relationships/hyperlink" Target="#'Treso IS'!A1"/><Relationship Id="rId9" Type="http://schemas.openxmlformats.org/officeDocument/2006/relationships/hyperlink" Target="#'Cr&#233;dit (IS)'!A1"/></Relationships>
</file>

<file path=xl/drawings/_rels/drawing28.xml.rels><?xml version="1.0" encoding="UTF-8" standalone="yes"?>
<Relationships xmlns="http://schemas.openxmlformats.org/package/2006/relationships"><Relationship Id="rId3" Type="http://schemas.openxmlformats.org/officeDocument/2006/relationships/hyperlink" Target="#'Param treso'!A1"/><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hyperlink" Target="#Home!A1"/><Relationship Id="rId5" Type="http://schemas.openxmlformats.org/officeDocument/2006/relationships/image" Target="../media/image64.svg"/><Relationship Id="rId4" Type="http://schemas.openxmlformats.org/officeDocument/2006/relationships/image" Target="../media/image63.png"/></Relationships>
</file>

<file path=xl/drawings/_rels/drawing29.xml.rels><?xml version="1.0" encoding="UTF-8" standalone="yes"?>
<Relationships xmlns="http://schemas.openxmlformats.org/package/2006/relationships"><Relationship Id="rId3" Type="http://schemas.openxmlformats.org/officeDocument/2006/relationships/hyperlink" Target="#'Param treso'!A1"/><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hyperlink" Target="#Home!A1"/><Relationship Id="rId5" Type="http://schemas.openxmlformats.org/officeDocument/2006/relationships/image" Target="../media/image64.svg"/><Relationship Id="rId4" Type="http://schemas.openxmlformats.org/officeDocument/2006/relationships/image" Target="../media/image63.png"/></Relationships>
</file>

<file path=xl/drawings/_rels/drawing30.xml.rels><?xml version="1.0" encoding="UTF-8" standalone="yes"?>
<Relationships xmlns="http://schemas.openxmlformats.org/package/2006/relationships"><Relationship Id="rId3" Type="http://schemas.openxmlformats.org/officeDocument/2006/relationships/hyperlink" Target="#'Param treso'!A1"/><Relationship Id="rId2" Type="http://schemas.openxmlformats.org/officeDocument/2006/relationships/image" Target="../media/image2.png"/><Relationship Id="rId1" Type="http://schemas.openxmlformats.org/officeDocument/2006/relationships/hyperlink" Target="#Login!A1"/><Relationship Id="rId6" Type="http://schemas.openxmlformats.org/officeDocument/2006/relationships/hyperlink" Target="#Home!A1"/><Relationship Id="rId5" Type="http://schemas.openxmlformats.org/officeDocument/2006/relationships/image" Target="../media/image64.svg"/><Relationship Id="rId4" Type="http://schemas.openxmlformats.org/officeDocument/2006/relationships/image" Target="../media/image63.png"/></Relationships>
</file>

<file path=xl/drawings/_rels/drawing31.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2.png"/><Relationship Id="rId1" Type="http://schemas.openxmlformats.org/officeDocument/2006/relationships/hyperlink" Target="#Login!A1"/><Relationship Id="rId5" Type="http://schemas.openxmlformats.org/officeDocument/2006/relationships/image" Target="../media/image24.svg"/><Relationship Id="rId4" Type="http://schemas.openxmlformats.org/officeDocument/2006/relationships/image" Target="../media/image23.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9.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62.emf"/><Relationship Id="rId2" Type="http://schemas.openxmlformats.org/officeDocument/2006/relationships/image" Target="../media/image61.emf"/><Relationship Id="rId1" Type="http://schemas.openxmlformats.org/officeDocument/2006/relationships/image" Target="../media/image60.emf"/></Relationships>
</file>

<file path=xl/drawings/_rels/vmlDrawing16.vml.rels><?xml version="1.0" encoding="UTF-8" standalone="yes"?>
<Relationships xmlns="http://schemas.openxmlformats.org/package/2006/relationships"><Relationship Id="rId2" Type="http://schemas.openxmlformats.org/officeDocument/2006/relationships/image" Target="../media/image73.emf"/><Relationship Id="rId1" Type="http://schemas.openxmlformats.org/officeDocument/2006/relationships/image" Target="../media/image7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7513</xdr:colOff>
      <xdr:row>54</xdr:row>
      <xdr:rowOff>22950</xdr:rowOff>
    </xdr:to>
    <xdr:pic>
      <xdr:nvPicPr>
        <xdr:cNvPr id="25" name="Image 24">
          <a:extLst>
            <a:ext uri="{FF2B5EF4-FFF2-40B4-BE49-F238E27FC236}">
              <a16:creationId xmlns:a16="http://schemas.microsoft.com/office/drawing/2014/main" id="{37D5D598-DB0A-7BA6-D43F-95234B90CB03}"/>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val="0"/>
            </a:ext>
          </a:extLst>
        </a:blip>
        <a:stretch>
          <a:fillRect/>
        </a:stretch>
      </xdr:blipFill>
      <xdr:spPr>
        <a:xfrm>
          <a:off x="0" y="0"/>
          <a:ext cx="15385224" cy="10557830"/>
        </a:xfrm>
        <a:prstGeom prst="rect">
          <a:avLst/>
        </a:prstGeom>
      </xdr:spPr>
    </xdr:pic>
    <xdr:clientData/>
  </xdr:twoCellAnchor>
  <xdr:twoCellAnchor>
    <xdr:from>
      <xdr:col>0</xdr:col>
      <xdr:colOff>0</xdr:colOff>
      <xdr:row>0</xdr:row>
      <xdr:rowOff>0</xdr:rowOff>
    </xdr:from>
    <xdr:to>
      <xdr:col>20</xdr:col>
      <xdr:colOff>45903</xdr:colOff>
      <xdr:row>59</xdr:row>
      <xdr:rowOff>85880</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0" y="0"/>
          <a:ext cx="15423614" cy="11596211"/>
        </a:xfrm>
        <a:prstGeom prst="rect">
          <a:avLst/>
        </a:prstGeom>
        <a:solidFill>
          <a:srgbClr val="2C3D38">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655320</xdr:colOff>
      <xdr:row>1</xdr:row>
      <xdr:rowOff>137160</xdr:rowOff>
    </xdr:from>
    <xdr:to>
      <xdr:col>6</xdr:col>
      <xdr:colOff>350520</xdr:colOff>
      <xdr:row>10</xdr:row>
      <xdr:rowOff>22860</xdr:rowOff>
    </xdr:to>
    <xdr:sp macro="" textlink="">
      <xdr:nvSpPr>
        <xdr:cNvPr id="24" name="Rectangle 23">
          <a:extLst>
            <a:ext uri="{FF2B5EF4-FFF2-40B4-BE49-F238E27FC236}">
              <a16:creationId xmlns:a16="http://schemas.microsoft.com/office/drawing/2014/main" id="{00000000-0008-0000-0000-000018000000}"/>
            </a:ext>
          </a:extLst>
        </xdr:cNvPr>
        <xdr:cNvSpPr/>
      </xdr:nvSpPr>
      <xdr:spPr>
        <a:xfrm>
          <a:off x="655320" y="324537"/>
          <a:ext cx="4332782" cy="1572093"/>
        </a:xfrm>
        <a:prstGeom prst="rect">
          <a:avLst/>
        </a:prstGeom>
        <a:no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4800" b="1"/>
            <a:t>SER1</a:t>
          </a:r>
        </a:p>
        <a:p>
          <a:pPr algn="l"/>
          <a:r>
            <a:rPr lang="fr-FR" sz="1600" b="1"/>
            <a:t>Simulateur épargne retraite</a:t>
          </a:r>
          <a:endParaRPr lang="fr-FR" sz="1600" b="1" baseline="0"/>
        </a:p>
        <a:p>
          <a:pPr algn="l"/>
          <a:r>
            <a:rPr lang="fr-FR" sz="1200" b="0" i="1" baseline="0"/>
            <a:t>Version IRPS </a:t>
          </a:r>
          <a:r>
            <a:rPr lang="fr-FR" sz="800" b="0" i="1" baseline="0"/>
            <a:t>v20250516</a:t>
          </a:r>
          <a:endParaRPr lang="fr-FR" sz="600" b="0" i="1"/>
        </a:p>
      </xdr:txBody>
    </xdr:sp>
    <xdr:clientData/>
  </xdr:twoCellAnchor>
  <xdr:twoCellAnchor>
    <xdr:from>
      <xdr:col>0</xdr:col>
      <xdr:colOff>746760</xdr:colOff>
      <xdr:row>6</xdr:row>
      <xdr:rowOff>68580</xdr:rowOff>
    </xdr:from>
    <xdr:to>
      <xdr:col>2</xdr:col>
      <xdr:colOff>571500</xdr:colOff>
      <xdr:row>6</xdr:row>
      <xdr:rowOff>68580</xdr:rowOff>
    </xdr:to>
    <xdr:cxnSp macro="">
      <xdr:nvCxnSpPr>
        <xdr:cNvPr id="26" name="Connecteur droit 25">
          <a:extLst>
            <a:ext uri="{FF2B5EF4-FFF2-40B4-BE49-F238E27FC236}">
              <a16:creationId xmlns:a16="http://schemas.microsoft.com/office/drawing/2014/main" id="{00000000-0008-0000-0000-00001A000000}"/>
            </a:ext>
          </a:extLst>
        </xdr:cNvPr>
        <xdr:cNvCxnSpPr/>
      </xdr:nvCxnSpPr>
      <xdr:spPr>
        <a:xfrm>
          <a:off x="746760" y="1165860"/>
          <a:ext cx="1409700"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16</xdr:col>
      <xdr:colOff>522533</xdr:colOff>
      <xdr:row>3</xdr:row>
      <xdr:rowOff>84195</xdr:rowOff>
    </xdr:from>
    <xdr:to>
      <xdr:col>18</xdr:col>
      <xdr:colOff>530153</xdr:colOff>
      <xdr:row>9</xdr:row>
      <xdr:rowOff>122188</xdr:rowOff>
    </xdr:to>
    <xdr:pic macro="[0]!Verouillage">
      <xdr:nvPicPr>
        <xdr:cNvPr id="27" name="Image 26" descr="Une image contenant typographie, Police, conception, Graphique&#10;&#10;Description générée automatiquement">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889418" y="646326"/>
          <a:ext cx="1553481" cy="1162255"/>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174380</xdr:colOff>
      <xdr:row>0</xdr:row>
      <xdr:rowOff>80596</xdr:rowOff>
    </xdr:from>
    <xdr:to>
      <xdr:col>0</xdr:col>
      <xdr:colOff>371488</xdr:colOff>
      <xdr:row>1</xdr:row>
      <xdr:rowOff>95249</xdr:rowOff>
    </xdr:to>
    <xdr:pic macro="[0]!Modifbase">
      <xdr:nvPicPr>
        <xdr:cNvPr id="4" name="Graphique 3" descr="Verrou avec un remplissage uni">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74380" y="80596"/>
          <a:ext cx="197108" cy="205153"/>
        </a:xfrm>
        <a:prstGeom prst="rect">
          <a:avLst/>
        </a:prstGeom>
      </xdr:spPr>
    </xdr:pic>
    <xdr:clientData/>
  </xdr:twoCellAnchor>
  <xdr:twoCellAnchor>
    <xdr:from>
      <xdr:col>0</xdr:col>
      <xdr:colOff>329712</xdr:colOff>
      <xdr:row>0</xdr:row>
      <xdr:rowOff>109589</xdr:rowOff>
    </xdr:from>
    <xdr:to>
      <xdr:col>1</xdr:col>
      <xdr:colOff>608135</xdr:colOff>
      <xdr:row>1</xdr:row>
      <xdr:rowOff>119260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329712" y="109589"/>
          <a:ext cx="1051353" cy="197048"/>
        </a:xfrm>
        <a:prstGeom prst="rect">
          <a:avLst/>
        </a:prstGeom>
        <a:no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b="0" i="1"/>
            <a:t>Version 2025</a:t>
          </a:r>
          <a:endParaRPr lang="fr-FR" sz="100" b="0" i="1"/>
        </a:p>
      </xdr:txBody>
    </xdr:sp>
    <xdr:clientData/>
  </xdr:twoCellAnchor>
  <xdr:twoCellAnchor>
    <xdr:from>
      <xdr:col>1</xdr:col>
      <xdr:colOff>499672</xdr:colOff>
      <xdr:row>13</xdr:row>
      <xdr:rowOff>45083</xdr:rowOff>
    </xdr:from>
    <xdr:to>
      <xdr:col>4</xdr:col>
      <xdr:colOff>39037</xdr:colOff>
      <xdr:row>16</xdr:row>
      <xdr:rowOff>156150</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1272602" y="2480985"/>
          <a:ext cx="1858156" cy="673198"/>
        </a:xfrm>
        <a:prstGeom prst="rect">
          <a:avLst/>
        </a:prstGeom>
        <a:no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900" b="1" i="1"/>
            <a:t>Ajustement de l'affichage.</a:t>
          </a:r>
        </a:p>
        <a:p>
          <a:pPr algn="l"/>
          <a:r>
            <a:rPr lang="fr-FR" sz="900" b="0" i="1"/>
            <a:t>Taille maximale</a:t>
          </a:r>
          <a:r>
            <a:rPr lang="fr-FR" sz="900" b="0" i="1" baseline="0"/>
            <a:t> à ajuster jusqu'à la visualisation d'une barre jaune à droite de votre écran.</a:t>
          </a:r>
          <a:endParaRPr lang="fr-FR" sz="100" b="0" i="1"/>
        </a:p>
      </xdr:txBody>
    </xdr:sp>
    <xdr:clientData fPrintsWithSheet="0"/>
  </xdr:twoCellAnchor>
  <xdr:twoCellAnchor editAs="oneCell">
    <xdr:from>
      <xdr:col>8</xdr:col>
      <xdr:colOff>520345</xdr:colOff>
      <xdr:row>25</xdr:row>
      <xdr:rowOff>49399</xdr:rowOff>
    </xdr:from>
    <xdr:to>
      <xdr:col>10</xdr:col>
      <xdr:colOff>365135</xdr:colOff>
      <xdr:row>25</xdr:row>
      <xdr:rowOff>77974</xdr:rowOff>
    </xdr:to>
    <xdr:pic>
      <xdr:nvPicPr>
        <xdr:cNvPr id="10" name="Graphiqu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03788" y="4733825"/>
          <a:ext cx="1390650" cy="28575"/>
        </a:xfrm>
        <a:prstGeom prst="rect">
          <a:avLst/>
        </a:prstGeom>
      </xdr:spPr>
    </xdr:pic>
    <xdr:clientData/>
  </xdr:twoCellAnchor>
  <xdr:twoCellAnchor>
    <xdr:from>
      <xdr:col>8</xdr:col>
      <xdr:colOff>195184</xdr:colOff>
      <xdr:row>25</xdr:row>
      <xdr:rowOff>46844</xdr:rowOff>
    </xdr:from>
    <xdr:to>
      <xdr:col>10</xdr:col>
      <xdr:colOff>710472</xdr:colOff>
      <xdr:row>27</xdr:row>
      <xdr:rowOff>117111</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6378627" y="4731270"/>
          <a:ext cx="2061148" cy="445021"/>
        </a:xfrm>
        <a:prstGeom prst="rect">
          <a:avLst/>
        </a:prstGeom>
        <a:no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900" b="0" i="1"/>
            <a:t>Pour fonctionner, cet outil doit être </a:t>
          </a:r>
          <a:r>
            <a:rPr lang="fr-FR" sz="900" b="0" i="1" baseline="0"/>
            <a:t>enregistré sur votre PC</a:t>
          </a:r>
          <a:endParaRPr lang="fr-FR" sz="100" b="0" i="1"/>
        </a:p>
      </xdr:txBody>
    </xdr:sp>
    <xdr:clientData fPrintsWithSheet="0"/>
  </xdr:twoCellAnchor>
  <xdr:twoCellAnchor>
    <xdr:from>
      <xdr:col>8</xdr:col>
      <xdr:colOff>429406</xdr:colOff>
      <xdr:row>17</xdr:row>
      <xdr:rowOff>31230</xdr:rowOff>
    </xdr:from>
    <xdr:to>
      <xdr:col>10</xdr:col>
      <xdr:colOff>491865</xdr:colOff>
      <xdr:row>25</xdr:row>
      <xdr:rowOff>163957</xdr:rowOff>
    </xdr:to>
    <xdr:grpSp>
      <xdr:nvGrpSpPr>
        <xdr:cNvPr id="18" name="Groupe 17">
          <a:hlinkClick xmlns:r="http://schemas.openxmlformats.org/officeDocument/2006/relationships" r:id="rId8"/>
          <a:extLst>
            <a:ext uri="{FF2B5EF4-FFF2-40B4-BE49-F238E27FC236}">
              <a16:creationId xmlns:a16="http://schemas.microsoft.com/office/drawing/2014/main" id="{00000000-0008-0000-0000-000012000000}"/>
            </a:ext>
          </a:extLst>
        </xdr:cNvPr>
        <xdr:cNvGrpSpPr/>
      </xdr:nvGrpSpPr>
      <xdr:grpSpPr>
        <a:xfrm>
          <a:off x="6782080" y="3167462"/>
          <a:ext cx="1650627" cy="1608600"/>
          <a:chOff x="17777398" y="2435902"/>
          <a:chExt cx="1608319" cy="1631743"/>
        </a:xfrm>
      </xdr:grpSpPr>
      <xdr:pic>
        <xdr:nvPicPr>
          <xdr:cNvPr id="16" name="Graphique 15" descr="Entrer avec un remplissage uni">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7925740" y="2435902"/>
            <a:ext cx="1327254" cy="1327254"/>
          </a:xfrm>
          <a:prstGeom prst="rect">
            <a:avLst/>
          </a:prstGeom>
        </xdr:spPr>
      </xdr:pic>
      <xdr:sp macro="" textlink="">
        <xdr:nvSpPr>
          <xdr:cNvPr id="17" name="ZoneTexte 16">
            <a:extLst>
              <a:ext uri="{FF2B5EF4-FFF2-40B4-BE49-F238E27FC236}">
                <a16:creationId xmlns:a16="http://schemas.microsoft.com/office/drawing/2014/main" id="{00000000-0008-0000-0000-000011000000}"/>
              </a:ext>
            </a:extLst>
          </xdr:cNvPr>
          <xdr:cNvSpPr txBox="1"/>
        </xdr:nvSpPr>
        <xdr:spPr>
          <a:xfrm>
            <a:off x="17777398" y="3653854"/>
            <a:ext cx="1608319" cy="413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100" b="1" i="1">
                <a:solidFill>
                  <a:schemeClr val="bg1"/>
                </a:solidFill>
                <a:latin typeface="Optima LT Pro" panose="020B0502050508020304" pitchFamily="34" charset="0"/>
              </a:rPr>
              <a:t>Accéder</a:t>
            </a:r>
            <a:r>
              <a:rPr lang="fr-FR" sz="1100" b="1" i="1" baseline="0">
                <a:solidFill>
                  <a:schemeClr val="bg1"/>
                </a:solidFill>
                <a:latin typeface="Optima LT Pro" panose="020B0502050508020304" pitchFamily="34" charset="0"/>
              </a:rPr>
              <a:t> à l'outil</a:t>
            </a:r>
            <a:endParaRPr lang="fr-FR" sz="1100" b="1" i="1">
              <a:solidFill>
                <a:schemeClr val="bg1"/>
              </a:solidFill>
              <a:latin typeface="Optima LT Pro" panose="020B0502050508020304" pitchFamily="34" charset="0"/>
            </a:endParaRPr>
          </a:p>
        </xdr:txBody>
      </xdr:sp>
    </xdr:grpSp>
    <xdr:clientData/>
  </xdr:twoCellAnchor>
  <xdr:twoCellAnchor>
    <xdr:from>
      <xdr:col>1</xdr:col>
      <xdr:colOff>538709</xdr:colOff>
      <xdr:row>0</xdr:row>
      <xdr:rowOff>109589</xdr:rowOff>
    </xdr:from>
    <xdr:to>
      <xdr:col>3</xdr:col>
      <xdr:colOff>585553</xdr:colOff>
      <xdr:row>1</xdr:row>
      <xdr:rowOff>119260</xdr:rowOff>
    </xdr:to>
    <xdr:grpSp>
      <xdr:nvGrpSpPr>
        <xdr:cNvPr id="12" name="Groupe 11">
          <a:extLst>
            <a:ext uri="{FF2B5EF4-FFF2-40B4-BE49-F238E27FC236}">
              <a16:creationId xmlns:a16="http://schemas.microsoft.com/office/drawing/2014/main" id="{00000000-0008-0000-0000-00000C000000}"/>
            </a:ext>
          </a:extLst>
        </xdr:cNvPr>
        <xdr:cNvGrpSpPr/>
      </xdr:nvGrpSpPr>
      <xdr:grpSpPr>
        <a:xfrm>
          <a:off x="1332793" y="109589"/>
          <a:ext cx="1635013" cy="194155"/>
          <a:chOff x="1311639" y="111619"/>
          <a:chExt cx="1592705" cy="197048"/>
        </a:xfrm>
      </xdr:grpSpPr>
      <xdr:sp macro="" textlink="Données!R5">
        <xdr:nvSpPr>
          <xdr:cNvPr id="11" name="Rectangle 10">
            <a:extLst>
              <a:ext uri="{FF2B5EF4-FFF2-40B4-BE49-F238E27FC236}">
                <a16:creationId xmlns:a16="http://schemas.microsoft.com/office/drawing/2014/main" id="{00000000-0008-0000-0000-00000B000000}"/>
              </a:ext>
            </a:extLst>
          </xdr:cNvPr>
          <xdr:cNvSpPr/>
        </xdr:nvSpPr>
        <xdr:spPr>
          <a:xfrm>
            <a:off x="1965513" y="111619"/>
            <a:ext cx="938831" cy="197048"/>
          </a:xfrm>
          <a:prstGeom prst="rect">
            <a:avLst/>
          </a:prstGeom>
          <a:no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9E2F0CB7-A280-4BB7-87E3-71734554B804}" type="TxLink">
              <a:rPr lang="en-US" sz="800" b="0" i="1" u="none" strike="noStrike">
                <a:solidFill>
                  <a:schemeClr val="bg1"/>
                </a:solidFill>
                <a:latin typeface="Calibri"/>
                <a:cs typeface="Calibri"/>
              </a:rPr>
              <a:pPr algn="l"/>
              <a:t>01/01/2026</a:t>
            </a:fld>
            <a:endParaRPr lang="fr-FR" sz="800" b="0" i="1">
              <a:solidFill>
                <a:schemeClr val="bg1"/>
              </a:solidFill>
            </a:endParaRPr>
          </a:p>
        </xdr:txBody>
      </xdr:sp>
      <xdr:sp macro="" textlink="">
        <xdr:nvSpPr>
          <xdr:cNvPr id="9" name="Rectangle 8">
            <a:extLst>
              <a:ext uri="{FF2B5EF4-FFF2-40B4-BE49-F238E27FC236}">
                <a16:creationId xmlns:a16="http://schemas.microsoft.com/office/drawing/2014/main" id="{00000000-0008-0000-0000-000009000000}"/>
              </a:ext>
            </a:extLst>
          </xdr:cNvPr>
          <xdr:cNvSpPr/>
        </xdr:nvSpPr>
        <xdr:spPr>
          <a:xfrm>
            <a:off x="1311639" y="111619"/>
            <a:ext cx="819776" cy="197048"/>
          </a:xfrm>
          <a:prstGeom prst="rect">
            <a:avLst/>
          </a:prstGeom>
          <a:no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b="0" i="1"/>
              <a:t>Fin de validité :</a:t>
            </a:r>
            <a:endParaRPr lang="fr-FR" sz="100" b="0" i="1"/>
          </a:p>
        </xdr:txBody>
      </xdr:sp>
    </xdr:grpSp>
    <xdr:clientData/>
  </xdr:twoCellAnchor>
  <mc:AlternateContent xmlns:mc="http://schemas.openxmlformats.org/markup-compatibility/2006">
    <mc:Choice xmlns:a14="http://schemas.microsoft.com/office/drawing/2010/main" Requires="a14">
      <xdr:twoCellAnchor>
        <xdr:from>
          <xdr:col>0</xdr:col>
          <xdr:colOff>762000</xdr:colOff>
          <xdr:row>13</xdr:row>
          <xdr:rowOff>114300</xdr:rowOff>
        </xdr:from>
        <xdr:to>
          <xdr:col>1</xdr:col>
          <xdr:colOff>480060</xdr:colOff>
          <xdr:row>16</xdr:row>
          <xdr:rowOff>76200</xdr:rowOff>
        </xdr:to>
        <xdr:sp macro="" textlink="">
          <xdr:nvSpPr>
            <xdr:cNvPr id="1035" name="Spinner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19</xdr:col>
      <xdr:colOff>1</xdr:colOff>
      <xdr:row>0</xdr:row>
      <xdr:rowOff>0</xdr:rowOff>
    </xdr:from>
    <xdr:to>
      <xdr:col>19</xdr:col>
      <xdr:colOff>7808</xdr:colOff>
      <xdr:row>13</xdr:row>
      <xdr:rowOff>46844</xdr:rowOff>
    </xdr:to>
    <xdr:cxnSp macro="">
      <xdr:nvCxnSpPr>
        <xdr:cNvPr id="14" name="Connecteur droit 13">
          <a:extLst>
            <a:ext uri="{FF2B5EF4-FFF2-40B4-BE49-F238E27FC236}">
              <a16:creationId xmlns:a16="http://schemas.microsoft.com/office/drawing/2014/main" id="{00000000-0008-0000-0000-00000E000000}"/>
            </a:ext>
          </a:extLst>
        </xdr:cNvPr>
        <xdr:cNvCxnSpPr/>
      </xdr:nvCxnSpPr>
      <xdr:spPr>
        <a:xfrm>
          <a:off x="14685677" y="0"/>
          <a:ext cx="7807" cy="2482746"/>
        </a:xfrm>
        <a:prstGeom prst="line">
          <a:avLst/>
        </a:prstGeom>
        <a:ln w="381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757316</xdr:colOff>
      <xdr:row>0</xdr:row>
      <xdr:rowOff>23422</xdr:rowOff>
    </xdr:from>
    <xdr:to>
      <xdr:col>20</xdr:col>
      <xdr:colOff>54651</xdr:colOff>
      <xdr:row>13</xdr:row>
      <xdr:rowOff>31229</xdr:rowOff>
    </xdr:to>
    <xdr:sp macro="" textlink="">
      <xdr:nvSpPr>
        <xdr:cNvPr id="15" name="Rectangle 14">
          <a:extLst>
            <a:ext uri="{FF2B5EF4-FFF2-40B4-BE49-F238E27FC236}">
              <a16:creationId xmlns:a16="http://schemas.microsoft.com/office/drawing/2014/main" id="{00000000-0008-0000-0000-00000F000000}"/>
            </a:ext>
          </a:extLst>
        </xdr:cNvPr>
        <xdr:cNvSpPr/>
      </xdr:nvSpPr>
      <xdr:spPr>
        <a:xfrm>
          <a:off x="14670062" y="23422"/>
          <a:ext cx="843196" cy="2443709"/>
        </a:xfrm>
        <a:prstGeom prst="rect">
          <a:avLst/>
        </a:prstGeom>
        <a:no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1050" b="1" i="1"/>
            <a:t>Taille maximale d'affichage dépassée</a:t>
          </a:r>
        </a:p>
        <a:p>
          <a:pPr algn="l"/>
          <a:endParaRPr lang="fr-FR" sz="1050" b="1" i="1"/>
        </a:p>
        <a:p>
          <a:pPr algn="l"/>
          <a:r>
            <a:rPr lang="fr-FR" sz="1050" b="1" i="1"/>
            <a:t>Veuillez utiliser</a:t>
          </a:r>
          <a:r>
            <a:rPr lang="fr-FR" sz="1050" b="1" i="1" baseline="0"/>
            <a:t> les boutons d'ajustement à gauche de l'écran</a:t>
          </a:r>
          <a:endParaRPr lang="fr-FR" sz="300" b="1" i="1"/>
        </a:p>
      </xdr:txBody>
    </xdr:sp>
    <xdr:clientData fPrintsWithSheet="0"/>
  </xdr:twoCellAnchor>
  <xdr:twoCellAnchor>
    <xdr:from>
      <xdr:col>16</xdr:col>
      <xdr:colOff>530021</xdr:colOff>
      <xdr:row>9</xdr:row>
      <xdr:rowOff>152398</xdr:rowOff>
    </xdr:from>
    <xdr:to>
      <xdr:col>18</xdr:col>
      <xdr:colOff>537703</xdr:colOff>
      <xdr:row>14</xdr:row>
      <xdr:rowOff>131645</xdr:rowOff>
    </xdr:to>
    <xdr:sp macro="" textlink="">
      <xdr:nvSpPr>
        <xdr:cNvPr id="19" name="Rectangle 18">
          <a:extLst>
            <a:ext uri="{FF2B5EF4-FFF2-40B4-BE49-F238E27FC236}">
              <a16:creationId xmlns:a16="http://schemas.microsoft.com/office/drawing/2014/main" id="{00000000-0008-0000-0000-000013000000}"/>
            </a:ext>
          </a:extLst>
        </xdr:cNvPr>
        <xdr:cNvSpPr/>
      </xdr:nvSpPr>
      <xdr:spPr>
        <a:xfrm>
          <a:off x="12920265" y="1894776"/>
          <a:ext cx="1556462" cy="947235"/>
        </a:xfrm>
        <a:prstGeom prst="rect">
          <a:avLst/>
        </a:prstGeom>
        <a:no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900" b="0" i="1"/>
            <a:t>Outil développé</a:t>
          </a:r>
          <a:r>
            <a:rPr lang="fr-FR" sz="900" b="0" i="1" baseline="0"/>
            <a:t> et géré par le pôle social. Pour toute question complémentaire, ou problème de fonctionnement merci de vous rapprocher de votre ICRPS.</a:t>
          </a:r>
          <a:endParaRPr lang="fr-FR" sz="100" b="0" i="1"/>
        </a:p>
      </xdr:txBody>
    </xdr:sp>
    <xdr:clientData fPrintsWithSheet="0"/>
  </xdr:twoCellAnchor>
  <mc:AlternateContent xmlns:mc="http://schemas.openxmlformats.org/markup-compatibility/2006">
    <mc:Choice xmlns:a14="http://schemas.microsoft.com/office/drawing/2010/main" Requires="a14">
      <xdr:twoCellAnchor>
        <xdr:from>
          <xdr:col>0</xdr:col>
          <xdr:colOff>556260</xdr:colOff>
          <xdr:row>13</xdr:row>
          <xdr:rowOff>114300</xdr:rowOff>
        </xdr:from>
        <xdr:to>
          <xdr:col>0</xdr:col>
          <xdr:colOff>723900</xdr:colOff>
          <xdr:row>16</xdr:row>
          <xdr:rowOff>76200</xdr:rowOff>
        </xdr:to>
        <xdr:sp macro="" textlink="">
          <xdr:nvSpPr>
            <xdr:cNvPr id="1036" name="Spinner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0</xdr:col>
      <xdr:colOff>31228</xdr:colOff>
      <xdr:row>0</xdr:row>
      <xdr:rowOff>0</xdr:rowOff>
    </xdr:from>
    <xdr:to>
      <xdr:col>18</xdr:col>
      <xdr:colOff>214108</xdr:colOff>
      <xdr:row>6</xdr:row>
      <xdr:rowOff>1</xdr:rowOff>
    </xdr:to>
    <xdr:grpSp>
      <xdr:nvGrpSpPr>
        <xdr:cNvPr id="33" name="Groupe 32">
          <a:hlinkClick xmlns:r="http://schemas.openxmlformats.org/officeDocument/2006/relationships" r:id="rId1"/>
          <a:extLst>
            <a:ext uri="{FF2B5EF4-FFF2-40B4-BE49-F238E27FC236}">
              <a16:creationId xmlns:a16="http://schemas.microsoft.com/office/drawing/2014/main" id="{00000000-0008-0000-0100-000021000000}"/>
            </a:ext>
          </a:extLst>
        </xdr:cNvPr>
        <xdr:cNvGrpSpPr/>
      </xdr:nvGrpSpPr>
      <xdr:grpSpPr>
        <a:xfrm>
          <a:off x="31228" y="0"/>
          <a:ext cx="14320148" cy="1115123"/>
          <a:chOff x="30480" y="0"/>
          <a:chExt cx="14295120" cy="1097281"/>
        </a:xfrm>
      </xdr:grpSpPr>
      <xdr:sp macro="" textlink="">
        <xdr:nvSpPr>
          <xdr:cNvPr id="34" name="Rectangle 33">
            <a:extLst>
              <a:ext uri="{FF2B5EF4-FFF2-40B4-BE49-F238E27FC236}">
                <a16:creationId xmlns:a16="http://schemas.microsoft.com/office/drawing/2014/main" id="{00000000-0008-0000-0100-000022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35" name="Image 34"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100-00002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655822</xdr:colOff>
      <xdr:row>7</xdr:row>
      <xdr:rowOff>155956</xdr:rowOff>
    </xdr:from>
    <xdr:to>
      <xdr:col>17</xdr:col>
      <xdr:colOff>507106</xdr:colOff>
      <xdr:row>34</xdr:row>
      <xdr:rowOff>143115</xdr:rowOff>
    </xdr:to>
    <xdr:grpSp>
      <xdr:nvGrpSpPr>
        <xdr:cNvPr id="174" name="Groupe 173">
          <a:extLst>
            <a:ext uri="{FF2B5EF4-FFF2-40B4-BE49-F238E27FC236}">
              <a16:creationId xmlns:a16="http://schemas.microsoft.com/office/drawing/2014/main" id="{00000000-0008-0000-0100-0000AE000000}"/>
            </a:ext>
          </a:extLst>
        </xdr:cNvPr>
        <xdr:cNvGrpSpPr/>
      </xdr:nvGrpSpPr>
      <xdr:grpSpPr>
        <a:xfrm>
          <a:off x="1448798" y="1456932"/>
          <a:ext cx="12074259" cy="5005207"/>
          <a:chOff x="8518782" y="2902448"/>
          <a:chExt cx="8162449" cy="3828317"/>
        </a:xfrm>
      </xdr:grpSpPr>
      <xdr:grpSp>
        <xdr:nvGrpSpPr>
          <xdr:cNvPr id="164" name="Groupe 163">
            <a:extLst>
              <a:ext uri="{FF2B5EF4-FFF2-40B4-BE49-F238E27FC236}">
                <a16:creationId xmlns:a16="http://schemas.microsoft.com/office/drawing/2014/main" id="{00000000-0008-0000-0100-0000A4000000}"/>
              </a:ext>
            </a:extLst>
          </xdr:cNvPr>
          <xdr:cNvGrpSpPr/>
        </xdr:nvGrpSpPr>
        <xdr:grpSpPr>
          <a:xfrm>
            <a:off x="8518782" y="2902448"/>
            <a:ext cx="8162449" cy="3828317"/>
            <a:chOff x="1659468" y="3205906"/>
            <a:chExt cx="8145142" cy="3864951"/>
          </a:xfrm>
        </xdr:grpSpPr>
        <xdr:grpSp>
          <xdr:nvGrpSpPr>
            <xdr:cNvPr id="165" name="Groupe 164">
              <a:extLst>
                <a:ext uri="{FF2B5EF4-FFF2-40B4-BE49-F238E27FC236}">
                  <a16:creationId xmlns:a16="http://schemas.microsoft.com/office/drawing/2014/main" id="{00000000-0008-0000-0100-0000A5000000}"/>
                </a:ext>
              </a:extLst>
            </xdr:cNvPr>
            <xdr:cNvGrpSpPr/>
          </xdr:nvGrpSpPr>
          <xdr:grpSpPr>
            <a:xfrm>
              <a:off x="1659468" y="3205906"/>
              <a:ext cx="8145142" cy="3864951"/>
              <a:chOff x="1723579" y="2462039"/>
              <a:chExt cx="8145142" cy="2326297"/>
            </a:xfrm>
          </xdr:grpSpPr>
          <xdr:sp macro="" textlink="">
            <xdr:nvSpPr>
              <xdr:cNvPr id="168" name="Rectangle 167">
                <a:extLst>
                  <a:ext uri="{FF2B5EF4-FFF2-40B4-BE49-F238E27FC236}">
                    <a16:creationId xmlns:a16="http://schemas.microsoft.com/office/drawing/2014/main" id="{00000000-0008-0000-0100-0000A8000000}"/>
                  </a:ext>
                </a:extLst>
              </xdr:cNvPr>
              <xdr:cNvSpPr/>
            </xdr:nvSpPr>
            <xdr:spPr>
              <a:xfrm>
                <a:off x="1769204" y="2462039"/>
                <a:ext cx="8099517" cy="2326297"/>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170" name="ZoneTexte 3">
                <a:extLst>
                  <a:ext uri="{FF2B5EF4-FFF2-40B4-BE49-F238E27FC236}">
                    <a16:creationId xmlns:a16="http://schemas.microsoft.com/office/drawing/2014/main" id="{00000000-0008-0000-0100-0000AA000000}"/>
                  </a:ext>
                </a:extLst>
              </xdr:cNvPr>
              <xdr:cNvSpPr txBox="1"/>
            </xdr:nvSpPr>
            <xdr:spPr>
              <a:xfrm>
                <a:off x="1723579" y="2552873"/>
                <a:ext cx="3956539"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Simulateurs épargne</a:t>
                </a:r>
                <a:r>
                  <a:rPr lang="fr-FR" sz="1600" b="1" baseline="0">
                    <a:effectLst/>
                    <a:latin typeface="+mn-lt"/>
                    <a:ea typeface="+mn-ea"/>
                    <a:cs typeface="+mn-cs"/>
                  </a:rPr>
                  <a:t> retraite</a:t>
                </a:r>
                <a:endParaRPr lang="fr-FR" sz="1600" b="1">
                  <a:effectLst/>
                  <a:latin typeface="+mn-lt"/>
                  <a:ea typeface="+mn-ea"/>
                  <a:cs typeface="+mn-cs"/>
                </a:endParaRPr>
              </a:p>
            </xdr:txBody>
          </xdr:sp>
          <xdr:cxnSp macro="">
            <xdr:nvCxnSpPr>
              <xdr:cNvPr id="171" name="Connecteur droit 170">
                <a:extLst>
                  <a:ext uri="{FF2B5EF4-FFF2-40B4-BE49-F238E27FC236}">
                    <a16:creationId xmlns:a16="http://schemas.microsoft.com/office/drawing/2014/main" id="{00000000-0008-0000-0100-0000AB000000}"/>
                  </a:ext>
                </a:extLst>
              </xdr:cNvPr>
              <xdr:cNvCxnSpPr/>
            </xdr:nvCxnSpPr>
            <xdr:spPr>
              <a:xfrm flipH="1">
                <a:off x="2595700" y="2738951"/>
                <a:ext cx="2280505"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66" name="Ellipse 165">
              <a:extLst>
                <a:ext uri="{FF2B5EF4-FFF2-40B4-BE49-F238E27FC236}">
                  <a16:creationId xmlns:a16="http://schemas.microsoft.com/office/drawing/2014/main" id="{00000000-0008-0000-0100-0000A6000000}"/>
                </a:ext>
              </a:extLst>
            </xdr:cNvPr>
            <xdr:cNvSpPr/>
          </xdr:nvSpPr>
          <xdr:spPr>
            <a:xfrm>
              <a:off x="1822572" y="3324591"/>
              <a:ext cx="418926" cy="414464"/>
            </a:xfrm>
            <a:prstGeom prst="ellipse">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grpSp>
      <xdr:pic>
        <xdr:nvPicPr>
          <xdr:cNvPr id="173" name="Graphique 172" descr="Vibration du téléphone avec un remplissage uni">
            <a:extLst>
              <a:ext uri="{FF2B5EF4-FFF2-40B4-BE49-F238E27FC236}">
                <a16:creationId xmlns:a16="http://schemas.microsoft.com/office/drawing/2014/main" id="{00000000-0008-0000-0100-0000A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740140" y="3070860"/>
            <a:ext cx="297180" cy="297180"/>
          </a:xfrm>
          <a:prstGeom prst="rect">
            <a:avLst/>
          </a:prstGeom>
        </xdr:spPr>
      </xdr:pic>
    </xdr:grpSp>
    <xdr:clientData/>
  </xdr:twoCellAnchor>
  <xdr:twoCellAnchor editAs="absolute">
    <xdr:from>
      <xdr:col>2</xdr:col>
      <xdr:colOff>163954</xdr:colOff>
      <xdr:row>0</xdr:row>
      <xdr:rowOff>117110</xdr:rowOff>
    </xdr:from>
    <xdr:to>
      <xdr:col>4</xdr:col>
      <xdr:colOff>709347</xdr:colOff>
      <xdr:row>2</xdr:row>
      <xdr:rowOff>94250</xdr:rowOff>
    </xdr:to>
    <xdr:grpSp>
      <xdr:nvGrpSpPr>
        <xdr:cNvPr id="14" name="Groupe 13">
          <a:extLst>
            <a:ext uri="{FF2B5EF4-FFF2-40B4-BE49-F238E27FC236}">
              <a16:creationId xmlns:a16="http://schemas.microsoft.com/office/drawing/2014/main" id="{00000000-0008-0000-0100-00000E000000}"/>
            </a:ext>
          </a:extLst>
        </xdr:cNvPr>
        <xdr:cNvGrpSpPr/>
      </xdr:nvGrpSpPr>
      <xdr:grpSpPr>
        <a:xfrm>
          <a:off x="1805661" y="117110"/>
          <a:ext cx="1610954" cy="348847"/>
          <a:chOff x="1751601" y="106493"/>
          <a:chExt cx="1575966" cy="351894"/>
        </a:xfrm>
      </xdr:grpSpPr>
      <xdr:sp macro="" textlink="">
        <xdr:nvSpPr>
          <xdr:cNvPr id="15" name="Rectangle : avec coins arrondis en haut 14">
            <a:extLst>
              <a:ext uri="{FF2B5EF4-FFF2-40B4-BE49-F238E27FC236}">
                <a16:creationId xmlns:a16="http://schemas.microsoft.com/office/drawing/2014/main" id="{00000000-0008-0000-0100-00000F000000}"/>
              </a:ext>
            </a:extLst>
          </xdr:cNvPr>
          <xdr:cNvSpPr/>
        </xdr:nvSpPr>
        <xdr:spPr>
          <a:xfrm>
            <a:off x="1751601" y="106493"/>
            <a:ext cx="1575966" cy="351894"/>
          </a:xfrm>
          <a:prstGeom prst="round2SameRect">
            <a:avLst>
              <a:gd name="adj1" fmla="val 42917"/>
              <a:gd name="adj2" fmla="val 0"/>
            </a:avLst>
          </a:prstGeom>
          <a:solidFill>
            <a:srgbClr val="00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 name="Rectangle 17">
            <a:extLst>
              <a:ext uri="{FF2B5EF4-FFF2-40B4-BE49-F238E27FC236}">
                <a16:creationId xmlns:a16="http://schemas.microsoft.com/office/drawing/2014/main" id="{00000000-0008-0000-0100-000012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16</xdr:col>
      <xdr:colOff>340775</xdr:colOff>
      <xdr:row>0</xdr:row>
      <xdr:rowOff>117110</xdr:rowOff>
    </xdr:from>
    <xdr:to>
      <xdr:col>18</xdr:col>
      <xdr:colOff>58586</xdr:colOff>
      <xdr:row>2</xdr:row>
      <xdr:rowOff>94250</xdr:rowOff>
    </xdr:to>
    <xdr:grpSp>
      <xdr:nvGrpSpPr>
        <xdr:cNvPr id="19" name="Groupe 18">
          <a:extLst>
            <a:ext uri="{FF2B5EF4-FFF2-40B4-BE49-F238E27FC236}">
              <a16:creationId xmlns:a16="http://schemas.microsoft.com/office/drawing/2014/main" id="{00000000-0008-0000-0100-000013000000}"/>
            </a:ext>
          </a:extLst>
        </xdr:cNvPr>
        <xdr:cNvGrpSpPr/>
      </xdr:nvGrpSpPr>
      <xdr:grpSpPr>
        <a:xfrm>
          <a:off x="12563751" y="117110"/>
          <a:ext cx="1632103" cy="348847"/>
          <a:chOff x="12140471" y="109303"/>
          <a:chExt cx="1575966" cy="351894"/>
        </a:xfrm>
      </xdr:grpSpPr>
      <xdr:sp macro="" textlink="">
        <xdr:nvSpPr>
          <xdr:cNvPr id="20" name="Rectangle : avec coins arrondis en haut 19">
            <a:extLst>
              <a:ext uri="{FF2B5EF4-FFF2-40B4-BE49-F238E27FC236}">
                <a16:creationId xmlns:a16="http://schemas.microsoft.com/office/drawing/2014/main" id="{00000000-0008-0000-0100-000014000000}"/>
              </a:ext>
            </a:extLst>
          </xdr:cNvPr>
          <xdr:cNvSpPr/>
        </xdr:nvSpPr>
        <xdr:spPr>
          <a:xfrm>
            <a:off x="12140471" y="10930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1" name="Rectangle 20">
            <a:hlinkClick xmlns:r="http://schemas.openxmlformats.org/officeDocument/2006/relationships" r:id="rId5"/>
            <a:extLst>
              <a:ext uri="{FF2B5EF4-FFF2-40B4-BE49-F238E27FC236}">
                <a16:creationId xmlns:a16="http://schemas.microsoft.com/office/drawing/2014/main" id="{00000000-0008-0000-0100-000015000000}"/>
              </a:ext>
            </a:extLst>
          </xdr:cNvPr>
          <xdr:cNvSpPr/>
        </xdr:nvSpPr>
        <xdr:spPr>
          <a:xfrm>
            <a:off x="12262391" y="14777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Données</a:t>
            </a:r>
          </a:p>
        </xdr:txBody>
      </xdr:sp>
    </xdr:grpSp>
    <xdr:clientData/>
  </xdr:twoCellAnchor>
  <xdr:twoCellAnchor>
    <xdr:from>
      <xdr:col>4</xdr:col>
      <xdr:colOff>213341</xdr:colOff>
      <xdr:row>15</xdr:row>
      <xdr:rowOff>57201</xdr:rowOff>
    </xdr:from>
    <xdr:to>
      <xdr:col>8</xdr:col>
      <xdr:colOff>2540</xdr:colOff>
      <xdr:row>18</xdr:row>
      <xdr:rowOff>141497</xdr:rowOff>
    </xdr:to>
    <xdr:grpSp>
      <xdr:nvGrpSpPr>
        <xdr:cNvPr id="38" name="Groupe 37">
          <a:extLst>
            <a:ext uri="{FF2B5EF4-FFF2-40B4-BE49-F238E27FC236}">
              <a16:creationId xmlns:a16="http://schemas.microsoft.com/office/drawing/2014/main" id="{00000000-0008-0000-0100-000026000000}"/>
            </a:ext>
          </a:extLst>
        </xdr:cNvPr>
        <xdr:cNvGrpSpPr/>
      </xdr:nvGrpSpPr>
      <xdr:grpSpPr>
        <a:xfrm>
          <a:off x="2920609" y="2845006"/>
          <a:ext cx="2961102" cy="641857"/>
          <a:chOff x="2373444" y="3286907"/>
          <a:chExt cx="2849691" cy="640206"/>
        </a:xfrm>
      </xdr:grpSpPr>
      <xdr:sp macro="" textlink="">
        <xdr:nvSpPr>
          <xdr:cNvPr id="30" name="Rectangle 29">
            <a:extLst>
              <a:ext uri="{FF2B5EF4-FFF2-40B4-BE49-F238E27FC236}">
                <a16:creationId xmlns:a16="http://schemas.microsoft.com/office/drawing/2014/main" id="{00000000-0008-0000-0100-00001E000000}"/>
              </a:ext>
            </a:extLst>
          </xdr:cNvPr>
          <xdr:cNvSpPr/>
        </xdr:nvSpPr>
        <xdr:spPr>
          <a:xfrm>
            <a:off x="2373444" y="3286907"/>
            <a:ext cx="2849691" cy="640206"/>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grpSp>
        <xdr:nvGrpSpPr>
          <xdr:cNvPr id="25" name="Groupe 24">
            <a:hlinkClick xmlns:r="http://schemas.openxmlformats.org/officeDocument/2006/relationships" r:id="rId6"/>
            <a:extLst>
              <a:ext uri="{FF2B5EF4-FFF2-40B4-BE49-F238E27FC236}">
                <a16:creationId xmlns:a16="http://schemas.microsoft.com/office/drawing/2014/main" id="{00000000-0008-0000-0100-000019000000}"/>
              </a:ext>
            </a:extLst>
          </xdr:cNvPr>
          <xdr:cNvGrpSpPr/>
        </xdr:nvGrpSpPr>
        <xdr:grpSpPr>
          <a:xfrm>
            <a:off x="2428079" y="3454767"/>
            <a:ext cx="2740405" cy="304487"/>
            <a:chOff x="2115799" y="2983513"/>
            <a:chExt cx="2740405" cy="304487"/>
          </a:xfrm>
        </xdr:grpSpPr>
        <xdr:cxnSp macro="">
          <xdr:nvCxnSpPr>
            <xdr:cNvPr id="194" name="Connecteur droit 193">
              <a:extLst>
                <a:ext uri="{FF2B5EF4-FFF2-40B4-BE49-F238E27FC236}">
                  <a16:creationId xmlns:a16="http://schemas.microsoft.com/office/drawing/2014/main" id="{00000000-0008-0000-0100-0000C2000000}"/>
                </a:ext>
              </a:extLst>
            </xdr:cNvPr>
            <xdr:cNvCxnSpPr/>
          </xdr:nvCxnSpPr>
          <xdr:spPr>
            <a:xfrm flipV="1">
              <a:off x="2491537" y="3042060"/>
              <a:ext cx="0" cy="187392"/>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sp macro="" textlink="">
          <xdr:nvSpPr>
            <xdr:cNvPr id="204" name="Rectangle 203">
              <a:extLst>
                <a:ext uri="{FF2B5EF4-FFF2-40B4-BE49-F238E27FC236}">
                  <a16:creationId xmlns:a16="http://schemas.microsoft.com/office/drawing/2014/main" id="{00000000-0008-0000-0100-0000CC000000}"/>
                </a:ext>
              </a:extLst>
            </xdr:cNvPr>
            <xdr:cNvSpPr/>
          </xdr:nvSpPr>
          <xdr:spPr>
            <a:xfrm>
              <a:off x="2545216" y="3025212"/>
              <a:ext cx="2310988" cy="2210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fr-FR" sz="1000" b="1" baseline="0">
                  <a:solidFill>
                    <a:sysClr val="windowText" lastClr="000000"/>
                  </a:solidFill>
                  <a:effectLst/>
                  <a:latin typeface="+mn-lt"/>
                  <a:ea typeface="+mn-ea"/>
                  <a:cs typeface="+mn-cs"/>
                </a:rPr>
                <a:t>Contrôle du potentiel Epargne retraite</a:t>
              </a:r>
            </a:p>
          </xdr:txBody>
        </xdr:sp>
        <xdr:pic>
          <xdr:nvPicPr>
            <xdr:cNvPr id="45" name="Graphique 44" descr="Présentation avec liste de vérification contour">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115799" y="2983513"/>
              <a:ext cx="304487" cy="304487"/>
            </a:xfrm>
            <a:prstGeom prst="rect">
              <a:avLst/>
            </a:prstGeom>
          </xdr:spPr>
        </xdr:pic>
      </xdr:grpSp>
    </xdr:grpSp>
    <xdr:clientData/>
  </xdr:twoCellAnchor>
  <xdr:twoCellAnchor>
    <xdr:from>
      <xdr:col>4</xdr:col>
      <xdr:colOff>202802</xdr:colOff>
      <xdr:row>20</xdr:row>
      <xdr:rowOff>76558</xdr:rowOff>
    </xdr:from>
    <xdr:to>
      <xdr:col>7</xdr:col>
      <xdr:colOff>757123</xdr:colOff>
      <xdr:row>23</xdr:row>
      <xdr:rowOff>160854</xdr:rowOff>
    </xdr:to>
    <xdr:grpSp>
      <xdr:nvGrpSpPr>
        <xdr:cNvPr id="39" name="Groupe 38">
          <a:extLst>
            <a:ext uri="{FF2B5EF4-FFF2-40B4-BE49-F238E27FC236}">
              <a16:creationId xmlns:a16="http://schemas.microsoft.com/office/drawing/2014/main" id="{00000000-0008-0000-0100-000027000000}"/>
            </a:ext>
          </a:extLst>
        </xdr:cNvPr>
        <xdr:cNvGrpSpPr/>
      </xdr:nvGrpSpPr>
      <xdr:grpSpPr>
        <a:xfrm>
          <a:off x="2910070" y="3793631"/>
          <a:ext cx="2933248" cy="641857"/>
          <a:chOff x="6179698" y="3306582"/>
          <a:chExt cx="2849691" cy="640206"/>
        </a:xfrm>
      </xdr:grpSpPr>
      <xdr:sp macro="" textlink="">
        <xdr:nvSpPr>
          <xdr:cNvPr id="37" name="Rectangle 36">
            <a:extLst>
              <a:ext uri="{FF2B5EF4-FFF2-40B4-BE49-F238E27FC236}">
                <a16:creationId xmlns:a16="http://schemas.microsoft.com/office/drawing/2014/main" id="{00000000-0008-0000-0100-000025000000}"/>
              </a:ext>
            </a:extLst>
          </xdr:cNvPr>
          <xdr:cNvSpPr/>
        </xdr:nvSpPr>
        <xdr:spPr>
          <a:xfrm>
            <a:off x="6179698" y="3306582"/>
            <a:ext cx="2849691" cy="640206"/>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grpSp>
        <xdr:nvGrpSpPr>
          <xdr:cNvPr id="26" name="Groupe 25">
            <a:hlinkClick xmlns:r="http://schemas.openxmlformats.org/officeDocument/2006/relationships" r:id="rId9"/>
            <a:extLst>
              <a:ext uri="{FF2B5EF4-FFF2-40B4-BE49-F238E27FC236}">
                <a16:creationId xmlns:a16="http://schemas.microsoft.com/office/drawing/2014/main" id="{00000000-0008-0000-0100-00001A000000}"/>
              </a:ext>
            </a:extLst>
          </xdr:cNvPr>
          <xdr:cNvGrpSpPr/>
        </xdr:nvGrpSpPr>
        <xdr:grpSpPr>
          <a:xfrm>
            <a:off x="6240888" y="3515508"/>
            <a:ext cx="2729788" cy="222354"/>
            <a:chOff x="5788076" y="3024579"/>
            <a:chExt cx="2729788" cy="222354"/>
          </a:xfrm>
        </xdr:grpSpPr>
        <xdr:cxnSp macro="">
          <xdr:nvCxnSpPr>
            <xdr:cNvPr id="193" name="Connecteur droit 192">
              <a:extLst>
                <a:ext uri="{FF2B5EF4-FFF2-40B4-BE49-F238E27FC236}">
                  <a16:creationId xmlns:a16="http://schemas.microsoft.com/office/drawing/2014/main" id="{00000000-0008-0000-0100-0000C1000000}"/>
                </a:ext>
              </a:extLst>
            </xdr:cNvPr>
            <xdr:cNvCxnSpPr/>
          </xdr:nvCxnSpPr>
          <xdr:spPr>
            <a:xfrm flipV="1">
              <a:off x="6133678" y="3042060"/>
              <a:ext cx="0" cy="187392"/>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sp macro="" textlink="">
          <xdr:nvSpPr>
            <xdr:cNvPr id="205" name="Rectangle 204">
              <a:extLst>
                <a:ext uri="{FF2B5EF4-FFF2-40B4-BE49-F238E27FC236}">
                  <a16:creationId xmlns:a16="http://schemas.microsoft.com/office/drawing/2014/main" id="{00000000-0008-0000-0100-0000CD000000}"/>
                </a:ext>
              </a:extLst>
            </xdr:cNvPr>
            <xdr:cNvSpPr/>
          </xdr:nvSpPr>
          <xdr:spPr>
            <a:xfrm>
              <a:off x="6199267" y="3025212"/>
              <a:ext cx="2318597" cy="2210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fr-FR" sz="1000" b="1" baseline="0">
                  <a:solidFill>
                    <a:sysClr val="windowText" lastClr="000000"/>
                  </a:solidFill>
                  <a:effectLst/>
                  <a:latin typeface="+mn-lt"/>
                  <a:ea typeface="+mn-ea"/>
                  <a:cs typeface="+mn-cs"/>
                </a:rPr>
                <a:t>Transfert vers PER</a:t>
              </a:r>
              <a:endParaRPr lang="fr-FR" sz="1000" b="1">
                <a:solidFill>
                  <a:sysClr val="windowText" lastClr="000000"/>
                </a:solidFill>
                <a:effectLst/>
              </a:endParaRPr>
            </a:p>
          </xdr:txBody>
        </xdr:sp>
        <xdr:pic>
          <xdr:nvPicPr>
            <xdr:cNvPr id="89" name="Graphique 88" descr="Signature avec un remplissage uni">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788076" y="3024579"/>
              <a:ext cx="228600" cy="222354"/>
            </a:xfrm>
            <a:prstGeom prst="rect">
              <a:avLst/>
            </a:prstGeom>
          </xdr:spPr>
        </xdr:pic>
      </xdr:grpSp>
    </xdr:grpSp>
    <xdr:clientData/>
  </xdr:twoCellAnchor>
  <xdr:twoCellAnchor>
    <xdr:from>
      <xdr:col>4</xdr:col>
      <xdr:colOff>206228</xdr:colOff>
      <xdr:row>25</xdr:row>
      <xdr:rowOff>95916</xdr:rowOff>
    </xdr:from>
    <xdr:to>
      <xdr:col>7</xdr:col>
      <xdr:colOff>754328</xdr:colOff>
      <xdr:row>28</xdr:row>
      <xdr:rowOff>180212</xdr:rowOff>
    </xdr:to>
    <xdr:grpSp>
      <xdr:nvGrpSpPr>
        <xdr:cNvPr id="41" name="Groupe 40">
          <a:extLst>
            <a:ext uri="{FF2B5EF4-FFF2-40B4-BE49-F238E27FC236}">
              <a16:creationId xmlns:a16="http://schemas.microsoft.com/office/drawing/2014/main" id="{00000000-0008-0000-0100-000029000000}"/>
            </a:ext>
          </a:extLst>
        </xdr:cNvPr>
        <xdr:cNvGrpSpPr/>
      </xdr:nvGrpSpPr>
      <xdr:grpSpPr>
        <a:xfrm>
          <a:off x="2913496" y="4742257"/>
          <a:ext cx="2927027" cy="641857"/>
          <a:chOff x="9946598" y="3286906"/>
          <a:chExt cx="2849691" cy="640206"/>
        </a:xfrm>
      </xdr:grpSpPr>
      <xdr:sp macro="" textlink="">
        <xdr:nvSpPr>
          <xdr:cNvPr id="40" name="Rectangle 39">
            <a:extLst>
              <a:ext uri="{FF2B5EF4-FFF2-40B4-BE49-F238E27FC236}">
                <a16:creationId xmlns:a16="http://schemas.microsoft.com/office/drawing/2014/main" id="{00000000-0008-0000-0100-000028000000}"/>
              </a:ext>
            </a:extLst>
          </xdr:cNvPr>
          <xdr:cNvSpPr/>
        </xdr:nvSpPr>
        <xdr:spPr>
          <a:xfrm>
            <a:off x="9946598" y="3286906"/>
            <a:ext cx="2849691" cy="640206"/>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grpSp>
        <xdr:nvGrpSpPr>
          <xdr:cNvPr id="27" name="Groupe 26">
            <a:extLst>
              <a:ext uri="{FF2B5EF4-FFF2-40B4-BE49-F238E27FC236}">
                <a16:creationId xmlns:a16="http://schemas.microsoft.com/office/drawing/2014/main" id="{00000000-0008-0000-0100-00001B000000}"/>
              </a:ext>
            </a:extLst>
          </xdr:cNvPr>
          <xdr:cNvGrpSpPr/>
        </xdr:nvGrpSpPr>
        <xdr:grpSpPr>
          <a:xfrm>
            <a:off x="10001237" y="3473816"/>
            <a:ext cx="2740402" cy="266386"/>
            <a:chOff x="9813876" y="2998033"/>
            <a:chExt cx="2740402" cy="266386"/>
          </a:xfrm>
        </xdr:grpSpPr>
        <xdr:cxnSp macro="">
          <xdr:nvCxnSpPr>
            <xdr:cNvPr id="52" name="Connecteur droit 51">
              <a:extLst>
                <a:ext uri="{FF2B5EF4-FFF2-40B4-BE49-F238E27FC236}">
                  <a16:creationId xmlns:a16="http://schemas.microsoft.com/office/drawing/2014/main" id="{00000000-0008-0000-0100-000034000000}"/>
                </a:ext>
              </a:extLst>
            </xdr:cNvPr>
            <xdr:cNvCxnSpPr/>
          </xdr:nvCxnSpPr>
          <xdr:spPr>
            <a:xfrm flipV="1">
              <a:off x="10174153" y="3042060"/>
              <a:ext cx="0" cy="187392"/>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sp macro="" textlink="">
          <xdr:nvSpPr>
            <xdr:cNvPr id="53" name="Rectangle 52">
              <a:hlinkClick xmlns:r="http://schemas.openxmlformats.org/officeDocument/2006/relationships" r:id="rId12"/>
              <a:extLst>
                <a:ext uri="{FF2B5EF4-FFF2-40B4-BE49-F238E27FC236}">
                  <a16:creationId xmlns:a16="http://schemas.microsoft.com/office/drawing/2014/main" id="{00000000-0008-0000-0100-000035000000}"/>
                </a:ext>
              </a:extLst>
            </xdr:cNvPr>
            <xdr:cNvSpPr/>
          </xdr:nvSpPr>
          <xdr:spPr>
            <a:xfrm>
              <a:off x="10239741" y="3025212"/>
              <a:ext cx="2314537" cy="2210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fr-FR" sz="1000" b="1" baseline="0">
                  <a:solidFill>
                    <a:sysClr val="windowText" lastClr="000000"/>
                  </a:solidFill>
                  <a:effectLst/>
                  <a:latin typeface="+mn-lt"/>
                  <a:ea typeface="+mn-ea"/>
                  <a:cs typeface="+mn-cs"/>
                </a:rPr>
                <a:t>Ouverture PERin</a:t>
              </a:r>
              <a:endParaRPr lang="fr-FR" sz="1000" b="1">
                <a:solidFill>
                  <a:sysClr val="windowText" lastClr="000000"/>
                </a:solidFill>
                <a:effectLst/>
              </a:endParaRPr>
            </a:p>
          </xdr:txBody>
        </xdr:sp>
        <xdr:pic>
          <xdr:nvPicPr>
            <xdr:cNvPr id="56" name="Graphique 55" descr="Tableau décisionnel contour">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9813876" y="2998033"/>
              <a:ext cx="266386" cy="266386"/>
            </a:xfrm>
            <a:prstGeom prst="rect">
              <a:avLst/>
            </a:prstGeom>
          </xdr:spPr>
        </xdr:pic>
      </xdr:grpSp>
    </xdr:grpSp>
    <xdr:clientData/>
  </xdr:twoCellAnchor>
  <xdr:twoCellAnchor>
    <xdr:from>
      <xdr:col>10</xdr:col>
      <xdr:colOff>438992</xdr:colOff>
      <xdr:row>11</xdr:row>
      <xdr:rowOff>178628</xdr:rowOff>
    </xdr:from>
    <xdr:to>
      <xdr:col>17</xdr:col>
      <xdr:colOff>734757</xdr:colOff>
      <xdr:row>15</xdr:row>
      <xdr:rowOff>771</xdr:rowOff>
    </xdr:to>
    <xdr:sp macro="" textlink="">
      <xdr:nvSpPr>
        <xdr:cNvPr id="46" name="ZoneTexte 3">
          <a:extLst>
            <a:ext uri="{FF2B5EF4-FFF2-40B4-BE49-F238E27FC236}">
              <a16:creationId xmlns:a16="http://schemas.microsoft.com/office/drawing/2014/main" id="{00000000-0008-0000-0100-00002E000000}"/>
            </a:ext>
          </a:extLst>
        </xdr:cNvPr>
        <xdr:cNvSpPr txBox="1"/>
      </xdr:nvSpPr>
      <xdr:spPr>
        <a:xfrm>
          <a:off x="7594358" y="2308201"/>
          <a:ext cx="5623570" cy="596533"/>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0" i="1">
              <a:solidFill>
                <a:schemeClr val="tx1">
                  <a:lumMod val="50000"/>
                  <a:lumOff val="50000"/>
                </a:schemeClr>
              </a:solidFill>
              <a:effectLst/>
              <a:latin typeface="+mn-lt"/>
              <a:ea typeface="+mn-ea"/>
              <a:cs typeface="+mn-cs"/>
            </a:rPr>
            <a:t>Simulateurs</a:t>
          </a:r>
          <a:r>
            <a:rPr lang="fr-FR" sz="1600" b="0" i="1" baseline="0">
              <a:solidFill>
                <a:schemeClr val="tx1">
                  <a:lumMod val="50000"/>
                  <a:lumOff val="50000"/>
                </a:schemeClr>
              </a:solidFill>
              <a:effectLst/>
              <a:latin typeface="+mn-lt"/>
              <a:ea typeface="+mn-ea"/>
              <a:cs typeface="+mn-cs"/>
            </a:rPr>
            <a:t> divers</a:t>
          </a:r>
          <a:endParaRPr lang="fr-FR" sz="1600" b="0" i="1">
            <a:solidFill>
              <a:schemeClr val="tx1">
                <a:lumMod val="50000"/>
                <a:lumOff val="50000"/>
              </a:schemeClr>
            </a:solidFill>
            <a:effectLst/>
            <a:latin typeface="+mn-lt"/>
            <a:ea typeface="+mn-ea"/>
            <a:cs typeface="+mn-cs"/>
          </a:endParaRPr>
        </a:p>
      </xdr:txBody>
    </xdr:sp>
    <xdr:clientData/>
  </xdr:twoCellAnchor>
  <xdr:twoCellAnchor>
    <xdr:from>
      <xdr:col>12</xdr:col>
      <xdr:colOff>161930</xdr:colOff>
      <xdr:row>14</xdr:row>
      <xdr:rowOff>13928</xdr:rowOff>
    </xdr:from>
    <xdr:to>
      <xdr:col>16</xdr:col>
      <xdr:colOff>364937</xdr:colOff>
      <xdr:row>14</xdr:row>
      <xdr:rowOff>13928</xdr:rowOff>
    </xdr:to>
    <xdr:cxnSp macro="">
      <xdr:nvCxnSpPr>
        <xdr:cNvPr id="48" name="Connecteur droit 47">
          <a:extLst>
            <a:ext uri="{FF2B5EF4-FFF2-40B4-BE49-F238E27FC236}">
              <a16:creationId xmlns:a16="http://schemas.microsoft.com/office/drawing/2014/main" id="{00000000-0008-0000-0100-000030000000}"/>
            </a:ext>
          </a:extLst>
        </xdr:cNvPr>
        <xdr:cNvCxnSpPr/>
      </xdr:nvCxnSpPr>
      <xdr:spPr>
        <a:xfrm flipH="1">
          <a:off x="8835101" y="2724294"/>
          <a:ext cx="323861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407632</xdr:colOff>
      <xdr:row>22</xdr:row>
      <xdr:rowOff>190593</xdr:rowOff>
    </xdr:from>
    <xdr:to>
      <xdr:col>16</xdr:col>
      <xdr:colOff>196831</xdr:colOff>
      <xdr:row>24</xdr:row>
      <xdr:rowOff>135943</xdr:rowOff>
    </xdr:to>
    <xdr:grpSp>
      <xdr:nvGrpSpPr>
        <xdr:cNvPr id="51" name="Groupe 50">
          <a:extLst>
            <a:ext uri="{FF2B5EF4-FFF2-40B4-BE49-F238E27FC236}">
              <a16:creationId xmlns:a16="http://schemas.microsoft.com/office/drawing/2014/main" id="{00000000-0008-0000-0100-000033000000}"/>
            </a:ext>
          </a:extLst>
        </xdr:cNvPr>
        <xdr:cNvGrpSpPr/>
      </xdr:nvGrpSpPr>
      <xdr:grpSpPr>
        <a:xfrm>
          <a:off x="9458705" y="4271753"/>
          <a:ext cx="2961102" cy="324678"/>
          <a:chOff x="2342212" y="5574467"/>
          <a:chExt cx="2849691" cy="320104"/>
        </a:xfrm>
      </xdr:grpSpPr>
      <xdr:sp macro="" textlink="">
        <xdr:nvSpPr>
          <xdr:cNvPr id="49" name="Rectangle 48">
            <a:extLst>
              <a:ext uri="{FF2B5EF4-FFF2-40B4-BE49-F238E27FC236}">
                <a16:creationId xmlns:a16="http://schemas.microsoft.com/office/drawing/2014/main" id="{00000000-0008-0000-0100-000031000000}"/>
              </a:ext>
            </a:extLst>
          </xdr:cNvPr>
          <xdr:cNvSpPr/>
        </xdr:nvSpPr>
        <xdr:spPr>
          <a:xfrm>
            <a:off x="2342212" y="5574467"/>
            <a:ext cx="2849691" cy="320104"/>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grpSp>
        <xdr:nvGrpSpPr>
          <xdr:cNvPr id="22" name="Groupe 21">
            <a:hlinkClick xmlns:r="http://schemas.openxmlformats.org/officeDocument/2006/relationships" r:id="rId15"/>
            <a:extLst>
              <a:ext uri="{FF2B5EF4-FFF2-40B4-BE49-F238E27FC236}">
                <a16:creationId xmlns:a16="http://schemas.microsoft.com/office/drawing/2014/main" id="{00000000-0008-0000-0100-000016000000}"/>
              </a:ext>
            </a:extLst>
          </xdr:cNvPr>
          <xdr:cNvGrpSpPr/>
        </xdr:nvGrpSpPr>
        <xdr:grpSpPr>
          <a:xfrm>
            <a:off x="2416367" y="5593987"/>
            <a:ext cx="2720887" cy="281065"/>
            <a:chOff x="2127510" y="5145062"/>
            <a:chExt cx="2720887" cy="281065"/>
          </a:xfrm>
        </xdr:grpSpPr>
        <xdr:cxnSp macro="">
          <xdr:nvCxnSpPr>
            <xdr:cNvPr id="201" name="Connecteur droit 200">
              <a:extLst>
                <a:ext uri="{FF2B5EF4-FFF2-40B4-BE49-F238E27FC236}">
                  <a16:creationId xmlns:a16="http://schemas.microsoft.com/office/drawing/2014/main" id="{00000000-0008-0000-0100-0000C9000000}"/>
                </a:ext>
              </a:extLst>
            </xdr:cNvPr>
            <xdr:cNvCxnSpPr/>
          </xdr:nvCxnSpPr>
          <xdr:spPr>
            <a:xfrm flipV="1">
              <a:off x="2491537" y="5191898"/>
              <a:ext cx="0" cy="187392"/>
            </a:xfrm>
            <a:prstGeom prst="line">
              <a:avLst/>
            </a:prstGeom>
            <a:ln w="285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12" name="Rectangle 211">
              <a:extLst>
                <a:ext uri="{FF2B5EF4-FFF2-40B4-BE49-F238E27FC236}">
                  <a16:creationId xmlns:a16="http://schemas.microsoft.com/office/drawing/2014/main" id="{00000000-0008-0000-0100-0000D4000000}"/>
                </a:ext>
              </a:extLst>
            </xdr:cNvPr>
            <xdr:cNvSpPr/>
          </xdr:nvSpPr>
          <xdr:spPr>
            <a:xfrm>
              <a:off x="2545216" y="5175050"/>
              <a:ext cx="2303181" cy="2210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fr-FR" sz="1000" b="0" i="1" baseline="0">
                  <a:solidFill>
                    <a:sysClr val="windowText" lastClr="000000"/>
                  </a:solidFill>
                  <a:effectLst/>
                  <a:latin typeface="+mn-lt"/>
                  <a:ea typeface="+mn-ea"/>
                  <a:cs typeface="+mn-cs"/>
                </a:rPr>
                <a:t>Crédit</a:t>
              </a:r>
              <a:endParaRPr lang="fr-FR" sz="1000" b="0" i="1">
                <a:solidFill>
                  <a:sysClr val="windowText" lastClr="000000"/>
                </a:solidFill>
                <a:effectLst/>
              </a:endParaRPr>
            </a:p>
          </xdr:txBody>
        </xdr:sp>
        <xdr:pic>
          <xdr:nvPicPr>
            <xdr:cNvPr id="47" name="Graphique 46" descr="Graphique à barres avec tendance à la baisse contour">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2127510" y="5145062"/>
              <a:ext cx="281065" cy="281065"/>
            </a:xfrm>
            <a:prstGeom prst="rect">
              <a:avLst/>
            </a:prstGeom>
          </xdr:spPr>
        </xdr:pic>
      </xdr:grpSp>
    </xdr:grpSp>
    <xdr:clientData/>
  </xdr:twoCellAnchor>
  <xdr:twoCellAnchor>
    <xdr:from>
      <xdr:col>12</xdr:col>
      <xdr:colOff>408045</xdr:colOff>
      <xdr:row>19</xdr:row>
      <xdr:rowOff>109532</xdr:rowOff>
    </xdr:from>
    <xdr:to>
      <xdr:col>16</xdr:col>
      <xdr:colOff>203465</xdr:colOff>
      <xdr:row>21</xdr:row>
      <xdr:rowOff>54882</xdr:rowOff>
    </xdr:to>
    <xdr:grpSp>
      <xdr:nvGrpSpPr>
        <xdr:cNvPr id="62" name="Groupe 61">
          <a:extLst>
            <a:ext uri="{FF2B5EF4-FFF2-40B4-BE49-F238E27FC236}">
              <a16:creationId xmlns:a16="http://schemas.microsoft.com/office/drawing/2014/main" id="{00000000-0008-0000-0100-00003E000000}"/>
            </a:ext>
          </a:extLst>
        </xdr:cNvPr>
        <xdr:cNvGrpSpPr/>
      </xdr:nvGrpSpPr>
      <xdr:grpSpPr>
        <a:xfrm>
          <a:off x="9459118" y="3640752"/>
          <a:ext cx="2967323" cy="317057"/>
          <a:chOff x="6136598" y="5949218"/>
          <a:chExt cx="2849691" cy="320104"/>
        </a:xfrm>
      </xdr:grpSpPr>
      <xdr:sp macro="" textlink="">
        <xdr:nvSpPr>
          <xdr:cNvPr id="61" name="Rectangle 60">
            <a:extLst>
              <a:ext uri="{FF2B5EF4-FFF2-40B4-BE49-F238E27FC236}">
                <a16:creationId xmlns:a16="http://schemas.microsoft.com/office/drawing/2014/main" id="{00000000-0008-0000-0100-00003D000000}"/>
              </a:ext>
            </a:extLst>
          </xdr:cNvPr>
          <xdr:cNvSpPr/>
        </xdr:nvSpPr>
        <xdr:spPr>
          <a:xfrm>
            <a:off x="6136598" y="5949218"/>
            <a:ext cx="2849691" cy="320104"/>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grpSp>
        <xdr:nvGrpSpPr>
          <xdr:cNvPr id="23" name="Groupe 22">
            <a:hlinkClick xmlns:r="http://schemas.openxmlformats.org/officeDocument/2006/relationships" r:id="rId18"/>
            <a:extLst>
              <a:ext uri="{FF2B5EF4-FFF2-40B4-BE49-F238E27FC236}">
                <a16:creationId xmlns:a16="http://schemas.microsoft.com/office/drawing/2014/main" id="{00000000-0008-0000-0100-000017000000}"/>
              </a:ext>
            </a:extLst>
          </xdr:cNvPr>
          <xdr:cNvGrpSpPr/>
        </xdr:nvGrpSpPr>
        <xdr:grpSpPr>
          <a:xfrm>
            <a:off x="6206848" y="5968738"/>
            <a:ext cx="2740407" cy="281065"/>
            <a:chOff x="5761844" y="5145062"/>
            <a:chExt cx="2740407" cy="281065"/>
          </a:xfrm>
        </xdr:grpSpPr>
        <xdr:cxnSp macro="">
          <xdr:nvCxnSpPr>
            <xdr:cNvPr id="202" name="Connecteur droit 201">
              <a:extLst>
                <a:ext uri="{FF2B5EF4-FFF2-40B4-BE49-F238E27FC236}">
                  <a16:creationId xmlns:a16="http://schemas.microsoft.com/office/drawing/2014/main" id="{00000000-0008-0000-0100-0000CA000000}"/>
                </a:ext>
              </a:extLst>
            </xdr:cNvPr>
            <xdr:cNvCxnSpPr/>
          </xdr:nvCxnSpPr>
          <xdr:spPr>
            <a:xfrm flipV="1">
              <a:off x="6133678" y="5191898"/>
              <a:ext cx="0" cy="187392"/>
            </a:xfrm>
            <a:prstGeom prst="line">
              <a:avLst/>
            </a:prstGeom>
            <a:ln w="285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86" name="Rectangle 85">
              <a:extLst>
                <a:ext uri="{FF2B5EF4-FFF2-40B4-BE49-F238E27FC236}">
                  <a16:creationId xmlns:a16="http://schemas.microsoft.com/office/drawing/2014/main" id="{00000000-0008-0000-0100-000056000000}"/>
                </a:ext>
              </a:extLst>
            </xdr:cNvPr>
            <xdr:cNvSpPr/>
          </xdr:nvSpPr>
          <xdr:spPr>
            <a:xfrm>
              <a:off x="6199266" y="5174778"/>
              <a:ext cx="2302985" cy="2216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fr-FR" sz="1000" b="0" i="1" baseline="0">
                  <a:solidFill>
                    <a:sysClr val="windowText" lastClr="000000"/>
                  </a:solidFill>
                  <a:effectLst/>
                  <a:latin typeface="+mn-lt"/>
                  <a:ea typeface="+mn-ea"/>
                  <a:cs typeface="+mn-cs"/>
                </a:rPr>
                <a:t>Placement</a:t>
              </a:r>
              <a:endParaRPr lang="fr-FR" sz="1000" b="0" i="1">
                <a:solidFill>
                  <a:sysClr val="windowText" lastClr="000000"/>
                </a:solidFill>
                <a:effectLst/>
              </a:endParaRPr>
            </a:p>
          </xdr:txBody>
        </xdr:sp>
        <xdr:pic>
          <xdr:nvPicPr>
            <xdr:cNvPr id="43" name="Graphique 42" descr="Graphique à barres avec tendance à la hausse avec un remplissage uni">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5761844" y="5145062"/>
              <a:ext cx="281065" cy="281065"/>
            </a:xfrm>
            <a:prstGeom prst="rect">
              <a:avLst/>
            </a:prstGeom>
          </xdr:spPr>
        </xdr:pic>
      </xdr:grpSp>
    </xdr:grpSp>
    <xdr:clientData/>
  </xdr:twoCellAnchor>
  <xdr:twoCellAnchor>
    <xdr:from>
      <xdr:col>12</xdr:col>
      <xdr:colOff>414677</xdr:colOff>
      <xdr:row>16</xdr:row>
      <xdr:rowOff>28472</xdr:rowOff>
    </xdr:from>
    <xdr:to>
      <xdr:col>16</xdr:col>
      <xdr:colOff>203877</xdr:colOff>
      <xdr:row>17</xdr:row>
      <xdr:rowOff>167419</xdr:rowOff>
    </xdr:to>
    <xdr:grpSp>
      <xdr:nvGrpSpPr>
        <xdr:cNvPr id="64" name="Groupe 63">
          <a:extLst>
            <a:ext uri="{FF2B5EF4-FFF2-40B4-BE49-F238E27FC236}">
              <a16:creationId xmlns:a16="http://schemas.microsoft.com/office/drawing/2014/main" id="{00000000-0008-0000-0100-000040000000}"/>
            </a:ext>
          </a:extLst>
        </xdr:cNvPr>
        <xdr:cNvGrpSpPr/>
      </xdr:nvGrpSpPr>
      <xdr:grpSpPr>
        <a:xfrm>
          <a:off x="9465750" y="3002131"/>
          <a:ext cx="2961103" cy="324800"/>
          <a:chOff x="9571843" y="5082599"/>
          <a:chExt cx="2849691" cy="320104"/>
        </a:xfrm>
      </xdr:grpSpPr>
      <xdr:sp macro="" textlink="">
        <xdr:nvSpPr>
          <xdr:cNvPr id="63" name="Rectangle 62">
            <a:extLst>
              <a:ext uri="{FF2B5EF4-FFF2-40B4-BE49-F238E27FC236}">
                <a16:creationId xmlns:a16="http://schemas.microsoft.com/office/drawing/2014/main" id="{00000000-0008-0000-0100-00003F000000}"/>
              </a:ext>
            </a:extLst>
          </xdr:cNvPr>
          <xdr:cNvSpPr/>
        </xdr:nvSpPr>
        <xdr:spPr>
          <a:xfrm>
            <a:off x="9571843" y="5082599"/>
            <a:ext cx="2849691" cy="320104"/>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grpSp>
        <xdr:nvGrpSpPr>
          <xdr:cNvPr id="24" name="Groupe 23">
            <a:hlinkClick xmlns:r="http://schemas.openxmlformats.org/officeDocument/2006/relationships" r:id="rId21"/>
            <a:extLst>
              <a:ext uri="{FF2B5EF4-FFF2-40B4-BE49-F238E27FC236}">
                <a16:creationId xmlns:a16="http://schemas.microsoft.com/office/drawing/2014/main" id="{00000000-0008-0000-0100-000018000000}"/>
              </a:ext>
            </a:extLst>
          </xdr:cNvPr>
          <xdr:cNvGrpSpPr/>
        </xdr:nvGrpSpPr>
        <xdr:grpSpPr>
          <a:xfrm>
            <a:off x="9638187" y="5109925"/>
            <a:ext cx="2713084" cy="265452"/>
            <a:chOff x="9770931" y="5145062"/>
            <a:chExt cx="2713084" cy="265452"/>
          </a:xfrm>
        </xdr:grpSpPr>
        <xdr:cxnSp macro="">
          <xdr:nvCxnSpPr>
            <xdr:cNvPr id="197" name="Connecteur droit 196">
              <a:extLst>
                <a:ext uri="{FF2B5EF4-FFF2-40B4-BE49-F238E27FC236}">
                  <a16:creationId xmlns:a16="http://schemas.microsoft.com/office/drawing/2014/main" id="{00000000-0008-0000-0100-0000C5000000}"/>
                </a:ext>
              </a:extLst>
            </xdr:cNvPr>
            <xdr:cNvCxnSpPr/>
          </xdr:nvCxnSpPr>
          <xdr:spPr>
            <a:xfrm flipV="1">
              <a:off x="10127152" y="5184092"/>
              <a:ext cx="0" cy="187392"/>
            </a:xfrm>
            <a:prstGeom prst="line">
              <a:avLst/>
            </a:prstGeom>
            <a:ln w="285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08" name="Rectangle 207">
              <a:extLst>
                <a:ext uri="{FF2B5EF4-FFF2-40B4-BE49-F238E27FC236}">
                  <a16:creationId xmlns:a16="http://schemas.microsoft.com/office/drawing/2014/main" id="{00000000-0008-0000-0100-0000D0000000}"/>
                </a:ext>
              </a:extLst>
            </xdr:cNvPr>
            <xdr:cNvSpPr/>
          </xdr:nvSpPr>
          <xdr:spPr>
            <a:xfrm>
              <a:off x="10180831" y="5167244"/>
              <a:ext cx="2303184" cy="2210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fr-FR" sz="1000" b="0" i="1" baseline="0">
                  <a:solidFill>
                    <a:sysClr val="windowText" lastClr="000000"/>
                  </a:solidFill>
                  <a:effectLst/>
                  <a:latin typeface="+mn-lt"/>
                  <a:ea typeface="+mn-ea"/>
                  <a:cs typeface="+mn-cs"/>
                </a:rPr>
                <a:t>Impôt sur le revenu</a:t>
              </a:r>
              <a:endParaRPr lang="fr-FR" sz="1000" b="0" i="1">
                <a:solidFill>
                  <a:sysClr val="windowText" lastClr="000000"/>
                </a:solidFill>
                <a:effectLst/>
              </a:endParaRPr>
            </a:p>
          </xdr:txBody>
        </xdr:sp>
        <xdr:pic>
          <xdr:nvPicPr>
            <xdr:cNvPr id="17" name="Graphique 16" descr="Calculatrice contour">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9770931" y="5145062"/>
              <a:ext cx="265452" cy="265452"/>
            </a:xfrm>
            <a:prstGeom prst="rect">
              <a:avLst/>
            </a:prstGeom>
          </xdr:spPr>
        </xdr:pic>
      </xdr:grpSp>
    </xdr:grpSp>
    <xdr:clientData/>
  </xdr:twoCellAnchor>
  <xdr:twoCellAnchor>
    <xdr:from>
      <xdr:col>2</xdr:col>
      <xdr:colOff>148341</xdr:colOff>
      <xdr:row>3</xdr:row>
      <xdr:rowOff>124917</xdr:rowOff>
    </xdr:from>
    <xdr:to>
      <xdr:col>3</xdr:col>
      <xdr:colOff>729837</xdr:colOff>
      <xdr:row>5</xdr:row>
      <xdr:rowOff>104330</xdr:rowOff>
    </xdr:to>
    <xdr:grpSp>
      <xdr:nvGrpSpPr>
        <xdr:cNvPr id="11" name="Groupe 10">
          <a:extLst>
            <a:ext uri="{FF2B5EF4-FFF2-40B4-BE49-F238E27FC236}">
              <a16:creationId xmlns:a16="http://schemas.microsoft.com/office/drawing/2014/main" id="{00000000-0008-0000-0100-00000B000000}"/>
            </a:ext>
          </a:extLst>
        </xdr:cNvPr>
        <xdr:cNvGrpSpPr/>
      </xdr:nvGrpSpPr>
      <xdr:grpSpPr>
        <a:xfrm>
          <a:off x="1790048" y="682478"/>
          <a:ext cx="854082" cy="351120"/>
          <a:chOff x="3142624" y="716405"/>
          <a:chExt cx="846946" cy="354167"/>
        </a:xfrm>
      </xdr:grpSpPr>
      <xdr:sp macro="[0]!ResetHOME" textlink="">
        <xdr:nvSpPr>
          <xdr:cNvPr id="12" name="Ellipse 11">
            <a:extLst>
              <a:ext uri="{FF2B5EF4-FFF2-40B4-BE49-F238E27FC236}">
                <a16:creationId xmlns:a16="http://schemas.microsoft.com/office/drawing/2014/main" id="{00000000-0008-0000-0100-00000C000000}"/>
              </a:ext>
            </a:extLst>
          </xdr:cNvPr>
          <xdr:cNvSpPr/>
        </xdr:nvSpPr>
        <xdr:spPr>
          <a:xfrm>
            <a:off x="3142624" y="716405"/>
            <a:ext cx="394218" cy="345485"/>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0]!ResetHOME" textlink="">
        <xdr:nvSpPr>
          <xdr:cNvPr id="13" name="Rectangle 12">
            <a:extLst>
              <a:ext uri="{FF2B5EF4-FFF2-40B4-BE49-F238E27FC236}">
                <a16:creationId xmlns:a16="http://schemas.microsoft.com/office/drawing/2014/main" id="{00000000-0008-0000-0100-00000D000000}"/>
              </a:ext>
            </a:extLst>
          </xdr:cNvPr>
          <xdr:cNvSpPr/>
        </xdr:nvSpPr>
        <xdr:spPr>
          <a:xfrm>
            <a:off x="3514961" y="718799"/>
            <a:ext cx="47460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Reset</a:t>
            </a:r>
          </a:p>
        </xdr:txBody>
      </xdr:sp>
      <xdr:pic macro="[0]!ResetHOME">
        <xdr:nvPicPr>
          <xdr:cNvPr id="16" name="Graphique 15" descr="Ordures avec un remplissage uni">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3218720" y="752518"/>
            <a:ext cx="242028" cy="242028"/>
          </a:xfrm>
          <a:prstGeom prst="rect">
            <a:avLst/>
          </a:prstGeom>
        </xdr:spPr>
      </xdr:pic>
    </xdr:grpSp>
    <xdr:clientData/>
  </xdr:twoCellAnchor>
  <xdr:twoCellAnchor>
    <xdr:from>
      <xdr:col>12</xdr:col>
      <xdr:colOff>412904</xdr:colOff>
      <xdr:row>26</xdr:row>
      <xdr:rowOff>78056</xdr:rowOff>
    </xdr:from>
    <xdr:to>
      <xdr:col>16</xdr:col>
      <xdr:colOff>202103</xdr:colOff>
      <xdr:row>28</xdr:row>
      <xdr:rowOff>25551</xdr:rowOff>
    </xdr:to>
    <xdr:grpSp>
      <xdr:nvGrpSpPr>
        <xdr:cNvPr id="50" name="Groupe 49">
          <a:hlinkClick xmlns:r="http://schemas.openxmlformats.org/officeDocument/2006/relationships" r:id="rId26"/>
          <a:extLst>
            <a:ext uri="{FF2B5EF4-FFF2-40B4-BE49-F238E27FC236}">
              <a16:creationId xmlns:a16="http://schemas.microsoft.com/office/drawing/2014/main" id="{00000000-0008-0000-0100-000032000000}"/>
            </a:ext>
          </a:extLst>
        </xdr:cNvPr>
        <xdr:cNvGrpSpPr/>
      </xdr:nvGrpSpPr>
      <xdr:grpSpPr>
        <a:xfrm>
          <a:off x="9463977" y="4910251"/>
          <a:ext cx="2961102" cy="319202"/>
          <a:chOff x="9101557" y="4670191"/>
          <a:chExt cx="2824808" cy="334690"/>
        </a:xfrm>
      </xdr:grpSpPr>
      <xdr:sp macro="" textlink="">
        <xdr:nvSpPr>
          <xdr:cNvPr id="28" name="Rectangle 27">
            <a:extLst>
              <a:ext uri="{FF2B5EF4-FFF2-40B4-BE49-F238E27FC236}">
                <a16:creationId xmlns:a16="http://schemas.microsoft.com/office/drawing/2014/main" id="{00000000-0008-0000-0100-00001C000000}"/>
              </a:ext>
            </a:extLst>
          </xdr:cNvPr>
          <xdr:cNvSpPr/>
        </xdr:nvSpPr>
        <xdr:spPr>
          <a:xfrm>
            <a:off x="9101557" y="4672336"/>
            <a:ext cx="2824808" cy="332545"/>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xnSp macro="">
        <xdr:nvCxnSpPr>
          <xdr:cNvPr id="29" name="Connecteur droit 28">
            <a:extLst>
              <a:ext uri="{FF2B5EF4-FFF2-40B4-BE49-F238E27FC236}">
                <a16:creationId xmlns:a16="http://schemas.microsoft.com/office/drawing/2014/main" id="{00000000-0008-0000-0100-00001D000000}"/>
              </a:ext>
            </a:extLst>
          </xdr:cNvPr>
          <xdr:cNvCxnSpPr/>
        </xdr:nvCxnSpPr>
        <xdr:spPr>
          <a:xfrm flipV="1">
            <a:off x="9535912" y="4741271"/>
            <a:ext cx="0" cy="194675"/>
          </a:xfrm>
          <a:prstGeom prst="line">
            <a:avLst/>
          </a:prstGeom>
          <a:ln w="285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1" name="Rectangle 30">
            <a:extLst>
              <a:ext uri="{FF2B5EF4-FFF2-40B4-BE49-F238E27FC236}">
                <a16:creationId xmlns:a16="http://schemas.microsoft.com/office/drawing/2014/main" id="{00000000-0008-0000-0100-00001F000000}"/>
              </a:ext>
            </a:extLst>
          </xdr:cNvPr>
          <xdr:cNvSpPr/>
        </xdr:nvSpPr>
        <xdr:spPr>
          <a:xfrm>
            <a:off x="9589123" y="4723769"/>
            <a:ext cx="2283070" cy="2296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fr-FR" sz="1000" b="0" i="1" baseline="0">
                <a:solidFill>
                  <a:sysClr val="windowText" lastClr="000000"/>
                </a:solidFill>
                <a:effectLst/>
                <a:latin typeface="+mn-lt"/>
                <a:ea typeface="+mn-ea"/>
                <a:cs typeface="+mn-cs"/>
              </a:rPr>
              <a:t>Stratégie trésorerie IS </a:t>
            </a:r>
            <a:r>
              <a:rPr lang="fr-FR" sz="800" b="0" i="1" baseline="0">
                <a:solidFill>
                  <a:sysClr val="windowText" lastClr="000000"/>
                </a:solidFill>
                <a:effectLst/>
                <a:latin typeface="+mn-lt"/>
                <a:ea typeface="+mn-ea"/>
                <a:cs typeface="+mn-cs"/>
              </a:rPr>
              <a:t>(préparation retraite)</a:t>
            </a:r>
            <a:endParaRPr lang="fr-FR" sz="1000" b="0" i="1">
              <a:solidFill>
                <a:sysClr val="windowText" lastClr="000000"/>
              </a:solidFill>
              <a:effectLst/>
            </a:endParaRPr>
          </a:p>
        </xdr:txBody>
      </xdr:sp>
      <xdr:pic>
        <xdr:nvPicPr>
          <xdr:cNvPr id="44" name="Graphique 43" descr="Banque avec un remplissage uni">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9161036" y="4670191"/>
            <a:ext cx="302013" cy="302013"/>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19</xdr:col>
      <xdr:colOff>221167</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0200-00000B000000}"/>
            </a:ext>
          </a:extLst>
        </xdr:cNvPr>
        <xdr:cNvGrpSpPr/>
      </xdr:nvGrpSpPr>
      <xdr:grpSpPr>
        <a:xfrm>
          <a:off x="30480" y="0"/>
          <a:ext cx="14259809" cy="1115123"/>
          <a:chOff x="30480" y="0"/>
          <a:chExt cx="14295120" cy="1097281"/>
        </a:xfrm>
      </xdr:grpSpPr>
      <xdr:sp macro="" textlink="">
        <xdr:nvSpPr>
          <xdr:cNvPr id="12" name="Rectangle 11">
            <a:extLst>
              <a:ext uri="{FF2B5EF4-FFF2-40B4-BE49-F238E27FC236}">
                <a16:creationId xmlns:a16="http://schemas.microsoft.com/office/drawing/2014/main" id="{00000000-0008-0000-02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02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39038</xdr:colOff>
      <xdr:row>7</xdr:row>
      <xdr:rowOff>62460</xdr:rowOff>
    </xdr:from>
    <xdr:to>
      <xdr:col>9</xdr:col>
      <xdr:colOff>156149</xdr:colOff>
      <xdr:row>28</xdr:row>
      <xdr:rowOff>140534</xdr:rowOff>
    </xdr:to>
    <xdr:grpSp>
      <xdr:nvGrpSpPr>
        <xdr:cNvPr id="21" name="Groupe 20">
          <a:extLst>
            <a:ext uri="{FF2B5EF4-FFF2-40B4-BE49-F238E27FC236}">
              <a16:creationId xmlns:a16="http://schemas.microsoft.com/office/drawing/2014/main" id="{00000000-0008-0000-0200-000015000000}"/>
            </a:ext>
          </a:extLst>
        </xdr:cNvPr>
        <xdr:cNvGrpSpPr/>
      </xdr:nvGrpSpPr>
      <xdr:grpSpPr>
        <a:xfrm>
          <a:off x="522258" y="1363436"/>
          <a:ext cx="5370574" cy="3987196"/>
          <a:chOff x="1769204" y="2462039"/>
          <a:chExt cx="8099517" cy="2326298"/>
        </a:xfrm>
      </xdr:grpSpPr>
      <xdr:sp macro="" textlink="">
        <xdr:nvSpPr>
          <xdr:cNvPr id="23" name="Rectangle 22">
            <a:extLst>
              <a:ext uri="{FF2B5EF4-FFF2-40B4-BE49-F238E27FC236}">
                <a16:creationId xmlns:a16="http://schemas.microsoft.com/office/drawing/2014/main" id="{00000000-0008-0000-0200-000017000000}"/>
              </a:ext>
            </a:extLst>
          </xdr:cNvPr>
          <xdr:cNvSpPr/>
        </xdr:nvSpPr>
        <xdr:spPr>
          <a:xfrm>
            <a:off x="1769204" y="2462039"/>
            <a:ext cx="8099517" cy="2326298"/>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24" name="ZoneTexte 3">
            <a:extLst>
              <a:ext uri="{FF2B5EF4-FFF2-40B4-BE49-F238E27FC236}">
                <a16:creationId xmlns:a16="http://schemas.microsoft.com/office/drawing/2014/main" id="{00000000-0008-0000-0200-000018000000}"/>
              </a:ext>
            </a:extLst>
          </xdr:cNvPr>
          <xdr:cNvSpPr txBox="1"/>
        </xdr:nvSpPr>
        <xdr:spPr>
          <a:xfrm>
            <a:off x="1778136" y="2552873"/>
            <a:ext cx="3901981"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Impot sur le revenu</a:t>
            </a:r>
          </a:p>
        </xdr:txBody>
      </xdr:sp>
      <xdr:cxnSp macro="">
        <xdr:nvCxnSpPr>
          <xdr:cNvPr id="25" name="Connecteur droit 24">
            <a:extLst>
              <a:ext uri="{FF2B5EF4-FFF2-40B4-BE49-F238E27FC236}">
                <a16:creationId xmlns:a16="http://schemas.microsoft.com/office/drawing/2014/main" id="{00000000-0008-0000-0200-000019000000}"/>
              </a:ext>
            </a:extLst>
          </xdr:cNvPr>
          <xdr:cNvCxnSpPr/>
        </xdr:nvCxnSpPr>
        <xdr:spPr>
          <a:xfrm flipH="1">
            <a:off x="2595700" y="2738951"/>
            <a:ext cx="2280505"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xdr:col>
      <xdr:colOff>58557</xdr:colOff>
      <xdr:row>44</xdr:row>
      <xdr:rowOff>43099</xdr:rowOff>
    </xdr:from>
    <xdr:to>
      <xdr:col>6</xdr:col>
      <xdr:colOff>312295</xdr:colOff>
      <xdr:row>58</xdr:row>
      <xdr:rowOff>78074</xdr:rowOff>
    </xdr:to>
    <xdr:grpSp>
      <xdr:nvGrpSpPr>
        <xdr:cNvPr id="27" name="Groupe 26">
          <a:extLst>
            <a:ext uri="{FF2B5EF4-FFF2-40B4-BE49-F238E27FC236}">
              <a16:creationId xmlns:a16="http://schemas.microsoft.com/office/drawing/2014/main" id="{00000000-0008-0000-0200-00001B000000}"/>
            </a:ext>
          </a:extLst>
        </xdr:cNvPr>
        <xdr:cNvGrpSpPr/>
      </xdr:nvGrpSpPr>
      <xdr:grpSpPr>
        <a:xfrm>
          <a:off x="541777" y="8226855"/>
          <a:ext cx="3128274" cy="2636926"/>
          <a:chOff x="1769206" y="2462040"/>
          <a:chExt cx="4570551" cy="1351615"/>
        </a:xfrm>
      </xdr:grpSpPr>
      <xdr:sp macro="" textlink="">
        <xdr:nvSpPr>
          <xdr:cNvPr id="28" name="Rectangle 27">
            <a:extLst>
              <a:ext uri="{FF2B5EF4-FFF2-40B4-BE49-F238E27FC236}">
                <a16:creationId xmlns:a16="http://schemas.microsoft.com/office/drawing/2014/main" id="{00000000-0008-0000-0200-00001C000000}"/>
              </a:ext>
            </a:extLst>
          </xdr:cNvPr>
          <xdr:cNvSpPr/>
        </xdr:nvSpPr>
        <xdr:spPr>
          <a:xfrm>
            <a:off x="1769206" y="2462040"/>
            <a:ext cx="4570551" cy="1351615"/>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29" name="ZoneTexte 3">
            <a:extLst>
              <a:ext uri="{FF2B5EF4-FFF2-40B4-BE49-F238E27FC236}">
                <a16:creationId xmlns:a16="http://schemas.microsoft.com/office/drawing/2014/main" id="{00000000-0008-0000-0200-00001D000000}"/>
              </a:ext>
            </a:extLst>
          </xdr:cNvPr>
          <xdr:cNvSpPr txBox="1"/>
        </xdr:nvSpPr>
        <xdr:spPr>
          <a:xfrm>
            <a:off x="1778137" y="2552873"/>
            <a:ext cx="4138093"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PASS</a:t>
            </a:r>
          </a:p>
        </xdr:txBody>
      </xdr:sp>
      <xdr:cxnSp macro="">
        <xdr:nvCxnSpPr>
          <xdr:cNvPr id="30" name="Connecteur droit 29">
            <a:extLst>
              <a:ext uri="{FF2B5EF4-FFF2-40B4-BE49-F238E27FC236}">
                <a16:creationId xmlns:a16="http://schemas.microsoft.com/office/drawing/2014/main" id="{00000000-0008-0000-0200-00001E000000}"/>
              </a:ext>
            </a:extLst>
          </xdr:cNvPr>
          <xdr:cNvCxnSpPr/>
        </xdr:nvCxnSpPr>
        <xdr:spPr>
          <a:xfrm flipH="1">
            <a:off x="2595700" y="2738951"/>
            <a:ext cx="2280505"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454078</xdr:colOff>
      <xdr:row>44</xdr:row>
      <xdr:rowOff>54967</xdr:rowOff>
    </xdr:from>
    <xdr:to>
      <xdr:col>10</xdr:col>
      <xdr:colOff>335717</xdr:colOff>
      <xdr:row>58</xdr:row>
      <xdr:rowOff>85882</xdr:rowOff>
    </xdr:to>
    <xdr:grpSp>
      <xdr:nvGrpSpPr>
        <xdr:cNvPr id="22" name="Groupe 21">
          <a:extLst>
            <a:ext uri="{FF2B5EF4-FFF2-40B4-BE49-F238E27FC236}">
              <a16:creationId xmlns:a16="http://schemas.microsoft.com/office/drawing/2014/main" id="{00000000-0008-0000-0200-000016000000}"/>
            </a:ext>
          </a:extLst>
        </xdr:cNvPr>
        <xdr:cNvGrpSpPr/>
      </xdr:nvGrpSpPr>
      <xdr:grpSpPr>
        <a:xfrm>
          <a:off x="3811834" y="8238723"/>
          <a:ext cx="3053542" cy="2632866"/>
          <a:chOff x="1769206" y="2462039"/>
          <a:chExt cx="4147024" cy="1544624"/>
        </a:xfrm>
      </xdr:grpSpPr>
      <xdr:sp macro="" textlink="">
        <xdr:nvSpPr>
          <xdr:cNvPr id="26" name="Rectangle 25">
            <a:extLst>
              <a:ext uri="{FF2B5EF4-FFF2-40B4-BE49-F238E27FC236}">
                <a16:creationId xmlns:a16="http://schemas.microsoft.com/office/drawing/2014/main" id="{00000000-0008-0000-0200-00001A000000}"/>
              </a:ext>
            </a:extLst>
          </xdr:cNvPr>
          <xdr:cNvSpPr/>
        </xdr:nvSpPr>
        <xdr:spPr>
          <a:xfrm>
            <a:off x="1769206" y="2462039"/>
            <a:ext cx="4134773" cy="1544624"/>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35" name="ZoneTexte 3">
            <a:extLst>
              <a:ext uri="{FF2B5EF4-FFF2-40B4-BE49-F238E27FC236}">
                <a16:creationId xmlns:a16="http://schemas.microsoft.com/office/drawing/2014/main" id="{00000000-0008-0000-0200-000023000000}"/>
              </a:ext>
            </a:extLst>
          </xdr:cNvPr>
          <xdr:cNvSpPr txBox="1"/>
        </xdr:nvSpPr>
        <xdr:spPr>
          <a:xfrm>
            <a:off x="1778137" y="2552873"/>
            <a:ext cx="4138093"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Nom des produits</a:t>
            </a:r>
          </a:p>
        </xdr:txBody>
      </xdr:sp>
      <xdr:cxnSp macro="">
        <xdr:nvCxnSpPr>
          <xdr:cNvPr id="36" name="Connecteur droit 35">
            <a:extLst>
              <a:ext uri="{FF2B5EF4-FFF2-40B4-BE49-F238E27FC236}">
                <a16:creationId xmlns:a16="http://schemas.microsoft.com/office/drawing/2014/main" id="{00000000-0008-0000-0200-000024000000}"/>
              </a:ext>
            </a:extLst>
          </xdr:cNvPr>
          <xdr:cNvCxnSpPr/>
        </xdr:nvCxnSpPr>
        <xdr:spPr>
          <a:xfrm flipH="1">
            <a:off x="2595700" y="2738951"/>
            <a:ext cx="2280505"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10</xdr:col>
      <xdr:colOff>465945</xdr:colOff>
      <xdr:row>44</xdr:row>
      <xdr:rowOff>51220</xdr:rowOff>
    </xdr:from>
    <xdr:to>
      <xdr:col>13</xdr:col>
      <xdr:colOff>562130</xdr:colOff>
      <xdr:row>58</xdr:row>
      <xdr:rowOff>82135</xdr:rowOff>
    </xdr:to>
    <xdr:grpSp>
      <xdr:nvGrpSpPr>
        <xdr:cNvPr id="37" name="Groupe 36">
          <a:extLst>
            <a:ext uri="{FF2B5EF4-FFF2-40B4-BE49-F238E27FC236}">
              <a16:creationId xmlns:a16="http://schemas.microsoft.com/office/drawing/2014/main" id="{00000000-0008-0000-0200-000025000000}"/>
            </a:ext>
          </a:extLst>
        </xdr:cNvPr>
        <xdr:cNvGrpSpPr/>
      </xdr:nvGrpSpPr>
      <xdr:grpSpPr>
        <a:xfrm>
          <a:off x="6995604" y="8234976"/>
          <a:ext cx="3707941" cy="2632866"/>
          <a:chOff x="1769204" y="2462039"/>
          <a:chExt cx="5929207" cy="1544624"/>
        </a:xfrm>
      </xdr:grpSpPr>
      <xdr:sp macro="" textlink="">
        <xdr:nvSpPr>
          <xdr:cNvPr id="38" name="Rectangle 37">
            <a:extLst>
              <a:ext uri="{FF2B5EF4-FFF2-40B4-BE49-F238E27FC236}">
                <a16:creationId xmlns:a16="http://schemas.microsoft.com/office/drawing/2014/main" id="{00000000-0008-0000-0200-000026000000}"/>
              </a:ext>
            </a:extLst>
          </xdr:cNvPr>
          <xdr:cNvSpPr/>
        </xdr:nvSpPr>
        <xdr:spPr>
          <a:xfrm>
            <a:off x="1769204" y="2462039"/>
            <a:ext cx="5929207" cy="1544624"/>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39" name="ZoneTexte 3">
            <a:extLst>
              <a:ext uri="{FF2B5EF4-FFF2-40B4-BE49-F238E27FC236}">
                <a16:creationId xmlns:a16="http://schemas.microsoft.com/office/drawing/2014/main" id="{00000000-0008-0000-0200-000027000000}"/>
              </a:ext>
            </a:extLst>
          </xdr:cNvPr>
          <xdr:cNvSpPr txBox="1"/>
        </xdr:nvSpPr>
        <xdr:spPr>
          <a:xfrm>
            <a:off x="1778137" y="2552873"/>
            <a:ext cx="4138093"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Divers</a:t>
            </a:r>
          </a:p>
        </xdr:txBody>
      </xdr:sp>
      <xdr:cxnSp macro="">
        <xdr:nvCxnSpPr>
          <xdr:cNvPr id="40" name="Connecteur droit 39">
            <a:extLst>
              <a:ext uri="{FF2B5EF4-FFF2-40B4-BE49-F238E27FC236}">
                <a16:creationId xmlns:a16="http://schemas.microsoft.com/office/drawing/2014/main" id="{00000000-0008-0000-0200-000028000000}"/>
              </a:ext>
            </a:extLst>
          </xdr:cNvPr>
          <xdr:cNvCxnSpPr/>
        </xdr:nvCxnSpPr>
        <xdr:spPr>
          <a:xfrm flipH="1">
            <a:off x="2595700" y="2738951"/>
            <a:ext cx="2280505"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xdr:col>
      <xdr:colOff>43097</xdr:colOff>
      <xdr:row>30</xdr:row>
      <xdr:rowOff>82136</xdr:rowOff>
    </xdr:from>
    <xdr:to>
      <xdr:col>19</xdr:col>
      <xdr:colOff>234221</xdr:colOff>
      <xdr:row>42</xdr:row>
      <xdr:rowOff>1</xdr:rowOff>
    </xdr:to>
    <xdr:grpSp>
      <xdr:nvGrpSpPr>
        <xdr:cNvPr id="41" name="Groupe 40">
          <a:extLst>
            <a:ext uri="{FF2B5EF4-FFF2-40B4-BE49-F238E27FC236}">
              <a16:creationId xmlns:a16="http://schemas.microsoft.com/office/drawing/2014/main" id="{00000000-0008-0000-0200-000029000000}"/>
            </a:ext>
          </a:extLst>
        </xdr:cNvPr>
        <xdr:cNvGrpSpPr/>
      </xdr:nvGrpSpPr>
      <xdr:grpSpPr>
        <a:xfrm>
          <a:off x="526317" y="5663941"/>
          <a:ext cx="13777026" cy="2148109"/>
          <a:chOff x="1769202" y="2462040"/>
          <a:chExt cx="20845353" cy="1260744"/>
        </a:xfrm>
      </xdr:grpSpPr>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9202" y="2462040"/>
            <a:ext cx="20845353" cy="1260744"/>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43" name="ZoneTexte 3">
            <a:extLst>
              <a:ext uri="{FF2B5EF4-FFF2-40B4-BE49-F238E27FC236}">
                <a16:creationId xmlns:a16="http://schemas.microsoft.com/office/drawing/2014/main" id="{00000000-0008-0000-0200-00002B000000}"/>
              </a:ext>
            </a:extLst>
          </xdr:cNvPr>
          <xdr:cNvSpPr txBox="1"/>
        </xdr:nvSpPr>
        <xdr:spPr>
          <a:xfrm>
            <a:off x="1778136" y="2552873"/>
            <a:ext cx="3901981"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PS</a:t>
            </a:r>
          </a:p>
        </xdr:txBody>
      </xdr:sp>
      <xdr:cxnSp macro="">
        <xdr:nvCxnSpPr>
          <xdr:cNvPr id="44" name="Connecteur droit 43">
            <a:extLst>
              <a:ext uri="{FF2B5EF4-FFF2-40B4-BE49-F238E27FC236}">
                <a16:creationId xmlns:a16="http://schemas.microsoft.com/office/drawing/2014/main" id="{00000000-0008-0000-0200-00002C000000}"/>
              </a:ext>
            </a:extLst>
          </xdr:cNvPr>
          <xdr:cNvCxnSpPr/>
        </xdr:nvCxnSpPr>
        <xdr:spPr>
          <a:xfrm flipH="1">
            <a:off x="2595700" y="2738951"/>
            <a:ext cx="2280505"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9</xdr:col>
      <xdr:colOff>511540</xdr:colOff>
      <xdr:row>7</xdr:row>
      <xdr:rowOff>74327</xdr:rowOff>
    </xdr:from>
    <xdr:to>
      <xdr:col>12</xdr:col>
      <xdr:colOff>343525</xdr:colOff>
      <xdr:row>18</xdr:row>
      <xdr:rowOff>39037</xdr:rowOff>
    </xdr:to>
    <xdr:grpSp>
      <xdr:nvGrpSpPr>
        <xdr:cNvPr id="45" name="Groupe 44">
          <a:extLst>
            <a:ext uri="{FF2B5EF4-FFF2-40B4-BE49-F238E27FC236}">
              <a16:creationId xmlns:a16="http://schemas.microsoft.com/office/drawing/2014/main" id="{00000000-0008-0000-0200-00002D000000}"/>
            </a:ext>
          </a:extLst>
        </xdr:cNvPr>
        <xdr:cNvGrpSpPr/>
      </xdr:nvGrpSpPr>
      <xdr:grpSpPr>
        <a:xfrm>
          <a:off x="6248223" y="1375303"/>
          <a:ext cx="3338424" cy="2015295"/>
          <a:chOff x="1769204" y="2462039"/>
          <a:chExt cx="5048251" cy="1174373"/>
        </a:xfrm>
      </xdr:grpSpPr>
      <xdr:sp macro="" textlink="">
        <xdr:nvSpPr>
          <xdr:cNvPr id="46" name="Rectangle 45">
            <a:extLst>
              <a:ext uri="{FF2B5EF4-FFF2-40B4-BE49-F238E27FC236}">
                <a16:creationId xmlns:a16="http://schemas.microsoft.com/office/drawing/2014/main" id="{00000000-0008-0000-0200-00002E000000}"/>
              </a:ext>
            </a:extLst>
          </xdr:cNvPr>
          <xdr:cNvSpPr/>
        </xdr:nvSpPr>
        <xdr:spPr>
          <a:xfrm>
            <a:off x="1769204" y="2462039"/>
            <a:ext cx="5048251" cy="1174373"/>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49" name="ZoneTexte 3">
            <a:extLst>
              <a:ext uri="{FF2B5EF4-FFF2-40B4-BE49-F238E27FC236}">
                <a16:creationId xmlns:a16="http://schemas.microsoft.com/office/drawing/2014/main" id="{00000000-0008-0000-0200-000031000000}"/>
              </a:ext>
            </a:extLst>
          </xdr:cNvPr>
          <xdr:cNvSpPr txBox="1"/>
        </xdr:nvSpPr>
        <xdr:spPr>
          <a:xfrm>
            <a:off x="1778136" y="2552873"/>
            <a:ext cx="3901981"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Assurance vie</a:t>
            </a:r>
          </a:p>
        </xdr:txBody>
      </xdr:sp>
      <xdr:cxnSp macro="">
        <xdr:nvCxnSpPr>
          <xdr:cNvPr id="50" name="Connecteur droit 49">
            <a:extLst>
              <a:ext uri="{FF2B5EF4-FFF2-40B4-BE49-F238E27FC236}">
                <a16:creationId xmlns:a16="http://schemas.microsoft.com/office/drawing/2014/main" id="{00000000-0008-0000-0200-000032000000}"/>
              </a:ext>
            </a:extLst>
          </xdr:cNvPr>
          <xdr:cNvCxnSpPr/>
        </xdr:nvCxnSpPr>
        <xdr:spPr>
          <a:xfrm flipH="1">
            <a:off x="2595700" y="2738951"/>
            <a:ext cx="2280505"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9</xdr:col>
      <xdr:colOff>515600</xdr:colOff>
      <xdr:row>18</xdr:row>
      <xdr:rowOff>148652</xdr:rowOff>
    </xdr:from>
    <xdr:to>
      <xdr:col>12</xdr:col>
      <xdr:colOff>347585</xdr:colOff>
      <xdr:row>28</xdr:row>
      <xdr:rowOff>140532</xdr:rowOff>
    </xdr:to>
    <xdr:grpSp>
      <xdr:nvGrpSpPr>
        <xdr:cNvPr id="51" name="Groupe 50">
          <a:extLst>
            <a:ext uri="{FF2B5EF4-FFF2-40B4-BE49-F238E27FC236}">
              <a16:creationId xmlns:a16="http://schemas.microsoft.com/office/drawing/2014/main" id="{00000000-0008-0000-0200-000033000000}"/>
            </a:ext>
          </a:extLst>
        </xdr:cNvPr>
        <xdr:cNvGrpSpPr/>
      </xdr:nvGrpSpPr>
      <xdr:grpSpPr>
        <a:xfrm>
          <a:off x="6252283" y="3500213"/>
          <a:ext cx="3338424" cy="1850417"/>
          <a:chOff x="1769204" y="2462039"/>
          <a:chExt cx="5048251" cy="1081502"/>
        </a:xfrm>
      </xdr:grpSpPr>
      <xdr:sp macro="" textlink="">
        <xdr:nvSpPr>
          <xdr:cNvPr id="52" name="Rectangle 51">
            <a:extLst>
              <a:ext uri="{FF2B5EF4-FFF2-40B4-BE49-F238E27FC236}">
                <a16:creationId xmlns:a16="http://schemas.microsoft.com/office/drawing/2014/main" id="{00000000-0008-0000-0200-000034000000}"/>
              </a:ext>
            </a:extLst>
          </xdr:cNvPr>
          <xdr:cNvSpPr/>
        </xdr:nvSpPr>
        <xdr:spPr>
          <a:xfrm>
            <a:off x="1769204" y="2462039"/>
            <a:ext cx="5048251" cy="1081502"/>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53" name="ZoneTexte 3">
            <a:extLst>
              <a:ext uri="{FF2B5EF4-FFF2-40B4-BE49-F238E27FC236}">
                <a16:creationId xmlns:a16="http://schemas.microsoft.com/office/drawing/2014/main" id="{00000000-0008-0000-0200-000035000000}"/>
              </a:ext>
            </a:extLst>
          </xdr:cNvPr>
          <xdr:cNvSpPr txBox="1"/>
        </xdr:nvSpPr>
        <xdr:spPr>
          <a:xfrm>
            <a:off x="1778136" y="2552873"/>
            <a:ext cx="3901981"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IS</a:t>
            </a:r>
          </a:p>
        </xdr:txBody>
      </xdr:sp>
      <xdr:cxnSp macro="">
        <xdr:nvCxnSpPr>
          <xdr:cNvPr id="54" name="Connecteur droit 53">
            <a:extLst>
              <a:ext uri="{FF2B5EF4-FFF2-40B4-BE49-F238E27FC236}">
                <a16:creationId xmlns:a16="http://schemas.microsoft.com/office/drawing/2014/main" id="{00000000-0008-0000-0200-000036000000}"/>
              </a:ext>
            </a:extLst>
          </xdr:cNvPr>
          <xdr:cNvCxnSpPr/>
        </xdr:nvCxnSpPr>
        <xdr:spPr>
          <a:xfrm flipH="1">
            <a:off x="2595700" y="2738951"/>
            <a:ext cx="2280505"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12</xdr:col>
      <xdr:colOff>687049</xdr:colOff>
      <xdr:row>7</xdr:row>
      <xdr:rowOff>78073</xdr:rowOff>
    </xdr:from>
    <xdr:to>
      <xdr:col>19</xdr:col>
      <xdr:colOff>226414</xdr:colOff>
      <xdr:row>19</xdr:row>
      <xdr:rowOff>117111</xdr:rowOff>
    </xdr:to>
    <xdr:grpSp>
      <xdr:nvGrpSpPr>
        <xdr:cNvPr id="55" name="Groupe 54">
          <a:extLst>
            <a:ext uri="{FF2B5EF4-FFF2-40B4-BE49-F238E27FC236}">
              <a16:creationId xmlns:a16="http://schemas.microsoft.com/office/drawing/2014/main" id="{00000000-0008-0000-0200-000037000000}"/>
            </a:ext>
          </a:extLst>
        </xdr:cNvPr>
        <xdr:cNvGrpSpPr/>
      </xdr:nvGrpSpPr>
      <xdr:grpSpPr>
        <a:xfrm>
          <a:off x="9930171" y="1379049"/>
          <a:ext cx="4365365" cy="2275477"/>
          <a:chOff x="1769204" y="2462038"/>
          <a:chExt cx="6601411" cy="1326081"/>
        </a:xfrm>
      </xdr:grpSpPr>
      <xdr:sp macro="" textlink="">
        <xdr:nvSpPr>
          <xdr:cNvPr id="56" name="Rectangle 55">
            <a:extLst>
              <a:ext uri="{FF2B5EF4-FFF2-40B4-BE49-F238E27FC236}">
                <a16:creationId xmlns:a16="http://schemas.microsoft.com/office/drawing/2014/main" id="{00000000-0008-0000-0200-000038000000}"/>
              </a:ext>
            </a:extLst>
          </xdr:cNvPr>
          <xdr:cNvSpPr/>
        </xdr:nvSpPr>
        <xdr:spPr>
          <a:xfrm>
            <a:off x="1769204" y="2462038"/>
            <a:ext cx="6601411" cy="1326081"/>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57" name="ZoneTexte 3">
            <a:extLst>
              <a:ext uri="{FF2B5EF4-FFF2-40B4-BE49-F238E27FC236}">
                <a16:creationId xmlns:a16="http://schemas.microsoft.com/office/drawing/2014/main" id="{00000000-0008-0000-0200-000039000000}"/>
              </a:ext>
            </a:extLst>
          </xdr:cNvPr>
          <xdr:cNvSpPr txBox="1"/>
        </xdr:nvSpPr>
        <xdr:spPr>
          <a:xfrm>
            <a:off x="1778137" y="2552873"/>
            <a:ext cx="5545023"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CEHR</a:t>
            </a:r>
          </a:p>
        </xdr:txBody>
      </xdr:sp>
      <xdr:cxnSp macro="">
        <xdr:nvCxnSpPr>
          <xdr:cNvPr id="58" name="Connecteur droit 57">
            <a:extLst>
              <a:ext uri="{FF2B5EF4-FFF2-40B4-BE49-F238E27FC236}">
                <a16:creationId xmlns:a16="http://schemas.microsoft.com/office/drawing/2014/main" id="{00000000-0008-0000-0200-00003A000000}"/>
              </a:ext>
            </a:extLst>
          </xdr:cNvPr>
          <xdr:cNvCxnSpPr/>
        </xdr:nvCxnSpPr>
        <xdr:spPr>
          <a:xfrm flipH="1">
            <a:off x="2595700" y="2733591"/>
            <a:ext cx="3813979"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4</xdr:col>
      <xdr:colOff>171763</xdr:colOff>
      <xdr:row>0</xdr:row>
      <xdr:rowOff>117111</xdr:rowOff>
    </xdr:from>
    <xdr:to>
      <xdr:col>6</xdr:col>
      <xdr:colOff>69143</xdr:colOff>
      <xdr:row>2</xdr:row>
      <xdr:rowOff>94251</xdr:rowOff>
    </xdr:to>
    <xdr:grpSp>
      <xdr:nvGrpSpPr>
        <xdr:cNvPr id="19" name="Groupe 18">
          <a:hlinkClick xmlns:r="http://schemas.openxmlformats.org/officeDocument/2006/relationships" r:id="rId3"/>
          <a:extLst>
            <a:ext uri="{FF2B5EF4-FFF2-40B4-BE49-F238E27FC236}">
              <a16:creationId xmlns:a16="http://schemas.microsoft.com/office/drawing/2014/main" id="{00000000-0008-0000-0200-000013000000}"/>
            </a:ext>
          </a:extLst>
        </xdr:cNvPr>
        <xdr:cNvGrpSpPr/>
      </xdr:nvGrpSpPr>
      <xdr:grpSpPr>
        <a:xfrm>
          <a:off x="1801080" y="117111"/>
          <a:ext cx="1625819" cy="348847"/>
          <a:chOff x="1751601" y="106493"/>
          <a:chExt cx="1575966" cy="351894"/>
        </a:xfrm>
      </xdr:grpSpPr>
      <xdr:sp macro="" textlink="">
        <xdr:nvSpPr>
          <xdr:cNvPr id="20" name="Rectangle : avec coins arrondis en haut 19">
            <a:extLst>
              <a:ext uri="{FF2B5EF4-FFF2-40B4-BE49-F238E27FC236}">
                <a16:creationId xmlns:a16="http://schemas.microsoft.com/office/drawing/2014/main" id="{00000000-0008-0000-0200-000014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31" name="Rectangle 30">
            <a:hlinkClick xmlns:r="http://schemas.openxmlformats.org/officeDocument/2006/relationships" r:id="rId4"/>
            <a:extLst>
              <a:ext uri="{FF2B5EF4-FFF2-40B4-BE49-F238E27FC236}">
                <a16:creationId xmlns:a16="http://schemas.microsoft.com/office/drawing/2014/main" id="{00000000-0008-0000-0200-00001F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12</xdr:col>
      <xdr:colOff>691109</xdr:colOff>
      <xdr:row>20</xdr:row>
      <xdr:rowOff>43097</xdr:rowOff>
    </xdr:from>
    <xdr:to>
      <xdr:col>19</xdr:col>
      <xdr:colOff>230474</xdr:colOff>
      <xdr:row>28</xdr:row>
      <xdr:rowOff>148343</xdr:rowOff>
    </xdr:to>
    <xdr:grpSp>
      <xdr:nvGrpSpPr>
        <xdr:cNvPr id="32" name="Groupe 31">
          <a:extLst>
            <a:ext uri="{FF2B5EF4-FFF2-40B4-BE49-F238E27FC236}">
              <a16:creationId xmlns:a16="http://schemas.microsoft.com/office/drawing/2014/main" id="{00000000-0008-0000-0200-000020000000}"/>
            </a:ext>
          </a:extLst>
        </xdr:cNvPr>
        <xdr:cNvGrpSpPr/>
      </xdr:nvGrpSpPr>
      <xdr:grpSpPr>
        <a:xfrm>
          <a:off x="9934231" y="3766365"/>
          <a:ext cx="4365365" cy="1592076"/>
          <a:chOff x="1769204" y="2462039"/>
          <a:chExt cx="6601411" cy="929977"/>
        </a:xfrm>
      </xdr:grpSpPr>
      <xdr:sp macro="" textlink="">
        <xdr:nvSpPr>
          <xdr:cNvPr id="33" name="Rectangle 32">
            <a:extLst>
              <a:ext uri="{FF2B5EF4-FFF2-40B4-BE49-F238E27FC236}">
                <a16:creationId xmlns:a16="http://schemas.microsoft.com/office/drawing/2014/main" id="{00000000-0008-0000-0200-000021000000}"/>
              </a:ext>
            </a:extLst>
          </xdr:cNvPr>
          <xdr:cNvSpPr/>
        </xdr:nvSpPr>
        <xdr:spPr>
          <a:xfrm>
            <a:off x="1769204" y="2462039"/>
            <a:ext cx="6601411" cy="929977"/>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34" name="ZoneTexte 3">
            <a:extLst>
              <a:ext uri="{FF2B5EF4-FFF2-40B4-BE49-F238E27FC236}">
                <a16:creationId xmlns:a16="http://schemas.microsoft.com/office/drawing/2014/main" id="{00000000-0008-0000-0200-000022000000}"/>
              </a:ext>
            </a:extLst>
          </xdr:cNvPr>
          <xdr:cNvSpPr txBox="1"/>
        </xdr:nvSpPr>
        <xdr:spPr>
          <a:xfrm>
            <a:off x="1778137" y="2552873"/>
            <a:ext cx="5545023"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Paramètres sortie capital anciens</a:t>
            </a:r>
            <a:r>
              <a:rPr lang="fr-FR" sz="1600" b="1" baseline="0">
                <a:effectLst/>
                <a:latin typeface="+mn-lt"/>
                <a:ea typeface="+mn-ea"/>
                <a:cs typeface="+mn-cs"/>
              </a:rPr>
              <a:t> CT</a:t>
            </a:r>
            <a:endParaRPr lang="fr-FR" sz="1600" b="1">
              <a:effectLst/>
              <a:latin typeface="+mn-lt"/>
              <a:ea typeface="+mn-ea"/>
              <a:cs typeface="+mn-cs"/>
            </a:endParaRPr>
          </a:p>
        </xdr:txBody>
      </xdr:sp>
      <xdr:cxnSp macro="">
        <xdr:nvCxnSpPr>
          <xdr:cNvPr id="47" name="Connecteur droit 46">
            <a:extLst>
              <a:ext uri="{FF2B5EF4-FFF2-40B4-BE49-F238E27FC236}">
                <a16:creationId xmlns:a16="http://schemas.microsoft.com/office/drawing/2014/main" id="{00000000-0008-0000-0200-00002F000000}"/>
              </a:ext>
            </a:extLst>
          </xdr:cNvPr>
          <xdr:cNvCxnSpPr/>
        </xdr:nvCxnSpPr>
        <xdr:spPr>
          <a:xfrm flipH="1">
            <a:off x="2595700" y="2733591"/>
            <a:ext cx="3813979"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16</xdr:col>
      <xdr:colOff>236782</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0300-00000B000000}"/>
            </a:ext>
          </a:extLst>
        </xdr:cNvPr>
        <xdr:cNvGrpSpPr/>
      </xdr:nvGrpSpPr>
      <xdr:grpSpPr>
        <a:xfrm>
          <a:off x="30480" y="0"/>
          <a:ext cx="14275424" cy="1115123"/>
          <a:chOff x="30480" y="0"/>
          <a:chExt cx="14295120" cy="1097281"/>
        </a:xfrm>
      </xdr:grpSpPr>
      <xdr:sp macro="" textlink="">
        <xdr:nvSpPr>
          <xdr:cNvPr id="12" name="Rectangle 11">
            <a:extLst>
              <a:ext uri="{FF2B5EF4-FFF2-40B4-BE49-F238E27FC236}">
                <a16:creationId xmlns:a16="http://schemas.microsoft.com/office/drawing/2014/main" id="{00000000-0008-0000-03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3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03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xdr:from>
      <xdr:col>10</xdr:col>
      <xdr:colOff>76199</xdr:colOff>
      <xdr:row>10</xdr:row>
      <xdr:rowOff>171449</xdr:rowOff>
    </xdr:from>
    <xdr:to>
      <xdr:col>16</xdr:col>
      <xdr:colOff>140532</xdr:colOff>
      <xdr:row>34</xdr:row>
      <xdr:rowOff>19049</xdr:rowOff>
    </xdr:to>
    <xdr:graphicFrame macro="">
      <xdr:nvGraphicFramePr>
        <xdr:cNvPr id="49" name="Graphique 48">
          <a:extLst>
            <a:ext uri="{FF2B5EF4-FFF2-40B4-BE49-F238E27FC236}">
              <a16:creationId xmlns:a16="http://schemas.microsoft.com/office/drawing/2014/main" id="{00000000-0008-0000-03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770849</xdr:colOff>
      <xdr:row>7</xdr:row>
      <xdr:rowOff>39035</xdr:rowOff>
    </xdr:from>
    <xdr:to>
      <xdr:col>16</xdr:col>
      <xdr:colOff>210800</xdr:colOff>
      <xdr:row>35</xdr:row>
      <xdr:rowOff>117109</xdr:rowOff>
    </xdr:to>
    <xdr:grpSp>
      <xdr:nvGrpSpPr>
        <xdr:cNvPr id="50" name="Groupe 49">
          <a:extLst>
            <a:ext uri="{FF2B5EF4-FFF2-40B4-BE49-F238E27FC236}">
              <a16:creationId xmlns:a16="http://schemas.microsoft.com/office/drawing/2014/main" id="{00000000-0008-0000-0300-000032000000}"/>
            </a:ext>
          </a:extLst>
        </xdr:cNvPr>
        <xdr:cNvGrpSpPr/>
      </xdr:nvGrpSpPr>
      <xdr:grpSpPr>
        <a:xfrm>
          <a:off x="1563825" y="1340011"/>
          <a:ext cx="12716097" cy="5312952"/>
          <a:chOff x="1765956" y="2462038"/>
          <a:chExt cx="19198493" cy="3131903"/>
        </a:xfrm>
      </xdr:grpSpPr>
      <xdr:sp macro="" textlink="">
        <xdr:nvSpPr>
          <xdr:cNvPr id="51" name="Rectangle 50">
            <a:extLst>
              <a:ext uri="{FF2B5EF4-FFF2-40B4-BE49-F238E27FC236}">
                <a16:creationId xmlns:a16="http://schemas.microsoft.com/office/drawing/2014/main" id="{00000000-0008-0000-0300-000033000000}"/>
              </a:ext>
            </a:extLst>
          </xdr:cNvPr>
          <xdr:cNvSpPr/>
        </xdr:nvSpPr>
        <xdr:spPr>
          <a:xfrm>
            <a:off x="1769204" y="2462038"/>
            <a:ext cx="19195245" cy="3131903"/>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52" name="ZoneTexte 3">
            <a:extLst>
              <a:ext uri="{FF2B5EF4-FFF2-40B4-BE49-F238E27FC236}">
                <a16:creationId xmlns:a16="http://schemas.microsoft.com/office/drawing/2014/main" id="{00000000-0008-0000-0300-000034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Comparer</a:t>
            </a:r>
            <a:r>
              <a:rPr lang="fr-FR" sz="1600" b="1" baseline="0">
                <a:effectLst/>
                <a:latin typeface="+mn-lt"/>
                <a:ea typeface="+mn-ea"/>
                <a:cs typeface="+mn-cs"/>
              </a:rPr>
              <a:t> différents placements</a:t>
            </a:r>
            <a:endParaRPr lang="fr-FR" sz="1600" b="1">
              <a:effectLst/>
              <a:latin typeface="+mn-lt"/>
              <a:ea typeface="+mn-ea"/>
              <a:cs typeface="+mn-cs"/>
            </a:endParaRPr>
          </a:p>
        </xdr:txBody>
      </xdr:sp>
      <xdr:cxnSp macro="">
        <xdr:nvCxnSpPr>
          <xdr:cNvPr id="53" name="Connecteur droit 52">
            <a:extLst>
              <a:ext uri="{FF2B5EF4-FFF2-40B4-BE49-F238E27FC236}">
                <a16:creationId xmlns:a16="http://schemas.microsoft.com/office/drawing/2014/main" id="{00000000-0008-0000-0300-000035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xdr:col>
      <xdr:colOff>163954</xdr:colOff>
      <xdr:row>0</xdr:row>
      <xdr:rowOff>117111</xdr:rowOff>
    </xdr:from>
    <xdr:to>
      <xdr:col>4</xdr:col>
      <xdr:colOff>279941</xdr:colOff>
      <xdr:row>2</xdr:row>
      <xdr:rowOff>94251</xdr:rowOff>
    </xdr:to>
    <xdr:grpSp>
      <xdr:nvGrpSpPr>
        <xdr:cNvPr id="56" name="Groupe 55">
          <a:hlinkClick xmlns:r="http://schemas.openxmlformats.org/officeDocument/2006/relationships" r:id="rId4"/>
          <a:extLst>
            <a:ext uri="{FF2B5EF4-FFF2-40B4-BE49-F238E27FC236}">
              <a16:creationId xmlns:a16="http://schemas.microsoft.com/office/drawing/2014/main" id="{00000000-0008-0000-0300-000038000000}"/>
            </a:ext>
          </a:extLst>
        </xdr:cNvPr>
        <xdr:cNvGrpSpPr/>
      </xdr:nvGrpSpPr>
      <xdr:grpSpPr>
        <a:xfrm>
          <a:off x="1805661" y="117111"/>
          <a:ext cx="1615207" cy="348847"/>
          <a:chOff x="1751601" y="106493"/>
          <a:chExt cx="1575966" cy="351894"/>
        </a:xfrm>
      </xdr:grpSpPr>
      <xdr:sp macro="" textlink="">
        <xdr:nvSpPr>
          <xdr:cNvPr id="57" name="Rectangle : avec coins arrondis en haut 56">
            <a:extLst>
              <a:ext uri="{FF2B5EF4-FFF2-40B4-BE49-F238E27FC236}">
                <a16:creationId xmlns:a16="http://schemas.microsoft.com/office/drawing/2014/main" id="{00000000-0008-0000-0300-000039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8" name="Rectangle 57">
            <a:extLst>
              <a:ext uri="{FF2B5EF4-FFF2-40B4-BE49-F238E27FC236}">
                <a16:creationId xmlns:a16="http://schemas.microsoft.com/office/drawing/2014/main" id="{00000000-0008-0000-0300-00003A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770849</xdr:colOff>
      <xdr:row>7</xdr:row>
      <xdr:rowOff>39029</xdr:rowOff>
    </xdr:from>
    <xdr:to>
      <xdr:col>12</xdr:col>
      <xdr:colOff>398177</xdr:colOff>
      <xdr:row>381</xdr:row>
      <xdr:rowOff>156146</xdr:rowOff>
    </xdr:to>
    <xdr:grpSp>
      <xdr:nvGrpSpPr>
        <xdr:cNvPr id="19" name="Groupe 18">
          <a:extLst>
            <a:ext uri="{FF2B5EF4-FFF2-40B4-BE49-F238E27FC236}">
              <a16:creationId xmlns:a16="http://schemas.microsoft.com/office/drawing/2014/main" id="{00000000-0008-0000-0400-000013000000}"/>
            </a:ext>
          </a:extLst>
        </xdr:cNvPr>
        <xdr:cNvGrpSpPr/>
      </xdr:nvGrpSpPr>
      <xdr:grpSpPr>
        <a:xfrm>
          <a:off x="1563825" y="1340005"/>
          <a:ext cx="9638645" cy="69638775"/>
          <a:chOff x="1765956" y="2462035"/>
          <a:chExt cx="14582377" cy="40710217"/>
        </a:xfrm>
      </xdr:grpSpPr>
      <xdr:sp macro="" textlink="">
        <xdr:nvSpPr>
          <xdr:cNvPr id="20" name="Rectangle 19">
            <a:extLst>
              <a:ext uri="{FF2B5EF4-FFF2-40B4-BE49-F238E27FC236}">
                <a16:creationId xmlns:a16="http://schemas.microsoft.com/office/drawing/2014/main" id="{00000000-0008-0000-0400-000014000000}"/>
              </a:ext>
            </a:extLst>
          </xdr:cNvPr>
          <xdr:cNvSpPr/>
        </xdr:nvSpPr>
        <xdr:spPr>
          <a:xfrm>
            <a:off x="1769204" y="2462035"/>
            <a:ext cx="14579129" cy="40710217"/>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21" name="ZoneTexte 3">
            <a:extLst>
              <a:ext uri="{FF2B5EF4-FFF2-40B4-BE49-F238E27FC236}">
                <a16:creationId xmlns:a16="http://schemas.microsoft.com/office/drawing/2014/main" id="{00000000-0008-0000-0400-000015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Crédit</a:t>
            </a:r>
          </a:p>
        </xdr:txBody>
      </xdr:sp>
      <xdr:cxnSp macro="">
        <xdr:nvCxnSpPr>
          <xdr:cNvPr id="22" name="Connecteur droit 21">
            <a:extLst>
              <a:ext uri="{FF2B5EF4-FFF2-40B4-BE49-F238E27FC236}">
                <a16:creationId xmlns:a16="http://schemas.microsoft.com/office/drawing/2014/main" id="{00000000-0008-0000-0400-000016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30480</xdr:colOff>
      <xdr:row>0</xdr:row>
      <xdr:rowOff>0</xdr:rowOff>
    </xdr:from>
    <xdr:to>
      <xdr:col>16</xdr:col>
      <xdr:colOff>322663</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0400-00000B000000}"/>
            </a:ext>
          </a:extLst>
        </xdr:cNvPr>
        <xdr:cNvGrpSpPr/>
      </xdr:nvGrpSpPr>
      <xdr:grpSpPr>
        <a:xfrm>
          <a:off x="30480" y="0"/>
          <a:ext cx="14268378" cy="1115123"/>
          <a:chOff x="30480" y="0"/>
          <a:chExt cx="14295120" cy="1097281"/>
        </a:xfrm>
      </xdr:grpSpPr>
      <xdr:sp macro="" textlink="">
        <xdr:nvSpPr>
          <xdr:cNvPr id="12" name="Rectangle 11">
            <a:extLst>
              <a:ext uri="{FF2B5EF4-FFF2-40B4-BE49-F238E27FC236}">
                <a16:creationId xmlns:a16="http://schemas.microsoft.com/office/drawing/2014/main" id="{00000000-0008-0000-04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04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163954</xdr:colOff>
      <xdr:row>0</xdr:row>
      <xdr:rowOff>117111</xdr:rowOff>
    </xdr:from>
    <xdr:to>
      <xdr:col>4</xdr:col>
      <xdr:colOff>365822</xdr:colOff>
      <xdr:row>2</xdr:row>
      <xdr:rowOff>94251</xdr:rowOff>
    </xdr:to>
    <xdr:grpSp>
      <xdr:nvGrpSpPr>
        <xdr:cNvPr id="41" name="Groupe 40">
          <a:hlinkClick xmlns:r="http://schemas.openxmlformats.org/officeDocument/2006/relationships" r:id="rId3"/>
          <a:extLst>
            <a:ext uri="{FF2B5EF4-FFF2-40B4-BE49-F238E27FC236}">
              <a16:creationId xmlns:a16="http://schemas.microsoft.com/office/drawing/2014/main" id="{00000000-0008-0000-0400-000029000000}"/>
            </a:ext>
          </a:extLst>
        </xdr:cNvPr>
        <xdr:cNvGrpSpPr/>
      </xdr:nvGrpSpPr>
      <xdr:grpSpPr>
        <a:xfrm>
          <a:off x="1805661" y="117111"/>
          <a:ext cx="1608161" cy="348847"/>
          <a:chOff x="1751601" y="106493"/>
          <a:chExt cx="1575966" cy="351894"/>
        </a:xfrm>
      </xdr:grpSpPr>
      <xdr:sp macro="" textlink="">
        <xdr:nvSpPr>
          <xdr:cNvPr id="42" name="Rectangle : avec coins arrondis en haut 41">
            <a:extLst>
              <a:ext uri="{FF2B5EF4-FFF2-40B4-BE49-F238E27FC236}">
                <a16:creationId xmlns:a16="http://schemas.microsoft.com/office/drawing/2014/main" id="{00000000-0008-0000-0400-00002A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43" name="Rectangle 42">
            <a:extLst>
              <a:ext uri="{FF2B5EF4-FFF2-40B4-BE49-F238E27FC236}">
                <a16:creationId xmlns:a16="http://schemas.microsoft.com/office/drawing/2014/main" id="{00000000-0008-0000-0400-00002B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31</xdr:col>
      <xdr:colOff>128890</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0500-00000B000000}"/>
            </a:ext>
          </a:extLst>
        </xdr:cNvPr>
        <xdr:cNvGrpSpPr/>
      </xdr:nvGrpSpPr>
      <xdr:grpSpPr>
        <a:xfrm>
          <a:off x="30480" y="0"/>
          <a:ext cx="14248069" cy="1115123"/>
          <a:chOff x="30480" y="0"/>
          <a:chExt cx="14295120" cy="1097281"/>
        </a:xfrm>
      </xdr:grpSpPr>
      <xdr:sp macro="" textlink="">
        <xdr:nvSpPr>
          <xdr:cNvPr id="12" name="Rectangle 11">
            <a:extLst>
              <a:ext uri="{FF2B5EF4-FFF2-40B4-BE49-F238E27FC236}">
                <a16:creationId xmlns:a16="http://schemas.microsoft.com/office/drawing/2014/main" id="{00000000-0008-0000-05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05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369695</xdr:colOff>
      <xdr:row>0</xdr:row>
      <xdr:rowOff>117111</xdr:rowOff>
    </xdr:from>
    <xdr:to>
      <xdr:col>6</xdr:col>
      <xdr:colOff>204616</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0500-00000F000000}"/>
            </a:ext>
          </a:extLst>
        </xdr:cNvPr>
        <xdr:cNvGrpSpPr/>
      </xdr:nvGrpSpPr>
      <xdr:grpSpPr>
        <a:xfrm>
          <a:off x="1800768" y="117111"/>
          <a:ext cx="1625311" cy="348847"/>
          <a:chOff x="1751601" y="106493"/>
          <a:chExt cx="1575966" cy="351894"/>
        </a:xfrm>
      </xdr:grpSpPr>
      <xdr:sp macro="" textlink="">
        <xdr:nvSpPr>
          <xdr:cNvPr id="16" name="Rectangle : avec coins arrondis en haut 15">
            <a:extLst>
              <a:ext uri="{FF2B5EF4-FFF2-40B4-BE49-F238E27FC236}">
                <a16:creationId xmlns:a16="http://schemas.microsoft.com/office/drawing/2014/main" id="{00000000-0008-0000-05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0500-000011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2</xdr:col>
      <xdr:colOff>155772</xdr:colOff>
      <xdr:row>7</xdr:row>
      <xdr:rowOff>39036</xdr:rowOff>
    </xdr:from>
    <xdr:to>
      <xdr:col>31</xdr:col>
      <xdr:colOff>376166</xdr:colOff>
      <xdr:row>40</xdr:row>
      <xdr:rowOff>156147</xdr:rowOff>
    </xdr:to>
    <xdr:sp macro="" textlink="">
      <xdr:nvSpPr>
        <xdr:cNvPr id="19" name="Rectangle 18">
          <a:extLst>
            <a:ext uri="{FF2B5EF4-FFF2-40B4-BE49-F238E27FC236}">
              <a16:creationId xmlns:a16="http://schemas.microsoft.com/office/drawing/2014/main" id="{00000000-0008-0000-0500-000013000000}"/>
            </a:ext>
          </a:extLst>
        </xdr:cNvPr>
        <xdr:cNvSpPr/>
      </xdr:nvSpPr>
      <xdr:spPr>
        <a:xfrm>
          <a:off x="1537678" y="1350675"/>
          <a:ext cx="12578060" cy="6503546"/>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2</xdr:col>
      <xdr:colOff>327909</xdr:colOff>
      <xdr:row>3</xdr:row>
      <xdr:rowOff>148497</xdr:rowOff>
    </xdr:from>
    <xdr:to>
      <xdr:col>4</xdr:col>
      <xdr:colOff>39037</xdr:colOff>
      <xdr:row>5</xdr:row>
      <xdr:rowOff>127910</xdr:rowOff>
    </xdr:to>
    <xdr:grpSp>
      <xdr:nvGrpSpPr>
        <xdr:cNvPr id="49" name="Groupe 48">
          <a:extLst>
            <a:ext uri="{FF2B5EF4-FFF2-40B4-BE49-F238E27FC236}">
              <a16:creationId xmlns:a16="http://schemas.microsoft.com/office/drawing/2014/main" id="{00000000-0008-0000-0500-000031000000}"/>
            </a:ext>
          </a:extLst>
        </xdr:cNvPr>
        <xdr:cNvGrpSpPr/>
      </xdr:nvGrpSpPr>
      <xdr:grpSpPr>
        <a:xfrm>
          <a:off x="1758982" y="706058"/>
          <a:ext cx="1303275" cy="351120"/>
          <a:chOff x="1702824" y="681192"/>
          <a:chExt cx="1260830" cy="363485"/>
        </a:xfrm>
      </xdr:grpSpPr>
      <xdr:sp macro="[0]!Afficher_détail_IR_OngletIR_OutilSER1" textlink="">
        <xdr:nvSpPr>
          <xdr:cNvPr id="50" name="Ellipse 49">
            <a:extLst>
              <a:ext uri="{FF2B5EF4-FFF2-40B4-BE49-F238E27FC236}">
                <a16:creationId xmlns:a16="http://schemas.microsoft.com/office/drawing/2014/main" id="{00000000-0008-0000-0500-000032000000}"/>
              </a:ext>
            </a:extLst>
          </xdr:cNvPr>
          <xdr:cNvSpPr/>
        </xdr:nvSpPr>
        <xdr:spPr>
          <a:xfrm>
            <a:off x="1702824" y="681192"/>
            <a:ext cx="392982" cy="354575"/>
          </a:xfrm>
          <a:prstGeom prst="ellipse">
            <a:avLst/>
          </a:prstGeom>
          <a:solidFill>
            <a:schemeClr val="accent2">
              <a:lumMod val="40000"/>
              <a:lumOff val="60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macro="[0]!Afficher_détail_IR_OngletIR_OutilSER1">
        <xdr:nvPicPr>
          <xdr:cNvPr id="51" name="Graphique 50" descr="Presse-papiers mixte avec un remplissage uni">
            <a:extLst>
              <a:ext uri="{FF2B5EF4-FFF2-40B4-BE49-F238E27FC236}">
                <a16:creationId xmlns:a16="http://schemas.microsoft.com/office/drawing/2014/main" id="{00000000-0008-0000-0500-00003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759054" y="714374"/>
            <a:ext cx="276534" cy="276534"/>
          </a:xfrm>
          <a:prstGeom prst="rect">
            <a:avLst/>
          </a:prstGeom>
        </xdr:spPr>
      </xdr:pic>
      <xdr:sp macro="[0]!Afficher_détail_IR_OngletIR_OutilSER1" textlink="">
        <xdr:nvSpPr>
          <xdr:cNvPr id="52" name="Rectangle 51">
            <a:extLst>
              <a:ext uri="{FF2B5EF4-FFF2-40B4-BE49-F238E27FC236}">
                <a16:creationId xmlns:a16="http://schemas.microsoft.com/office/drawing/2014/main" id="{00000000-0008-0000-0500-000034000000}"/>
              </a:ext>
            </a:extLst>
          </xdr:cNvPr>
          <xdr:cNvSpPr/>
        </xdr:nvSpPr>
        <xdr:spPr>
          <a:xfrm>
            <a:off x="2073993" y="683649"/>
            <a:ext cx="889661" cy="3610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Afficher le détail</a:t>
            </a:r>
          </a:p>
        </xdr:txBody>
      </xdr:sp>
    </xdr:grpSp>
    <xdr:clientData/>
  </xdr:twoCellAnchor>
  <xdr:twoCellAnchor>
    <xdr:from>
      <xdr:col>2</xdr:col>
      <xdr:colOff>155772</xdr:colOff>
      <xdr:row>7</xdr:row>
      <xdr:rowOff>124920</xdr:rowOff>
    </xdr:from>
    <xdr:to>
      <xdr:col>7</xdr:col>
      <xdr:colOff>212505</xdr:colOff>
      <xdr:row>10</xdr:row>
      <xdr:rowOff>22328</xdr:rowOff>
    </xdr:to>
    <xdr:sp macro="" textlink="">
      <xdr:nvSpPr>
        <xdr:cNvPr id="58" name="ZoneTexte 3">
          <a:extLst>
            <a:ext uri="{FF2B5EF4-FFF2-40B4-BE49-F238E27FC236}">
              <a16:creationId xmlns:a16="http://schemas.microsoft.com/office/drawing/2014/main" id="{00000000-0008-0000-0500-00003A000000}"/>
            </a:ext>
          </a:extLst>
        </xdr:cNvPr>
        <xdr:cNvSpPr txBox="1"/>
      </xdr:nvSpPr>
      <xdr:spPr>
        <a:xfrm>
          <a:off x="1537678" y="1436559"/>
          <a:ext cx="3351446" cy="459539"/>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IR</a:t>
          </a:r>
        </a:p>
      </xdr:txBody>
    </xdr:sp>
    <xdr:clientData/>
  </xdr:twoCellAnchor>
  <xdr:twoCellAnchor>
    <xdr:from>
      <xdr:col>3</xdr:col>
      <xdr:colOff>242630</xdr:colOff>
      <xdr:row>9</xdr:row>
      <xdr:rowOff>132183</xdr:rowOff>
    </xdr:from>
    <xdr:to>
      <xdr:col>6</xdr:col>
      <xdr:colOff>1165005</xdr:colOff>
      <xdr:row>9</xdr:row>
      <xdr:rowOff>141429</xdr:rowOff>
    </xdr:to>
    <xdr:cxnSp macro="">
      <xdr:nvCxnSpPr>
        <xdr:cNvPr id="59" name="Connecteur droit 58">
          <a:extLst>
            <a:ext uri="{FF2B5EF4-FFF2-40B4-BE49-F238E27FC236}">
              <a16:creationId xmlns:a16="http://schemas.microsoft.com/office/drawing/2014/main" id="{00000000-0008-0000-0500-00003B000000}"/>
            </a:ext>
          </a:extLst>
        </xdr:cNvPr>
        <xdr:cNvCxnSpPr/>
      </xdr:nvCxnSpPr>
      <xdr:spPr>
        <a:xfrm flipH="1">
          <a:off x="2069556" y="1818576"/>
          <a:ext cx="2218400" cy="9246"/>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526978</xdr:colOff>
      <xdr:row>12</xdr:row>
      <xdr:rowOff>3122</xdr:rowOff>
    </xdr:from>
    <xdr:to>
      <xdr:col>8</xdr:col>
      <xdr:colOff>530902</xdr:colOff>
      <xdr:row>16</xdr:row>
      <xdr:rowOff>85880</xdr:rowOff>
    </xdr:to>
    <xdr:cxnSp macro="">
      <xdr:nvCxnSpPr>
        <xdr:cNvPr id="60" name="Connecteur droit 59">
          <a:extLst>
            <a:ext uri="{FF2B5EF4-FFF2-40B4-BE49-F238E27FC236}">
              <a16:creationId xmlns:a16="http://schemas.microsoft.com/office/drawing/2014/main" id="{00000000-0008-0000-0500-00003C000000}"/>
            </a:ext>
          </a:extLst>
        </xdr:cNvPr>
        <xdr:cNvCxnSpPr/>
      </xdr:nvCxnSpPr>
      <xdr:spPr>
        <a:xfrm flipH="1" flipV="1">
          <a:off x="5539314" y="2251647"/>
          <a:ext cx="3924" cy="847881"/>
        </a:xfrm>
        <a:prstGeom prst="line">
          <a:avLst/>
        </a:prstGeom>
        <a:ln w="12700">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242630</xdr:colOff>
      <xdr:row>19</xdr:row>
      <xdr:rowOff>26939</xdr:rowOff>
    </xdr:from>
    <xdr:to>
      <xdr:col>6</xdr:col>
      <xdr:colOff>1165005</xdr:colOff>
      <xdr:row>19</xdr:row>
      <xdr:rowOff>36185</xdr:rowOff>
    </xdr:to>
    <xdr:cxnSp macro="">
      <xdr:nvCxnSpPr>
        <xdr:cNvPr id="63" name="Connecteur droit 62">
          <a:extLst>
            <a:ext uri="{FF2B5EF4-FFF2-40B4-BE49-F238E27FC236}">
              <a16:creationId xmlns:a16="http://schemas.microsoft.com/office/drawing/2014/main" id="{00000000-0008-0000-0500-00003F000000}"/>
            </a:ext>
          </a:extLst>
        </xdr:cNvPr>
        <xdr:cNvCxnSpPr/>
      </xdr:nvCxnSpPr>
      <xdr:spPr>
        <a:xfrm flipH="1">
          <a:off x="2069556" y="3602718"/>
          <a:ext cx="2218400" cy="9246"/>
        </a:xfrm>
        <a:prstGeom prst="line">
          <a:avLst/>
        </a:prstGeom>
        <a:ln w="12700">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7</xdr:col>
          <xdr:colOff>45720</xdr:colOff>
          <xdr:row>14</xdr:row>
          <xdr:rowOff>0</xdr:rowOff>
        </xdr:from>
        <xdr:to>
          <xdr:col>7</xdr:col>
          <xdr:colOff>259080</xdr:colOff>
          <xdr:row>15</xdr:row>
          <xdr:rowOff>0</xdr:rowOff>
        </xdr:to>
        <xdr:sp macro="" textlink="">
          <xdr:nvSpPr>
            <xdr:cNvPr id="6145" name="Spinner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xdr:from>
      <xdr:col>5</xdr:col>
      <xdr:colOff>35288</xdr:colOff>
      <xdr:row>3</xdr:row>
      <xdr:rowOff>148497</xdr:rowOff>
    </xdr:from>
    <xdr:to>
      <xdr:col>6</xdr:col>
      <xdr:colOff>788545</xdr:colOff>
      <xdr:row>5</xdr:row>
      <xdr:rowOff>127910</xdr:rowOff>
    </xdr:to>
    <xdr:grpSp>
      <xdr:nvGrpSpPr>
        <xdr:cNvPr id="28" name="Groupe 27">
          <a:extLst>
            <a:ext uri="{FF2B5EF4-FFF2-40B4-BE49-F238E27FC236}">
              <a16:creationId xmlns:a16="http://schemas.microsoft.com/office/drawing/2014/main" id="{00000000-0008-0000-0500-00001C000000}"/>
            </a:ext>
          </a:extLst>
        </xdr:cNvPr>
        <xdr:cNvGrpSpPr/>
      </xdr:nvGrpSpPr>
      <xdr:grpSpPr>
        <a:xfrm>
          <a:off x="3157629" y="706058"/>
          <a:ext cx="852379" cy="351120"/>
          <a:chOff x="3142624" y="716405"/>
          <a:chExt cx="846946" cy="354167"/>
        </a:xfrm>
      </xdr:grpSpPr>
      <xdr:sp macro="[0]!Reset_Onglet_IR_OutilSER1" textlink="">
        <xdr:nvSpPr>
          <xdr:cNvPr id="20" name="Ellipse 19">
            <a:extLst>
              <a:ext uri="{FF2B5EF4-FFF2-40B4-BE49-F238E27FC236}">
                <a16:creationId xmlns:a16="http://schemas.microsoft.com/office/drawing/2014/main" id="{00000000-0008-0000-0500-000014000000}"/>
              </a:ext>
            </a:extLst>
          </xdr:cNvPr>
          <xdr:cNvSpPr/>
        </xdr:nvSpPr>
        <xdr:spPr>
          <a:xfrm>
            <a:off x="3142624" y="716405"/>
            <a:ext cx="394218" cy="345485"/>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0]!Reset_Onglet_IR_OutilSER1" textlink="">
        <xdr:nvSpPr>
          <xdr:cNvPr id="25" name="Rectangle 24">
            <a:extLst>
              <a:ext uri="{FF2B5EF4-FFF2-40B4-BE49-F238E27FC236}">
                <a16:creationId xmlns:a16="http://schemas.microsoft.com/office/drawing/2014/main" id="{00000000-0008-0000-0500-000019000000}"/>
              </a:ext>
            </a:extLst>
          </xdr:cNvPr>
          <xdr:cNvSpPr/>
        </xdr:nvSpPr>
        <xdr:spPr>
          <a:xfrm>
            <a:off x="3514961" y="718799"/>
            <a:ext cx="47460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Reset</a:t>
            </a:r>
          </a:p>
        </xdr:txBody>
      </xdr:sp>
      <xdr:pic macro="[0]!Reset_Onglet_IR_OutilSER1">
        <xdr:nvPicPr>
          <xdr:cNvPr id="27" name="Graphique 26" descr="Ordures avec un remplissage uni">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226527" y="752518"/>
            <a:ext cx="242028" cy="242028"/>
          </a:xfrm>
          <a:prstGeom prst="rect">
            <a:avLst/>
          </a:prstGeom>
        </xdr:spPr>
      </xdr:pic>
    </xdr:grpSp>
    <xdr:clientData/>
  </xdr:twoCellAnchor>
  <xdr:twoCellAnchor>
    <xdr:from>
      <xdr:col>6</xdr:col>
      <xdr:colOff>905967</xdr:colOff>
      <xdr:row>3</xdr:row>
      <xdr:rowOff>148497</xdr:rowOff>
    </xdr:from>
    <xdr:to>
      <xdr:col>8</xdr:col>
      <xdr:colOff>281378</xdr:colOff>
      <xdr:row>5</xdr:row>
      <xdr:rowOff>127910</xdr:rowOff>
    </xdr:to>
    <xdr:grpSp>
      <xdr:nvGrpSpPr>
        <xdr:cNvPr id="35" name="Groupe 34">
          <a:extLst>
            <a:ext uri="{FF2B5EF4-FFF2-40B4-BE49-F238E27FC236}">
              <a16:creationId xmlns:a16="http://schemas.microsoft.com/office/drawing/2014/main" id="{00000000-0008-0000-0500-000023000000}"/>
            </a:ext>
          </a:extLst>
        </xdr:cNvPr>
        <xdr:cNvGrpSpPr/>
      </xdr:nvGrpSpPr>
      <xdr:grpSpPr>
        <a:xfrm>
          <a:off x="4127430" y="706058"/>
          <a:ext cx="1314485" cy="351120"/>
          <a:chOff x="4419286" y="710628"/>
          <a:chExt cx="1264796" cy="354167"/>
        </a:xfrm>
      </xdr:grpSpPr>
      <xdr:grpSp>
        <xdr:nvGrpSpPr>
          <xdr:cNvPr id="29" name="Groupe 28">
            <a:extLst>
              <a:ext uri="{FF2B5EF4-FFF2-40B4-BE49-F238E27FC236}">
                <a16:creationId xmlns:a16="http://schemas.microsoft.com/office/drawing/2014/main" id="{00000000-0008-0000-0500-00001D000000}"/>
              </a:ext>
            </a:extLst>
          </xdr:cNvPr>
          <xdr:cNvGrpSpPr/>
        </xdr:nvGrpSpPr>
        <xdr:grpSpPr>
          <a:xfrm>
            <a:off x="4419286" y="710628"/>
            <a:ext cx="1264796" cy="354167"/>
            <a:chOff x="3142624" y="716405"/>
            <a:chExt cx="1264796" cy="354167"/>
          </a:xfrm>
        </xdr:grpSpPr>
        <xdr:sp macro="[0]!PREZ_ETUDE_PPT_OngletIR_Impression" textlink="">
          <xdr:nvSpPr>
            <xdr:cNvPr id="30" name="Ellipse 29">
              <a:extLst>
                <a:ext uri="{FF2B5EF4-FFF2-40B4-BE49-F238E27FC236}">
                  <a16:creationId xmlns:a16="http://schemas.microsoft.com/office/drawing/2014/main" id="{00000000-0008-0000-0500-00001E000000}"/>
                </a:ext>
              </a:extLst>
            </xdr:cNvPr>
            <xdr:cNvSpPr/>
          </xdr:nvSpPr>
          <xdr:spPr>
            <a:xfrm>
              <a:off x="3142624" y="716405"/>
              <a:ext cx="394218" cy="345485"/>
            </a:xfrm>
            <a:prstGeom prst="ellipse">
              <a:avLst/>
            </a:prstGeom>
            <a:solidFill>
              <a:schemeClr val="bg1">
                <a:lumMod val="85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0]!PREZ_ETUDE_PPT_OngletIR_Impression" textlink="">
          <xdr:nvSpPr>
            <xdr:cNvPr id="31" name="Rectangle 30">
              <a:extLst>
                <a:ext uri="{FF2B5EF4-FFF2-40B4-BE49-F238E27FC236}">
                  <a16:creationId xmlns:a16="http://schemas.microsoft.com/office/drawing/2014/main" id="{00000000-0008-0000-0500-00001F000000}"/>
                </a:ext>
              </a:extLst>
            </xdr:cNvPr>
            <xdr:cNvSpPr/>
          </xdr:nvSpPr>
          <xdr:spPr>
            <a:xfrm>
              <a:off x="3514961" y="718799"/>
              <a:ext cx="89245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Editer étude</a:t>
              </a:r>
            </a:p>
          </xdr:txBody>
        </xdr:sp>
      </xdr:grpSp>
      <xdr:pic macro="[0]!PREZ_ETUDE_PPT_OngletIR_Impression">
        <xdr:nvPicPr>
          <xdr:cNvPr id="34" name="Graphique 33" descr="Télécopie avec un remplissage uni">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520472" y="772931"/>
            <a:ext cx="210798" cy="210798"/>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714375</xdr:colOff>
      <xdr:row>45</xdr:row>
      <xdr:rowOff>85725</xdr:rowOff>
    </xdr:from>
    <xdr:to>
      <xdr:col>15</xdr:col>
      <xdr:colOff>88234</xdr:colOff>
      <xdr:row>74</xdr:row>
      <xdr:rowOff>70509</xdr:rowOff>
    </xdr:to>
    <xdr:sp macro="" textlink="">
      <xdr:nvSpPr>
        <xdr:cNvPr id="10" name="Rectangle 9">
          <a:extLst>
            <a:ext uri="{FF2B5EF4-FFF2-40B4-BE49-F238E27FC236}">
              <a16:creationId xmlns:a16="http://schemas.microsoft.com/office/drawing/2014/main" id="{00000000-0008-0000-0600-00000A000000}"/>
            </a:ext>
          </a:extLst>
        </xdr:cNvPr>
        <xdr:cNvSpPr/>
      </xdr:nvSpPr>
      <xdr:spPr>
        <a:xfrm>
          <a:off x="4524375" y="8258175"/>
          <a:ext cx="6993859" cy="5233059"/>
        </a:xfrm>
        <a:prstGeom prst="rect">
          <a:avLst/>
        </a:prstGeom>
        <a:solidFill>
          <a:srgbClr val="F2F2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editAs="oneCell">
    <xdr:from>
      <xdr:col>17</xdr:col>
      <xdr:colOff>523875</xdr:colOff>
      <xdr:row>0</xdr:row>
      <xdr:rowOff>142875</xdr:rowOff>
    </xdr:from>
    <xdr:to>
      <xdr:col>20</xdr:col>
      <xdr:colOff>393604</xdr:colOff>
      <xdr:row>5</xdr:row>
      <xdr:rowOff>144660</xdr:rowOff>
    </xdr:to>
    <xdr:pic>
      <xdr:nvPicPr>
        <xdr:cNvPr id="3" name="Imag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3477875" y="142875"/>
          <a:ext cx="2155729" cy="916185"/>
        </a:xfrm>
        <a:prstGeom prst="rect">
          <a:avLst/>
        </a:prstGeom>
      </xdr:spPr>
    </xdr:pic>
    <xdr:clientData/>
  </xdr:twoCellAnchor>
  <xdr:twoCellAnchor editAs="oneCell">
    <xdr:from>
      <xdr:col>0</xdr:col>
      <xdr:colOff>714375</xdr:colOff>
      <xdr:row>42</xdr:row>
      <xdr:rowOff>133350</xdr:rowOff>
    </xdr:from>
    <xdr:to>
      <xdr:col>7</xdr:col>
      <xdr:colOff>133353</xdr:colOff>
      <xdr:row>76</xdr:row>
      <xdr:rowOff>137431</xdr:rowOff>
    </xdr:to>
    <xdr:pic>
      <xdr:nvPicPr>
        <xdr:cNvPr id="8" name="Image 7">
          <a:extLst>
            <a:ext uri="{FF2B5EF4-FFF2-40B4-BE49-F238E27FC236}">
              <a16:creationId xmlns:a16="http://schemas.microsoft.com/office/drawing/2014/main" id="{00000000-0008-0000-0600-000008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a:stretch/>
      </xdr:blipFill>
      <xdr:spPr>
        <a:xfrm>
          <a:off x="714375" y="7762875"/>
          <a:ext cx="4752978" cy="6157231"/>
        </a:xfrm>
        <a:prstGeom prst="rect">
          <a:avLst/>
        </a:prstGeom>
      </xdr:spPr>
    </xdr:pic>
    <xdr:clientData/>
  </xdr:twoCellAnchor>
  <xdr:twoCellAnchor>
    <xdr:from>
      <xdr:col>0</xdr:col>
      <xdr:colOff>713836</xdr:colOff>
      <xdr:row>42</xdr:row>
      <xdr:rowOff>125896</xdr:rowOff>
    </xdr:from>
    <xdr:to>
      <xdr:col>7</xdr:col>
      <xdr:colOff>132812</xdr:colOff>
      <xdr:row>76</xdr:row>
      <xdr:rowOff>121753</xdr:rowOff>
    </xdr:to>
    <xdr:sp macro="" textlink="">
      <xdr:nvSpPr>
        <xdr:cNvPr id="9" name="Rectangle 8">
          <a:extLst>
            <a:ext uri="{FF2B5EF4-FFF2-40B4-BE49-F238E27FC236}">
              <a16:creationId xmlns:a16="http://schemas.microsoft.com/office/drawing/2014/main" id="{00000000-0008-0000-0600-000009000000}"/>
            </a:ext>
          </a:extLst>
        </xdr:cNvPr>
        <xdr:cNvSpPr/>
      </xdr:nvSpPr>
      <xdr:spPr>
        <a:xfrm>
          <a:off x="713836" y="7755421"/>
          <a:ext cx="4752976" cy="6149007"/>
        </a:xfrm>
        <a:prstGeom prst="rect">
          <a:avLst/>
        </a:prstGeom>
        <a:solidFill>
          <a:schemeClr val="accent2">
            <a:alpha val="30196"/>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7</xdr:col>
      <xdr:colOff>693821</xdr:colOff>
      <xdr:row>51</xdr:row>
      <xdr:rowOff>46431</xdr:rowOff>
    </xdr:from>
    <xdr:to>
      <xdr:col>9</xdr:col>
      <xdr:colOff>140369</xdr:colOff>
      <xdr:row>51</xdr:row>
      <xdr:rowOff>46431</xdr:rowOff>
    </xdr:to>
    <xdr:cxnSp macro="">
      <xdr:nvCxnSpPr>
        <xdr:cNvPr id="11" name="Connecteur droit 10">
          <a:extLst>
            <a:ext uri="{FF2B5EF4-FFF2-40B4-BE49-F238E27FC236}">
              <a16:creationId xmlns:a16="http://schemas.microsoft.com/office/drawing/2014/main" id="{00000000-0008-0000-0600-00000B000000}"/>
            </a:ext>
          </a:extLst>
        </xdr:cNvPr>
        <xdr:cNvCxnSpPr>
          <a:cxnSpLocks/>
        </xdr:cNvCxnSpPr>
      </xdr:nvCxnSpPr>
      <xdr:spPr>
        <a:xfrm>
          <a:off x="6027821" y="9304731"/>
          <a:ext cx="970548" cy="0"/>
        </a:xfrm>
        <a:prstGeom prst="line">
          <a:avLst/>
        </a:prstGeom>
        <a:ln>
          <a:solidFill>
            <a:schemeClr val="accent4"/>
          </a:solidFill>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2</xdr:col>
      <xdr:colOff>19049</xdr:colOff>
      <xdr:row>93</xdr:row>
      <xdr:rowOff>28574</xdr:rowOff>
    </xdr:from>
    <xdr:to>
      <xdr:col>2</xdr:col>
      <xdr:colOff>752474</xdr:colOff>
      <xdr:row>96</xdr:row>
      <xdr:rowOff>190499</xdr:rowOff>
    </xdr:to>
    <xdr:pic>
      <xdr:nvPicPr>
        <xdr:cNvPr id="4" name="Graphique 3" descr="Argent contour">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43049" y="17011649"/>
          <a:ext cx="733425" cy="733425"/>
        </a:xfrm>
        <a:prstGeom prst="rect">
          <a:avLst/>
        </a:prstGeom>
      </xdr:spPr>
    </xdr:pic>
    <xdr:clientData/>
  </xdr:twoCellAnchor>
  <xdr:twoCellAnchor editAs="oneCell">
    <xdr:from>
      <xdr:col>10</xdr:col>
      <xdr:colOff>0</xdr:colOff>
      <xdr:row>93</xdr:row>
      <xdr:rowOff>19049</xdr:rowOff>
    </xdr:from>
    <xdr:to>
      <xdr:col>10</xdr:col>
      <xdr:colOff>752475</xdr:colOff>
      <xdr:row>97</xdr:row>
      <xdr:rowOff>9524</xdr:rowOff>
    </xdr:to>
    <xdr:pic>
      <xdr:nvPicPr>
        <xdr:cNvPr id="6" name="Graphique 5" descr="Balance de la justice avec un remplissage uni">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620000" y="17002124"/>
          <a:ext cx="752475" cy="752475"/>
        </a:xfrm>
        <a:prstGeom prst="rect">
          <a:avLst/>
        </a:prstGeom>
      </xdr:spPr>
    </xdr:pic>
    <xdr:clientData/>
  </xdr:twoCellAnchor>
  <xdr:twoCellAnchor editAs="oneCell">
    <xdr:from>
      <xdr:col>13</xdr:col>
      <xdr:colOff>390526</xdr:colOff>
      <xdr:row>93</xdr:row>
      <xdr:rowOff>1</xdr:rowOff>
    </xdr:from>
    <xdr:to>
      <xdr:col>14</xdr:col>
      <xdr:colOff>390526</xdr:colOff>
      <xdr:row>97</xdr:row>
      <xdr:rowOff>1</xdr:rowOff>
    </xdr:to>
    <xdr:pic>
      <xdr:nvPicPr>
        <xdr:cNvPr id="7" name="Graphique 5" descr="TVA avec un remplissage uni">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296526" y="16983076"/>
          <a:ext cx="762000" cy="762000"/>
        </a:xfrm>
        <a:prstGeom prst="rect">
          <a:avLst/>
        </a:prstGeom>
      </xdr:spPr>
    </xdr:pic>
    <xdr:clientData/>
  </xdr:twoCellAnchor>
  <xdr:twoCellAnchor editAs="oneCell">
    <xdr:from>
      <xdr:col>6</xdr:col>
      <xdr:colOff>9525</xdr:colOff>
      <xdr:row>93</xdr:row>
      <xdr:rowOff>9524</xdr:rowOff>
    </xdr:from>
    <xdr:to>
      <xdr:col>7</xdr:col>
      <xdr:colOff>0</xdr:colOff>
      <xdr:row>96</xdr:row>
      <xdr:rowOff>190499</xdr:rowOff>
    </xdr:to>
    <xdr:pic>
      <xdr:nvPicPr>
        <xdr:cNvPr id="13" name="Graphique 12" descr="Chèque contour">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581525" y="16992599"/>
          <a:ext cx="752475" cy="752475"/>
        </a:xfrm>
        <a:prstGeom prst="rect">
          <a:avLst/>
        </a:prstGeom>
      </xdr:spPr>
    </xdr:pic>
    <xdr:clientData/>
  </xdr:twoCellAnchor>
  <xdr:twoCellAnchor>
    <xdr:from>
      <xdr:col>0</xdr:col>
      <xdr:colOff>190500</xdr:colOff>
      <xdr:row>122</xdr:row>
      <xdr:rowOff>19050</xdr:rowOff>
    </xdr:from>
    <xdr:to>
      <xdr:col>6</xdr:col>
      <xdr:colOff>371475</xdr:colOff>
      <xdr:row>158</xdr:row>
      <xdr:rowOff>9525</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190500" y="22536150"/>
          <a:ext cx="4752975" cy="6848475"/>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0</xdr:col>
      <xdr:colOff>577347</xdr:colOff>
      <xdr:row>130</xdr:row>
      <xdr:rowOff>148298</xdr:rowOff>
    </xdr:from>
    <xdr:to>
      <xdr:col>5</xdr:col>
      <xdr:colOff>746627</xdr:colOff>
      <xdr:row>145</xdr:row>
      <xdr:rowOff>130037</xdr:rowOff>
    </xdr:to>
    <xdr:sp macro="" textlink="">
      <xdr:nvSpPr>
        <xdr:cNvPr id="5" name="ZoneTexte 7">
          <a:extLst>
            <a:ext uri="{FF2B5EF4-FFF2-40B4-BE49-F238E27FC236}">
              <a16:creationId xmlns:a16="http://schemas.microsoft.com/office/drawing/2014/main" id="{00000000-0008-0000-0600-000005000000}"/>
            </a:ext>
          </a:extLst>
        </xdr:cNvPr>
        <xdr:cNvSpPr txBox="1"/>
      </xdr:nvSpPr>
      <xdr:spPr>
        <a:xfrm>
          <a:off x="577347" y="24189398"/>
          <a:ext cx="3979280" cy="2839239"/>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lang="fr-FR" sz="1050" b="0" kern="1200">
              <a:solidFill>
                <a:schemeClr val="bg1"/>
              </a:solidFill>
              <a:latin typeface="Optima LT Pro" panose="020B0502050508020304" pitchFamily="34" charset="0"/>
              <a:ea typeface="+mn-ea"/>
              <a:cs typeface="Arial" panose="020B0604020202020204" pitchFamily="34" charset="0"/>
            </a:rPr>
            <a:t>Document sans valeur contractuelle et purement indicatif, établi sur la base des dispositions légales et règlementaires en vigueur à la date de publication et sont susceptibles d’évolution. </a:t>
          </a:r>
        </a:p>
        <a:p>
          <a:pPr algn="just"/>
          <a:r>
            <a:rPr lang="fr-FR" sz="1050" b="0" kern="1200">
              <a:solidFill>
                <a:schemeClr val="bg1"/>
              </a:solidFill>
              <a:latin typeface="Optima LT Pro" panose="020B0502050508020304" pitchFamily="34" charset="0"/>
              <a:ea typeface="+mn-ea"/>
              <a:cs typeface="Arial" panose="020B0604020202020204" pitchFamily="34" charset="0"/>
            </a:rPr>
            <a:t> </a:t>
          </a:r>
        </a:p>
        <a:p>
          <a:pPr algn="just"/>
          <a:r>
            <a:rPr lang="fr-FR" sz="1050" b="0" kern="1200">
              <a:solidFill>
                <a:schemeClr val="bg1"/>
              </a:solidFill>
              <a:latin typeface="Optima LT Pro" panose="020B0502050508020304" pitchFamily="34" charset="0"/>
              <a:ea typeface="+mn-ea"/>
              <a:cs typeface="Arial" panose="020B0604020202020204" pitchFamily="34" charset="0"/>
            </a:rPr>
            <a:t>Le contenu et la forme du document et la méthodologie employée, relèvent de la législation sur le droit d'auteur, le droit des marques et, de façon générale, sur la propriété intellectuelle. La société Laplace en est le concepteur. </a:t>
          </a:r>
        </a:p>
        <a:p>
          <a:pPr algn="just"/>
          <a:endParaRPr lang="fr-FR" sz="1050" b="0" kern="1200">
            <a:solidFill>
              <a:schemeClr val="bg1"/>
            </a:solidFill>
            <a:latin typeface="Optima LT Pro" panose="020B0502050508020304" pitchFamily="34" charset="0"/>
            <a:ea typeface="+mn-ea"/>
            <a:cs typeface="Arial" panose="020B0604020202020204" pitchFamily="34" charset="0"/>
          </a:endParaRPr>
        </a:p>
        <a:p>
          <a:pPr algn="just"/>
          <a:r>
            <a:rPr lang="fr-FR" sz="1050" b="0" kern="1200">
              <a:solidFill>
                <a:schemeClr val="bg1"/>
              </a:solidFill>
              <a:latin typeface="Optima LT Pro" panose="020B0502050508020304" pitchFamily="34" charset="0"/>
              <a:ea typeface="+mn-ea"/>
              <a:cs typeface="Arial" panose="020B0604020202020204" pitchFamily="34" charset="0"/>
            </a:rPr>
            <a:t>Toute reproduction, représentation, diffusion ou rediffusion, en tout ou partie, de ce document ou ses annexes sur quelque support ou par tout procédé que ce soit, de même que toute vente, revente, retransmission ou mise à disposition de tiers de quelque manière que ce soit sont réglementées. Le non-respect de cette règlementation peut constituer une contrefaçon susceptible d'engager la responsabilité civile et pénale du contrefacteur (articles L335-1 à L335-10 du Code de la propriété intellectuelle).</a:t>
          </a:r>
        </a:p>
      </xdr:txBody>
    </xdr:sp>
    <xdr:clientData/>
  </xdr:twoCellAnchor>
  <xdr:twoCellAnchor editAs="oneCell">
    <xdr:from>
      <xdr:col>6</xdr:col>
      <xdr:colOff>571500</xdr:colOff>
      <xdr:row>128</xdr:row>
      <xdr:rowOff>185443</xdr:rowOff>
    </xdr:from>
    <xdr:to>
      <xdr:col>7</xdr:col>
      <xdr:colOff>99635</xdr:colOff>
      <xdr:row>130</xdr:row>
      <xdr:rowOff>128443</xdr:rowOff>
    </xdr:to>
    <xdr:pic>
      <xdr:nvPicPr>
        <xdr:cNvPr id="12" name="Image 11">
          <a:extLst>
            <a:ext uri="{FF2B5EF4-FFF2-40B4-BE49-F238E27FC236}">
              <a16:creationId xmlns:a16="http://schemas.microsoft.com/office/drawing/2014/main" id="{00000000-0008-0000-0600-00000C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5143500" y="23845543"/>
          <a:ext cx="290135" cy="324000"/>
        </a:xfrm>
        <a:prstGeom prst="rect">
          <a:avLst/>
        </a:prstGeom>
      </xdr:spPr>
    </xdr:pic>
    <xdr:clientData/>
  </xdr:twoCellAnchor>
  <xdr:twoCellAnchor editAs="oneCell">
    <xdr:from>
      <xdr:col>6</xdr:col>
      <xdr:colOff>573082</xdr:colOff>
      <xdr:row>131</xdr:row>
      <xdr:rowOff>8936</xdr:rowOff>
    </xdr:from>
    <xdr:to>
      <xdr:col>7</xdr:col>
      <xdr:colOff>98052</xdr:colOff>
      <xdr:row>132</xdr:row>
      <xdr:rowOff>142436</xdr:rowOff>
    </xdr:to>
    <xdr:pic>
      <xdr:nvPicPr>
        <xdr:cNvPr id="14" name="Image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5145082" y="24240536"/>
          <a:ext cx="286970" cy="324000"/>
        </a:xfrm>
        <a:prstGeom prst="rect">
          <a:avLst/>
        </a:prstGeom>
      </xdr:spPr>
    </xdr:pic>
    <xdr:clientData/>
  </xdr:twoCellAnchor>
  <xdr:twoCellAnchor editAs="oneCell">
    <xdr:from>
      <xdr:col>6</xdr:col>
      <xdr:colOff>574654</xdr:colOff>
      <xdr:row>126</xdr:row>
      <xdr:rowOff>171450</xdr:rowOff>
    </xdr:from>
    <xdr:to>
      <xdr:col>7</xdr:col>
      <xdr:colOff>96481</xdr:colOff>
      <xdr:row>128</xdr:row>
      <xdr:rowOff>114450</xdr:rowOff>
    </xdr:to>
    <xdr:pic>
      <xdr:nvPicPr>
        <xdr:cNvPr id="15" name="Image 14">
          <a:extLst>
            <a:ext uri="{FF2B5EF4-FFF2-40B4-BE49-F238E27FC236}">
              <a16:creationId xmlns:a16="http://schemas.microsoft.com/office/drawing/2014/main" id="{00000000-0008-0000-0600-00000F000000}"/>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5146654" y="23450550"/>
          <a:ext cx="283827" cy="324000"/>
        </a:xfrm>
        <a:prstGeom prst="rect">
          <a:avLst/>
        </a:prstGeom>
      </xdr:spPr>
    </xdr:pic>
    <xdr:clientData/>
  </xdr:twoCellAnchor>
  <xdr:twoCellAnchor editAs="oneCell">
    <xdr:from>
      <xdr:col>6</xdr:col>
      <xdr:colOff>571500</xdr:colOff>
      <xdr:row>133</xdr:row>
      <xdr:rowOff>22929</xdr:rowOff>
    </xdr:from>
    <xdr:to>
      <xdr:col>7</xdr:col>
      <xdr:colOff>99635</xdr:colOff>
      <xdr:row>134</xdr:row>
      <xdr:rowOff>156429</xdr:rowOff>
    </xdr:to>
    <xdr:pic>
      <xdr:nvPicPr>
        <xdr:cNvPr id="16" name="Image 15">
          <a:extLst>
            <a:ext uri="{FF2B5EF4-FFF2-40B4-BE49-F238E27FC236}">
              <a16:creationId xmlns:a16="http://schemas.microsoft.com/office/drawing/2014/main" id="{00000000-0008-0000-0600-000010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5143500" y="24635529"/>
          <a:ext cx="290135" cy="324000"/>
        </a:xfrm>
        <a:prstGeom prst="rect">
          <a:avLst/>
        </a:prstGeom>
      </xdr:spPr>
    </xdr:pic>
    <xdr:clientData/>
  </xdr:twoCellAnchor>
  <xdr:twoCellAnchor editAs="oneCell">
    <xdr:from>
      <xdr:col>7</xdr:col>
      <xdr:colOff>161925</xdr:colOff>
      <xdr:row>155</xdr:row>
      <xdr:rowOff>85725</xdr:rowOff>
    </xdr:from>
    <xdr:to>
      <xdr:col>8</xdr:col>
      <xdr:colOff>584869</xdr:colOff>
      <xdr:row>158</xdr:row>
      <xdr:rowOff>17616</xdr:rowOff>
    </xdr:to>
    <xdr:pic>
      <xdr:nvPicPr>
        <xdr:cNvPr id="17" name="Graphique 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5" cstate="screen">
          <a:extLst>
            <a:ext uri="{28A0092B-C50C-407E-A947-70E740481C1C}">
              <a14:useLocalDpi xmlns:a14="http://schemas.microsoft.com/office/drawing/2010/main"/>
            </a:ext>
          </a:extLst>
        </a:blip>
        <a:srcRect/>
        <a:stretch/>
      </xdr:blipFill>
      <xdr:spPr>
        <a:xfrm>
          <a:off x="5495925" y="28889325"/>
          <a:ext cx="1184944" cy="50339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17</xdr:col>
      <xdr:colOff>307048</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0700-00000B000000}"/>
            </a:ext>
          </a:extLst>
        </xdr:cNvPr>
        <xdr:cNvGrpSpPr/>
      </xdr:nvGrpSpPr>
      <xdr:grpSpPr>
        <a:xfrm>
          <a:off x="30480" y="0"/>
          <a:ext cx="14240373" cy="1115123"/>
          <a:chOff x="30480" y="0"/>
          <a:chExt cx="14295120" cy="1097281"/>
        </a:xfrm>
      </xdr:grpSpPr>
      <xdr:sp macro="" textlink="">
        <xdr:nvSpPr>
          <xdr:cNvPr id="12" name="Rectangle 11">
            <a:extLst>
              <a:ext uri="{FF2B5EF4-FFF2-40B4-BE49-F238E27FC236}">
                <a16:creationId xmlns:a16="http://schemas.microsoft.com/office/drawing/2014/main" id="{00000000-0008-0000-07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7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07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166703</xdr:colOff>
      <xdr:row>0</xdr:row>
      <xdr:rowOff>117111</xdr:rowOff>
    </xdr:from>
    <xdr:to>
      <xdr:col>6</xdr:col>
      <xdr:colOff>181194</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0700-00000F000000}"/>
            </a:ext>
          </a:extLst>
        </xdr:cNvPr>
        <xdr:cNvGrpSpPr/>
      </xdr:nvGrpSpPr>
      <xdr:grpSpPr>
        <a:xfrm>
          <a:off x="1808410" y="117111"/>
          <a:ext cx="1619028" cy="348847"/>
          <a:chOff x="1751601" y="106493"/>
          <a:chExt cx="1575966" cy="351894"/>
        </a:xfrm>
      </xdr:grpSpPr>
      <xdr:sp macro="" textlink="">
        <xdr:nvSpPr>
          <xdr:cNvPr id="16" name="Rectangle : avec coins arrondis en haut 15">
            <a:extLst>
              <a:ext uri="{FF2B5EF4-FFF2-40B4-BE49-F238E27FC236}">
                <a16:creationId xmlns:a16="http://schemas.microsoft.com/office/drawing/2014/main" id="{00000000-0008-0000-07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0700-000011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xdr:col>
      <xdr:colOff>770849</xdr:colOff>
      <xdr:row>7</xdr:row>
      <xdr:rowOff>39035</xdr:rowOff>
    </xdr:from>
    <xdr:to>
      <xdr:col>17</xdr:col>
      <xdr:colOff>491864</xdr:colOff>
      <xdr:row>41</xdr:row>
      <xdr:rowOff>179569</xdr:rowOff>
    </xdr:to>
    <xdr:grpSp>
      <xdr:nvGrpSpPr>
        <xdr:cNvPr id="18" name="Groupe 17">
          <a:extLst>
            <a:ext uri="{FF2B5EF4-FFF2-40B4-BE49-F238E27FC236}">
              <a16:creationId xmlns:a16="http://schemas.microsoft.com/office/drawing/2014/main" id="{00000000-0008-0000-0700-000012000000}"/>
            </a:ext>
          </a:extLst>
        </xdr:cNvPr>
        <xdr:cNvGrpSpPr/>
      </xdr:nvGrpSpPr>
      <xdr:grpSpPr>
        <a:xfrm>
          <a:off x="1563825" y="1340011"/>
          <a:ext cx="12891844" cy="6298485"/>
          <a:chOff x="1765956" y="2462038"/>
          <a:chExt cx="19527343" cy="3684060"/>
        </a:xfrm>
      </xdr:grpSpPr>
      <xdr:sp macro="" textlink="">
        <xdr:nvSpPr>
          <xdr:cNvPr id="19" name="Rectangle 18">
            <a:extLst>
              <a:ext uri="{FF2B5EF4-FFF2-40B4-BE49-F238E27FC236}">
                <a16:creationId xmlns:a16="http://schemas.microsoft.com/office/drawing/2014/main" id="{00000000-0008-0000-0700-000013000000}"/>
              </a:ext>
            </a:extLst>
          </xdr:cNvPr>
          <xdr:cNvSpPr/>
        </xdr:nvSpPr>
        <xdr:spPr>
          <a:xfrm>
            <a:off x="1769202" y="2462038"/>
            <a:ext cx="19524097" cy="3684060"/>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20" name="ZoneTexte 3">
            <a:extLst>
              <a:ext uri="{FF2B5EF4-FFF2-40B4-BE49-F238E27FC236}">
                <a16:creationId xmlns:a16="http://schemas.microsoft.com/office/drawing/2014/main" id="{00000000-0008-0000-0700-000014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Potentiel Epargne</a:t>
            </a:r>
            <a:r>
              <a:rPr lang="fr-FR" sz="1600" b="1" baseline="0">
                <a:effectLst/>
                <a:latin typeface="+mn-lt"/>
                <a:ea typeface="+mn-ea"/>
                <a:cs typeface="+mn-cs"/>
              </a:rPr>
              <a:t> retraite</a:t>
            </a:r>
            <a:endParaRPr lang="fr-FR" sz="1600" b="1">
              <a:effectLst/>
              <a:latin typeface="+mn-lt"/>
              <a:ea typeface="+mn-ea"/>
              <a:cs typeface="+mn-cs"/>
            </a:endParaRPr>
          </a:p>
        </xdr:txBody>
      </xdr:sp>
      <xdr:cxnSp macro="">
        <xdr:nvCxnSpPr>
          <xdr:cNvPr id="21" name="Connecteur droit 20">
            <a:extLst>
              <a:ext uri="{FF2B5EF4-FFF2-40B4-BE49-F238E27FC236}">
                <a16:creationId xmlns:a16="http://schemas.microsoft.com/office/drawing/2014/main" id="{00000000-0008-0000-0700-000015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30480</xdr:colOff>
      <xdr:row>6</xdr:row>
      <xdr:rowOff>140534</xdr:rowOff>
    </xdr:from>
    <xdr:to>
      <xdr:col>1</xdr:col>
      <xdr:colOff>600418</xdr:colOff>
      <xdr:row>8</xdr:row>
      <xdr:rowOff>85882</xdr:rowOff>
    </xdr:to>
    <xdr:sp macro="" textlink="">
      <xdr:nvSpPr>
        <xdr:cNvPr id="41" name="Rectangle 40">
          <a:extLst>
            <a:ext uri="{FF2B5EF4-FFF2-40B4-BE49-F238E27FC236}">
              <a16:creationId xmlns:a16="http://schemas.microsoft.com/office/drawing/2014/main" id="{00000000-0008-0000-0700-000029000000}"/>
            </a:ext>
          </a:extLst>
        </xdr:cNvPr>
        <xdr:cNvSpPr/>
      </xdr:nvSpPr>
      <xdr:spPr>
        <a:xfrm>
          <a:off x="30480" y="1264796"/>
          <a:ext cx="1335061" cy="320102"/>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Mode</a:t>
          </a:r>
        </a:p>
      </xdr:txBody>
    </xdr:sp>
    <xdr:clientData/>
  </xdr:twoCellAnchor>
  <xdr:twoCellAnchor editAs="absolute">
    <xdr:from>
      <xdr:col>0</xdr:col>
      <xdr:colOff>30480</xdr:colOff>
      <xdr:row>8</xdr:row>
      <xdr:rowOff>135225</xdr:rowOff>
    </xdr:from>
    <xdr:to>
      <xdr:col>1</xdr:col>
      <xdr:colOff>600418</xdr:colOff>
      <xdr:row>10</xdr:row>
      <xdr:rowOff>80573</xdr:rowOff>
    </xdr:to>
    <xdr:sp macro="" textlink="">
      <xdr:nvSpPr>
        <xdr:cNvPr id="43" name="Lien_Avis_IR_N-1_/_R_N-2">
          <a:hlinkClick xmlns:r="http://schemas.openxmlformats.org/officeDocument/2006/relationships" r:id="rId4"/>
          <a:extLst>
            <a:ext uri="{FF2B5EF4-FFF2-40B4-BE49-F238E27FC236}">
              <a16:creationId xmlns:a16="http://schemas.microsoft.com/office/drawing/2014/main" id="{00000000-0008-0000-0700-00002B000000}"/>
            </a:ext>
          </a:extLst>
        </xdr:cNvPr>
        <xdr:cNvSpPr/>
      </xdr:nvSpPr>
      <xdr:spPr>
        <a:xfrm>
          <a:off x="30480" y="1634241"/>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Avis</a:t>
          </a:r>
          <a:r>
            <a:rPr lang="fr-FR" sz="1000" b="0" baseline="0">
              <a:solidFill>
                <a:sysClr val="windowText" lastClr="000000"/>
              </a:solidFill>
              <a:latin typeface="Optima LT Pro" panose="020B0502050508020304" pitchFamily="34" charset="0"/>
            </a:rPr>
            <a:t> IR N-1</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30480</xdr:colOff>
      <xdr:row>10</xdr:row>
      <xdr:rowOff>129916</xdr:rowOff>
    </xdr:from>
    <xdr:to>
      <xdr:col>1</xdr:col>
      <xdr:colOff>600418</xdr:colOff>
      <xdr:row>12</xdr:row>
      <xdr:rowOff>75263</xdr:rowOff>
    </xdr:to>
    <xdr:sp macro="" textlink="">
      <xdr:nvSpPr>
        <xdr:cNvPr id="44" name="Lien_Déclaration_R_N-1">
          <a:extLst>
            <a:ext uri="{FF2B5EF4-FFF2-40B4-BE49-F238E27FC236}">
              <a16:creationId xmlns:a16="http://schemas.microsoft.com/office/drawing/2014/main" id="{00000000-0008-0000-0700-00002C000000}"/>
            </a:ext>
          </a:extLst>
        </xdr:cNvPr>
        <xdr:cNvSpPr/>
      </xdr:nvSpPr>
      <xdr:spPr>
        <a:xfrm>
          <a:off x="30480" y="2003686"/>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Déclaration R N-1</a:t>
          </a:r>
        </a:p>
      </xdr:txBody>
    </xdr:sp>
    <xdr:clientData/>
  </xdr:twoCellAnchor>
  <xdr:twoCellAnchor editAs="absolute">
    <xdr:from>
      <xdr:col>0</xdr:col>
      <xdr:colOff>30480</xdr:colOff>
      <xdr:row>12</xdr:row>
      <xdr:rowOff>124606</xdr:rowOff>
    </xdr:from>
    <xdr:to>
      <xdr:col>1</xdr:col>
      <xdr:colOff>600418</xdr:colOff>
      <xdr:row>14</xdr:row>
      <xdr:rowOff>148028</xdr:rowOff>
    </xdr:to>
    <xdr:sp macro="" textlink="">
      <xdr:nvSpPr>
        <xdr:cNvPr id="45" name="Lien_Synthèse_N-1">
          <a:extLst>
            <a:ext uri="{FF2B5EF4-FFF2-40B4-BE49-F238E27FC236}">
              <a16:creationId xmlns:a16="http://schemas.microsoft.com/office/drawing/2014/main" id="{00000000-0008-0000-0700-00002D000000}"/>
            </a:ext>
          </a:extLst>
        </xdr:cNvPr>
        <xdr:cNvSpPr/>
      </xdr:nvSpPr>
      <xdr:spPr>
        <a:xfrm>
          <a:off x="30480" y="2373131"/>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N-1</a:t>
          </a:r>
        </a:p>
      </xdr:txBody>
    </xdr:sp>
    <xdr:clientData/>
  </xdr:twoCellAnchor>
  <xdr:twoCellAnchor editAs="absolute">
    <xdr:from>
      <xdr:col>0</xdr:col>
      <xdr:colOff>30480</xdr:colOff>
      <xdr:row>15</xdr:row>
      <xdr:rowOff>2281</xdr:rowOff>
    </xdr:from>
    <xdr:to>
      <xdr:col>1</xdr:col>
      <xdr:colOff>600418</xdr:colOff>
      <xdr:row>17</xdr:row>
      <xdr:rowOff>33416</xdr:rowOff>
    </xdr:to>
    <xdr:sp macro="" textlink="">
      <xdr:nvSpPr>
        <xdr:cNvPr id="46" name="Lien_ESTIMATION_R_N">
          <a:extLst>
            <a:ext uri="{FF2B5EF4-FFF2-40B4-BE49-F238E27FC236}">
              <a16:creationId xmlns:a16="http://schemas.microsoft.com/office/drawing/2014/main" id="{00000000-0008-0000-0700-00002E000000}"/>
            </a:ext>
          </a:extLst>
        </xdr:cNvPr>
        <xdr:cNvSpPr/>
      </xdr:nvSpPr>
      <xdr:spPr>
        <a:xfrm>
          <a:off x="30480" y="2742576"/>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Estimation R N</a:t>
          </a:r>
        </a:p>
      </xdr:txBody>
    </xdr:sp>
    <xdr:clientData/>
  </xdr:twoCellAnchor>
  <xdr:twoCellAnchor editAs="absolute">
    <xdr:from>
      <xdr:col>0</xdr:col>
      <xdr:colOff>30480</xdr:colOff>
      <xdr:row>17</xdr:row>
      <xdr:rowOff>82759</xdr:rowOff>
    </xdr:from>
    <xdr:to>
      <xdr:col>1</xdr:col>
      <xdr:colOff>600418</xdr:colOff>
      <xdr:row>19</xdr:row>
      <xdr:rowOff>28107</xdr:rowOff>
    </xdr:to>
    <xdr:sp macro="" textlink="">
      <xdr:nvSpPr>
        <xdr:cNvPr id="47" name="Lien_SYNTHESE_N">
          <a:extLst>
            <a:ext uri="{FF2B5EF4-FFF2-40B4-BE49-F238E27FC236}">
              <a16:creationId xmlns:a16="http://schemas.microsoft.com/office/drawing/2014/main" id="{00000000-0008-0000-0700-00002F000000}"/>
            </a:ext>
          </a:extLst>
        </xdr:cNvPr>
        <xdr:cNvSpPr/>
      </xdr:nvSpPr>
      <xdr:spPr>
        <a:xfrm>
          <a:off x="30480" y="3112021"/>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a:t>
          </a:r>
        </a:p>
      </xdr:txBody>
    </xdr:sp>
    <xdr:clientData/>
  </xdr:twoCellAnchor>
  <xdr:twoCellAnchor editAs="absolute">
    <xdr:from>
      <xdr:col>0</xdr:col>
      <xdr:colOff>30480</xdr:colOff>
      <xdr:row>8</xdr:row>
      <xdr:rowOff>132728</xdr:rowOff>
    </xdr:from>
    <xdr:to>
      <xdr:col>1</xdr:col>
      <xdr:colOff>600418</xdr:colOff>
      <xdr:row>10</xdr:row>
      <xdr:rowOff>78076</xdr:rowOff>
    </xdr:to>
    <xdr:sp macro="" textlink="">
      <xdr:nvSpPr>
        <xdr:cNvPr id="22" name="Lien_Avis_IR_N" hidden="1">
          <a:hlinkClick xmlns:r="http://schemas.openxmlformats.org/officeDocument/2006/relationships" r:id="rId4"/>
          <a:extLst>
            <a:ext uri="{FF2B5EF4-FFF2-40B4-BE49-F238E27FC236}">
              <a16:creationId xmlns:a16="http://schemas.microsoft.com/office/drawing/2014/main" id="{00000000-0008-0000-0700-000016000000}"/>
            </a:ext>
          </a:extLst>
        </xdr:cNvPr>
        <xdr:cNvSpPr/>
      </xdr:nvSpPr>
      <xdr:spPr>
        <a:xfrm>
          <a:off x="30480" y="1631744"/>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Avis</a:t>
          </a:r>
          <a:r>
            <a:rPr lang="fr-FR" sz="1000" b="0" baseline="0">
              <a:solidFill>
                <a:sysClr val="windowText" lastClr="000000"/>
              </a:solidFill>
              <a:latin typeface="Optima LT Pro" panose="020B0502050508020304" pitchFamily="34" charset="0"/>
            </a:rPr>
            <a:t> IR N</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30480</xdr:colOff>
      <xdr:row>10</xdr:row>
      <xdr:rowOff>131166</xdr:rowOff>
    </xdr:from>
    <xdr:to>
      <xdr:col>1</xdr:col>
      <xdr:colOff>600418</xdr:colOff>
      <xdr:row>12</xdr:row>
      <xdr:rowOff>76513</xdr:rowOff>
    </xdr:to>
    <xdr:sp macro="" textlink="">
      <xdr:nvSpPr>
        <xdr:cNvPr id="23" name="Lien_ESTIMATION_R_N_2" hidden="1">
          <a:extLst>
            <a:ext uri="{FF2B5EF4-FFF2-40B4-BE49-F238E27FC236}">
              <a16:creationId xmlns:a16="http://schemas.microsoft.com/office/drawing/2014/main" id="{00000000-0008-0000-0700-000017000000}"/>
            </a:ext>
          </a:extLst>
        </xdr:cNvPr>
        <xdr:cNvSpPr/>
      </xdr:nvSpPr>
      <xdr:spPr>
        <a:xfrm>
          <a:off x="30480" y="2004936"/>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Estimation R N</a:t>
          </a:r>
        </a:p>
      </xdr:txBody>
    </xdr:sp>
    <xdr:clientData/>
  </xdr:twoCellAnchor>
  <xdr:twoCellAnchor editAs="absolute">
    <xdr:from>
      <xdr:col>0</xdr:col>
      <xdr:colOff>30480</xdr:colOff>
      <xdr:row>12</xdr:row>
      <xdr:rowOff>133665</xdr:rowOff>
    </xdr:from>
    <xdr:to>
      <xdr:col>1</xdr:col>
      <xdr:colOff>600418</xdr:colOff>
      <xdr:row>14</xdr:row>
      <xdr:rowOff>157087</xdr:rowOff>
    </xdr:to>
    <xdr:sp macro="" textlink="">
      <xdr:nvSpPr>
        <xdr:cNvPr id="24" name="Lien_SYNTHESE_N_2" hidden="1">
          <a:extLst>
            <a:ext uri="{FF2B5EF4-FFF2-40B4-BE49-F238E27FC236}">
              <a16:creationId xmlns:a16="http://schemas.microsoft.com/office/drawing/2014/main" id="{00000000-0008-0000-0700-000018000000}"/>
            </a:ext>
          </a:extLst>
        </xdr:cNvPr>
        <xdr:cNvSpPr/>
      </xdr:nvSpPr>
      <xdr:spPr>
        <a:xfrm>
          <a:off x="30480" y="2382190"/>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a:t>
          </a:r>
        </a:p>
      </xdr:txBody>
    </xdr:sp>
    <xdr:clientData/>
  </xdr:twoCellAnchor>
  <xdr:twoCellAnchor>
    <xdr:from>
      <xdr:col>2</xdr:col>
      <xdr:colOff>109303</xdr:colOff>
      <xdr:row>3</xdr:row>
      <xdr:rowOff>156147</xdr:rowOff>
    </xdr:from>
    <xdr:to>
      <xdr:col>3</xdr:col>
      <xdr:colOff>690799</xdr:colOff>
      <xdr:row>5</xdr:row>
      <xdr:rowOff>135560</xdr:rowOff>
    </xdr:to>
    <xdr:grpSp>
      <xdr:nvGrpSpPr>
        <xdr:cNvPr id="25" name="Groupe 24">
          <a:extLst>
            <a:ext uri="{FF2B5EF4-FFF2-40B4-BE49-F238E27FC236}">
              <a16:creationId xmlns:a16="http://schemas.microsoft.com/office/drawing/2014/main" id="{00000000-0008-0000-0700-000019000000}"/>
            </a:ext>
          </a:extLst>
        </xdr:cNvPr>
        <xdr:cNvGrpSpPr/>
      </xdr:nvGrpSpPr>
      <xdr:grpSpPr>
        <a:xfrm>
          <a:off x="1751010" y="713708"/>
          <a:ext cx="854082" cy="351120"/>
          <a:chOff x="3142624" y="716405"/>
          <a:chExt cx="846946" cy="354167"/>
        </a:xfrm>
      </xdr:grpSpPr>
      <xdr:sp macro="[0]!Reset_Potentiel" textlink="">
        <xdr:nvSpPr>
          <xdr:cNvPr id="26" name="Ellipse 25">
            <a:extLst>
              <a:ext uri="{FF2B5EF4-FFF2-40B4-BE49-F238E27FC236}">
                <a16:creationId xmlns:a16="http://schemas.microsoft.com/office/drawing/2014/main" id="{00000000-0008-0000-0700-00001A000000}"/>
              </a:ext>
            </a:extLst>
          </xdr:cNvPr>
          <xdr:cNvSpPr/>
        </xdr:nvSpPr>
        <xdr:spPr>
          <a:xfrm>
            <a:off x="3142624" y="716405"/>
            <a:ext cx="394218" cy="345485"/>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0]!Reset_Potentiel" textlink="">
        <xdr:nvSpPr>
          <xdr:cNvPr id="27" name="Rectangle 26">
            <a:extLst>
              <a:ext uri="{FF2B5EF4-FFF2-40B4-BE49-F238E27FC236}">
                <a16:creationId xmlns:a16="http://schemas.microsoft.com/office/drawing/2014/main" id="{00000000-0008-0000-0700-00001B000000}"/>
              </a:ext>
            </a:extLst>
          </xdr:cNvPr>
          <xdr:cNvSpPr/>
        </xdr:nvSpPr>
        <xdr:spPr>
          <a:xfrm>
            <a:off x="3514961" y="718799"/>
            <a:ext cx="47460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Reset</a:t>
            </a:r>
          </a:p>
        </xdr:txBody>
      </xdr:sp>
      <xdr:pic macro="[0]!Reset_Potentiel">
        <xdr:nvPicPr>
          <xdr:cNvPr id="28" name="Graphique 27" descr="Ordures avec un remplissage uni">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218720" y="752518"/>
            <a:ext cx="242028" cy="242028"/>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25</xdr:col>
      <xdr:colOff>277230</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0800-00000B000000}"/>
            </a:ext>
          </a:extLst>
        </xdr:cNvPr>
        <xdr:cNvGrpSpPr/>
      </xdr:nvGrpSpPr>
      <xdr:grpSpPr>
        <a:xfrm>
          <a:off x="30480" y="0"/>
          <a:ext cx="14247726" cy="1115123"/>
          <a:chOff x="30480" y="0"/>
          <a:chExt cx="14295120" cy="1097281"/>
        </a:xfrm>
      </xdr:grpSpPr>
      <xdr:sp macro="" textlink="">
        <xdr:nvSpPr>
          <xdr:cNvPr id="12" name="Rectangle 11">
            <a:extLst>
              <a:ext uri="{FF2B5EF4-FFF2-40B4-BE49-F238E27FC236}">
                <a16:creationId xmlns:a16="http://schemas.microsoft.com/office/drawing/2014/main" id="{00000000-0008-0000-08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8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08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166703</xdr:colOff>
      <xdr:row>0</xdr:row>
      <xdr:rowOff>117111</xdr:rowOff>
    </xdr:from>
    <xdr:to>
      <xdr:col>6</xdr:col>
      <xdr:colOff>232647</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0800-00000F000000}"/>
            </a:ext>
          </a:extLst>
        </xdr:cNvPr>
        <xdr:cNvGrpSpPr/>
      </xdr:nvGrpSpPr>
      <xdr:grpSpPr>
        <a:xfrm>
          <a:off x="1808410" y="117111"/>
          <a:ext cx="1620920" cy="348847"/>
          <a:chOff x="1751601" y="106493"/>
          <a:chExt cx="1575966" cy="351894"/>
        </a:xfrm>
      </xdr:grpSpPr>
      <xdr:sp macro="" textlink="">
        <xdr:nvSpPr>
          <xdr:cNvPr id="16" name="Rectangle : avec coins arrondis en haut 15">
            <a:extLst>
              <a:ext uri="{FF2B5EF4-FFF2-40B4-BE49-F238E27FC236}">
                <a16:creationId xmlns:a16="http://schemas.microsoft.com/office/drawing/2014/main" id="{00000000-0008-0000-08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0800-000011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xdr:col>
      <xdr:colOff>770849</xdr:colOff>
      <xdr:row>7</xdr:row>
      <xdr:rowOff>39035</xdr:rowOff>
    </xdr:from>
    <xdr:to>
      <xdr:col>25</xdr:col>
      <xdr:colOff>462046</xdr:colOff>
      <xdr:row>40</xdr:row>
      <xdr:rowOff>148339</xdr:rowOff>
    </xdr:to>
    <xdr:grpSp>
      <xdr:nvGrpSpPr>
        <xdr:cNvPr id="18" name="Groupe 17">
          <a:extLst>
            <a:ext uri="{FF2B5EF4-FFF2-40B4-BE49-F238E27FC236}">
              <a16:creationId xmlns:a16="http://schemas.microsoft.com/office/drawing/2014/main" id="{00000000-0008-0000-0800-000012000000}"/>
            </a:ext>
          </a:extLst>
        </xdr:cNvPr>
        <xdr:cNvGrpSpPr/>
      </xdr:nvGrpSpPr>
      <xdr:grpSpPr>
        <a:xfrm>
          <a:off x="1563825" y="1340011"/>
          <a:ext cx="12899197" cy="6267255"/>
          <a:chOff x="1765956" y="2462038"/>
          <a:chExt cx="19527343" cy="3684060"/>
        </a:xfrm>
      </xdr:grpSpPr>
      <xdr:sp macro="" textlink="">
        <xdr:nvSpPr>
          <xdr:cNvPr id="19" name="Rectangle 18">
            <a:extLst>
              <a:ext uri="{FF2B5EF4-FFF2-40B4-BE49-F238E27FC236}">
                <a16:creationId xmlns:a16="http://schemas.microsoft.com/office/drawing/2014/main" id="{00000000-0008-0000-0800-000013000000}"/>
              </a:ext>
            </a:extLst>
          </xdr:cNvPr>
          <xdr:cNvSpPr/>
        </xdr:nvSpPr>
        <xdr:spPr>
          <a:xfrm>
            <a:off x="1769202" y="2462038"/>
            <a:ext cx="19524097" cy="3684060"/>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20" name="ZoneTexte 3">
            <a:extLst>
              <a:ext uri="{FF2B5EF4-FFF2-40B4-BE49-F238E27FC236}">
                <a16:creationId xmlns:a16="http://schemas.microsoft.com/office/drawing/2014/main" id="{00000000-0008-0000-0800-000014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Potentiel Epargne</a:t>
            </a:r>
            <a:r>
              <a:rPr lang="fr-FR" sz="1600" b="1" baseline="0">
                <a:effectLst/>
                <a:latin typeface="+mn-lt"/>
                <a:ea typeface="+mn-ea"/>
                <a:cs typeface="+mn-cs"/>
              </a:rPr>
              <a:t> retraite</a:t>
            </a:r>
            <a:endParaRPr lang="fr-FR" sz="1600" b="1">
              <a:effectLst/>
              <a:latin typeface="+mn-lt"/>
              <a:ea typeface="+mn-ea"/>
              <a:cs typeface="+mn-cs"/>
            </a:endParaRPr>
          </a:p>
        </xdr:txBody>
      </xdr:sp>
      <xdr:cxnSp macro="">
        <xdr:nvCxnSpPr>
          <xdr:cNvPr id="21" name="Connecteur droit 20">
            <a:extLst>
              <a:ext uri="{FF2B5EF4-FFF2-40B4-BE49-F238E27FC236}">
                <a16:creationId xmlns:a16="http://schemas.microsoft.com/office/drawing/2014/main" id="{00000000-0008-0000-0800-000015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16</xdr:col>
      <xdr:colOff>29456</xdr:colOff>
      <xdr:row>16</xdr:row>
      <xdr:rowOff>29459</xdr:rowOff>
    </xdr:from>
    <xdr:to>
      <xdr:col>17</xdr:col>
      <xdr:colOff>577421</xdr:colOff>
      <xdr:row>21</xdr:row>
      <xdr:rowOff>116226</xdr:rowOff>
    </xdr:to>
    <xdr:pic>
      <xdr:nvPicPr>
        <xdr:cNvPr id="40" name="Image 39">
          <a:extLst>
            <a:ext uri="{FF2B5EF4-FFF2-40B4-BE49-F238E27FC236}">
              <a16:creationId xmlns:a16="http://schemas.microsoft.com/office/drawing/2014/main" id="{00000000-0008-0000-0800-00002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601956" y="3106034"/>
          <a:ext cx="1186763" cy="1039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395107</xdr:colOff>
      <xdr:row>18</xdr:row>
      <xdr:rowOff>20601</xdr:rowOff>
    </xdr:from>
    <xdr:to>
      <xdr:col>24</xdr:col>
      <xdr:colOff>691602</xdr:colOff>
      <xdr:row>21</xdr:row>
      <xdr:rowOff>62079</xdr:rowOff>
    </xdr:to>
    <xdr:pic>
      <xdr:nvPicPr>
        <xdr:cNvPr id="41" name="Image 40">
          <a:extLst>
            <a:ext uri="{FF2B5EF4-FFF2-40B4-BE49-F238E27FC236}">
              <a16:creationId xmlns:a16="http://schemas.microsoft.com/office/drawing/2014/main" id="{00000000-0008-0000-0800-000029000000}"/>
            </a:ext>
          </a:extLst>
        </xdr:cNvPr>
        <xdr:cNvPicPr>
          <a:picLocks noChangeAspect="1"/>
        </xdr:cNvPicPr>
      </xdr:nvPicPr>
      <xdr:blipFill>
        <a:blip xmlns:r="http://schemas.openxmlformats.org/officeDocument/2006/relationships" r:embed="rId5"/>
        <a:stretch>
          <a:fillRect/>
        </a:stretch>
      </xdr:blipFill>
      <xdr:spPr>
        <a:xfrm>
          <a:off x="12379431" y="3440232"/>
          <a:ext cx="811781" cy="603609"/>
        </a:xfrm>
        <a:prstGeom prst="rect">
          <a:avLst/>
        </a:prstGeom>
      </xdr:spPr>
    </xdr:pic>
    <xdr:clientData/>
  </xdr:twoCellAnchor>
  <xdr:twoCellAnchor editAs="oneCell">
    <xdr:from>
      <xdr:col>16</xdr:col>
      <xdr:colOff>75445</xdr:colOff>
      <xdr:row>24</xdr:row>
      <xdr:rowOff>117113</xdr:rowOff>
    </xdr:from>
    <xdr:to>
      <xdr:col>24</xdr:col>
      <xdr:colOff>749354</xdr:colOff>
      <xdr:row>34</xdr:row>
      <xdr:rowOff>102112</xdr:rowOff>
    </xdr:to>
    <xdr:pic>
      <xdr:nvPicPr>
        <xdr:cNvPr id="42" name="Image 41">
          <a:extLst>
            <a:ext uri="{FF2B5EF4-FFF2-40B4-BE49-F238E27FC236}">
              <a16:creationId xmlns:a16="http://schemas.microsoft.com/office/drawing/2014/main" id="{00000000-0008-0000-0800-00002A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647945" y="4717688"/>
          <a:ext cx="5095225" cy="1889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0</xdr:col>
      <xdr:colOff>30480</xdr:colOff>
      <xdr:row>6</xdr:row>
      <xdr:rowOff>140535</xdr:rowOff>
    </xdr:from>
    <xdr:to>
      <xdr:col>1</xdr:col>
      <xdr:colOff>600418</xdr:colOff>
      <xdr:row>8</xdr:row>
      <xdr:rowOff>85883</xdr:rowOff>
    </xdr:to>
    <xdr:sp macro="" textlink="">
      <xdr:nvSpPr>
        <xdr:cNvPr id="43" name="Rectangle 42">
          <a:hlinkClick xmlns:r="http://schemas.openxmlformats.org/officeDocument/2006/relationships" r:id="rId7"/>
          <a:extLst>
            <a:ext uri="{FF2B5EF4-FFF2-40B4-BE49-F238E27FC236}">
              <a16:creationId xmlns:a16="http://schemas.microsoft.com/office/drawing/2014/main" id="{00000000-0008-0000-0800-00002B000000}"/>
            </a:ext>
          </a:extLst>
        </xdr:cNvPr>
        <xdr:cNvSpPr/>
      </xdr:nvSpPr>
      <xdr:spPr>
        <a:xfrm>
          <a:off x="30480" y="1264797"/>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Mode</a:t>
          </a:r>
        </a:p>
      </xdr:txBody>
    </xdr:sp>
    <xdr:clientData/>
  </xdr:twoCellAnchor>
  <xdr:twoCellAnchor editAs="absolute">
    <xdr:from>
      <xdr:col>0</xdr:col>
      <xdr:colOff>30480</xdr:colOff>
      <xdr:row>8</xdr:row>
      <xdr:rowOff>135226</xdr:rowOff>
    </xdr:from>
    <xdr:to>
      <xdr:col>1</xdr:col>
      <xdr:colOff>600418</xdr:colOff>
      <xdr:row>10</xdr:row>
      <xdr:rowOff>80574</xdr:rowOff>
    </xdr:to>
    <xdr:sp macro="" textlink="">
      <xdr:nvSpPr>
        <xdr:cNvPr id="47" name="Lien_Avis_IR_N-1_/_R_N-2">
          <a:extLst>
            <a:ext uri="{FF2B5EF4-FFF2-40B4-BE49-F238E27FC236}">
              <a16:creationId xmlns:a16="http://schemas.microsoft.com/office/drawing/2014/main" id="{00000000-0008-0000-0800-00002F000000}"/>
            </a:ext>
          </a:extLst>
        </xdr:cNvPr>
        <xdr:cNvSpPr/>
      </xdr:nvSpPr>
      <xdr:spPr>
        <a:xfrm>
          <a:off x="30480" y="1634242"/>
          <a:ext cx="1335061" cy="320102"/>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Avis</a:t>
          </a:r>
          <a:r>
            <a:rPr lang="fr-FR" sz="1000" b="0" baseline="0">
              <a:solidFill>
                <a:sysClr val="windowText" lastClr="000000"/>
              </a:solidFill>
              <a:latin typeface="Optima LT Pro" panose="020B0502050508020304" pitchFamily="34" charset="0"/>
            </a:rPr>
            <a:t> IR N-1</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30480</xdr:colOff>
      <xdr:row>10</xdr:row>
      <xdr:rowOff>129917</xdr:rowOff>
    </xdr:from>
    <xdr:to>
      <xdr:col>1</xdr:col>
      <xdr:colOff>600418</xdr:colOff>
      <xdr:row>12</xdr:row>
      <xdr:rowOff>59650</xdr:rowOff>
    </xdr:to>
    <xdr:sp macro="" textlink="">
      <xdr:nvSpPr>
        <xdr:cNvPr id="48" name="Lien_Déclaration_R_N-1">
          <a:hlinkClick xmlns:r="http://schemas.openxmlformats.org/officeDocument/2006/relationships" r:id="rId8"/>
          <a:extLst>
            <a:ext uri="{FF2B5EF4-FFF2-40B4-BE49-F238E27FC236}">
              <a16:creationId xmlns:a16="http://schemas.microsoft.com/office/drawing/2014/main" id="{00000000-0008-0000-0800-000030000000}"/>
            </a:ext>
          </a:extLst>
        </xdr:cNvPr>
        <xdr:cNvSpPr/>
      </xdr:nvSpPr>
      <xdr:spPr>
        <a:xfrm>
          <a:off x="30480" y="2003687"/>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Déclaration R N-1</a:t>
          </a:r>
        </a:p>
      </xdr:txBody>
    </xdr:sp>
    <xdr:clientData/>
  </xdr:twoCellAnchor>
  <xdr:twoCellAnchor editAs="absolute">
    <xdr:from>
      <xdr:col>0</xdr:col>
      <xdr:colOff>30480</xdr:colOff>
      <xdr:row>12</xdr:row>
      <xdr:rowOff>108993</xdr:rowOff>
    </xdr:from>
    <xdr:to>
      <xdr:col>1</xdr:col>
      <xdr:colOff>600418</xdr:colOff>
      <xdr:row>14</xdr:row>
      <xdr:rowOff>38726</xdr:rowOff>
    </xdr:to>
    <xdr:sp macro="" textlink="">
      <xdr:nvSpPr>
        <xdr:cNvPr id="49" name="Lien_Synthèse_N-1">
          <a:extLst>
            <a:ext uri="{FF2B5EF4-FFF2-40B4-BE49-F238E27FC236}">
              <a16:creationId xmlns:a16="http://schemas.microsoft.com/office/drawing/2014/main" id="{00000000-0008-0000-0800-000031000000}"/>
            </a:ext>
          </a:extLst>
        </xdr:cNvPr>
        <xdr:cNvSpPr/>
      </xdr:nvSpPr>
      <xdr:spPr>
        <a:xfrm>
          <a:off x="30480" y="2373132"/>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N-1</a:t>
          </a:r>
        </a:p>
      </xdr:txBody>
    </xdr:sp>
    <xdr:clientData/>
  </xdr:twoCellAnchor>
  <xdr:twoCellAnchor editAs="absolute">
    <xdr:from>
      <xdr:col>0</xdr:col>
      <xdr:colOff>30480</xdr:colOff>
      <xdr:row>14</xdr:row>
      <xdr:rowOff>88069</xdr:rowOff>
    </xdr:from>
    <xdr:to>
      <xdr:col>1</xdr:col>
      <xdr:colOff>600418</xdr:colOff>
      <xdr:row>16</xdr:row>
      <xdr:rowOff>17802</xdr:rowOff>
    </xdr:to>
    <xdr:sp macro="" textlink="">
      <xdr:nvSpPr>
        <xdr:cNvPr id="50" name="Lien_ESTIMATION_R_N">
          <a:extLst>
            <a:ext uri="{FF2B5EF4-FFF2-40B4-BE49-F238E27FC236}">
              <a16:creationId xmlns:a16="http://schemas.microsoft.com/office/drawing/2014/main" id="{00000000-0008-0000-0800-000032000000}"/>
            </a:ext>
          </a:extLst>
        </xdr:cNvPr>
        <xdr:cNvSpPr/>
      </xdr:nvSpPr>
      <xdr:spPr>
        <a:xfrm>
          <a:off x="30480" y="2742577"/>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Estimation R N</a:t>
          </a:r>
        </a:p>
      </xdr:txBody>
    </xdr:sp>
    <xdr:clientData/>
  </xdr:twoCellAnchor>
  <xdr:twoCellAnchor editAs="absolute">
    <xdr:from>
      <xdr:col>0</xdr:col>
      <xdr:colOff>30480</xdr:colOff>
      <xdr:row>16</xdr:row>
      <xdr:rowOff>67145</xdr:rowOff>
    </xdr:from>
    <xdr:to>
      <xdr:col>1</xdr:col>
      <xdr:colOff>600418</xdr:colOff>
      <xdr:row>18</xdr:row>
      <xdr:rowOff>12493</xdr:rowOff>
    </xdr:to>
    <xdr:sp macro="" textlink="">
      <xdr:nvSpPr>
        <xdr:cNvPr id="51" name="Lien_SYNTHESE_N">
          <a:extLst>
            <a:ext uri="{FF2B5EF4-FFF2-40B4-BE49-F238E27FC236}">
              <a16:creationId xmlns:a16="http://schemas.microsoft.com/office/drawing/2014/main" id="{00000000-0008-0000-0800-000033000000}"/>
            </a:ext>
          </a:extLst>
        </xdr:cNvPr>
        <xdr:cNvSpPr/>
      </xdr:nvSpPr>
      <xdr:spPr>
        <a:xfrm>
          <a:off x="30480" y="3112022"/>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a:t>
          </a:r>
        </a:p>
      </xdr:txBody>
    </xdr:sp>
    <xdr:clientData/>
  </xdr:twoCellAnchor>
  <xdr:twoCellAnchor editAs="absolute">
    <xdr:from>
      <xdr:col>0</xdr:col>
      <xdr:colOff>30480</xdr:colOff>
      <xdr:row>8</xdr:row>
      <xdr:rowOff>132727</xdr:rowOff>
    </xdr:from>
    <xdr:to>
      <xdr:col>1</xdr:col>
      <xdr:colOff>600418</xdr:colOff>
      <xdr:row>10</xdr:row>
      <xdr:rowOff>78075</xdr:rowOff>
    </xdr:to>
    <xdr:sp macro="" textlink="">
      <xdr:nvSpPr>
        <xdr:cNvPr id="25" name="Lien_Avis_IR_N" hidden="1">
          <a:hlinkClick xmlns:r="http://schemas.openxmlformats.org/officeDocument/2006/relationships" r:id="rId9"/>
          <a:extLst>
            <a:ext uri="{FF2B5EF4-FFF2-40B4-BE49-F238E27FC236}">
              <a16:creationId xmlns:a16="http://schemas.microsoft.com/office/drawing/2014/main" id="{00000000-0008-0000-0800-000019000000}"/>
            </a:ext>
          </a:extLst>
        </xdr:cNvPr>
        <xdr:cNvSpPr/>
      </xdr:nvSpPr>
      <xdr:spPr>
        <a:xfrm>
          <a:off x="30480" y="1631743"/>
          <a:ext cx="1335061" cy="320102"/>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Avis</a:t>
          </a:r>
          <a:r>
            <a:rPr lang="fr-FR" sz="1000" b="0" baseline="0">
              <a:solidFill>
                <a:sysClr val="windowText" lastClr="000000"/>
              </a:solidFill>
              <a:latin typeface="Optima LT Pro" panose="020B0502050508020304" pitchFamily="34" charset="0"/>
            </a:rPr>
            <a:t> IR N</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30480</xdr:colOff>
      <xdr:row>10</xdr:row>
      <xdr:rowOff>131165</xdr:rowOff>
    </xdr:from>
    <xdr:to>
      <xdr:col>1</xdr:col>
      <xdr:colOff>600418</xdr:colOff>
      <xdr:row>12</xdr:row>
      <xdr:rowOff>60898</xdr:rowOff>
    </xdr:to>
    <xdr:sp macro="" textlink="">
      <xdr:nvSpPr>
        <xdr:cNvPr id="26" name="Lien_ESTIMATION_R_N_2" hidden="1">
          <a:hlinkClick xmlns:r="http://schemas.openxmlformats.org/officeDocument/2006/relationships" r:id="rId10"/>
          <a:extLst>
            <a:ext uri="{FF2B5EF4-FFF2-40B4-BE49-F238E27FC236}">
              <a16:creationId xmlns:a16="http://schemas.microsoft.com/office/drawing/2014/main" id="{00000000-0008-0000-0800-00001A000000}"/>
            </a:ext>
          </a:extLst>
        </xdr:cNvPr>
        <xdr:cNvSpPr/>
      </xdr:nvSpPr>
      <xdr:spPr>
        <a:xfrm>
          <a:off x="30480" y="2004935"/>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Estimation R N</a:t>
          </a:r>
        </a:p>
      </xdr:txBody>
    </xdr:sp>
    <xdr:clientData/>
  </xdr:twoCellAnchor>
  <xdr:twoCellAnchor editAs="absolute">
    <xdr:from>
      <xdr:col>0</xdr:col>
      <xdr:colOff>30480</xdr:colOff>
      <xdr:row>12</xdr:row>
      <xdr:rowOff>118050</xdr:rowOff>
    </xdr:from>
    <xdr:to>
      <xdr:col>1</xdr:col>
      <xdr:colOff>600418</xdr:colOff>
      <xdr:row>14</xdr:row>
      <xdr:rowOff>47783</xdr:rowOff>
    </xdr:to>
    <xdr:sp macro="" textlink="">
      <xdr:nvSpPr>
        <xdr:cNvPr id="27" name="Lien_SYNTHESE_N_2" hidden="1">
          <a:extLst>
            <a:ext uri="{FF2B5EF4-FFF2-40B4-BE49-F238E27FC236}">
              <a16:creationId xmlns:a16="http://schemas.microsoft.com/office/drawing/2014/main" id="{00000000-0008-0000-0800-00001B000000}"/>
            </a:ext>
          </a:extLst>
        </xdr:cNvPr>
        <xdr:cNvSpPr/>
      </xdr:nvSpPr>
      <xdr:spPr>
        <a:xfrm>
          <a:off x="30480" y="2382189"/>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a:t>
          </a:r>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30482</xdr:colOff>
      <xdr:row>0</xdr:row>
      <xdr:rowOff>1</xdr:rowOff>
    </xdr:from>
    <xdr:to>
      <xdr:col>28</xdr:col>
      <xdr:colOff>159651</xdr:colOff>
      <xdr:row>6</xdr:row>
      <xdr:rowOff>2</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0900-00000B000000}"/>
            </a:ext>
          </a:extLst>
        </xdr:cNvPr>
        <xdr:cNvGrpSpPr/>
      </xdr:nvGrpSpPr>
      <xdr:grpSpPr>
        <a:xfrm>
          <a:off x="30482" y="1"/>
          <a:ext cx="14204486" cy="1115123"/>
          <a:chOff x="30480" y="0"/>
          <a:chExt cx="14295120" cy="1097281"/>
        </a:xfrm>
      </xdr:grpSpPr>
      <xdr:sp macro="" textlink="">
        <xdr:nvSpPr>
          <xdr:cNvPr id="12" name="Rectangle 11">
            <a:extLst>
              <a:ext uri="{FF2B5EF4-FFF2-40B4-BE49-F238E27FC236}">
                <a16:creationId xmlns:a16="http://schemas.microsoft.com/office/drawing/2014/main" id="{00000000-0008-0000-09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9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09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369695</xdr:colOff>
      <xdr:row>0</xdr:row>
      <xdr:rowOff>117111</xdr:rowOff>
    </xdr:from>
    <xdr:to>
      <xdr:col>6</xdr:col>
      <xdr:colOff>204616</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0900-00000F000000}"/>
            </a:ext>
          </a:extLst>
        </xdr:cNvPr>
        <xdr:cNvGrpSpPr/>
      </xdr:nvGrpSpPr>
      <xdr:grpSpPr>
        <a:xfrm>
          <a:off x="1800768" y="117111"/>
          <a:ext cx="1625311" cy="348847"/>
          <a:chOff x="1751601" y="106493"/>
          <a:chExt cx="1575966" cy="351894"/>
        </a:xfrm>
      </xdr:grpSpPr>
      <xdr:sp macro="" textlink="">
        <xdr:nvSpPr>
          <xdr:cNvPr id="16" name="Rectangle : avec coins arrondis en haut 15">
            <a:extLst>
              <a:ext uri="{FF2B5EF4-FFF2-40B4-BE49-F238E27FC236}">
                <a16:creationId xmlns:a16="http://schemas.microsoft.com/office/drawing/2014/main" id="{00000000-0008-0000-09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0900-000011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2</xdr:col>
      <xdr:colOff>155772</xdr:colOff>
      <xdr:row>7</xdr:row>
      <xdr:rowOff>39035</xdr:rowOff>
    </xdr:from>
    <xdr:to>
      <xdr:col>28</xdr:col>
      <xdr:colOff>406925</xdr:colOff>
      <xdr:row>40</xdr:row>
      <xdr:rowOff>179569</xdr:rowOff>
    </xdr:to>
    <xdr:sp macro="" textlink="">
      <xdr:nvSpPr>
        <xdr:cNvPr id="21" name="Rectangle 20">
          <a:extLst>
            <a:ext uri="{FF2B5EF4-FFF2-40B4-BE49-F238E27FC236}">
              <a16:creationId xmlns:a16="http://schemas.microsoft.com/office/drawing/2014/main" id="{00000000-0008-0000-0900-000015000000}"/>
            </a:ext>
          </a:extLst>
        </xdr:cNvPr>
        <xdr:cNvSpPr/>
      </xdr:nvSpPr>
      <xdr:spPr>
        <a:xfrm>
          <a:off x="1537678" y="1350674"/>
          <a:ext cx="12578060" cy="6589428"/>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xdr:from>
      <xdr:col>2</xdr:col>
      <xdr:colOff>155772</xdr:colOff>
      <xdr:row>7</xdr:row>
      <xdr:rowOff>124920</xdr:rowOff>
    </xdr:from>
    <xdr:to>
      <xdr:col>7</xdr:col>
      <xdr:colOff>212505</xdr:colOff>
      <xdr:row>10</xdr:row>
      <xdr:rowOff>22328</xdr:rowOff>
    </xdr:to>
    <xdr:sp macro="" textlink="">
      <xdr:nvSpPr>
        <xdr:cNvPr id="26" name="ZoneTexte 3">
          <a:extLst>
            <a:ext uri="{FF2B5EF4-FFF2-40B4-BE49-F238E27FC236}">
              <a16:creationId xmlns:a16="http://schemas.microsoft.com/office/drawing/2014/main" id="{00000000-0008-0000-0900-00001A000000}"/>
            </a:ext>
          </a:extLst>
        </xdr:cNvPr>
        <xdr:cNvSpPr txBox="1"/>
      </xdr:nvSpPr>
      <xdr:spPr>
        <a:xfrm>
          <a:off x="1536897" y="1458420"/>
          <a:ext cx="3352383" cy="468908"/>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Déclaration IR sur les revenus</a:t>
          </a:r>
        </a:p>
      </xdr:txBody>
    </xdr:sp>
    <xdr:clientData/>
  </xdr:twoCellAnchor>
  <xdr:twoCellAnchor>
    <xdr:from>
      <xdr:col>3</xdr:col>
      <xdr:colOff>242630</xdr:colOff>
      <xdr:row>9</xdr:row>
      <xdr:rowOff>132726</xdr:rowOff>
    </xdr:from>
    <xdr:to>
      <xdr:col>7</xdr:col>
      <xdr:colOff>163955</xdr:colOff>
      <xdr:row>9</xdr:row>
      <xdr:rowOff>141429</xdr:rowOff>
    </xdr:to>
    <xdr:cxnSp macro="">
      <xdr:nvCxnSpPr>
        <xdr:cNvPr id="27" name="Connecteur droit 26">
          <a:extLst>
            <a:ext uri="{FF2B5EF4-FFF2-40B4-BE49-F238E27FC236}">
              <a16:creationId xmlns:a16="http://schemas.microsoft.com/office/drawing/2014/main" id="{00000000-0008-0000-0900-00001B000000}"/>
            </a:ext>
          </a:extLst>
        </xdr:cNvPr>
        <xdr:cNvCxnSpPr/>
      </xdr:nvCxnSpPr>
      <xdr:spPr>
        <a:xfrm flipH="1">
          <a:off x="2069556" y="1819119"/>
          <a:ext cx="2771018" cy="8703"/>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526978</xdr:colOff>
      <xdr:row>12</xdr:row>
      <xdr:rowOff>3122</xdr:rowOff>
    </xdr:from>
    <xdr:to>
      <xdr:col>8</xdr:col>
      <xdr:colOff>530902</xdr:colOff>
      <xdr:row>16</xdr:row>
      <xdr:rowOff>85880</xdr:rowOff>
    </xdr:to>
    <xdr:cxnSp macro="">
      <xdr:nvCxnSpPr>
        <xdr:cNvPr id="28" name="Connecteur droit 27">
          <a:extLst>
            <a:ext uri="{FF2B5EF4-FFF2-40B4-BE49-F238E27FC236}">
              <a16:creationId xmlns:a16="http://schemas.microsoft.com/office/drawing/2014/main" id="{00000000-0008-0000-0900-00001C000000}"/>
            </a:ext>
          </a:extLst>
        </xdr:cNvPr>
        <xdr:cNvCxnSpPr/>
      </xdr:nvCxnSpPr>
      <xdr:spPr>
        <a:xfrm flipH="1" flipV="1">
          <a:off x="5537128" y="2289122"/>
          <a:ext cx="3924" cy="854283"/>
        </a:xfrm>
        <a:prstGeom prst="line">
          <a:avLst/>
        </a:prstGeom>
        <a:ln w="12700">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242630</xdr:colOff>
      <xdr:row>19</xdr:row>
      <xdr:rowOff>26939</xdr:rowOff>
    </xdr:from>
    <xdr:to>
      <xdr:col>6</xdr:col>
      <xdr:colOff>1165005</xdr:colOff>
      <xdr:row>19</xdr:row>
      <xdr:rowOff>36185</xdr:rowOff>
    </xdr:to>
    <xdr:cxnSp macro="">
      <xdr:nvCxnSpPr>
        <xdr:cNvPr id="29" name="Connecteur droit 28">
          <a:extLst>
            <a:ext uri="{FF2B5EF4-FFF2-40B4-BE49-F238E27FC236}">
              <a16:creationId xmlns:a16="http://schemas.microsoft.com/office/drawing/2014/main" id="{00000000-0008-0000-0900-00001D000000}"/>
            </a:ext>
          </a:extLst>
        </xdr:cNvPr>
        <xdr:cNvCxnSpPr/>
      </xdr:nvCxnSpPr>
      <xdr:spPr>
        <a:xfrm flipH="1">
          <a:off x="2071430" y="3655964"/>
          <a:ext cx="2217775" cy="9246"/>
        </a:xfrm>
        <a:prstGeom prst="line">
          <a:avLst/>
        </a:prstGeom>
        <a:ln w="12700">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7</xdr:col>
          <xdr:colOff>45720</xdr:colOff>
          <xdr:row>14</xdr:row>
          <xdr:rowOff>0</xdr:rowOff>
        </xdr:from>
        <xdr:to>
          <xdr:col>7</xdr:col>
          <xdr:colOff>259080</xdr:colOff>
          <xdr:row>15</xdr:row>
          <xdr:rowOff>0</xdr:rowOff>
        </xdr:to>
        <xdr:sp macro="" textlink="">
          <xdr:nvSpPr>
            <xdr:cNvPr id="16385" name="Spinner 1" hidden="1">
              <a:extLst>
                <a:ext uri="{63B3BB69-23CF-44E3-9099-C40C66FF867C}">
                  <a14:compatExt spid="_x0000_s16385"/>
                </a:ext>
                <a:ext uri="{FF2B5EF4-FFF2-40B4-BE49-F238E27FC236}">
                  <a16:creationId xmlns:a16="http://schemas.microsoft.com/office/drawing/2014/main" id="{00000000-0008-0000-0900-0000014000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xdr:from>
      <xdr:col>8</xdr:col>
      <xdr:colOff>524792</xdr:colOff>
      <xdr:row>12</xdr:row>
      <xdr:rowOff>9368</xdr:rowOff>
    </xdr:from>
    <xdr:to>
      <xdr:col>8</xdr:col>
      <xdr:colOff>528716</xdr:colOff>
      <xdr:row>16</xdr:row>
      <xdr:rowOff>92126</xdr:rowOff>
    </xdr:to>
    <xdr:cxnSp macro="">
      <xdr:nvCxnSpPr>
        <xdr:cNvPr id="22" name="Connecteur droit 21">
          <a:extLst>
            <a:ext uri="{FF2B5EF4-FFF2-40B4-BE49-F238E27FC236}">
              <a16:creationId xmlns:a16="http://schemas.microsoft.com/office/drawing/2014/main" id="{00000000-0008-0000-0900-000016000000}"/>
            </a:ext>
          </a:extLst>
        </xdr:cNvPr>
        <xdr:cNvCxnSpPr/>
      </xdr:nvCxnSpPr>
      <xdr:spPr>
        <a:xfrm flipH="1" flipV="1">
          <a:off x="5537128" y="2289122"/>
          <a:ext cx="3924" cy="894725"/>
        </a:xfrm>
        <a:prstGeom prst="line">
          <a:avLst/>
        </a:prstGeom>
        <a:ln w="12700">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107253</xdr:colOff>
      <xdr:row>10</xdr:row>
      <xdr:rowOff>60272</xdr:rowOff>
    </xdr:from>
    <xdr:to>
      <xdr:col>15</xdr:col>
      <xdr:colOff>109303</xdr:colOff>
      <xdr:row>19</xdr:row>
      <xdr:rowOff>46844</xdr:rowOff>
    </xdr:to>
    <xdr:cxnSp macro="">
      <xdr:nvCxnSpPr>
        <xdr:cNvPr id="23" name="Connecteur droit 22">
          <a:extLst>
            <a:ext uri="{FF2B5EF4-FFF2-40B4-BE49-F238E27FC236}">
              <a16:creationId xmlns:a16="http://schemas.microsoft.com/office/drawing/2014/main" id="{00000000-0008-0000-0900-000017000000}"/>
            </a:ext>
          </a:extLst>
        </xdr:cNvPr>
        <xdr:cNvCxnSpPr/>
      </xdr:nvCxnSpPr>
      <xdr:spPr>
        <a:xfrm flipH="1" flipV="1">
          <a:off x="8156659" y="1949657"/>
          <a:ext cx="2050" cy="1782269"/>
        </a:xfrm>
        <a:prstGeom prst="line">
          <a:avLst/>
        </a:prstGeom>
        <a:ln w="12700">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30482</xdr:colOff>
      <xdr:row>6</xdr:row>
      <xdr:rowOff>140537</xdr:rowOff>
    </xdr:from>
    <xdr:to>
      <xdr:col>1</xdr:col>
      <xdr:colOff>600420</xdr:colOff>
      <xdr:row>8</xdr:row>
      <xdr:rowOff>85885</xdr:rowOff>
    </xdr:to>
    <xdr:sp macro="" textlink="">
      <xdr:nvSpPr>
        <xdr:cNvPr id="25" name="Rectangle 24">
          <a:hlinkClick xmlns:r="http://schemas.openxmlformats.org/officeDocument/2006/relationships" r:id="rId4"/>
          <a:extLst>
            <a:ext uri="{FF2B5EF4-FFF2-40B4-BE49-F238E27FC236}">
              <a16:creationId xmlns:a16="http://schemas.microsoft.com/office/drawing/2014/main" id="{00000000-0008-0000-0900-000019000000}"/>
            </a:ext>
          </a:extLst>
        </xdr:cNvPr>
        <xdr:cNvSpPr/>
      </xdr:nvSpPr>
      <xdr:spPr>
        <a:xfrm>
          <a:off x="30482" y="1264799"/>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Mode</a:t>
          </a:r>
        </a:p>
      </xdr:txBody>
    </xdr:sp>
    <xdr:clientData/>
  </xdr:twoCellAnchor>
  <xdr:twoCellAnchor editAs="absolute">
    <xdr:from>
      <xdr:col>0</xdr:col>
      <xdr:colOff>30482</xdr:colOff>
      <xdr:row>8</xdr:row>
      <xdr:rowOff>135228</xdr:rowOff>
    </xdr:from>
    <xdr:to>
      <xdr:col>1</xdr:col>
      <xdr:colOff>600420</xdr:colOff>
      <xdr:row>10</xdr:row>
      <xdr:rowOff>64961</xdr:rowOff>
    </xdr:to>
    <xdr:sp macro="" textlink="">
      <xdr:nvSpPr>
        <xdr:cNvPr id="30" name="Lien_Avis_IR_N-1_/_R_N-2">
          <a:hlinkClick xmlns:r="http://schemas.openxmlformats.org/officeDocument/2006/relationships" r:id="rId5"/>
          <a:extLst>
            <a:ext uri="{FF2B5EF4-FFF2-40B4-BE49-F238E27FC236}">
              <a16:creationId xmlns:a16="http://schemas.microsoft.com/office/drawing/2014/main" id="{00000000-0008-0000-0900-00001E000000}"/>
            </a:ext>
          </a:extLst>
        </xdr:cNvPr>
        <xdr:cNvSpPr/>
      </xdr:nvSpPr>
      <xdr:spPr>
        <a:xfrm>
          <a:off x="30482" y="1634244"/>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Avis</a:t>
          </a:r>
          <a:r>
            <a:rPr lang="fr-FR" sz="1000" b="0" baseline="0">
              <a:solidFill>
                <a:sysClr val="windowText" lastClr="000000"/>
              </a:solidFill>
              <a:latin typeface="Optima LT Pro" panose="020B0502050508020304" pitchFamily="34" charset="0"/>
            </a:rPr>
            <a:t> IR N-1</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30482</xdr:colOff>
      <xdr:row>10</xdr:row>
      <xdr:rowOff>114304</xdr:rowOff>
    </xdr:from>
    <xdr:to>
      <xdr:col>1</xdr:col>
      <xdr:colOff>600420</xdr:colOff>
      <xdr:row>12</xdr:row>
      <xdr:rowOff>44037</xdr:rowOff>
    </xdr:to>
    <xdr:sp macro="" textlink="">
      <xdr:nvSpPr>
        <xdr:cNvPr id="31" name="Lien_Déclaration_R_N-1">
          <a:extLst>
            <a:ext uri="{FF2B5EF4-FFF2-40B4-BE49-F238E27FC236}">
              <a16:creationId xmlns:a16="http://schemas.microsoft.com/office/drawing/2014/main" id="{00000000-0008-0000-0900-00001F000000}"/>
            </a:ext>
          </a:extLst>
        </xdr:cNvPr>
        <xdr:cNvSpPr/>
      </xdr:nvSpPr>
      <xdr:spPr>
        <a:xfrm>
          <a:off x="30482" y="2003689"/>
          <a:ext cx="1335061" cy="320102"/>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Déclaration R N-1</a:t>
          </a:r>
        </a:p>
      </xdr:txBody>
    </xdr:sp>
    <xdr:clientData/>
  </xdr:twoCellAnchor>
  <xdr:twoCellAnchor editAs="absolute">
    <xdr:from>
      <xdr:col>0</xdr:col>
      <xdr:colOff>30482</xdr:colOff>
      <xdr:row>12</xdr:row>
      <xdr:rowOff>93380</xdr:rowOff>
    </xdr:from>
    <xdr:to>
      <xdr:col>1</xdr:col>
      <xdr:colOff>600420</xdr:colOff>
      <xdr:row>14</xdr:row>
      <xdr:rowOff>7498</xdr:rowOff>
    </xdr:to>
    <xdr:sp macro="" textlink="">
      <xdr:nvSpPr>
        <xdr:cNvPr id="32" name="Lien_Synthèse_N-1">
          <a:hlinkClick xmlns:r="http://schemas.openxmlformats.org/officeDocument/2006/relationships" r:id="rId6"/>
          <a:extLst>
            <a:ext uri="{FF2B5EF4-FFF2-40B4-BE49-F238E27FC236}">
              <a16:creationId xmlns:a16="http://schemas.microsoft.com/office/drawing/2014/main" id="{00000000-0008-0000-0900-000020000000}"/>
            </a:ext>
          </a:extLst>
        </xdr:cNvPr>
        <xdr:cNvSpPr/>
      </xdr:nvSpPr>
      <xdr:spPr>
        <a:xfrm>
          <a:off x="30482" y="2373134"/>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N-1</a:t>
          </a:r>
        </a:p>
      </xdr:txBody>
    </xdr:sp>
    <xdr:clientData/>
  </xdr:twoCellAnchor>
  <xdr:twoCellAnchor editAs="absolute">
    <xdr:from>
      <xdr:col>0</xdr:col>
      <xdr:colOff>30482</xdr:colOff>
      <xdr:row>14</xdr:row>
      <xdr:rowOff>56841</xdr:rowOff>
    </xdr:from>
    <xdr:to>
      <xdr:col>1</xdr:col>
      <xdr:colOff>600420</xdr:colOff>
      <xdr:row>15</xdr:row>
      <xdr:rowOff>173951</xdr:rowOff>
    </xdr:to>
    <xdr:sp macro="" textlink="">
      <xdr:nvSpPr>
        <xdr:cNvPr id="33" name="Lien_ESTIMATION_R_N">
          <a:extLst>
            <a:ext uri="{FF2B5EF4-FFF2-40B4-BE49-F238E27FC236}">
              <a16:creationId xmlns:a16="http://schemas.microsoft.com/office/drawing/2014/main" id="{00000000-0008-0000-0900-000021000000}"/>
            </a:ext>
          </a:extLst>
        </xdr:cNvPr>
        <xdr:cNvSpPr/>
      </xdr:nvSpPr>
      <xdr:spPr>
        <a:xfrm>
          <a:off x="30482" y="2742579"/>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Estimation R N</a:t>
          </a:r>
        </a:p>
      </xdr:txBody>
    </xdr:sp>
    <xdr:clientData/>
  </xdr:twoCellAnchor>
  <xdr:twoCellAnchor editAs="absolute">
    <xdr:from>
      <xdr:col>0</xdr:col>
      <xdr:colOff>30482</xdr:colOff>
      <xdr:row>16</xdr:row>
      <xdr:rowOff>20303</xdr:rowOff>
    </xdr:from>
    <xdr:to>
      <xdr:col>1</xdr:col>
      <xdr:colOff>600420</xdr:colOff>
      <xdr:row>17</xdr:row>
      <xdr:rowOff>153028</xdr:rowOff>
    </xdr:to>
    <xdr:sp macro="" textlink="">
      <xdr:nvSpPr>
        <xdr:cNvPr id="34" name="Lien_SYNTHESE_N">
          <a:extLst>
            <a:ext uri="{FF2B5EF4-FFF2-40B4-BE49-F238E27FC236}">
              <a16:creationId xmlns:a16="http://schemas.microsoft.com/office/drawing/2014/main" id="{00000000-0008-0000-0900-000022000000}"/>
            </a:ext>
          </a:extLst>
        </xdr:cNvPr>
        <xdr:cNvSpPr/>
      </xdr:nvSpPr>
      <xdr:spPr>
        <a:xfrm>
          <a:off x="30482" y="3112024"/>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a:t>
          </a:r>
        </a:p>
      </xdr:txBody>
    </xdr:sp>
    <xdr:clientData/>
  </xdr:twoCellAnchor>
  <xdr:twoCellAnchor>
    <xdr:from>
      <xdr:col>6</xdr:col>
      <xdr:colOff>1178914</xdr:colOff>
      <xdr:row>7</xdr:row>
      <xdr:rowOff>123359</xdr:rowOff>
    </xdr:from>
    <xdr:to>
      <xdr:col>8</xdr:col>
      <xdr:colOff>156149</xdr:colOff>
      <xdr:row>9</xdr:row>
      <xdr:rowOff>85882</xdr:rowOff>
    </xdr:to>
    <xdr:sp macro="" textlink="'Avis IR N-2'!L12">
      <xdr:nvSpPr>
        <xdr:cNvPr id="35" name="ZoneTexte 3">
          <a:extLst>
            <a:ext uri="{FF2B5EF4-FFF2-40B4-BE49-F238E27FC236}">
              <a16:creationId xmlns:a16="http://schemas.microsoft.com/office/drawing/2014/main" id="{00000000-0008-0000-0900-000023000000}"/>
            </a:ext>
          </a:extLst>
        </xdr:cNvPr>
        <xdr:cNvSpPr txBox="1"/>
      </xdr:nvSpPr>
      <xdr:spPr>
        <a:xfrm>
          <a:off x="4301865" y="1434998"/>
          <a:ext cx="866620" cy="337277"/>
        </a:xfrm>
        <a:prstGeom prst="rect">
          <a:avLst/>
        </a:prstGeom>
        <a:noFill/>
      </xdr:spPr>
      <xdr:txBody>
        <a:bodyPr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2346EB5F-DD3A-437C-BFC7-8E5F37B2DDBE}" type="TxLink">
            <a:rPr lang="en-US" sz="1600" b="1" i="0" u="none" strike="noStrike">
              <a:solidFill>
                <a:srgbClr val="000000"/>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2025</a:t>
          </a:fld>
          <a:endParaRPr lang="fr-FR" sz="8800" b="1" i="0">
            <a:effectLst/>
            <a:latin typeface="+mn-lt"/>
            <a:ea typeface="+mn-ea"/>
            <a:cs typeface="+mn-cs"/>
          </a:endParaRPr>
        </a:p>
      </xdr:txBody>
    </xdr:sp>
    <xdr:clientData/>
  </xdr:twoCellAnchor>
  <xdr:twoCellAnchor editAs="absolute">
    <xdr:from>
      <xdr:col>15</xdr:col>
      <xdr:colOff>211743</xdr:colOff>
      <xdr:row>21</xdr:row>
      <xdr:rowOff>62462</xdr:rowOff>
    </xdr:from>
    <xdr:to>
      <xdr:col>28</xdr:col>
      <xdr:colOff>110247</xdr:colOff>
      <xdr:row>35</xdr:row>
      <xdr:rowOff>23423</xdr:rowOff>
    </xdr:to>
    <xdr:sp macro="" textlink="">
      <xdr:nvSpPr>
        <xdr:cNvPr id="37" name="Rectangle 36">
          <a:extLst>
            <a:ext uri="{FF2B5EF4-FFF2-40B4-BE49-F238E27FC236}">
              <a16:creationId xmlns:a16="http://schemas.microsoft.com/office/drawing/2014/main" id="{00000000-0008-0000-0900-000025000000}"/>
            </a:ext>
          </a:extLst>
        </xdr:cNvPr>
        <xdr:cNvSpPr/>
      </xdr:nvSpPr>
      <xdr:spPr>
        <a:xfrm>
          <a:off x="8307052" y="4137913"/>
          <a:ext cx="5512008" cy="27091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30482</xdr:colOff>
      <xdr:row>0</xdr:row>
      <xdr:rowOff>1</xdr:rowOff>
    </xdr:from>
    <xdr:to>
      <xdr:col>18</xdr:col>
      <xdr:colOff>197747</xdr:colOff>
      <xdr:row>6</xdr:row>
      <xdr:rowOff>2</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0A00-00000B000000}"/>
            </a:ext>
          </a:extLst>
        </xdr:cNvPr>
        <xdr:cNvGrpSpPr/>
      </xdr:nvGrpSpPr>
      <xdr:grpSpPr>
        <a:xfrm>
          <a:off x="30482" y="1"/>
          <a:ext cx="14230192" cy="1115123"/>
          <a:chOff x="30480" y="0"/>
          <a:chExt cx="14295120" cy="1097281"/>
        </a:xfrm>
      </xdr:grpSpPr>
      <xdr:sp macro="" textlink="">
        <xdr:nvSpPr>
          <xdr:cNvPr id="12" name="Rectangle 11">
            <a:extLst>
              <a:ext uri="{FF2B5EF4-FFF2-40B4-BE49-F238E27FC236}">
                <a16:creationId xmlns:a16="http://schemas.microsoft.com/office/drawing/2014/main" id="{00000000-0008-0000-0A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A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0A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369695</xdr:colOff>
      <xdr:row>0</xdr:row>
      <xdr:rowOff>117111</xdr:rowOff>
    </xdr:from>
    <xdr:to>
      <xdr:col>4</xdr:col>
      <xdr:colOff>204616</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0A00-00000F000000}"/>
            </a:ext>
          </a:extLst>
        </xdr:cNvPr>
        <xdr:cNvGrpSpPr/>
      </xdr:nvGrpSpPr>
      <xdr:grpSpPr>
        <a:xfrm>
          <a:off x="1800768" y="117111"/>
          <a:ext cx="1625311" cy="348847"/>
          <a:chOff x="1751601" y="106493"/>
          <a:chExt cx="1575966" cy="351894"/>
        </a:xfrm>
      </xdr:grpSpPr>
      <xdr:sp macro="" textlink="">
        <xdr:nvSpPr>
          <xdr:cNvPr id="16" name="Rectangle : avec coins arrondis en haut 15">
            <a:extLst>
              <a:ext uri="{FF2B5EF4-FFF2-40B4-BE49-F238E27FC236}">
                <a16:creationId xmlns:a16="http://schemas.microsoft.com/office/drawing/2014/main" id="{00000000-0008-0000-0A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0A00-000011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2</xdr:col>
      <xdr:colOff>155772</xdr:colOff>
      <xdr:row>7</xdr:row>
      <xdr:rowOff>39036</xdr:rowOff>
    </xdr:from>
    <xdr:to>
      <xdr:col>19</xdr:col>
      <xdr:colOff>218607</xdr:colOff>
      <xdr:row>40</xdr:row>
      <xdr:rowOff>163955</xdr:rowOff>
    </xdr:to>
    <xdr:sp macro="" textlink="">
      <xdr:nvSpPr>
        <xdr:cNvPr id="21" name="Rectangle 20">
          <a:extLst>
            <a:ext uri="{FF2B5EF4-FFF2-40B4-BE49-F238E27FC236}">
              <a16:creationId xmlns:a16="http://schemas.microsoft.com/office/drawing/2014/main" id="{00000000-0008-0000-0A00-000015000000}"/>
            </a:ext>
          </a:extLst>
        </xdr:cNvPr>
        <xdr:cNvSpPr/>
      </xdr:nvSpPr>
      <xdr:spPr>
        <a:xfrm>
          <a:off x="1537678" y="1350675"/>
          <a:ext cx="12578060" cy="6003874"/>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2</xdr:col>
      <xdr:colOff>155771</xdr:colOff>
      <xdr:row>7</xdr:row>
      <xdr:rowOff>124920</xdr:rowOff>
    </xdr:from>
    <xdr:to>
      <xdr:col>6</xdr:col>
      <xdr:colOff>687048</xdr:colOff>
      <xdr:row>10</xdr:row>
      <xdr:rowOff>22328</xdr:rowOff>
    </xdr:to>
    <xdr:sp macro="" textlink="">
      <xdr:nvSpPr>
        <xdr:cNvPr id="22" name="ZoneTexte 3">
          <a:extLst>
            <a:ext uri="{FF2B5EF4-FFF2-40B4-BE49-F238E27FC236}">
              <a16:creationId xmlns:a16="http://schemas.microsoft.com/office/drawing/2014/main" id="{00000000-0008-0000-0A00-000016000000}"/>
            </a:ext>
          </a:extLst>
        </xdr:cNvPr>
        <xdr:cNvSpPr txBox="1"/>
      </xdr:nvSpPr>
      <xdr:spPr>
        <a:xfrm>
          <a:off x="1537677" y="1436559"/>
          <a:ext cx="3708879" cy="459539"/>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Synthèse déclaration sur les revenus</a:t>
          </a:r>
        </a:p>
      </xdr:txBody>
    </xdr:sp>
    <xdr:clientData/>
  </xdr:twoCellAnchor>
  <xdr:twoCellAnchor editAs="absolute">
    <xdr:from>
      <xdr:col>3</xdr:col>
      <xdr:colOff>242630</xdr:colOff>
      <xdr:row>9</xdr:row>
      <xdr:rowOff>140533</xdr:rowOff>
    </xdr:from>
    <xdr:to>
      <xdr:col>6</xdr:col>
      <xdr:colOff>608976</xdr:colOff>
      <xdr:row>9</xdr:row>
      <xdr:rowOff>141429</xdr:rowOff>
    </xdr:to>
    <xdr:cxnSp macro="">
      <xdr:nvCxnSpPr>
        <xdr:cNvPr id="23" name="Connecteur droit 22">
          <a:extLst>
            <a:ext uri="{FF2B5EF4-FFF2-40B4-BE49-F238E27FC236}">
              <a16:creationId xmlns:a16="http://schemas.microsoft.com/office/drawing/2014/main" id="{00000000-0008-0000-0A00-000017000000}"/>
            </a:ext>
          </a:extLst>
        </xdr:cNvPr>
        <xdr:cNvCxnSpPr/>
      </xdr:nvCxnSpPr>
      <xdr:spPr>
        <a:xfrm flipH="1">
          <a:off x="2069556" y="1826926"/>
          <a:ext cx="3098928" cy="896"/>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30482</xdr:colOff>
      <xdr:row>6</xdr:row>
      <xdr:rowOff>140537</xdr:rowOff>
    </xdr:from>
    <xdr:to>
      <xdr:col>1</xdr:col>
      <xdr:colOff>600420</xdr:colOff>
      <xdr:row>8</xdr:row>
      <xdr:rowOff>85885</xdr:rowOff>
    </xdr:to>
    <xdr:sp macro="" textlink="">
      <xdr:nvSpPr>
        <xdr:cNvPr id="28" name="Rectangle 27">
          <a:hlinkClick xmlns:r="http://schemas.openxmlformats.org/officeDocument/2006/relationships" r:id="rId4"/>
          <a:extLst>
            <a:ext uri="{FF2B5EF4-FFF2-40B4-BE49-F238E27FC236}">
              <a16:creationId xmlns:a16="http://schemas.microsoft.com/office/drawing/2014/main" id="{00000000-0008-0000-0A00-00001C000000}"/>
            </a:ext>
          </a:extLst>
        </xdr:cNvPr>
        <xdr:cNvSpPr/>
      </xdr:nvSpPr>
      <xdr:spPr>
        <a:xfrm>
          <a:off x="30482" y="1283537"/>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Mode</a:t>
          </a:r>
        </a:p>
      </xdr:txBody>
    </xdr:sp>
    <xdr:clientData/>
  </xdr:twoCellAnchor>
  <xdr:twoCellAnchor editAs="absolute">
    <xdr:from>
      <xdr:col>0</xdr:col>
      <xdr:colOff>30482</xdr:colOff>
      <xdr:row>8</xdr:row>
      <xdr:rowOff>135228</xdr:rowOff>
    </xdr:from>
    <xdr:to>
      <xdr:col>1</xdr:col>
      <xdr:colOff>600420</xdr:colOff>
      <xdr:row>10</xdr:row>
      <xdr:rowOff>80576</xdr:rowOff>
    </xdr:to>
    <xdr:sp macro="" textlink="">
      <xdr:nvSpPr>
        <xdr:cNvPr id="29" name="Lien_Avis_IR_N-1_/_R_N-2">
          <a:hlinkClick xmlns:r="http://schemas.openxmlformats.org/officeDocument/2006/relationships" r:id="rId5"/>
          <a:extLst>
            <a:ext uri="{FF2B5EF4-FFF2-40B4-BE49-F238E27FC236}">
              <a16:creationId xmlns:a16="http://schemas.microsoft.com/office/drawing/2014/main" id="{00000000-0008-0000-0A00-00001D000000}"/>
            </a:ext>
          </a:extLst>
        </xdr:cNvPr>
        <xdr:cNvSpPr/>
      </xdr:nvSpPr>
      <xdr:spPr>
        <a:xfrm>
          <a:off x="30482" y="1659228"/>
          <a:ext cx="1331938" cy="32025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Avis</a:t>
          </a:r>
          <a:r>
            <a:rPr lang="fr-FR" sz="1000" b="0" baseline="0">
              <a:solidFill>
                <a:sysClr val="windowText" lastClr="000000"/>
              </a:solidFill>
              <a:latin typeface="Optima LT Pro" panose="020B0502050508020304" pitchFamily="34" charset="0"/>
            </a:rPr>
            <a:t> IR N-1</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30482</xdr:colOff>
      <xdr:row>10</xdr:row>
      <xdr:rowOff>129919</xdr:rowOff>
    </xdr:from>
    <xdr:to>
      <xdr:col>1</xdr:col>
      <xdr:colOff>600420</xdr:colOff>
      <xdr:row>12</xdr:row>
      <xdr:rowOff>75266</xdr:rowOff>
    </xdr:to>
    <xdr:sp macro="" textlink="">
      <xdr:nvSpPr>
        <xdr:cNvPr id="30" name="Lien_Déclaration_R_N-1">
          <a:hlinkClick xmlns:r="http://schemas.openxmlformats.org/officeDocument/2006/relationships" r:id="rId6"/>
          <a:extLst>
            <a:ext uri="{FF2B5EF4-FFF2-40B4-BE49-F238E27FC236}">
              <a16:creationId xmlns:a16="http://schemas.microsoft.com/office/drawing/2014/main" id="{00000000-0008-0000-0A00-00001E000000}"/>
            </a:ext>
          </a:extLst>
        </xdr:cNvPr>
        <xdr:cNvSpPr/>
      </xdr:nvSpPr>
      <xdr:spPr>
        <a:xfrm>
          <a:off x="30482" y="2028829"/>
          <a:ext cx="1331938" cy="32025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Déclaration R N-1</a:t>
          </a:r>
        </a:p>
      </xdr:txBody>
    </xdr:sp>
    <xdr:clientData/>
  </xdr:twoCellAnchor>
  <xdr:twoCellAnchor editAs="absolute">
    <xdr:from>
      <xdr:col>0</xdr:col>
      <xdr:colOff>30482</xdr:colOff>
      <xdr:row>12</xdr:row>
      <xdr:rowOff>124609</xdr:rowOff>
    </xdr:from>
    <xdr:to>
      <xdr:col>1</xdr:col>
      <xdr:colOff>600420</xdr:colOff>
      <xdr:row>14</xdr:row>
      <xdr:rowOff>30920</xdr:rowOff>
    </xdr:to>
    <xdr:sp macro="" textlink="">
      <xdr:nvSpPr>
        <xdr:cNvPr id="31" name="Lien_Synthèse_N-1">
          <a:extLst>
            <a:ext uri="{FF2B5EF4-FFF2-40B4-BE49-F238E27FC236}">
              <a16:creationId xmlns:a16="http://schemas.microsoft.com/office/drawing/2014/main" id="{00000000-0008-0000-0A00-00001F000000}"/>
            </a:ext>
          </a:extLst>
        </xdr:cNvPr>
        <xdr:cNvSpPr/>
      </xdr:nvSpPr>
      <xdr:spPr>
        <a:xfrm>
          <a:off x="30482" y="2398430"/>
          <a:ext cx="1331938" cy="314168"/>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N-1</a:t>
          </a:r>
        </a:p>
      </xdr:txBody>
    </xdr:sp>
    <xdr:clientData/>
  </xdr:twoCellAnchor>
  <xdr:twoCellAnchor editAs="absolute">
    <xdr:from>
      <xdr:col>0</xdr:col>
      <xdr:colOff>30482</xdr:colOff>
      <xdr:row>14</xdr:row>
      <xdr:rowOff>80263</xdr:rowOff>
    </xdr:from>
    <xdr:to>
      <xdr:col>1</xdr:col>
      <xdr:colOff>600420</xdr:colOff>
      <xdr:row>16</xdr:row>
      <xdr:rowOff>25611</xdr:rowOff>
    </xdr:to>
    <xdr:sp macro="" textlink="">
      <xdr:nvSpPr>
        <xdr:cNvPr id="32" name="Lien_ESTIMATION_R_N">
          <a:hlinkClick xmlns:r="http://schemas.openxmlformats.org/officeDocument/2006/relationships" r:id="rId7"/>
          <a:extLst>
            <a:ext uri="{FF2B5EF4-FFF2-40B4-BE49-F238E27FC236}">
              <a16:creationId xmlns:a16="http://schemas.microsoft.com/office/drawing/2014/main" id="{00000000-0008-0000-0A00-000020000000}"/>
            </a:ext>
          </a:extLst>
        </xdr:cNvPr>
        <xdr:cNvSpPr/>
      </xdr:nvSpPr>
      <xdr:spPr>
        <a:xfrm>
          <a:off x="30482" y="2761941"/>
          <a:ext cx="1331938" cy="317135"/>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Estimation R N</a:t>
          </a:r>
        </a:p>
      </xdr:txBody>
    </xdr:sp>
    <xdr:clientData/>
  </xdr:twoCellAnchor>
  <xdr:twoCellAnchor editAs="absolute">
    <xdr:from>
      <xdr:col>0</xdr:col>
      <xdr:colOff>30482</xdr:colOff>
      <xdr:row>16</xdr:row>
      <xdr:rowOff>74954</xdr:rowOff>
    </xdr:from>
    <xdr:to>
      <xdr:col>1</xdr:col>
      <xdr:colOff>600420</xdr:colOff>
      <xdr:row>18</xdr:row>
      <xdr:rowOff>20302</xdr:rowOff>
    </xdr:to>
    <xdr:sp macro="" textlink="">
      <xdr:nvSpPr>
        <xdr:cNvPr id="33" name="Lien_SYNTHESE_N">
          <a:extLst>
            <a:ext uri="{FF2B5EF4-FFF2-40B4-BE49-F238E27FC236}">
              <a16:creationId xmlns:a16="http://schemas.microsoft.com/office/drawing/2014/main" id="{00000000-0008-0000-0A00-000021000000}"/>
            </a:ext>
          </a:extLst>
        </xdr:cNvPr>
        <xdr:cNvSpPr/>
      </xdr:nvSpPr>
      <xdr:spPr>
        <a:xfrm>
          <a:off x="30482" y="3125453"/>
          <a:ext cx="1331938" cy="323225"/>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a:t>
          </a:r>
        </a:p>
      </xdr:txBody>
    </xdr:sp>
    <xdr:clientData/>
  </xdr:twoCellAnchor>
  <xdr:twoCellAnchor editAs="absolute">
    <xdr:from>
      <xdr:col>6</xdr:col>
      <xdr:colOff>195184</xdr:colOff>
      <xdr:row>7</xdr:row>
      <xdr:rowOff>123359</xdr:rowOff>
    </xdr:from>
    <xdr:to>
      <xdr:col>6</xdr:col>
      <xdr:colOff>1061804</xdr:colOff>
      <xdr:row>9</xdr:row>
      <xdr:rowOff>85882</xdr:rowOff>
    </xdr:to>
    <xdr:sp macro="" textlink="$R$5">
      <xdr:nvSpPr>
        <xdr:cNvPr id="34" name="ZoneTexte 3">
          <a:extLst>
            <a:ext uri="{FF2B5EF4-FFF2-40B4-BE49-F238E27FC236}">
              <a16:creationId xmlns:a16="http://schemas.microsoft.com/office/drawing/2014/main" id="{00000000-0008-0000-0A00-000022000000}"/>
            </a:ext>
          </a:extLst>
        </xdr:cNvPr>
        <xdr:cNvSpPr txBox="1"/>
      </xdr:nvSpPr>
      <xdr:spPr>
        <a:xfrm>
          <a:off x="4754692" y="1434998"/>
          <a:ext cx="866620" cy="337277"/>
        </a:xfrm>
        <a:prstGeom prst="rect">
          <a:avLst/>
        </a:prstGeom>
        <a:noFill/>
      </xdr:spPr>
      <xdr:txBody>
        <a:bodyPr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8B4AAF4C-7DD5-4B77-BF0C-2FE8526B89CB}" type="TxLink">
            <a:rPr lang="en-US" sz="1600" b="1" i="0" u="none" strike="noStrike">
              <a:solidFill>
                <a:srgbClr val="000000"/>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2025</a:t>
          </a:fld>
          <a:endParaRPr lang="fr-FR" sz="6600" b="1" i="0">
            <a:effectLst/>
            <a:latin typeface="+mn-lt"/>
            <a:ea typeface="+mn-ea"/>
            <a:cs typeface="+mn-cs"/>
          </a:endParaRPr>
        </a:p>
      </xdr:txBody>
    </xdr:sp>
    <xdr:clientData/>
  </xdr:twoCellAnchor>
  <xdr:twoCellAnchor>
    <xdr:from>
      <xdr:col>2</xdr:col>
      <xdr:colOff>320103</xdr:colOff>
      <xdr:row>3</xdr:row>
      <xdr:rowOff>124918</xdr:rowOff>
    </xdr:from>
    <xdr:to>
      <xdr:col>3</xdr:col>
      <xdr:colOff>1139879</xdr:colOff>
      <xdr:row>5</xdr:row>
      <xdr:rowOff>104331</xdr:rowOff>
    </xdr:to>
    <xdr:grpSp>
      <xdr:nvGrpSpPr>
        <xdr:cNvPr id="18" name="PRINT_Synthedecla" hidden="1">
          <a:extLst>
            <a:ext uri="{FF2B5EF4-FFF2-40B4-BE49-F238E27FC236}">
              <a16:creationId xmlns:a16="http://schemas.microsoft.com/office/drawing/2014/main" id="{00000000-0008-0000-0A00-000012000000}"/>
            </a:ext>
          </a:extLst>
        </xdr:cNvPr>
        <xdr:cNvGrpSpPr/>
      </xdr:nvGrpSpPr>
      <xdr:grpSpPr>
        <a:xfrm>
          <a:off x="1751176" y="682479"/>
          <a:ext cx="1278215" cy="351120"/>
          <a:chOff x="4419286" y="710628"/>
          <a:chExt cx="1264796" cy="354167"/>
        </a:xfrm>
      </xdr:grpSpPr>
      <xdr:grpSp>
        <xdr:nvGrpSpPr>
          <xdr:cNvPr id="19" name="Groupe 18" hidden="1">
            <a:extLst>
              <a:ext uri="{FF2B5EF4-FFF2-40B4-BE49-F238E27FC236}">
                <a16:creationId xmlns:a16="http://schemas.microsoft.com/office/drawing/2014/main" id="{00000000-0008-0000-0A00-000013000000}"/>
              </a:ext>
            </a:extLst>
          </xdr:cNvPr>
          <xdr:cNvGrpSpPr/>
        </xdr:nvGrpSpPr>
        <xdr:grpSpPr>
          <a:xfrm>
            <a:off x="4419286" y="710628"/>
            <a:ext cx="1264796" cy="354167"/>
            <a:chOff x="3142624" y="716405"/>
            <a:chExt cx="1264796" cy="354167"/>
          </a:xfrm>
        </xdr:grpSpPr>
        <xdr:sp macro="[0]!PREZ_ETUDE_PPT_OngletIMPR2" textlink="">
          <xdr:nvSpPr>
            <xdr:cNvPr id="24" name="Ellipse 23" hidden="1">
              <a:extLst>
                <a:ext uri="{FF2B5EF4-FFF2-40B4-BE49-F238E27FC236}">
                  <a16:creationId xmlns:a16="http://schemas.microsoft.com/office/drawing/2014/main" id="{00000000-0008-0000-0A00-000018000000}"/>
                </a:ext>
              </a:extLst>
            </xdr:cNvPr>
            <xdr:cNvSpPr/>
          </xdr:nvSpPr>
          <xdr:spPr>
            <a:xfrm>
              <a:off x="3142624" y="716405"/>
              <a:ext cx="394218" cy="345485"/>
            </a:xfrm>
            <a:prstGeom prst="ellipse">
              <a:avLst/>
            </a:prstGeom>
            <a:solidFill>
              <a:schemeClr val="bg1">
                <a:lumMod val="85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0]!PREZ_ETUDE_PPT_OngletIMPR2" textlink="">
          <xdr:nvSpPr>
            <xdr:cNvPr id="25" name="Rectangle 24" hidden="1">
              <a:extLst>
                <a:ext uri="{FF2B5EF4-FFF2-40B4-BE49-F238E27FC236}">
                  <a16:creationId xmlns:a16="http://schemas.microsoft.com/office/drawing/2014/main" id="{00000000-0008-0000-0A00-000019000000}"/>
                </a:ext>
              </a:extLst>
            </xdr:cNvPr>
            <xdr:cNvSpPr/>
          </xdr:nvSpPr>
          <xdr:spPr>
            <a:xfrm>
              <a:off x="3514961" y="718799"/>
              <a:ext cx="89245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Editer étude</a:t>
              </a:r>
            </a:p>
          </xdr:txBody>
        </xdr:sp>
      </xdr:grpSp>
      <xdr:pic macro="[0]!PREZ_ETUDE_PPT_OngletIMPR2">
        <xdr:nvPicPr>
          <xdr:cNvPr id="20" name="Graphique 19" descr="Télécopie avec un remplissage uni" hidden="1">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520472" y="772931"/>
            <a:ext cx="210798" cy="210798"/>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30482</xdr:colOff>
      <xdr:row>0</xdr:row>
      <xdr:rowOff>1</xdr:rowOff>
    </xdr:from>
    <xdr:to>
      <xdr:col>28</xdr:col>
      <xdr:colOff>159651</xdr:colOff>
      <xdr:row>6</xdr:row>
      <xdr:rowOff>2</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0B00-00000B000000}"/>
            </a:ext>
          </a:extLst>
        </xdr:cNvPr>
        <xdr:cNvGrpSpPr/>
      </xdr:nvGrpSpPr>
      <xdr:grpSpPr>
        <a:xfrm>
          <a:off x="30482" y="1"/>
          <a:ext cx="14204486" cy="1115123"/>
          <a:chOff x="30480" y="0"/>
          <a:chExt cx="14295120" cy="1097281"/>
        </a:xfrm>
      </xdr:grpSpPr>
      <xdr:sp macro="" textlink="">
        <xdr:nvSpPr>
          <xdr:cNvPr id="12" name="Rectangle 11">
            <a:extLst>
              <a:ext uri="{FF2B5EF4-FFF2-40B4-BE49-F238E27FC236}">
                <a16:creationId xmlns:a16="http://schemas.microsoft.com/office/drawing/2014/main" id="{00000000-0008-0000-0B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B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0B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369695</xdr:colOff>
      <xdr:row>0</xdr:row>
      <xdr:rowOff>117111</xdr:rowOff>
    </xdr:from>
    <xdr:to>
      <xdr:col>6</xdr:col>
      <xdr:colOff>204616</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0B00-00000F000000}"/>
            </a:ext>
          </a:extLst>
        </xdr:cNvPr>
        <xdr:cNvGrpSpPr/>
      </xdr:nvGrpSpPr>
      <xdr:grpSpPr>
        <a:xfrm>
          <a:off x="1800768" y="117111"/>
          <a:ext cx="1625311" cy="348847"/>
          <a:chOff x="1751601" y="106493"/>
          <a:chExt cx="1575966" cy="351894"/>
        </a:xfrm>
      </xdr:grpSpPr>
      <xdr:sp macro="" textlink="">
        <xdr:nvSpPr>
          <xdr:cNvPr id="16" name="Rectangle : avec coins arrondis en haut 15">
            <a:extLst>
              <a:ext uri="{FF2B5EF4-FFF2-40B4-BE49-F238E27FC236}">
                <a16:creationId xmlns:a16="http://schemas.microsoft.com/office/drawing/2014/main" id="{00000000-0008-0000-0B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0B00-000011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2</xdr:col>
      <xdr:colOff>155772</xdr:colOff>
      <xdr:row>7</xdr:row>
      <xdr:rowOff>39036</xdr:rowOff>
    </xdr:from>
    <xdr:to>
      <xdr:col>28</xdr:col>
      <xdr:colOff>406925</xdr:colOff>
      <xdr:row>40</xdr:row>
      <xdr:rowOff>148340</xdr:rowOff>
    </xdr:to>
    <xdr:sp macro="" textlink="">
      <xdr:nvSpPr>
        <xdr:cNvPr id="18" name="Rectangle 17">
          <a:extLst>
            <a:ext uri="{FF2B5EF4-FFF2-40B4-BE49-F238E27FC236}">
              <a16:creationId xmlns:a16="http://schemas.microsoft.com/office/drawing/2014/main" id="{00000000-0008-0000-0B00-000012000000}"/>
            </a:ext>
          </a:extLst>
        </xdr:cNvPr>
        <xdr:cNvSpPr/>
      </xdr:nvSpPr>
      <xdr:spPr>
        <a:xfrm>
          <a:off x="1537678" y="1350675"/>
          <a:ext cx="12578060" cy="6558198"/>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xdr:from>
      <xdr:col>3</xdr:col>
      <xdr:colOff>210424</xdr:colOff>
      <xdr:row>7</xdr:row>
      <xdr:rowOff>109305</xdr:rowOff>
    </xdr:from>
    <xdr:to>
      <xdr:col>6</xdr:col>
      <xdr:colOff>1217951</xdr:colOff>
      <xdr:row>10</xdr:row>
      <xdr:rowOff>6713</xdr:rowOff>
    </xdr:to>
    <xdr:sp macro="" textlink="">
      <xdr:nvSpPr>
        <xdr:cNvPr id="19" name="ZoneTexte 3">
          <a:extLst>
            <a:ext uri="{FF2B5EF4-FFF2-40B4-BE49-F238E27FC236}">
              <a16:creationId xmlns:a16="http://schemas.microsoft.com/office/drawing/2014/main" id="{00000000-0008-0000-0B00-000013000000}"/>
            </a:ext>
          </a:extLst>
        </xdr:cNvPr>
        <xdr:cNvSpPr txBox="1"/>
      </xdr:nvSpPr>
      <xdr:spPr>
        <a:xfrm>
          <a:off x="2037350" y="1420944"/>
          <a:ext cx="2303552" cy="475154"/>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Estimation des revenus</a:t>
          </a:r>
        </a:p>
      </xdr:txBody>
    </xdr:sp>
    <xdr:clientData/>
  </xdr:twoCellAnchor>
  <xdr:twoCellAnchor>
    <xdr:from>
      <xdr:col>3</xdr:col>
      <xdr:colOff>242630</xdr:colOff>
      <xdr:row>9</xdr:row>
      <xdr:rowOff>132726</xdr:rowOff>
    </xdr:from>
    <xdr:to>
      <xdr:col>7</xdr:col>
      <xdr:colOff>163955</xdr:colOff>
      <xdr:row>9</xdr:row>
      <xdr:rowOff>141429</xdr:rowOff>
    </xdr:to>
    <xdr:cxnSp macro="">
      <xdr:nvCxnSpPr>
        <xdr:cNvPr id="20" name="Connecteur droit 19">
          <a:extLst>
            <a:ext uri="{FF2B5EF4-FFF2-40B4-BE49-F238E27FC236}">
              <a16:creationId xmlns:a16="http://schemas.microsoft.com/office/drawing/2014/main" id="{00000000-0008-0000-0B00-000014000000}"/>
            </a:ext>
          </a:extLst>
        </xdr:cNvPr>
        <xdr:cNvCxnSpPr/>
      </xdr:nvCxnSpPr>
      <xdr:spPr>
        <a:xfrm flipH="1">
          <a:off x="2071430" y="1847226"/>
          <a:ext cx="2769300" cy="8703"/>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526978</xdr:colOff>
      <xdr:row>12</xdr:row>
      <xdr:rowOff>3122</xdr:rowOff>
    </xdr:from>
    <xdr:to>
      <xdr:col>8</xdr:col>
      <xdr:colOff>530902</xdr:colOff>
      <xdr:row>16</xdr:row>
      <xdr:rowOff>85880</xdr:rowOff>
    </xdr:to>
    <xdr:cxnSp macro="">
      <xdr:nvCxnSpPr>
        <xdr:cNvPr id="21" name="Connecteur droit 20">
          <a:extLst>
            <a:ext uri="{FF2B5EF4-FFF2-40B4-BE49-F238E27FC236}">
              <a16:creationId xmlns:a16="http://schemas.microsoft.com/office/drawing/2014/main" id="{00000000-0008-0000-0B00-000015000000}"/>
            </a:ext>
          </a:extLst>
        </xdr:cNvPr>
        <xdr:cNvCxnSpPr/>
      </xdr:nvCxnSpPr>
      <xdr:spPr>
        <a:xfrm flipH="1" flipV="1">
          <a:off x="5537128" y="2308172"/>
          <a:ext cx="3924" cy="882858"/>
        </a:xfrm>
        <a:prstGeom prst="line">
          <a:avLst/>
        </a:prstGeom>
        <a:ln w="12700">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242630</xdr:colOff>
      <xdr:row>19</xdr:row>
      <xdr:rowOff>26939</xdr:rowOff>
    </xdr:from>
    <xdr:to>
      <xdr:col>6</xdr:col>
      <xdr:colOff>1165005</xdr:colOff>
      <xdr:row>19</xdr:row>
      <xdr:rowOff>36185</xdr:rowOff>
    </xdr:to>
    <xdr:cxnSp macro="">
      <xdr:nvCxnSpPr>
        <xdr:cNvPr id="22" name="Connecteur droit 21">
          <a:extLst>
            <a:ext uri="{FF2B5EF4-FFF2-40B4-BE49-F238E27FC236}">
              <a16:creationId xmlns:a16="http://schemas.microsoft.com/office/drawing/2014/main" id="{00000000-0008-0000-0B00-000016000000}"/>
            </a:ext>
          </a:extLst>
        </xdr:cNvPr>
        <xdr:cNvCxnSpPr/>
      </xdr:nvCxnSpPr>
      <xdr:spPr>
        <a:xfrm flipH="1">
          <a:off x="2071430" y="3722639"/>
          <a:ext cx="2217775" cy="9246"/>
        </a:xfrm>
        <a:prstGeom prst="line">
          <a:avLst/>
        </a:prstGeom>
        <a:ln w="12700">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7</xdr:col>
          <xdr:colOff>45720</xdr:colOff>
          <xdr:row>14</xdr:row>
          <xdr:rowOff>0</xdr:rowOff>
        </xdr:from>
        <xdr:to>
          <xdr:col>7</xdr:col>
          <xdr:colOff>259080</xdr:colOff>
          <xdr:row>15</xdr:row>
          <xdr:rowOff>0</xdr:rowOff>
        </xdr:to>
        <xdr:sp macro="" textlink="">
          <xdr:nvSpPr>
            <xdr:cNvPr id="24577" name="Spinner 1" hidden="1">
              <a:extLst>
                <a:ext uri="{63B3BB69-23CF-44E3-9099-C40C66FF867C}">
                  <a14:compatExt spid="_x0000_s24577"/>
                </a:ext>
                <a:ext uri="{FF2B5EF4-FFF2-40B4-BE49-F238E27FC236}">
                  <a16:creationId xmlns:a16="http://schemas.microsoft.com/office/drawing/2014/main" id="{00000000-0008-0000-0B00-0000016000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xdr:from>
      <xdr:col>8</xdr:col>
      <xdr:colOff>524792</xdr:colOff>
      <xdr:row>12</xdr:row>
      <xdr:rowOff>9368</xdr:rowOff>
    </xdr:from>
    <xdr:to>
      <xdr:col>8</xdr:col>
      <xdr:colOff>528716</xdr:colOff>
      <xdr:row>16</xdr:row>
      <xdr:rowOff>92126</xdr:rowOff>
    </xdr:to>
    <xdr:cxnSp macro="">
      <xdr:nvCxnSpPr>
        <xdr:cNvPr id="23" name="Connecteur droit 22">
          <a:extLst>
            <a:ext uri="{FF2B5EF4-FFF2-40B4-BE49-F238E27FC236}">
              <a16:creationId xmlns:a16="http://schemas.microsoft.com/office/drawing/2014/main" id="{00000000-0008-0000-0B00-000017000000}"/>
            </a:ext>
          </a:extLst>
        </xdr:cNvPr>
        <xdr:cNvCxnSpPr/>
      </xdr:nvCxnSpPr>
      <xdr:spPr>
        <a:xfrm flipH="1" flipV="1">
          <a:off x="5534942" y="2314418"/>
          <a:ext cx="3924" cy="882858"/>
        </a:xfrm>
        <a:prstGeom prst="line">
          <a:avLst/>
        </a:prstGeom>
        <a:ln w="12700">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107253</xdr:colOff>
      <xdr:row>10</xdr:row>
      <xdr:rowOff>60272</xdr:rowOff>
    </xdr:from>
    <xdr:to>
      <xdr:col>15</xdr:col>
      <xdr:colOff>109303</xdr:colOff>
      <xdr:row>19</xdr:row>
      <xdr:rowOff>46844</xdr:rowOff>
    </xdr:to>
    <xdr:cxnSp macro="">
      <xdr:nvCxnSpPr>
        <xdr:cNvPr id="24" name="Connecteur droit 23">
          <a:extLst>
            <a:ext uri="{FF2B5EF4-FFF2-40B4-BE49-F238E27FC236}">
              <a16:creationId xmlns:a16="http://schemas.microsoft.com/office/drawing/2014/main" id="{00000000-0008-0000-0B00-000018000000}"/>
            </a:ext>
          </a:extLst>
        </xdr:cNvPr>
        <xdr:cNvCxnSpPr/>
      </xdr:nvCxnSpPr>
      <xdr:spPr>
        <a:xfrm flipH="1" flipV="1">
          <a:off x="8136828" y="1974797"/>
          <a:ext cx="2050" cy="1767747"/>
        </a:xfrm>
        <a:prstGeom prst="line">
          <a:avLst/>
        </a:prstGeom>
        <a:ln w="12700">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30482</xdr:colOff>
      <xdr:row>6</xdr:row>
      <xdr:rowOff>140537</xdr:rowOff>
    </xdr:from>
    <xdr:to>
      <xdr:col>1</xdr:col>
      <xdr:colOff>600420</xdr:colOff>
      <xdr:row>8</xdr:row>
      <xdr:rowOff>85885</xdr:rowOff>
    </xdr:to>
    <xdr:sp macro="" textlink="">
      <xdr:nvSpPr>
        <xdr:cNvPr id="25" name="Rectangle 24">
          <a:hlinkClick xmlns:r="http://schemas.openxmlformats.org/officeDocument/2006/relationships" r:id="rId4"/>
          <a:extLst>
            <a:ext uri="{FF2B5EF4-FFF2-40B4-BE49-F238E27FC236}">
              <a16:creationId xmlns:a16="http://schemas.microsoft.com/office/drawing/2014/main" id="{00000000-0008-0000-0B00-000019000000}"/>
            </a:ext>
          </a:extLst>
        </xdr:cNvPr>
        <xdr:cNvSpPr/>
      </xdr:nvSpPr>
      <xdr:spPr>
        <a:xfrm>
          <a:off x="30482" y="1264799"/>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Mode</a:t>
          </a:r>
        </a:p>
      </xdr:txBody>
    </xdr:sp>
    <xdr:clientData/>
  </xdr:twoCellAnchor>
  <xdr:twoCellAnchor editAs="absolute">
    <xdr:from>
      <xdr:col>0</xdr:col>
      <xdr:colOff>30482</xdr:colOff>
      <xdr:row>8</xdr:row>
      <xdr:rowOff>135228</xdr:rowOff>
    </xdr:from>
    <xdr:to>
      <xdr:col>1</xdr:col>
      <xdr:colOff>600420</xdr:colOff>
      <xdr:row>10</xdr:row>
      <xdr:rowOff>64961</xdr:rowOff>
    </xdr:to>
    <xdr:sp macro="" textlink="">
      <xdr:nvSpPr>
        <xdr:cNvPr id="26" name="Lien_Avis_IR_N-1_/_R_N-2">
          <a:hlinkClick xmlns:r="http://schemas.openxmlformats.org/officeDocument/2006/relationships" r:id="rId5"/>
          <a:extLst>
            <a:ext uri="{FF2B5EF4-FFF2-40B4-BE49-F238E27FC236}">
              <a16:creationId xmlns:a16="http://schemas.microsoft.com/office/drawing/2014/main" id="{00000000-0008-0000-0B00-00001A000000}"/>
            </a:ext>
          </a:extLst>
        </xdr:cNvPr>
        <xdr:cNvSpPr/>
      </xdr:nvSpPr>
      <xdr:spPr>
        <a:xfrm>
          <a:off x="30482" y="1659228"/>
          <a:ext cx="1331938" cy="32025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Avis</a:t>
          </a:r>
          <a:r>
            <a:rPr lang="fr-FR" sz="1000" b="0" baseline="0">
              <a:solidFill>
                <a:sysClr val="windowText" lastClr="000000"/>
              </a:solidFill>
              <a:latin typeface="Optima LT Pro" panose="020B0502050508020304" pitchFamily="34" charset="0"/>
            </a:rPr>
            <a:t> IR N-1</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30482</xdr:colOff>
      <xdr:row>10</xdr:row>
      <xdr:rowOff>114304</xdr:rowOff>
    </xdr:from>
    <xdr:to>
      <xdr:col>1</xdr:col>
      <xdr:colOff>600420</xdr:colOff>
      <xdr:row>12</xdr:row>
      <xdr:rowOff>44037</xdr:rowOff>
    </xdr:to>
    <xdr:sp macro="" textlink="">
      <xdr:nvSpPr>
        <xdr:cNvPr id="27" name="Lien_Déclaration_R_N-1">
          <a:hlinkClick xmlns:r="http://schemas.openxmlformats.org/officeDocument/2006/relationships" r:id="rId6"/>
          <a:extLst>
            <a:ext uri="{FF2B5EF4-FFF2-40B4-BE49-F238E27FC236}">
              <a16:creationId xmlns:a16="http://schemas.microsoft.com/office/drawing/2014/main" id="{00000000-0008-0000-0B00-00001B000000}"/>
            </a:ext>
          </a:extLst>
        </xdr:cNvPr>
        <xdr:cNvSpPr/>
      </xdr:nvSpPr>
      <xdr:spPr>
        <a:xfrm>
          <a:off x="30482" y="2028829"/>
          <a:ext cx="1331938" cy="32025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Déclaration R N-1</a:t>
          </a:r>
        </a:p>
      </xdr:txBody>
    </xdr:sp>
    <xdr:clientData/>
  </xdr:twoCellAnchor>
  <xdr:twoCellAnchor editAs="absolute">
    <xdr:from>
      <xdr:col>0</xdr:col>
      <xdr:colOff>30482</xdr:colOff>
      <xdr:row>12</xdr:row>
      <xdr:rowOff>93380</xdr:rowOff>
    </xdr:from>
    <xdr:to>
      <xdr:col>1</xdr:col>
      <xdr:colOff>600420</xdr:colOff>
      <xdr:row>14</xdr:row>
      <xdr:rowOff>7498</xdr:rowOff>
    </xdr:to>
    <xdr:sp macro="" textlink="">
      <xdr:nvSpPr>
        <xdr:cNvPr id="28" name="Lien_Synthèse_N-1">
          <a:hlinkClick xmlns:r="http://schemas.openxmlformats.org/officeDocument/2006/relationships" r:id="rId7"/>
          <a:extLst>
            <a:ext uri="{FF2B5EF4-FFF2-40B4-BE49-F238E27FC236}">
              <a16:creationId xmlns:a16="http://schemas.microsoft.com/office/drawing/2014/main" id="{00000000-0008-0000-0B00-00001C000000}"/>
            </a:ext>
          </a:extLst>
        </xdr:cNvPr>
        <xdr:cNvSpPr/>
      </xdr:nvSpPr>
      <xdr:spPr>
        <a:xfrm>
          <a:off x="30482" y="2398430"/>
          <a:ext cx="1331938" cy="31416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N-1</a:t>
          </a:r>
        </a:p>
      </xdr:txBody>
    </xdr:sp>
    <xdr:clientData/>
  </xdr:twoCellAnchor>
  <xdr:twoCellAnchor editAs="absolute">
    <xdr:from>
      <xdr:col>0</xdr:col>
      <xdr:colOff>30482</xdr:colOff>
      <xdr:row>14</xdr:row>
      <xdr:rowOff>56841</xdr:rowOff>
    </xdr:from>
    <xdr:to>
      <xdr:col>1</xdr:col>
      <xdr:colOff>600420</xdr:colOff>
      <xdr:row>15</xdr:row>
      <xdr:rowOff>173951</xdr:rowOff>
    </xdr:to>
    <xdr:sp macro="" textlink="">
      <xdr:nvSpPr>
        <xdr:cNvPr id="29" name="Lien_ESTIMATION_R_N">
          <a:extLst>
            <a:ext uri="{FF2B5EF4-FFF2-40B4-BE49-F238E27FC236}">
              <a16:creationId xmlns:a16="http://schemas.microsoft.com/office/drawing/2014/main" id="{00000000-0008-0000-0B00-00001D000000}"/>
            </a:ext>
          </a:extLst>
        </xdr:cNvPr>
        <xdr:cNvSpPr/>
      </xdr:nvSpPr>
      <xdr:spPr>
        <a:xfrm>
          <a:off x="30482" y="2761941"/>
          <a:ext cx="1331938" cy="317135"/>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Estimation R N</a:t>
          </a:r>
        </a:p>
      </xdr:txBody>
    </xdr:sp>
    <xdr:clientData/>
  </xdr:twoCellAnchor>
  <xdr:twoCellAnchor editAs="absolute">
    <xdr:from>
      <xdr:col>0</xdr:col>
      <xdr:colOff>30482</xdr:colOff>
      <xdr:row>16</xdr:row>
      <xdr:rowOff>20303</xdr:rowOff>
    </xdr:from>
    <xdr:to>
      <xdr:col>1</xdr:col>
      <xdr:colOff>600420</xdr:colOff>
      <xdr:row>17</xdr:row>
      <xdr:rowOff>153028</xdr:rowOff>
    </xdr:to>
    <xdr:sp macro="" textlink="">
      <xdr:nvSpPr>
        <xdr:cNvPr id="30" name="Lien_SYNTHESE_N">
          <a:hlinkClick xmlns:r="http://schemas.openxmlformats.org/officeDocument/2006/relationships" r:id="rId8"/>
          <a:extLst>
            <a:ext uri="{FF2B5EF4-FFF2-40B4-BE49-F238E27FC236}">
              <a16:creationId xmlns:a16="http://schemas.microsoft.com/office/drawing/2014/main" id="{00000000-0008-0000-0B00-00001E000000}"/>
            </a:ext>
          </a:extLst>
        </xdr:cNvPr>
        <xdr:cNvSpPr/>
      </xdr:nvSpPr>
      <xdr:spPr>
        <a:xfrm>
          <a:off x="30482" y="3125453"/>
          <a:ext cx="1331938" cy="323225"/>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a:t>
          </a:r>
        </a:p>
      </xdr:txBody>
    </xdr:sp>
    <xdr:clientData/>
  </xdr:twoCellAnchor>
  <xdr:twoCellAnchor>
    <xdr:from>
      <xdr:col>6</xdr:col>
      <xdr:colOff>874427</xdr:colOff>
      <xdr:row>7</xdr:row>
      <xdr:rowOff>115551</xdr:rowOff>
    </xdr:from>
    <xdr:to>
      <xdr:col>7</xdr:col>
      <xdr:colOff>187379</xdr:colOff>
      <xdr:row>9</xdr:row>
      <xdr:rowOff>78074</xdr:rowOff>
    </xdr:to>
    <xdr:sp macro="" textlink="$AA$4">
      <xdr:nvSpPr>
        <xdr:cNvPr id="31" name="ZoneTexte 3">
          <a:extLst>
            <a:ext uri="{FF2B5EF4-FFF2-40B4-BE49-F238E27FC236}">
              <a16:creationId xmlns:a16="http://schemas.microsoft.com/office/drawing/2014/main" id="{00000000-0008-0000-0B00-00001F000000}"/>
            </a:ext>
          </a:extLst>
        </xdr:cNvPr>
        <xdr:cNvSpPr txBox="1"/>
      </xdr:nvSpPr>
      <xdr:spPr>
        <a:xfrm>
          <a:off x="3997378" y="1427190"/>
          <a:ext cx="866620" cy="337277"/>
        </a:xfrm>
        <a:prstGeom prst="rect">
          <a:avLst/>
        </a:prstGeom>
        <a:noFill/>
      </xdr:spPr>
      <xdr:txBody>
        <a:bodyPr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FFDC1362-B665-47BA-9D5D-1450D7E47B31}" type="TxLink">
            <a:rPr lang="en-US" sz="1600" b="1" i="0" u="none" strike="noStrike">
              <a:solidFill>
                <a:srgbClr val="000000"/>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2026</a:t>
          </a:fld>
          <a:endParaRPr lang="fr-FR" sz="11500" b="1" i="0">
            <a:effectLst/>
            <a:latin typeface="+mn-lt"/>
            <a:ea typeface="+mn-ea"/>
            <a:cs typeface="+mn-cs"/>
          </a:endParaRPr>
        </a:p>
      </xdr:txBody>
    </xdr:sp>
    <xdr:clientData/>
  </xdr:twoCellAnchor>
  <xdr:twoCellAnchor editAs="absolute">
    <xdr:from>
      <xdr:col>15</xdr:col>
      <xdr:colOff>110247</xdr:colOff>
      <xdr:row>21</xdr:row>
      <xdr:rowOff>23422</xdr:rowOff>
    </xdr:from>
    <xdr:to>
      <xdr:col>28</xdr:col>
      <xdr:colOff>8751</xdr:colOff>
      <xdr:row>35</xdr:row>
      <xdr:rowOff>15616</xdr:rowOff>
    </xdr:to>
    <xdr:sp macro="" textlink="">
      <xdr:nvSpPr>
        <xdr:cNvPr id="32" name="Rectangle 31">
          <a:extLst>
            <a:ext uri="{FF2B5EF4-FFF2-40B4-BE49-F238E27FC236}">
              <a16:creationId xmlns:a16="http://schemas.microsoft.com/office/drawing/2014/main" id="{00000000-0008-0000-0B00-000020000000}"/>
            </a:ext>
          </a:extLst>
        </xdr:cNvPr>
        <xdr:cNvSpPr/>
      </xdr:nvSpPr>
      <xdr:spPr>
        <a:xfrm>
          <a:off x="8205556" y="4098873"/>
          <a:ext cx="5512008" cy="274039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absolute">
    <xdr:from>
      <xdr:col>0</xdr:col>
      <xdr:colOff>30482</xdr:colOff>
      <xdr:row>8</xdr:row>
      <xdr:rowOff>132725</xdr:rowOff>
    </xdr:from>
    <xdr:to>
      <xdr:col>1</xdr:col>
      <xdr:colOff>600420</xdr:colOff>
      <xdr:row>10</xdr:row>
      <xdr:rowOff>62458</xdr:rowOff>
    </xdr:to>
    <xdr:sp macro="" textlink="">
      <xdr:nvSpPr>
        <xdr:cNvPr id="34" name="Lien_Avis_IR_N" hidden="1">
          <a:hlinkClick xmlns:r="http://schemas.openxmlformats.org/officeDocument/2006/relationships" r:id="rId5"/>
          <a:extLst>
            <a:ext uri="{FF2B5EF4-FFF2-40B4-BE49-F238E27FC236}">
              <a16:creationId xmlns:a16="http://schemas.microsoft.com/office/drawing/2014/main" id="{00000000-0008-0000-0B00-000022000000}"/>
            </a:ext>
          </a:extLst>
        </xdr:cNvPr>
        <xdr:cNvSpPr/>
      </xdr:nvSpPr>
      <xdr:spPr>
        <a:xfrm>
          <a:off x="30482" y="1631741"/>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Avis</a:t>
          </a:r>
          <a:r>
            <a:rPr lang="fr-FR" sz="1000" b="0" baseline="0">
              <a:solidFill>
                <a:sysClr val="windowText" lastClr="000000"/>
              </a:solidFill>
              <a:latin typeface="Optima LT Pro" panose="020B0502050508020304" pitchFamily="34" charset="0"/>
            </a:rPr>
            <a:t> IR N</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30482</xdr:colOff>
      <xdr:row>10</xdr:row>
      <xdr:rowOff>115548</xdr:rowOff>
    </xdr:from>
    <xdr:to>
      <xdr:col>1</xdr:col>
      <xdr:colOff>600420</xdr:colOff>
      <xdr:row>12</xdr:row>
      <xdr:rowOff>45281</xdr:rowOff>
    </xdr:to>
    <xdr:sp macro="" textlink="">
      <xdr:nvSpPr>
        <xdr:cNvPr id="35" name="Lien_ESTIMATION_R_N_2" hidden="1">
          <a:extLst>
            <a:ext uri="{FF2B5EF4-FFF2-40B4-BE49-F238E27FC236}">
              <a16:creationId xmlns:a16="http://schemas.microsoft.com/office/drawing/2014/main" id="{00000000-0008-0000-0B00-000023000000}"/>
            </a:ext>
          </a:extLst>
        </xdr:cNvPr>
        <xdr:cNvSpPr/>
      </xdr:nvSpPr>
      <xdr:spPr>
        <a:xfrm>
          <a:off x="30482" y="2004933"/>
          <a:ext cx="1335061" cy="320102"/>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Estimation R N</a:t>
          </a:r>
        </a:p>
      </xdr:txBody>
    </xdr:sp>
    <xdr:clientData/>
  </xdr:twoCellAnchor>
  <xdr:twoCellAnchor editAs="absolute">
    <xdr:from>
      <xdr:col>0</xdr:col>
      <xdr:colOff>30482</xdr:colOff>
      <xdr:row>12</xdr:row>
      <xdr:rowOff>102433</xdr:rowOff>
    </xdr:from>
    <xdr:to>
      <xdr:col>1</xdr:col>
      <xdr:colOff>600420</xdr:colOff>
      <xdr:row>14</xdr:row>
      <xdr:rowOff>16551</xdr:rowOff>
    </xdr:to>
    <xdr:sp macro="" textlink="">
      <xdr:nvSpPr>
        <xdr:cNvPr id="36" name="Lien_SYNTHESE_N_2" hidden="1">
          <a:hlinkClick xmlns:r="http://schemas.openxmlformats.org/officeDocument/2006/relationships" r:id="rId8"/>
          <a:extLst>
            <a:ext uri="{FF2B5EF4-FFF2-40B4-BE49-F238E27FC236}">
              <a16:creationId xmlns:a16="http://schemas.microsoft.com/office/drawing/2014/main" id="{00000000-0008-0000-0B00-000024000000}"/>
            </a:ext>
          </a:extLst>
        </xdr:cNvPr>
        <xdr:cNvSpPr/>
      </xdr:nvSpPr>
      <xdr:spPr>
        <a:xfrm>
          <a:off x="30482" y="2382187"/>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a:t>
          </a:r>
        </a:p>
      </xdr:txBody>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30482</xdr:colOff>
      <xdr:row>0</xdr:row>
      <xdr:rowOff>1</xdr:rowOff>
    </xdr:from>
    <xdr:to>
      <xdr:col>18</xdr:col>
      <xdr:colOff>197747</xdr:colOff>
      <xdr:row>6</xdr:row>
      <xdr:rowOff>2</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0C00-00000B000000}"/>
            </a:ext>
          </a:extLst>
        </xdr:cNvPr>
        <xdr:cNvGrpSpPr/>
      </xdr:nvGrpSpPr>
      <xdr:grpSpPr>
        <a:xfrm>
          <a:off x="30482" y="1"/>
          <a:ext cx="14230192" cy="1115123"/>
          <a:chOff x="30480" y="0"/>
          <a:chExt cx="14295120" cy="1097281"/>
        </a:xfrm>
      </xdr:grpSpPr>
      <xdr:sp macro="" textlink="">
        <xdr:nvSpPr>
          <xdr:cNvPr id="12" name="Rectangle 11">
            <a:extLst>
              <a:ext uri="{FF2B5EF4-FFF2-40B4-BE49-F238E27FC236}">
                <a16:creationId xmlns:a16="http://schemas.microsoft.com/office/drawing/2014/main" id="{00000000-0008-0000-0C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C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0C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369695</xdr:colOff>
      <xdr:row>0</xdr:row>
      <xdr:rowOff>117111</xdr:rowOff>
    </xdr:from>
    <xdr:to>
      <xdr:col>4</xdr:col>
      <xdr:colOff>204616</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0C00-00000F000000}"/>
            </a:ext>
          </a:extLst>
        </xdr:cNvPr>
        <xdr:cNvGrpSpPr/>
      </xdr:nvGrpSpPr>
      <xdr:grpSpPr>
        <a:xfrm>
          <a:off x="1800768" y="117111"/>
          <a:ext cx="1625311" cy="348847"/>
          <a:chOff x="1751601" y="106493"/>
          <a:chExt cx="1575966" cy="351894"/>
        </a:xfrm>
      </xdr:grpSpPr>
      <xdr:sp macro="" textlink="">
        <xdr:nvSpPr>
          <xdr:cNvPr id="16" name="Rectangle : avec coins arrondis en haut 15">
            <a:extLst>
              <a:ext uri="{FF2B5EF4-FFF2-40B4-BE49-F238E27FC236}">
                <a16:creationId xmlns:a16="http://schemas.microsoft.com/office/drawing/2014/main" id="{00000000-0008-0000-0C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0C00-000011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2</xdr:col>
      <xdr:colOff>155772</xdr:colOff>
      <xdr:row>7</xdr:row>
      <xdr:rowOff>39036</xdr:rowOff>
    </xdr:from>
    <xdr:to>
      <xdr:col>19</xdr:col>
      <xdr:colOff>218607</xdr:colOff>
      <xdr:row>40</xdr:row>
      <xdr:rowOff>171763</xdr:rowOff>
    </xdr:to>
    <xdr:sp macro="" textlink="">
      <xdr:nvSpPr>
        <xdr:cNvPr id="18" name="Rectangle 17">
          <a:extLst>
            <a:ext uri="{FF2B5EF4-FFF2-40B4-BE49-F238E27FC236}">
              <a16:creationId xmlns:a16="http://schemas.microsoft.com/office/drawing/2014/main" id="{00000000-0008-0000-0C00-000012000000}"/>
            </a:ext>
          </a:extLst>
        </xdr:cNvPr>
        <xdr:cNvSpPr/>
      </xdr:nvSpPr>
      <xdr:spPr>
        <a:xfrm>
          <a:off x="1537678" y="1350675"/>
          <a:ext cx="12578060" cy="6011682"/>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2</xdr:col>
      <xdr:colOff>155771</xdr:colOff>
      <xdr:row>7</xdr:row>
      <xdr:rowOff>124920</xdr:rowOff>
    </xdr:from>
    <xdr:to>
      <xdr:col>6</xdr:col>
      <xdr:colOff>687048</xdr:colOff>
      <xdr:row>10</xdr:row>
      <xdr:rowOff>22328</xdr:rowOff>
    </xdr:to>
    <xdr:sp macro="" textlink="">
      <xdr:nvSpPr>
        <xdr:cNvPr id="19" name="ZoneTexte 3">
          <a:extLst>
            <a:ext uri="{FF2B5EF4-FFF2-40B4-BE49-F238E27FC236}">
              <a16:creationId xmlns:a16="http://schemas.microsoft.com/office/drawing/2014/main" id="{00000000-0008-0000-0C00-000013000000}"/>
            </a:ext>
          </a:extLst>
        </xdr:cNvPr>
        <xdr:cNvSpPr txBox="1"/>
      </xdr:nvSpPr>
      <xdr:spPr>
        <a:xfrm>
          <a:off x="1536896" y="1458420"/>
          <a:ext cx="3703102" cy="468908"/>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Synthèse déclaration sur les revenus</a:t>
          </a:r>
        </a:p>
      </xdr:txBody>
    </xdr:sp>
    <xdr:clientData/>
  </xdr:twoCellAnchor>
  <xdr:twoCellAnchor editAs="absolute">
    <xdr:from>
      <xdr:col>3</xdr:col>
      <xdr:colOff>242630</xdr:colOff>
      <xdr:row>9</xdr:row>
      <xdr:rowOff>140533</xdr:rowOff>
    </xdr:from>
    <xdr:to>
      <xdr:col>6</xdr:col>
      <xdr:colOff>608976</xdr:colOff>
      <xdr:row>9</xdr:row>
      <xdr:rowOff>141429</xdr:rowOff>
    </xdr:to>
    <xdr:cxnSp macro="">
      <xdr:nvCxnSpPr>
        <xdr:cNvPr id="20" name="Connecteur droit 19">
          <a:extLst>
            <a:ext uri="{FF2B5EF4-FFF2-40B4-BE49-F238E27FC236}">
              <a16:creationId xmlns:a16="http://schemas.microsoft.com/office/drawing/2014/main" id="{00000000-0008-0000-0C00-000014000000}"/>
            </a:ext>
          </a:extLst>
        </xdr:cNvPr>
        <xdr:cNvCxnSpPr/>
      </xdr:nvCxnSpPr>
      <xdr:spPr>
        <a:xfrm flipH="1">
          <a:off x="2071430" y="1855033"/>
          <a:ext cx="3090496" cy="896"/>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30482</xdr:colOff>
      <xdr:row>6</xdr:row>
      <xdr:rowOff>140537</xdr:rowOff>
    </xdr:from>
    <xdr:to>
      <xdr:col>1</xdr:col>
      <xdr:colOff>600420</xdr:colOff>
      <xdr:row>8</xdr:row>
      <xdr:rowOff>85885</xdr:rowOff>
    </xdr:to>
    <xdr:sp macro="" textlink="">
      <xdr:nvSpPr>
        <xdr:cNvPr id="21" name="Rectangle 20">
          <a:hlinkClick xmlns:r="http://schemas.openxmlformats.org/officeDocument/2006/relationships" r:id="rId4"/>
          <a:extLst>
            <a:ext uri="{FF2B5EF4-FFF2-40B4-BE49-F238E27FC236}">
              <a16:creationId xmlns:a16="http://schemas.microsoft.com/office/drawing/2014/main" id="{00000000-0008-0000-0C00-000015000000}"/>
            </a:ext>
          </a:extLst>
        </xdr:cNvPr>
        <xdr:cNvSpPr/>
      </xdr:nvSpPr>
      <xdr:spPr>
        <a:xfrm>
          <a:off x="30482" y="1264799"/>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Mode</a:t>
          </a:r>
        </a:p>
      </xdr:txBody>
    </xdr:sp>
    <xdr:clientData/>
  </xdr:twoCellAnchor>
  <xdr:twoCellAnchor editAs="absolute">
    <xdr:from>
      <xdr:col>0</xdr:col>
      <xdr:colOff>30482</xdr:colOff>
      <xdr:row>8</xdr:row>
      <xdr:rowOff>135228</xdr:rowOff>
    </xdr:from>
    <xdr:to>
      <xdr:col>1</xdr:col>
      <xdr:colOff>600420</xdr:colOff>
      <xdr:row>10</xdr:row>
      <xdr:rowOff>80576</xdr:rowOff>
    </xdr:to>
    <xdr:sp macro="" textlink="">
      <xdr:nvSpPr>
        <xdr:cNvPr id="22" name="Lien_Avis_IR_N-1_/_R_N-2">
          <a:hlinkClick xmlns:r="http://schemas.openxmlformats.org/officeDocument/2006/relationships" r:id="rId5"/>
          <a:extLst>
            <a:ext uri="{FF2B5EF4-FFF2-40B4-BE49-F238E27FC236}">
              <a16:creationId xmlns:a16="http://schemas.microsoft.com/office/drawing/2014/main" id="{00000000-0008-0000-0C00-000016000000}"/>
            </a:ext>
          </a:extLst>
        </xdr:cNvPr>
        <xdr:cNvSpPr/>
      </xdr:nvSpPr>
      <xdr:spPr>
        <a:xfrm>
          <a:off x="30482" y="1659228"/>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Avis</a:t>
          </a:r>
          <a:r>
            <a:rPr lang="fr-FR" sz="1000" b="0" baseline="0">
              <a:solidFill>
                <a:sysClr val="windowText" lastClr="000000"/>
              </a:solidFill>
              <a:latin typeface="Optima LT Pro" panose="020B0502050508020304" pitchFamily="34" charset="0"/>
            </a:rPr>
            <a:t> IR N-1</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30482</xdr:colOff>
      <xdr:row>10</xdr:row>
      <xdr:rowOff>129919</xdr:rowOff>
    </xdr:from>
    <xdr:to>
      <xdr:col>1</xdr:col>
      <xdr:colOff>600420</xdr:colOff>
      <xdr:row>12</xdr:row>
      <xdr:rowOff>75266</xdr:rowOff>
    </xdr:to>
    <xdr:sp macro="" textlink="">
      <xdr:nvSpPr>
        <xdr:cNvPr id="23" name="Lien_Déclaration_R_N-1">
          <a:hlinkClick xmlns:r="http://schemas.openxmlformats.org/officeDocument/2006/relationships" r:id="rId6"/>
          <a:extLst>
            <a:ext uri="{FF2B5EF4-FFF2-40B4-BE49-F238E27FC236}">
              <a16:creationId xmlns:a16="http://schemas.microsoft.com/office/drawing/2014/main" id="{00000000-0008-0000-0C00-000017000000}"/>
            </a:ext>
          </a:extLst>
        </xdr:cNvPr>
        <xdr:cNvSpPr/>
      </xdr:nvSpPr>
      <xdr:spPr>
        <a:xfrm>
          <a:off x="30482" y="2034919"/>
          <a:ext cx="1331938" cy="326347"/>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Déclaration R N-1</a:t>
          </a:r>
        </a:p>
      </xdr:txBody>
    </xdr:sp>
    <xdr:clientData/>
  </xdr:twoCellAnchor>
  <xdr:twoCellAnchor editAs="absolute">
    <xdr:from>
      <xdr:col>0</xdr:col>
      <xdr:colOff>30482</xdr:colOff>
      <xdr:row>12</xdr:row>
      <xdr:rowOff>124609</xdr:rowOff>
    </xdr:from>
    <xdr:to>
      <xdr:col>1</xdr:col>
      <xdr:colOff>600420</xdr:colOff>
      <xdr:row>14</xdr:row>
      <xdr:rowOff>30920</xdr:rowOff>
    </xdr:to>
    <xdr:sp macro="" textlink="">
      <xdr:nvSpPr>
        <xdr:cNvPr id="24" name="Lien_Synthèse_N-1">
          <a:hlinkClick xmlns:r="http://schemas.openxmlformats.org/officeDocument/2006/relationships" r:id="rId7"/>
          <a:extLst>
            <a:ext uri="{FF2B5EF4-FFF2-40B4-BE49-F238E27FC236}">
              <a16:creationId xmlns:a16="http://schemas.microsoft.com/office/drawing/2014/main" id="{00000000-0008-0000-0C00-000018000000}"/>
            </a:ext>
          </a:extLst>
        </xdr:cNvPr>
        <xdr:cNvSpPr/>
      </xdr:nvSpPr>
      <xdr:spPr>
        <a:xfrm>
          <a:off x="30482" y="2410609"/>
          <a:ext cx="1331938" cy="315886"/>
        </a:xfrm>
        <a:prstGeom prst="rect">
          <a:avLst/>
        </a:prstGeom>
        <a:solidFill>
          <a:schemeClr val="bg1">
            <a:lumMod val="95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N-1</a:t>
          </a:r>
        </a:p>
      </xdr:txBody>
    </xdr:sp>
    <xdr:clientData/>
  </xdr:twoCellAnchor>
  <xdr:twoCellAnchor editAs="absolute">
    <xdr:from>
      <xdr:col>0</xdr:col>
      <xdr:colOff>30482</xdr:colOff>
      <xdr:row>14</xdr:row>
      <xdr:rowOff>80263</xdr:rowOff>
    </xdr:from>
    <xdr:to>
      <xdr:col>1</xdr:col>
      <xdr:colOff>600420</xdr:colOff>
      <xdr:row>16</xdr:row>
      <xdr:rowOff>25611</xdr:rowOff>
    </xdr:to>
    <xdr:sp macro="" textlink="">
      <xdr:nvSpPr>
        <xdr:cNvPr id="25" name="Lien_ESTIMATION_R_N">
          <a:hlinkClick xmlns:r="http://schemas.openxmlformats.org/officeDocument/2006/relationships" r:id="rId8"/>
          <a:extLst>
            <a:ext uri="{FF2B5EF4-FFF2-40B4-BE49-F238E27FC236}">
              <a16:creationId xmlns:a16="http://schemas.microsoft.com/office/drawing/2014/main" id="{00000000-0008-0000-0C00-000019000000}"/>
            </a:ext>
          </a:extLst>
        </xdr:cNvPr>
        <xdr:cNvSpPr/>
      </xdr:nvSpPr>
      <xdr:spPr>
        <a:xfrm>
          <a:off x="30482" y="2775838"/>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Estimation R N</a:t>
          </a:r>
        </a:p>
      </xdr:txBody>
    </xdr:sp>
    <xdr:clientData/>
  </xdr:twoCellAnchor>
  <xdr:twoCellAnchor editAs="absolute">
    <xdr:from>
      <xdr:col>0</xdr:col>
      <xdr:colOff>30482</xdr:colOff>
      <xdr:row>16</xdr:row>
      <xdr:rowOff>74954</xdr:rowOff>
    </xdr:from>
    <xdr:to>
      <xdr:col>1</xdr:col>
      <xdr:colOff>600420</xdr:colOff>
      <xdr:row>18</xdr:row>
      <xdr:rowOff>20302</xdr:rowOff>
    </xdr:to>
    <xdr:sp macro="" textlink="">
      <xdr:nvSpPr>
        <xdr:cNvPr id="26" name="Lien_SYNTHESE_N">
          <a:extLst>
            <a:ext uri="{FF2B5EF4-FFF2-40B4-BE49-F238E27FC236}">
              <a16:creationId xmlns:a16="http://schemas.microsoft.com/office/drawing/2014/main" id="{00000000-0008-0000-0C00-00001A000000}"/>
            </a:ext>
          </a:extLst>
        </xdr:cNvPr>
        <xdr:cNvSpPr/>
      </xdr:nvSpPr>
      <xdr:spPr>
        <a:xfrm>
          <a:off x="30482" y="3151529"/>
          <a:ext cx="1331938" cy="326348"/>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a:t>
          </a:r>
        </a:p>
      </xdr:txBody>
    </xdr:sp>
    <xdr:clientData/>
  </xdr:twoCellAnchor>
  <xdr:twoCellAnchor editAs="absolute">
    <xdr:from>
      <xdr:col>6</xdr:col>
      <xdr:colOff>195184</xdr:colOff>
      <xdr:row>7</xdr:row>
      <xdr:rowOff>123359</xdr:rowOff>
    </xdr:from>
    <xdr:to>
      <xdr:col>6</xdr:col>
      <xdr:colOff>1061804</xdr:colOff>
      <xdr:row>9</xdr:row>
      <xdr:rowOff>85882</xdr:rowOff>
    </xdr:to>
    <xdr:sp macro="" textlink="$R$4">
      <xdr:nvSpPr>
        <xdr:cNvPr id="27" name="ZoneTexte 3">
          <a:extLst>
            <a:ext uri="{FF2B5EF4-FFF2-40B4-BE49-F238E27FC236}">
              <a16:creationId xmlns:a16="http://schemas.microsoft.com/office/drawing/2014/main" id="{00000000-0008-0000-0C00-00001B000000}"/>
            </a:ext>
          </a:extLst>
        </xdr:cNvPr>
        <xdr:cNvSpPr txBox="1"/>
      </xdr:nvSpPr>
      <xdr:spPr>
        <a:xfrm>
          <a:off x="4748134" y="1456859"/>
          <a:ext cx="866620" cy="343523"/>
        </a:xfrm>
        <a:prstGeom prst="rect">
          <a:avLst/>
        </a:prstGeom>
        <a:noFill/>
      </xdr:spPr>
      <xdr:txBody>
        <a:bodyPr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27B501AF-31A8-4020-86AF-07DF61BA938E}" type="TxLink">
            <a:rPr lang="en-US" sz="1600" b="1" i="0" u="none" strike="noStrike">
              <a:solidFill>
                <a:srgbClr val="000000"/>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2026</a:t>
          </a:fld>
          <a:endParaRPr lang="fr-FR" sz="16600" b="1" i="0">
            <a:effectLst/>
            <a:latin typeface="+mn-lt"/>
            <a:ea typeface="+mn-ea"/>
            <a:cs typeface="+mn-cs"/>
          </a:endParaRPr>
        </a:p>
      </xdr:txBody>
    </xdr:sp>
    <xdr:clientData/>
  </xdr:twoCellAnchor>
  <xdr:twoCellAnchor editAs="absolute">
    <xdr:from>
      <xdr:col>0</xdr:col>
      <xdr:colOff>30482</xdr:colOff>
      <xdr:row>8</xdr:row>
      <xdr:rowOff>132727</xdr:rowOff>
    </xdr:from>
    <xdr:to>
      <xdr:col>1</xdr:col>
      <xdr:colOff>600420</xdr:colOff>
      <xdr:row>10</xdr:row>
      <xdr:rowOff>78075</xdr:rowOff>
    </xdr:to>
    <xdr:sp macro="" textlink="">
      <xdr:nvSpPr>
        <xdr:cNvPr id="29" name="Lien_Avis_IR_N" hidden="1">
          <a:hlinkClick xmlns:r="http://schemas.openxmlformats.org/officeDocument/2006/relationships" r:id="rId5"/>
          <a:extLst>
            <a:ext uri="{FF2B5EF4-FFF2-40B4-BE49-F238E27FC236}">
              <a16:creationId xmlns:a16="http://schemas.microsoft.com/office/drawing/2014/main" id="{00000000-0008-0000-0C00-00001D000000}"/>
            </a:ext>
          </a:extLst>
        </xdr:cNvPr>
        <xdr:cNvSpPr/>
      </xdr:nvSpPr>
      <xdr:spPr>
        <a:xfrm>
          <a:off x="30482" y="1631743"/>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Avis</a:t>
          </a:r>
          <a:r>
            <a:rPr lang="fr-FR" sz="1000" b="0" baseline="0">
              <a:solidFill>
                <a:sysClr val="windowText" lastClr="000000"/>
              </a:solidFill>
              <a:latin typeface="Optima LT Pro" panose="020B0502050508020304" pitchFamily="34" charset="0"/>
            </a:rPr>
            <a:t> IR N</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30482</xdr:colOff>
      <xdr:row>10</xdr:row>
      <xdr:rowOff>131165</xdr:rowOff>
    </xdr:from>
    <xdr:to>
      <xdr:col>1</xdr:col>
      <xdr:colOff>600420</xdr:colOff>
      <xdr:row>12</xdr:row>
      <xdr:rowOff>76512</xdr:rowOff>
    </xdr:to>
    <xdr:sp macro="" textlink="">
      <xdr:nvSpPr>
        <xdr:cNvPr id="30" name="Lien_ESTIMATION_R_N_2" hidden="1">
          <a:hlinkClick xmlns:r="http://schemas.openxmlformats.org/officeDocument/2006/relationships" r:id="rId8"/>
          <a:extLst>
            <a:ext uri="{FF2B5EF4-FFF2-40B4-BE49-F238E27FC236}">
              <a16:creationId xmlns:a16="http://schemas.microsoft.com/office/drawing/2014/main" id="{00000000-0008-0000-0C00-00001E000000}"/>
            </a:ext>
          </a:extLst>
        </xdr:cNvPr>
        <xdr:cNvSpPr/>
      </xdr:nvSpPr>
      <xdr:spPr>
        <a:xfrm>
          <a:off x="30482" y="2004935"/>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Estimation R N</a:t>
          </a:r>
        </a:p>
      </xdr:txBody>
    </xdr:sp>
    <xdr:clientData/>
  </xdr:twoCellAnchor>
  <xdr:twoCellAnchor editAs="absolute">
    <xdr:from>
      <xdr:col>0</xdr:col>
      <xdr:colOff>30482</xdr:colOff>
      <xdr:row>12</xdr:row>
      <xdr:rowOff>133664</xdr:rowOff>
    </xdr:from>
    <xdr:to>
      <xdr:col>1</xdr:col>
      <xdr:colOff>600420</xdr:colOff>
      <xdr:row>14</xdr:row>
      <xdr:rowOff>39975</xdr:rowOff>
    </xdr:to>
    <xdr:sp macro="" textlink="">
      <xdr:nvSpPr>
        <xdr:cNvPr id="31" name="Lien_SYNTHESE_N_2" hidden="1">
          <a:extLst>
            <a:ext uri="{FF2B5EF4-FFF2-40B4-BE49-F238E27FC236}">
              <a16:creationId xmlns:a16="http://schemas.microsoft.com/office/drawing/2014/main" id="{00000000-0008-0000-0C00-00001F000000}"/>
            </a:ext>
          </a:extLst>
        </xdr:cNvPr>
        <xdr:cNvSpPr/>
      </xdr:nvSpPr>
      <xdr:spPr>
        <a:xfrm>
          <a:off x="30482" y="2382189"/>
          <a:ext cx="1335061" cy="320102"/>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 N</a:t>
          </a:r>
        </a:p>
      </xdr:txBody>
    </xdr:sp>
    <xdr:clientData/>
  </xdr:twoCellAnchor>
  <xdr:twoCellAnchor>
    <xdr:from>
      <xdr:col>2</xdr:col>
      <xdr:colOff>312295</xdr:colOff>
      <xdr:row>3</xdr:row>
      <xdr:rowOff>140533</xdr:rowOff>
    </xdr:from>
    <xdr:to>
      <xdr:col>3</xdr:col>
      <xdr:colOff>1132071</xdr:colOff>
      <xdr:row>5</xdr:row>
      <xdr:rowOff>119946</xdr:rowOff>
    </xdr:to>
    <xdr:grpSp>
      <xdr:nvGrpSpPr>
        <xdr:cNvPr id="28" name="PRINT_Synthese">
          <a:extLst>
            <a:ext uri="{FF2B5EF4-FFF2-40B4-BE49-F238E27FC236}">
              <a16:creationId xmlns:a16="http://schemas.microsoft.com/office/drawing/2014/main" id="{00000000-0008-0000-0C00-00001C000000}"/>
            </a:ext>
          </a:extLst>
        </xdr:cNvPr>
        <xdr:cNvGrpSpPr/>
      </xdr:nvGrpSpPr>
      <xdr:grpSpPr>
        <a:xfrm>
          <a:off x="1743368" y="698094"/>
          <a:ext cx="1278215" cy="351120"/>
          <a:chOff x="4419286" y="710628"/>
          <a:chExt cx="1264796" cy="354167"/>
        </a:xfrm>
      </xdr:grpSpPr>
      <xdr:grpSp>
        <xdr:nvGrpSpPr>
          <xdr:cNvPr id="32" name="Groupe 31">
            <a:extLst>
              <a:ext uri="{FF2B5EF4-FFF2-40B4-BE49-F238E27FC236}">
                <a16:creationId xmlns:a16="http://schemas.microsoft.com/office/drawing/2014/main" id="{00000000-0008-0000-0C00-000020000000}"/>
              </a:ext>
            </a:extLst>
          </xdr:cNvPr>
          <xdr:cNvGrpSpPr/>
        </xdr:nvGrpSpPr>
        <xdr:grpSpPr>
          <a:xfrm>
            <a:off x="4419286" y="710628"/>
            <a:ext cx="1264796" cy="354167"/>
            <a:chOff x="3142624" y="716405"/>
            <a:chExt cx="1264796" cy="354167"/>
          </a:xfrm>
        </xdr:grpSpPr>
        <xdr:sp macro="[0]!PREZ_ETUDE_PPT_OngletIMPR2" textlink="">
          <xdr:nvSpPr>
            <xdr:cNvPr id="34" name="Ellipse 33">
              <a:extLst>
                <a:ext uri="{FF2B5EF4-FFF2-40B4-BE49-F238E27FC236}">
                  <a16:creationId xmlns:a16="http://schemas.microsoft.com/office/drawing/2014/main" id="{00000000-0008-0000-0C00-000022000000}"/>
                </a:ext>
              </a:extLst>
            </xdr:cNvPr>
            <xdr:cNvSpPr/>
          </xdr:nvSpPr>
          <xdr:spPr>
            <a:xfrm>
              <a:off x="3142624" y="716405"/>
              <a:ext cx="394218" cy="345485"/>
            </a:xfrm>
            <a:prstGeom prst="ellipse">
              <a:avLst/>
            </a:prstGeom>
            <a:solidFill>
              <a:schemeClr val="bg1">
                <a:lumMod val="85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0]!PREZ_ETUDE_PPT_OngletIMPR2" textlink="">
          <xdr:nvSpPr>
            <xdr:cNvPr id="35" name="Rectangle 34">
              <a:extLst>
                <a:ext uri="{FF2B5EF4-FFF2-40B4-BE49-F238E27FC236}">
                  <a16:creationId xmlns:a16="http://schemas.microsoft.com/office/drawing/2014/main" id="{00000000-0008-0000-0C00-000023000000}"/>
                </a:ext>
              </a:extLst>
            </xdr:cNvPr>
            <xdr:cNvSpPr/>
          </xdr:nvSpPr>
          <xdr:spPr>
            <a:xfrm>
              <a:off x="3514961" y="718799"/>
              <a:ext cx="89245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Editer étude</a:t>
              </a:r>
            </a:p>
          </xdr:txBody>
        </xdr:sp>
      </xdr:grpSp>
      <xdr:pic macro="[0]!PREZ_ETUDE_PPT_OngletIMPR2">
        <xdr:nvPicPr>
          <xdr:cNvPr id="33" name="Graphique 32" descr="Télécopie avec un remplissage uni">
            <a:extLst>
              <a:ext uri="{FF2B5EF4-FFF2-40B4-BE49-F238E27FC236}">
                <a16:creationId xmlns:a16="http://schemas.microsoft.com/office/drawing/2014/main" id="{00000000-0008-0000-0C00-000021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520472" y="772931"/>
            <a:ext cx="210798" cy="210798"/>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714375</xdr:colOff>
      <xdr:row>45</xdr:row>
      <xdr:rowOff>85725</xdr:rowOff>
    </xdr:from>
    <xdr:to>
      <xdr:col>15</xdr:col>
      <xdr:colOff>88234</xdr:colOff>
      <xdr:row>74</xdr:row>
      <xdr:rowOff>70509</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4524375" y="8258175"/>
          <a:ext cx="6993859" cy="5233059"/>
        </a:xfrm>
        <a:prstGeom prst="rect">
          <a:avLst/>
        </a:prstGeom>
        <a:solidFill>
          <a:srgbClr val="F2F2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editAs="oneCell">
    <xdr:from>
      <xdr:col>17</xdr:col>
      <xdr:colOff>523875</xdr:colOff>
      <xdr:row>0</xdr:row>
      <xdr:rowOff>142875</xdr:rowOff>
    </xdr:from>
    <xdr:to>
      <xdr:col>20</xdr:col>
      <xdr:colOff>393604</xdr:colOff>
      <xdr:row>5</xdr:row>
      <xdr:rowOff>144660</xdr:rowOff>
    </xdr:to>
    <xdr:pic>
      <xdr:nvPicPr>
        <xdr:cNvPr id="3" name="Imag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3477875" y="142875"/>
          <a:ext cx="2155729" cy="916185"/>
        </a:xfrm>
        <a:prstGeom prst="rect">
          <a:avLst/>
        </a:prstGeom>
      </xdr:spPr>
    </xdr:pic>
    <xdr:clientData/>
  </xdr:twoCellAnchor>
  <xdr:twoCellAnchor editAs="oneCell">
    <xdr:from>
      <xdr:col>0</xdr:col>
      <xdr:colOff>714375</xdr:colOff>
      <xdr:row>42</xdr:row>
      <xdr:rowOff>133350</xdr:rowOff>
    </xdr:from>
    <xdr:to>
      <xdr:col>7</xdr:col>
      <xdr:colOff>133353</xdr:colOff>
      <xdr:row>76</xdr:row>
      <xdr:rowOff>137431</xdr:rowOff>
    </xdr:to>
    <xdr:pic>
      <xdr:nvPicPr>
        <xdr:cNvPr id="4" name="Image 3">
          <a:extLst>
            <a:ext uri="{FF2B5EF4-FFF2-40B4-BE49-F238E27FC236}">
              <a16:creationId xmlns:a16="http://schemas.microsoft.com/office/drawing/2014/main" id="{00000000-0008-0000-0D00-000004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a:stretch/>
      </xdr:blipFill>
      <xdr:spPr>
        <a:xfrm>
          <a:off x="714375" y="7762875"/>
          <a:ext cx="4752978" cy="6157231"/>
        </a:xfrm>
        <a:prstGeom prst="rect">
          <a:avLst/>
        </a:prstGeom>
      </xdr:spPr>
    </xdr:pic>
    <xdr:clientData/>
  </xdr:twoCellAnchor>
  <xdr:twoCellAnchor>
    <xdr:from>
      <xdr:col>0</xdr:col>
      <xdr:colOff>713836</xdr:colOff>
      <xdr:row>42</xdr:row>
      <xdr:rowOff>125896</xdr:rowOff>
    </xdr:from>
    <xdr:to>
      <xdr:col>7</xdr:col>
      <xdr:colOff>132812</xdr:colOff>
      <xdr:row>76</xdr:row>
      <xdr:rowOff>121753</xdr:rowOff>
    </xdr:to>
    <xdr:sp macro="" textlink="">
      <xdr:nvSpPr>
        <xdr:cNvPr id="5" name="Rectangle 4">
          <a:extLst>
            <a:ext uri="{FF2B5EF4-FFF2-40B4-BE49-F238E27FC236}">
              <a16:creationId xmlns:a16="http://schemas.microsoft.com/office/drawing/2014/main" id="{00000000-0008-0000-0D00-000005000000}"/>
            </a:ext>
          </a:extLst>
        </xdr:cNvPr>
        <xdr:cNvSpPr/>
      </xdr:nvSpPr>
      <xdr:spPr>
        <a:xfrm>
          <a:off x="713836" y="7755421"/>
          <a:ext cx="4752976" cy="6149007"/>
        </a:xfrm>
        <a:prstGeom prst="rect">
          <a:avLst/>
        </a:prstGeom>
        <a:solidFill>
          <a:schemeClr val="accent2">
            <a:alpha val="30196"/>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7</xdr:col>
      <xdr:colOff>693821</xdr:colOff>
      <xdr:row>51</xdr:row>
      <xdr:rowOff>46431</xdr:rowOff>
    </xdr:from>
    <xdr:to>
      <xdr:col>9</xdr:col>
      <xdr:colOff>140369</xdr:colOff>
      <xdr:row>51</xdr:row>
      <xdr:rowOff>46431</xdr:rowOff>
    </xdr:to>
    <xdr:cxnSp macro="">
      <xdr:nvCxnSpPr>
        <xdr:cNvPr id="6" name="Connecteur droit 5">
          <a:extLst>
            <a:ext uri="{FF2B5EF4-FFF2-40B4-BE49-F238E27FC236}">
              <a16:creationId xmlns:a16="http://schemas.microsoft.com/office/drawing/2014/main" id="{00000000-0008-0000-0D00-000006000000}"/>
            </a:ext>
          </a:extLst>
        </xdr:cNvPr>
        <xdr:cNvCxnSpPr>
          <a:cxnSpLocks/>
        </xdr:cNvCxnSpPr>
      </xdr:nvCxnSpPr>
      <xdr:spPr>
        <a:xfrm>
          <a:off x="6027821" y="9304731"/>
          <a:ext cx="970548" cy="0"/>
        </a:xfrm>
        <a:prstGeom prst="line">
          <a:avLst/>
        </a:prstGeom>
        <a:ln>
          <a:solidFill>
            <a:schemeClr val="accent4"/>
          </a:solidFill>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2</xdr:col>
      <xdr:colOff>19049</xdr:colOff>
      <xdr:row>93</xdr:row>
      <xdr:rowOff>28574</xdr:rowOff>
    </xdr:from>
    <xdr:to>
      <xdr:col>2</xdr:col>
      <xdr:colOff>752474</xdr:colOff>
      <xdr:row>96</xdr:row>
      <xdr:rowOff>190499</xdr:rowOff>
    </xdr:to>
    <xdr:pic>
      <xdr:nvPicPr>
        <xdr:cNvPr id="7" name="Graphique 6" descr="Argent contour">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43049" y="17011649"/>
          <a:ext cx="733425" cy="733425"/>
        </a:xfrm>
        <a:prstGeom prst="rect">
          <a:avLst/>
        </a:prstGeom>
      </xdr:spPr>
    </xdr:pic>
    <xdr:clientData/>
  </xdr:twoCellAnchor>
  <xdr:twoCellAnchor editAs="oneCell">
    <xdr:from>
      <xdr:col>10</xdr:col>
      <xdr:colOff>0</xdr:colOff>
      <xdr:row>93</xdr:row>
      <xdr:rowOff>19049</xdr:rowOff>
    </xdr:from>
    <xdr:to>
      <xdr:col>10</xdr:col>
      <xdr:colOff>752475</xdr:colOff>
      <xdr:row>97</xdr:row>
      <xdr:rowOff>9524</xdr:rowOff>
    </xdr:to>
    <xdr:pic>
      <xdr:nvPicPr>
        <xdr:cNvPr id="8" name="Graphique 7" descr="Balance de la justice avec un remplissage uni">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620000" y="17002124"/>
          <a:ext cx="752475" cy="752475"/>
        </a:xfrm>
        <a:prstGeom prst="rect">
          <a:avLst/>
        </a:prstGeom>
      </xdr:spPr>
    </xdr:pic>
    <xdr:clientData/>
  </xdr:twoCellAnchor>
  <xdr:twoCellAnchor editAs="oneCell">
    <xdr:from>
      <xdr:col>13</xdr:col>
      <xdr:colOff>390526</xdr:colOff>
      <xdr:row>93</xdr:row>
      <xdr:rowOff>1</xdr:rowOff>
    </xdr:from>
    <xdr:to>
      <xdr:col>14</xdr:col>
      <xdr:colOff>390526</xdr:colOff>
      <xdr:row>97</xdr:row>
      <xdr:rowOff>1</xdr:rowOff>
    </xdr:to>
    <xdr:pic>
      <xdr:nvPicPr>
        <xdr:cNvPr id="9" name="Graphique 5" descr="TVA avec un remplissage uni">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296526" y="16983076"/>
          <a:ext cx="762000" cy="762000"/>
        </a:xfrm>
        <a:prstGeom prst="rect">
          <a:avLst/>
        </a:prstGeom>
      </xdr:spPr>
    </xdr:pic>
    <xdr:clientData/>
  </xdr:twoCellAnchor>
  <xdr:twoCellAnchor editAs="oneCell">
    <xdr:from>
      <xdr:col>6</xdr:col>
      <xdr:colOff>9525</xdr:colOff>
      <xdr:row>93</xdr:row>
      <xdr:rowOff>9524</xdr:rowOff>
    </xdr:from>
    <xdr:to>
      <xdr:col>7</xdr:col>
      <xdr:colOff>0</xdr:colOff>
      <xdr:row>96</xdr:row>
      <xdr:rowOff>190499</xdr:rowOff>
    </xdr:to>
    <xdr:pic>
      <xdr:nvPicPr>
        <xdr:cNvPr id="10" name="Graphique 9" descr="Chèque contour">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581525" y="16992599"/>
          <a:ext cx="752475" cy="752475"/>
        </a:xfrm>
        <a:prstGeom prst="rect">
          <a:avLst/>
        </a:prstGeom>
      </xdr:spPr>
    </xdr:pic>
    <xdr:clientData/>
  </xdr:twoCellAnchor>
  <xdr:twoCellAnchor>
    <xdr:from>
      <xdr:col>0</xdr:col>
      <xdr:colOff>190500</xdr:colOff>
      <xdr:row>202</xdr:row>
      <xdr:rowOff>19050</xdr:rowOff>
    </xdr:from>
    <xdr:to>
      <xdr:col>6</xdr:col>
      <xdr:colOff>371475</xdr:colOff>
      <xdr:row>238</xdr:row>
      <xdr:rowOff>9525</xdr:rowOff>
    </xdr:to>
    <xdr:sp macro="" textlink="">
      <xdr:nvSpPr>
        <xdr:cNvPr id="32" name="Rectangle 31">
          <a:extLst>
            <a:ext uri="{FF2B5EF4-FFF2-40B4-BE49-F238E27FC236}">
              <a16:creationId xmlns:a16="http://schemas.microsoft.com/office/drawing/2014/main" id="{00000000-0008-0000-0D00-000020000000}"/>
            </a:ext>
          </a:extLst>
        </xdr:cNvPr>
        <xdr:cNvSpPr/>
      </xdr:nvSpPr>
      <xdr:spPr>
        <a:xfrm>
          <a:off x="190500" y="30156150"/>
          <a:ext cx="4752975" cy="6848475"/>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0</xdr:col>
      <xdr:colOff>577347</xdr:colOff>
      <xdr:row>210</xdr:row>
      <xdr:rowOff>148298</xdr:rowOff>
    </xdr:from>
    <xdr:to>
      <xdr:col>5</xdr:col>
      <xdr:colOff>746627</xdr:colOff>
      <xdr:row>225</xdr:row>
      <xdr:rowOff>130037</xdr:rowOff>
    </xdr:to>
    <xdr:sp macro="" textlink="">
      <xdr:nvSpPr>
        <xdr:cNvPr id="33" name="ZoneTexte 7">
          <a:extLst>
            <a:ext uri="{FF2B5EF4-FFF2-40B4-BE49-F238E27FC236}">
              <a16:creationId xmlns:a16="http://schemas.microsoft.com/office/drawing/2014/main" id="{00000000-0008-0000-0D00-000021000000}"/>
            </a:ext>
          </a:extLst>
        </xdr:cNvPr>
        <xdr:cNvSpPr txBox="1"/>
      </xdr:nvSpPr>
      <xdr:spPr>
        <a:xfrm>
          <a:off x="577347" y="31809398"/>
          <a:ext cx="3979280" cy="2839239"/>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lang="fr-FR" sz="1050" b="0" kern="1200">
              <a:solidFill>
                <a:schemeClr val="bg1"/>
              </a:solidFill>
              <a:latin typeface="Optima LT Pro" panose="020B0502050508020304" pitchFamily="34" charset="0"/>
              <a:ea typeface="+mn-ea"/>
              <a:cs typeface="Arial" panose="020B0604020202020204" pitchFamily="34" charset="0"/>
            </a:rPr>
            <a:t>Document sans valeur contractuelle et purement indicatif, établi sur la base des dispositions légales et règlementaires en vigueur à la date de publication et sont susceptibles d’évolution. </a:t>
          </a:r>
        </a:p>
        <a:p>
          <a:pPr algn="just"/>
          <a:r>
            <a:rPr lang="fr-FR" sz="1050" b="0" kern="1200">
              <a:solidFill>
                <a:schemeClr val="bg1"/>
              </a:solidFill>
              <a:latin typeface="Optima LT Pro" panose="020B0502050508020304" pitchFamily="34" charset="0"/>
              <a:ea typeface="+mn-ea"/>
              <a:cs typeface="Arial" panose="020B0604020202020204" pitchFamily="34" charset="0"/>
            </a:rPr>
            <a:t> </a:t>
          </a:r>
        </a:p>
        <a:p>
          <a:pPr algn="just"/>
          <a:r>
            <a:rPr lang="fr-FR" sz="1050" b="0" kern="1200">
              <a:solidFill>
                <a:schemeClr val="bg1"/>
              </a:solidFill>
              <a:latin typeface="Optima LT Pro" panose="020B0502050508020304" pitchFamily="34" charset="0"/>
              <a:ea typeface="+mn-ea"/>
              <a:cs typeface="Arial" panose="020B0604020202020204" pitchFamily="34" charset="0"/>
            </a:rPr>
            <a:t>Le contenu et la forme du document et la méthodologie employée, relèvent de la législation sur le droit d'auteur, le droit des marques et, de façon générale, sur la propriété intellectuelle. La société Laplace en est le concepteur. </a:t>
          </a:r>
        </a:p>
        <a:p>
          <a:pPr algn="just"/>
          <a:endParaRPr lang="fr-FR" sz="1050" b="0" kern="1200">
            <a:solidFill>
              <a:schemeClr val="bg1"/>
            </a:solidFill>
            <a:latin typeface="Optima LT Pro" panose="020B0502050508020304" pitchFamily="34" charset="0"/>
            <a:ea typeface="+mn-ea"/>
            <a:cs typeface="Arial" panose="020B0604020202020204" pitchFamily="34" charset="0"/>
          </a:endParaRPr>
        </a:p>
        <a:p>
          <a:pPr algn="just"/>
          <a:r>
            <a:rPr lang="fr-FR" sz="1050" b="0" kern="1200">
              <a:solidFill>
                <a:schemeClr val="bg1"/>
              </a:solidFill>
              <a:latin typeface="Optima LT Pro" panose="020B0502050508020304" pitchFamily="34" charset="0"/>
              <a:ea typeface="+mn-ea"/>
              <a:cs typeface="Arial" panose="020B0604020202020204" pitchFamily="34" charset="0"/>
            </a:rPr>
            <a:t>Toute reproduction, représentation, diffusion ou rediffusion, en tout ou partie, de ce document ou ses annexes sur quelque support ou par tout procédé que ce soit, de même que toute vente, revente, retransmission ou mise à disposition de tiers de quelque manière que ce soit sont réglementées. Le non-respect de cette règlementation peut constituer une contrefaçon susceptible d'engager la responsabilité civile et pénale du contrefacteur (articles L335-1 à L335-10 du Code de la propriété intellectuelle).</a:t>
          </a:r>
        </a:p>
      </xdr:txBody>
    </xdr:sp>
    <xdr:clientData/>
  </xdr:twoCellAnchor>
  <xdr:oneCellAnchor>
    <xdr:from>
      <xdr:col>6</xdr:col>
      <xdr:colOff>571500</xdr:colOff>
      <xdr:row>208</xdr:row>
      <xdr:rowOff>185443</xdr:rowOff>
    </xdr:from>
    <xdr:ext cx="290135" cy="324000"/>
    <xdr:pic>
      <xdr:nvPicPr>
        <xdr:cNvPr id="34" name="Image 33">
          <a:extLst>
            <a:ext uri="{FF2B5EF4-FFF2-40B4-BE49-F238E27FC236}">
              <a16:creationId xmlns:a16="http://schemas.microsoft.com/office/drawing/2014/main" id="{00000000-0008-0000-0D00-000022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5143500" y="31465543"/>
          <a:ext cx="290135" cy="324000"/>
        </a:xfrm>
        <a:prstGeom prst="rect">
          <a:avLst/>
        </a:prstGeom>
      </xdr:spPr>
    </xdr:pic>
    <xdr:clientData/>
  </xdr:oneCellAnchor>
  <xdr:oneCellAnchor>
    <xdr:from>
      <xdr:col>6</xdr:col>
      <xdr:colOff>573082</xdr:colOff>
      <xdr:row>211</xdr:row>
      <xdr:rowOff>8936</xdr:rowOff>
    </xdr:from>
    <xdr:ext cx="286970" cy="324000"/>
    <xdr:pic>
      <xdr:nvPicPr>
        <xdr:cNvPr id="35" name="Image 34">
          <a:extLst>
            <a:ext uri="{FF2B5EF4-FFF2-40B4-BE49-F238E27FC236}">
              <a16:creationId xmlns:a16="http://schemas.microsoft.com/office/drawing/2014/main" id="{00000000-0008-0000-0D00-000023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5145082" y="31860536"/>
          <a:ext cx="286970" cy="324000"/>
        </a:xfrm>
        <a:prstGeom prst="rect">
          <a:avLst/>
        </a:prstGeom>
      </xdr:spPr>
    </xdr:pic>
    <xdr:clientData/>
  </xdr:oneCellAnchor>
  <xdr:oneCellAnchor>
    <xdr:from>
      <xdr:col>6</xdr:col>
      <xdr:colOff>574654</xdr:colOff>
      <xdr:row>206</xdr:row>
      <xdr:rowOff>171450</xdr:rowOff>
    </xdr:from>
    <xdr:ext cx="283827" cy="324000"/>
    <xdr:pic>
      <xdr:nvPicPr>
        <xdr:cNvPr id="36" name="Image 35">
          <a:extLst>
            <a:ext uri="{FF2B5EF4-FFF2-40B4-BE49-F238E27FC236}">
              <a16:creationId xmlns:a16="http://schemas.microsoft.com/office/drawing/2014/main" id="{00000000-0008-0000-0D00-000024000000}"/>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5146654" y="31070550"/>
          <a:ext cx="283827" cy="324000"/>
        </a:xfrm>
        <a:prstGeom prst="rect">
          <a:avLst/>
        </a:prstGeom>
      </xdr:spPr>
    </xdr:pic>
    <xdr:clientData/>
  </xdr:oneCellAnchor>
  <xdr:oneCellAnchor>
    <xdr:from>
      <xdr:col>6</xdr:col>
      <xdr:colOff>571500</xdr:colOff>
      <xdr:row>213</xdr:row>
      <xdr:rowOff>22929</xdr:rowOff>
    </xdr:from>
    <xdr:ext cx="290135" cy="324000"/>
    <xdr:pic>
      <xdr:nvPicPr>
        <xdr:cNvPr id="37" name="Image 36">
          <a:extLst>
            <a:ext uri="{FF2B5EF4-FFF2-40B4-BE49-F238E27FC236}">
              <a16:creationId xmlns:a16="http://schemas.microsoft.com/office/drawing/2014/main" id="{00000000-0008-0000-0D00-000025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5143500" y="32255529"/>
          <a:ext cx="290135" cy="324000"/>
        </a:xfrm>
        <a:prstGeom prst="rect">
          <a:avLst/>
        </a:prstGeom>
      </xdr:spPr>
    </xdr:pic>
    <xdr:clientData/>
  </xdr:oneCellAnchor>
  <xdr:oneCellAnchor>
    <xdr:from>
      <xdr:col>7</xdr:col>
      <xdr:colOff>161925</xdr:colOff>
      <xdr:row>235</xdr:row>
      <xdr:rowOff>85725</xdr:rowOff>
    </xdr:from>
    <xdr:ext cx="1184944" cy="503391"/>
    <xdr:pic>
      <xdr:nvPicPr>
        <xdr:cNvPr id="38" name="Graphique 6">
          <a:extLst>
            <a:ext uri="{FF2B5EF4-FFF2-40B4-BE49-F238E27FC236}">
              <a16:creationId xmlns:a16="http://schemas.microsoft.com/office/drawing/2014/main" id="{00000000-0008-0000-0D00-000026000000}"/>
            </a:ext>
          </a:extLst>
        </xdr:cNvPr>
        <xdr:cNvPicPr>
          <a:picLocks noChangeAspect="1"/>
        </xdr:cNvPicPr>
      </xdr:nvPicPr>
      <xdr:blipFill>
        <a:blip xmlns:r="http://schemas.openxmlformats.org/officeDocument/2006/relationships" r:embed="rId15" cstate="screen">
          <a:extLst>
            <a:ext uri="{28A0092B-C50C-407E-A947-70E740481C1C}">
              <a14:useLocalDpi xmlns:a14="http://schemas.microsoft.com/office/drawing/2010/main"/>
            </a:ext>
          </a:extLst>
        </a:blip>
        <a:srcRect/>
        <a:stretch/>
      </xdr:blipFill>
      <xdr:spPr>
        <a:xfrm>
          <a:off x="5495925" y="36509325"/>
          <a:ext cx="1184944" cy="503391"/>
        </a:xfrm>
        <a:prstGeom prst="rect">
          <a:avLst/>
        </a:prstGeom>
      </xdr:spPr>
    </xdr:pic>
    <xdr:clientData/>
  </xdr:oneCellAnchor>
  <xdr:twoCellAnchor>
    <xdr:from>
      <xdr:col>22</xdr:col>
      <xdr:colOff>314325</xdr:colOff>
      <xdr:row>10</xdr:row>
      <xdr:rowOff>9525</xdr:rowOff>
    </xdr:from>
    <xdr:to>
      <xdr:col>25</xdr:col>
      <xdr:colOff>342900</xdr:colOff>
      <xdr:row>16</xdr:row>
      <xdr:rowOff>38100</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7626965" y="1769745"/>
          <a:ext cx="2398395" cy="1080135"/>
          <a:chOff x="16754475" y="2114550"/>
          <a:chExt cx="2314575" cy="1114425"/>
        </a:xfrm>
      </xdr:grpSpPr>
      <xdr:grpSp>
        <xdr:nvGrpSpPr>
          <xdr:cNvPr id="111" name="Groupe 110">
            <a:extLst>
              <a:ext uri="{FF2B5EF4-FFF2-40B4-BE49-F238E27FC236}">
                <a16:creationId xmlns:a16="http://schemas.microsoft.com/office/drawing/2014/main" id="{00000000-0008-0000-0D00-00006F000000}"/>
              </a:ext>
            </a:extLst>
          </xdr:cNvPr>
          <xdr:cNvGrpSpPr/>
        </xdr:nvGrpSpPr>
        <xdr:grpSpPr>
          <a:xfrm>
            <a:off x="17392651" y="2114550"/>
            <a:ext cx="1104899" cy="1028700"/>
            <a:chOff x="5124451" y="24527933"/>
            <a:chExt cx="1104899" cy="1085850"/>
          </a:xfrm>
        </xdr:grpSpPr>
        <xdr:pic>
          <xdr:nvPicPr>
            <xdr:cNvPr id="113" name="Graphique 112" descr="Enveloppe ouverte contour">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486400" y="24527933"/>
              <a:ext cx="742950" cy="742950"/>
            </a:xfrm>
            <a:prstGeom prst="rect">
              <a:avLst/>
            </a:prstGeom>
          </xdr:spPr>
        </xdr:pic>
        <xdr:pic>
          <xdr:nvPicPr>
            <xdr:cNvPr id="114" name="Graphique 113" descr="Logement contour">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5124451" y="25042283"/>
              <a:ext cx="571500" cy="571500"/>
            </a:xfrm>
            <a:prstGeom prst="rect">
              <a:avLst/>
            </a:prstGeom>
          </xdr:spPr>
        </xdr:pic>
      </xdr:grpSp>
      <xdr:cxnSp macro="">
        <xdr:nvCxnSpPr>
          <xdr:cNvPr id="112" name="Connecteur droit 111">
            <a:extLst>
              <a:ext uri="{FF2B5EF4-FFF2-40B4-BE49-F238E27FC236}">
                <a16:creationId xmlns:a16="http://schemas.microsoft.com/office/drawing/2014/main" id="{00000000-0008-0000-0D00-000070000000}"/>
              </a:ext>
            </a:extLst>
          </xdr:cNvPr>
          <xdr:cNvCxnSpPr/>
        </xdr:nvCxnSpPr>
        <xdr:spPr>
          <a:xfrm>
            <a:off x="16754475" y="3228975"/>
            <a:ext cx="2314575"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409575</xdr:colOff>
      <xdr:row>9</xdr:row>
      <xdr:rowOff>171450</xdr:rowOff>
    </xdr:from>
    <xdr:to>
      <xdr:col>29</xdr:col>
      <xdr:colOff>485775</xdr:colOff>
      <xdr:row>16</xdr:row>
      <xdr:rowOff>38100</xdr:rowOff>
    </xdr:to>
    <xdr:grpSp>
      <xdr:nvGrpSpPr>
        <xdr:cNvPr id="115" name="Groupe 114">
          <a:extLst>
            <a:ext uri="{FF2B5EF4-FFF2-40B4-BE49-F238E27FC236}">
              <a16:creationId xmlns:a16="http://schemas.microsoft.com/office/drawing/2014/main" id="{00000000-0008-0000-0D00-000073000000}"/>
            </a:ext>
          </a:extLst>
        </xdr:cNvPr>
        <xdr:cNvGrpSpPr/>
      </xdr:nvGrpSpPr>
      <xdr:grpSpPr>
        <a:xfrm>
          <a:off x="20884515" y="1756410"/>
          <a:ext cx="2453640" cy="1093470"/>
          <a:chOff x="4600575" y="25393650"/>
          <a:chExt cx="2362200" cy="1133475"/>
        </a:xfrm>
      </xdr:grpSpPr>
      <xdr:grpSp>
        <xdr:nvGrpSpPr>
          <xdr:cNvPr id="116" name="Groupe 115">
            <a:extLst>
              <a:ext uri="{FF2B5EF4-FFF2-40B4-BE49-F238E27FC236}">
                <a16:creationId xmlns:a16="http://schemas.microsoft.com/office/drawing/2014/main" id="{00000000-0008-0000-0D00-000074000000}"/>
              </a:ext>
            </a:extLst>
          </xdr:cNvPr>
          <xdr:cNvGrpSpPr/>
        </xdr:nvGrpSpPr>
        <xdr:grpSpPr>
          <a:xfrm>
            <a:off x="4600575" y="25899977"/>
            <a:ext cx="2362200" cy="627148"/>
            <a:chOff x="16754475" y="2601827"/>
            <a:chExt cx="2362200" cy="627148"/>
          </a:xfrm>
        </xdr:grpSpPr>
        <xdr:pic>
          <xdr:nvPicPr>
            <xdr:cNvPr id="118" name="Graphique 117" descr="Logement contour">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7392651" y="2601827"/>
              <a:ext cx="571500" cy="541421"/>
            </a:xfrm>
            <a:prstGeom prst="rect">
              <a:avLst/>
            </a:prstGeom>
          </xdr:spPr>
        </xdr:pic>
        <xdr:cxnSp macro="">
          <xdr:nvCxnSpPr>
            <xdr:cNvPr id="119" name="Connecteur droit 118">
              <a:extLst>
                <a:ext uri="{FF2B5EF4-FFF2-40B4-BE49-F238E27FC236}">
                  <a16:creationId xmlns:a16="http://schemas.microsoft.com/office/drawing/2014/main" id="{00000000-0008-0000-0D00-000077000000}"/>
                </a:ext>
              </a:extLst>
            </xdr:cNvPr>
            <xdr:cNvCxnSpPr/>
          </xdr:nvCxnSpPr>
          <xdr:spPr>
            <a:xfrm>
              <a:off x="16754475" y="3228975"/>
              <a:ext cx="2362200"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pic>
        <xdr:nvPicPr>
          <xdr:cNvPr id="117" name="Graphique 116" descr="Chèque contour">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610225" y="25393650"/>
            <a:ext cx="752475" cy="752475"/>
          </a:xfrm>
          <a:prstGeom prst="rect">
            <a:avLst/>
          </a:prstGeom>
        </xdr:spPr>
      </xdr:pic>
    </xdr:grpSp>
    <xdr:clientData/>
  </xdr:twoCellAnchor>
  <xdr:twoCellAnchor>
    <xdr:from>
      <xdr:col>30</xdr:col>
      <xdr:colOff>447675</xdr:colOff>
      <xdr:row>9</xdr:row>
      <xdr:rowOff>180974</xdr:rowOff>
    </xdr:from>
    <xdr:to>
      <xdr:col>33</xdr:col>
      <xdr:colOff>457200</xdr:colOff>
      <xdr:row>16</xdr:row>
      <xdr:rowOff>38100</xdr:rowOff>
    </xdr:to>
    <xdr:grpSp>
      <xdr:nvGrpSpPr>
        <xdr:cNvPr id="120" name="Groupe 119">
          <a:extLst>
            <a:ext uri="{FF2B5EF4-FFF2-40B4-BE49-F238E27FC236}">
              <a16:creationId xmlns:a16="http://schemas.microsoft.com/office/drawing/2014/main" id="{00000000-0008-0000-0D00-000078000000}"/>
            </a:ext>
          </a:extLst>
        </xdr:cNvPr>
        <xdr:cNvGrpSpPr/>
      </xdr:nvGrpSpPr>
      <xdr:grpSpPr>
        <a:xfrm>
          <a:off x="24092535" y="1758314"/>
          <a:ext cx="2386965" cy="1091566"/>
          <a:chOff x="7658100" y="25431749"/>
          <a:chExt cx="2295525" cy="1123951"/>
        </a:xfrm>
      </xdr:grpSpPr>
      <xdr:grpSp>
        <xdr:nvGrpSpPr>
          <xdr:cNvPr id="121" name="Groupe 120">
            <a:extLst>
              <a:ext uri="{FF2B5EF4-FFF2-40B4-BE49-F238E27FC236}">
                <a16:creationId xmlns:a16="http://schemas.microsoft.com/office/drawing/2014/main" id="{00000000-0008-0000-0D00-000079000000}"/>
              </a:ext>
            </a:extLst>
          </xdr:cNvPr>
          <xdr:cNvGrpSpPr/>
        </xdr:nvGrpSpPr>
        <xdr:grpSpPr>
          <a:xfrm>
            <a:off x="7658100" y="25928552"/>
            <a:ext cx="2295525" cy="627148"/>
            <a:chOff x="16754475" y="2601827"/>
            <a:chExt cx="2295525" cy="627148"/>
          </a:xfrm>
        </xdr:grpSpPr>
        <xdr:pic>
          <xdr:nvPicPr>
            <xdr:cNvPr id="123" name="Graphique 122" descr="Logement contour">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7392651" y="2601827"/>
              <a:ext cx="571500" cy="541421"/>
            </a:xfrm>
            <a:prstGeom prst="rect">
              <a:avLst/>
            </a:prstGeom>
          </xdr:spPr>
        </xdr:pic>
        <xdr:cxnSp macro="">
          <xdr:nvCxnSpPr>
            <xdr:cNvPr id="124" name="Connecteur droit 123">
              <a:extLst>
                <a:ext uri="{FF2B5EF4-FFF2-40B4-BE49-F238E27FC236}">
                  <a16:creationId xmlns:a16="http://schemas.microsoft.com/office/drawing/2014/main" id="{00000000-0008-0000-0D00-00007C000000}"/>
                </a:ext>
              </a:extLst>
            </xdr:cNvPr>
            <xdr:cNvCxnSpPr/>
          </xdr:nvCxnSpPr>
          <xdr:spPr>
            <a:xfrm>
              <a:off x="16754475" y="3228975"/>
              <a:ext cx="2295525" cy="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pic>
        <xdr:nvPicPr>
          <xdr:cNvPr id="122" name="Graphique 121" descr="En haut contour">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8658225" y="25431749"/>
            <a:ext cx="752475" cy="752475"/>
          </a:xfrm>
          <a:prstGeom prst="rect">
            <a:avLst/>
          </a:prstGeom>
        </xdr:spPr>
      </xdr:pic>
    </xdr:grpSp>
    <xdr:clientData/>
  </xdr:twoCellAnchor>
  <xdr:twoCellAnchor>
    <xdr:from>
      <xdr:col>21</xdr:col>
      <xdr:colOff>228600</xdr:colOff>
      <xdr:row>20</xdr:row>
      <xdr:rowOff>47642</xdr:rowOff>
    </xdr:from>
    <xdr:to>
      <xdr:col>24</xdr:col>
      <xdr:colOff>293914</xdr:colOff>
      <xdr:row>26</xdr:row>
      <xdr:rowOff>9541</xdr:rowOff>
    </xdr:to>
    <xdr:grpSp>
      <xdr:nvGrpSpPr>
        <xdr:cNvPr id="125" name="Groupe 124">
          <a:extLst>
            <a:ext uri="{FF2B5EF4-FFF2-40B4-BE49-F238E27FC236}">
              <a16:creationId xmlns:a16="http://schemas.microsoft.com/office/drawing/2014/main" id="{00000000-0008-0000-0D00-00007D000000}"/>
            </a:ext>
          </a:extLst>
        </xdr:cNvPr>
        <xdr:cNvGrpSpPr/>
      </xdr:nvGrpSpPr>
      <xdr:grpSpPr>
        <a:xfrm>
          <a:off x="16748760" y="3560462"/>
          <a:ext cx="2435134" cy="1013459"/>
          <a:chOff x="1076325" y="54111593"/>
          <a:chExt cx="2351314" cy="1047685"/>
        </a:xfrm>
      </xdr:grpSpPr>
      <xdr:grpSp>
        <xdr:nvGrpSpPr>
          <xdr:cNvPr id="126" name="Groupe 125">
            <a:extLst>
              <a:ext uri="{FF2B5EF4-FFF2-40B4-BE49-F238E27FC236}">
                <a16:creationId xmlns:a16="http://schemas.microsoft.com/office/drawing/2014/main" id="{00000000-0008-0000-0D00-00007E000000}"/>
              </a:ext>
            </a:extLst>
          </xdr:cNvPr>
          <xdr:cNvGrpSpPr/>
        </xdr:nvGrpSpPr>
        <xdr:grpSpPr>
          <a:xfrm>
            <a:off x="1076325" y="54111593"/>
            <a:ext cx="2351314" cy="1047685"/>
            <a:chOff x="16754475" y="2152718"/>
            <a:chExt cx="2351314" cy="1047685"/>
          </a:xfrm>
        </xdr:grpSpPr>
        <xdr:pic>
          <xdr:nvPicPr>
            <xdr:cNvPr id="128" name="Graphique 127" descr="Enveloppe ouverte contour">
              <a:extLst>
                <a:ext uri="{FF2B5EF4-FFF2-40B4-BE49-F238E27FC236}">
                  <a16:creationId xmlns:a16="http://schemas.microsoft.com/office/drawing/2014/main" id="{00000000-0008-0000-0D00-000080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7754600" y="2152718"/>
              <a:ext cx="702674" cy="665692"/>
            </a:xfrm>
            <a:prstGeom prst="rect">
              <a:avLst/>
            </a:prstGeom>
          </xdr:spPr>
        </xdr:pic>
        <xdr:cxnSp macro="">
          <xdr:nvCxnSpPr>
            <xdr:cNvPr id="129" name="Connecteur droit 128">
              <a:extLst>
                <a:ext uri="{FF2B5EF4-FFF2-40B4-BE49-F238E27FC236}">
                  <a16:creationId xmlns:a16="http://schemas.microsoft.com/office/drawing/2014/main" id="{00000000-0008-0000-0D00-000081000000}"/>
                </a:ext>
              </a:extLst>
            </xdr:cNvPr>
            <xdr:cNvCxnSpPr/>
          </xdr:nvCxnSpPr>
          <xdr:spPr>
            <a:xfrm flipV="1">
              <a:off x="16754475" y="3200333"/>
              <a:ext cx="2351314" cy="7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pic>
        <xdr:nvPicPr>
          <xdr:cNvPr id="127" name="Graphique 126" descr="Usine contour">
            <a:extLst>
              <a:ext uri="{FF2B5EF4-FFF2-40B4-BE49-F238E27FC236}">
                <a16:creationId xmlns:a16="http://schemas.microsoft.com/office/drawing/2014/main" id="{00000000-0008-0000-0D00-00007F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1704975" y="54578250"/>
            <a:ext cx="581025" cy="549899"/>
          </a:xfrm>
          <a:prstGeom prst="rect">
            <a:avLst/>
          </a:prstGeom>
        </xdr:spPr>
      </xdr:pic>
    </xdr:grpSp>
    <xdr:clientData/>
  </xdr:twoCellAnchor>
  <xdr:twoCellAnchor>
    <xdr:from>
      <xdr:col>26</xdr:col>
      <xdr:colOff>314325</xdr:colOff>
      <xdr:row>19</xdr:row>
      <xdr:rowOff>168736</xdr:rowOff>
    </xdr:from>
    <xdr:to>
      <xdr:col>29</xdr:col>
      <xdr:colOff>321129</xdr:colOff>
      <xdr:row>26</xdr:row>
      <xdr:rowOff>14976</xdr:rowOff>
    </xdr:to>
    <xdr:grpSp>
      <xdr:nvGrpSpPr>
        <xdr:cNvPr id="130" name="Groupe 129">
          <a:extLst>
            <a:ext uri="{FF2B5EF4-FFF2-40B4-BE49-F238E27FC236}">
              <a16:creationId xmlns:a16="http://schemas.microsoft.com/office/drawing/2014/main" id="{00000000-0008-0000-0D00-000082000000}"/>
            </a:ext>
          </a:extLst>
        </xdr:cNvPr>
        <xdr:cNvGrpSpPr/>
      </xdr:nvGrpSpPr>
      <xdr:grpSpPr>
        <a:xfrm>
          <a:off x="20789265" y="3506296"/>
          <a:ext cx="2384244" cy="1073060"/>
          <a:chOff x="4972050" y="54063900"/>
          <a:chExt cx="2292804" cy="1111786"/>
        </a:xfrm>
      </xdr:grpSpPr>
      <xdr:grpSp>
        <xdr:nvGrpSpPr>
          <xdr:cNvPr id="131" name="Groupe 130">
            <a:extLst>
              <a:ext uri="{FF2B5EF4-FFF2-40B4-BE49-F238E27FC236}">
                <a16:creationId xmlns:a16="http://schemas.microsoft.com/office/drawing/2014/main" id="{00000000-0008-0000-0D00-000083000000}"/>
              </a:ext>
            </a:extLst>
          </xdr:cNvPr>
          <xdr:cNvGrpSpPr/>
        </xdr:nvGrpSpPr>
        <xdr:grpSpPr>
          <a:xfrm>
            <a:off x="4972050" y="54063900"/>
            <a:ext cx="2292804" cy="1111786"/>
            <a:chOff x="4600575" y="25393650"/>
            <a:chExt cx="2292804" cy="1111786"/>
          </a:xfrm>
        </xdr:grpSpPr>
        <xdr:cxnSp macro="">
          <xdr:nvCxnSpPr>
            <xdr:cNvPr id="133" name="Connecteur droit 132">
              <a:extLst>
                <a:ext uri="{FF2B5EF4-FFF2-40B4-BE49-F238E27FC236}">
                  <a16:creationId xmlns:a16="http://schemas.microsoft.com/office/drawing/2014/main" id="{00000000-0008-0000-0D00-000085000000}"/>
                </a:ext>
              </a:extLst>
            </xdr:cNvPr>
            <xdr:cNvCxnSpPr/>
          </xdr:nvCxnSpPr>
          <xdr:spPr>
            <a:xfrm>
              <a:off x="4600575" y="26498583"/>
              <a:ext cx="2292804" cy="6853"/>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pic>
          <xdr:nvPicPr>
            <xdr:cNvPr id="134" name="Graphique 133" descr="Chèque contour">
              <a:extLst>
                <a:ext uri="{FF2B5EF4-FFF2-40B4-BE49-F238E27FC236}">
                  <a16:creationId xmlns:a16="http://schemas.microsoft.com/office/drawing/2014/main" id="{00000000-0008-0000-0D00-000086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610225" y="25393650"/>
              <a:ext cx="752475" cy="752475"/>
            </a:xfrm>
            <a:prstGeom prst="rect">
              <a:avLst/>
            </a:prstGeom>
          </xdr:spPr>
        </xdr:pic>
      </xdr:grpSp>
      <xdr:pic>
        <xdr:nvPicPr>
          <xdr:cNvPr id="132" name="Graphique 131" descr="Usine contour">
            <a:extLst>
              <a:ext uri="{FF2B5EF4-FFF2-40B4-BE49-F238E27FC236}">
                <a16:creationId xmlns:a16="http://schemas.microsoft.com/office/drawing/2014/main" id="{00000000-0008-0000-0D00-000084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5610225" y="54578250"/>
            <a:ext cx="581025" cy="549899"/>
          </a:xfrm>
          <a:prstGeom prst="rect">
            <a:avLst/>
          </a:prstGeom>
        </xdr:spPr>
      </xdr:pic>
    </xdr:grpSp>
    <xdr:clientData/>
  </xdr:twoCellAnchor>
  <xdr:twoCellAnchor>
    <xdr:from>
      <xdr:col>31</xdr:col>
      <xdr:colOff>285750</xdr:colOff>
      <xdr:row>20</xdr:row>
      <xdr:rowOff>46263</xdr:rowOff>
    </xdr:from>
    <xdr:to>
      <xdr:col>34</xdr:col>
      <xdr:colOff>277586</xdr:colOff>
      <xdr:row>26</xdr:row>
      <xdr:rowOff>17689</xdr:rowOff>
    </xdr:to>
    <xdr:grpSp>
      <xdr:nvGrpSpPr>
        <xdr:cNvPr id="135" name="Groupe 134">
          <a:extLst>
            <a:ext uri="{FF2B5EF4-FFF2-40B4-BE49-F238E27FC236}">
              <a16:creationId xmlns:a16="http://schemas.microsoft.com/office/drawing/2014/main" id="{00000000-0008-0000-0D00-000087000000}"/>
            </a:ext>
          </a:extLst>
        </xdr:cNvPr>
        <xdr:cNvGrpSpPr/>
      </xdr:nvGrpSpPr>
      <xdr:grpSpPr>
        <a:xfrm>
          <a:off x="24723090" y="3559083"/>
          <a:ext cx="2369276" cy="1022986"/>
          <a:chOff x="8753475" y="54121049"/>
          <a:chExt cx="2277836" cy="1057276"/>
        </a:xfrm>
      </xdr:grpSpPr>
      <xdr:grpSp>
        <xdr:nvGrpSpPr>
          <xdr:cNvPr id="136" name="Groupe 135">
            <a:extLst>
              <a:ext uri="{FF2B5EF4-FFF2-40B4-BE49-F238E27FC236}">
                <a16:creationId xmlns:a16="http://schemas.microsoft.com/office/drawing/2014/main" id="{00000000-0008-0000-0D00-000088000000}"/>
              </a:ext>
            </a:extLst>
          </xdr:cNvPr>
          <xdr:cNvGrpSpPr/>
        </xdr:nvGrpSpPr>
        <xdr:grpSpPr>
          <a:xfrm>
            <a:off x="8753475" y="54121049"/>
            <a:ext cx="2277836" cy="1057276"/>
            <a:chOff x="7658100" y="25469849"/>
            <a:chExt cx="2277836" cy="1057276"/>
          </a:xfrm>
        </xdr:grpSpPr>
        <xdr:cxnSp macro="">
          <xdr:nvCxnSpPr>
            <xdr:cNvPr id="138" name="Connecteur droit 137">
              <a:extLst>
                <a:ext uri="{FF2B5EF4-FFF2-40B4-BE49-F238E27FC236}">
                  <a16:creationId xmlns:a16="http://schemas.microsoft.com/office/drawing/2014/main" id="{00000000-0008-0000-0D00-00008A000000}"/>
                </a:ext>
              </a:extLst>
            </xdr:cNvPr>
            <xdr:cNvCxnSpPr/>
          </xdr:nvCxnSpPr>
          <xdr:spPr>
            <a:xfrm flipV="1">
              <a:off x="7658100" y="26524384"/>
              <a:ext cx="2277836" cy="2741"/>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pic>
          <xdr:nvPicPr>
            <xdr:cNvPr id="139" name="Graphique 138" descr="En haut contour">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8658225" y="25469849"/>
              <a:ext cx="714375" cy="714375"/>
            </a:xfrm>
            <a:prstGeom prst="rect">
              <a:avLst/>
            </a:prstGeom>
          </xdr:spPr>
        </xdr:pic>
      </xdr:grpSp>
      <xdr:pic>
        <xdr:nvPicPr>
          <xdr:cNvPr id="137" name="Graphique 136" descr="Usine contour">
            <a:extLst>
              <a:ext uri="{FF2B5EF4-FFF2-40B4-BE49-F238E27FC236}">
                <a16:creationId xmlns:a16="http://schemas.microsoft.com/office/drawing/2014/main" id="{00000000-0008-0000-0D00-000089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9382125" y="54587774"/>
            <a:ext cx="581025" cy="549899"/>
          </a:xfrm>
          <a:prstGeom prst="rect">
            <a:avLst/>
          </a:prstGeom>
        </xdr:spPr>
      </xdr:pic>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19</xdr:col>
      <xdr:colOff>33790</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0E00-00000B000000}"/>
            </a:ext>
          </a:extLst>
        </xdr:cNvPr>
        <xdr:cNvGrpSpPr/>
      </xdr:nvGrpSpPr>
      <xdr:grpSpPr>
        <a:xfrm>
          <a:off x="30480" y="0"/>
          <a:ext cx="14233505" cy="1115123"/>
          <a:chOff x="30480" y="0"/>
          <a:chExt cx="14295120" cy="1097281"/>
        </a:xfrm>
      </xdr:grpSpPr>
      <xdr:sp macro="" textlink="">
        <xdr:nvSpPr>
          <xdr:cNvPr id="12" name="Rectangle 11">
            <a:extLst>
              <a:ext uri="{FF2B5EF4-FFF2-40B4-BE49-F238E27FC236}">
                <a16:creationId xmlns:a16="http://schemas.microsoft.com/office/drawing/2014/main" id="{00000000-0008-0000-0E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0E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0E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166703</xdr:colOff>
      <xdr:row>0</xdr:row>
      <xdr:rowOff>117111</xdr:rowOff>
    </xdr:from>
    <xdr:to>
      <xdr:col>5</xdr:col>
      <xdr:colOff>735518</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0E00-00000F000000}"/>
            </a:ext>
          </a:extLst>
        </xdr:cNvPr>
        <xdr:cNvGrpSpPr/>
      </xdr:nvGrpSpPr>
      <xdr:grpSpPr>
        <a:xfrm>
          <a:off x="1808410" y="117111"/>
          <a:ext cx="1603401" cy="348847"/>
          <a:chOff x="1751601" y="106493"/>
          <a:chExt cx="1575966" cy="351894"/>
        </a:xfrm>
      </xdr:grpSpPr>
      <xdr:sp macro="" textlink="">
        <xdr:nvSpPr>
          <xdr:cNvPr id="16" name="Rectangle : avec coins arrondis en haut 15">
            <a:extLst>
              <a:ext uri="{FF2B5EF4-FFF2-40B4-BE49-F238E27FC236}">
                <a16:creationId xmlns:a16="http://schemas.microsoft.com/office/drawing/2014/main" id="{00000000-0008-0000-0E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alpha val="69804"/>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0E00-000011000000}"/>
              </a:ext>
            </a:extLst>
          </xdr:cNvPr>
          <xdr:cNvSpPr/>
        </xdr:nvSpPr>
        <xdr:spPr>
          <a:xfrm>
            <a:off x="1873521" y="144967"/>
            <a:ext cx="1347366" cy="306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xdr:col>
      <xdr:colOff>770849</xdr:colOff>
      <xdr:row>7</xdr:row>
      <xdr:rowOff>125463</xdr:rowOff>
    </xdr:from>
    <xdr:to>
      <xdr:col>7</xdr:col>
      <xdr:colOff>663627</xdr:colOff>
      <xdr:row>10</xdr:row>
      <xdr:rowOff>22871</xdr:rowOff>
    </xdr:to>
    <xdr:grpSp>
      <xdr:nvGrpSpPr>
        <xdr:cNvPr id="18" name="Groupe 17">
          <a:extLst>
            <a:ext uri="{FF2B5EF4-FFF2-40B4-BE49-F238E27FC236}">
              <a16:creationId xmlns:a16="http://schemas.microsoft.com/office/drawing/2014/main" id="{00000000-0008-0000-0E00-000012000000}"/>
            </a:ext>
          </a:extLst>
        </xdr:cNvPr>
        <xdr:cNvGrpSpPr/>
      </xdr:nvGrpSpPr>
      <xdr:grpSpPr>
        <a:xfrm>
          <a:off x="1563825" y="1426439"/>
          <a:ext cx="3448778" cy="461164"/>
          <a:chOff x="1765956" y="2512140"/>
          <a:chExt cx="5228348" cy="266391"/>
        </a:xfrm>
      </xdr:grpSpPr>
      <xdr:sp macro="" textlink="">
        <xdr:nvSpPr>
          <xdr:cNvPr id="19" name="ZoneTexte 3">
            <a:extLst>
              <a:ext uri="{FF2B5EF4-FFF2-40B4-BE49-F238E27FC236}">
                <a16:creationId xmlns:a16="http://schemas.microsoft.com/office/drawing/2014/main" id="{00000000-0008-0000-0E00-000013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Contrat à transférer</a:t>
            </a:r>
          </a:p>
        </xdr:txBody>
      </xdr:sp>
      <xdr:cxnSp macro="">
        <xdr:nvCxnSpPr>
          <xdr:cNvPr id="20" name="Connecteur droit 19">
            <a:extLst>
              <a:ext uri="{FF2B5EF4-FFF2-40B4-BE49-F238E27FC236}">
                <a16:creationId xmlns:a16="http://schemas.microsoft.com/office/drawing/2014/main" id="{00000000-0008-0000-0E00-000014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xdr:col>
      <xdr:colOff>770849</xdr:colOff>
      <xdr:row>7</xdr:row>
      <xdr:rowOff>39581</xdr:rowOff>
    </xdr:from>
    <xdr:to>
      <xdr:col>19</xdr:col>
      <xdr:colOff>216529</xdr:colOff>
      <xdr:row>42</xdr:row>
      <xdr:rowOff>49445</xdr:rowOff>
    </xdr:to>
    <xdr:sp macro="" textlink="">
      <xdr:nvSpPr>
        <xdr:cNvPr id="39" name="Rectangle 38">
          <a:extLst>
            <a:ext uri="{FF2B5EF4-FFF2-40B4-BE49-F238E27FC236}">
              <a16:creationId xmlns:a16="http://schemas.microsoft.com/office/drawing/2014/main" id="{00000000-0008-0000-0E00-000027000000}"/>
            </a:ext>
          </a:extLst>
        </xdr:cNvPr>
        <xdr:cNvSpPr/>
      </xdr:nvSpPr>
      <xdr:spPr>
        <a:xfrm>
          <a:off x="1535972" y="1351220"/>
          <a:ext cx="12515229" cy="6378083"/>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0</xdr:col>
      <xdr:colOff>30480</xdr:colOff>
      <xdr:row>6</xdr:row>
      <xdr:rowOff>140533</xdr:rowOff>
    </xdr:from>
    <xdr:to>
      <xdr:col>1</xdr:col>
      <xdr:colOff>600418</xdr:colOff>
      <xdr:row>8</xdr:row>
      <xdr:rowOff>85881</xdr:rowOff>
    </xdr:to>
    <xdr:sp macro="" textlink="">
      <xdr:nvSpPr>
        <xdr:cNvPr id="43" name="Rectangle 42">
          <a:extLst>
            <a:ext uri="{FF2B5EF4-FFF2-40B4-BE49-F238E27FC236}">
              <a16:creationId xmlns:a16="http://schemas.microsoft.com/office/drawing/2014/main" id="{00000000-0008-0000-0E00-00002B000000}"/>
            </a:ext>
          </a:extLst>
        </xdr:cNvPr>
        <xdr:cNvSpPr/>
      </xdr:nvSpPr>
      <xdr:spPr>
        <a:xfrm>
          <a:off x="30480" y="1264795"/>
          <a:ext cx="1335061" cy="320102"/>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Contrat à transférer</a:t>
          </a:r>
        </a:p>
      </xdr:txBody>
    </xdr:sp>
    <xdr:clientData/>
  </xdr:twoCellAnchor>
  <xdr:twoCellAnchor editAs="absolute">
    <xdr:from>
      <xdr:col>0</xdr:col>
      <xdr:colOff>30480</xdr:colOff>
      <xdr:row>8</xdr:row>
      <xdr:rowOff>135224</xdr:rowOff>
    </xdr:from>
    <xdr:to>
      <xdr:col>1</xdr:col>
      <xdr:colOff>600418</xdr:colOff>
      <xdr:row>10</xdr:row>
      <xdr:rowOff>80572</xdr:rowOff>
    </xdr:to>
    <xdr:sp macro="[0]!Transfert_PER_pour_passer_New_PER" textlink="">
      <xdr:nvSpPr>
        <xdr:cNvPr id="44" name="Lien_Avis_IR_N-1_/_R_N-2">
          <a:extLst>
            <a:ext uri="{FF2B5EF4-FFF2-40B4-BE49-F238E27FC236}">
              <a16:creationId xmlns:a16="http://schemas.microsoft.com/office/drawing/2014/main" id="{00000000-0008-0000-0E00-00002C000000}"/>
            </a:ext>
          </a:extLst>
        </xdr:cNvPr>
        <xdr:cNvSpPr/>
      </xdr:nvSpPr>
      <xdr:spPr>
        <a:xfrm>
          <a:off x="30480" y="1634240"/>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Nouveau PER</a:t>
          </a:r>
        </a:p>
      </xdr:txBody>
    </xdr:sp>
    <xdr:clientData/>
  </xdr:twoCellAnchor>
  <xdr:twoCellAnchor editAs="absolute">
    <xdr:from>
      <xdr:col>0</xdr:col>
      <xdr:colOff>30480</xdr:colOff>
      <xdr:row>10</xdr:row>
      <xdr:rowOff>129915</xdr:rowOff>
    </xdr:from>
    <xdr:to>
      <xdr:col>1</xdr:col>
      <xdr:colOff>600418</xdr:colOff>
      <xdr:row>12</xdr:row>
      <xdr:rowOff>59648</xdr:rowOff>
    </xdr:to>
    <xdr:sp macro="" textlink="">
      <xdr:nvSpPr>
        <xdr:cNvPr id="45" name="Lien_Déclaration_R_N-1">
          <a:extLst>
            <a:ext uri="{FF2B5EF4-FFF2-40B4-BE49-F238E27FC236}">
              <a16:creationId xmlns:a16="http://schemas.microsoft.com/office/drawing/2014/main" id="{00000000-0008-0000-0E00-00002D000000}"/>
            </a:ext>
          </a:extLst>
        </xdr:cNvPr>
        <xdr:cNvSpPr/>
      </xdr:nvSpPr>
      <xdr:spPr>
        <a:xfrm>
          <a:off x="30480" y="2003685"/>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a:t>
          </a:r>
        </a:p>
      </xdr:txBody>
    </xdr:sp>
    <xdr:clientData/>
  </xdr:twoCellAnchor>
  <xdr:twoCellAnchor>
    <xdr:from>
      <xdr:col>2</xdr:col>
      <xdr:colOff>148340</xdr:colOff>
      <xdr:row>3</xdr:row>
      <xdr:rowOff>124918</xdr:rowOff>
    </xdr:from>
    <xdr:to>
      <xdr:col>4</xdr:col>
      <xdr:colOff>120860</xdr:colOff>
      <xdr:row>5</xdr:row>
      <xdr:rowOff>104331</xdr:rowOff>
    </xdr:to>
    <xdr:grpSp>
      <xdr:nvGrpSpPr>
        <xdr:cNvPr id="46" name="Groupe 45">
          <a:extLst>
            <a:ext uri="{FF2B5EF4-FFF2-40B4-BE49-F238E27FC236}">
              <a16:creationId xmlns:a16="http://schemas.microsoft.com/office/drawing/2014/main" id="{00000000-0008-0000-0E00-00002E000000}"/>
            </a:ext>
          </a:extLst>
        </xdr:cNvPr>
        <xdr:cNvGrpSpPr/>
      </xdr:nvGrpSpPr>
      <xdr:grpSpPr>
        <a:xfrm>
          <a:off x="1790047" y="682479"/>
          <a:ext cx="870813" cy="351120"/>
          <a:chOff x="3142624" y="716405"/>
          <a:chExt cx="846946" cy="354167"/>
        </a:xfrm>
      </xdr:grpSpPr>
      <xdr:sp macro="[0]!Reset_Transfert_PER" textlink="">
        <xdr:nvSpPr>
          <xdr:cNvPr id="47" name="Ellipse 46">
            <a:extLst>
              <a:ext uri="{FF2B5EF4-FFF2-40B4-BE49-F238E27FC236}">
                <a16:creationId xmlns:a16="http://schemas.microsoft.com/office/drawing/2014/main" id="{00000000-0008-0000-0E00-00002F000000}"/>
              </a:ext>
            </a:extLst>
          </xdr:cNvPr>
          <xdr:cNvSpPr/>
        </xdr:nvSpPr>
        <xdr:spPr>
          <a:xfrm>
            <a:off x="3142624" y="716405"/>
            <a:ext cx="394218" cy="345485"/>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0]!Reset_Transfert_PER" textlink="">
        <xdr:nvSpPr>
          <xdr:cNvPr id="48" name="Rectangle 47">
            <a:extLst>
              <a:ext uri="{FF2B5EF4-FFF2-40B4-BE49-F238E27FC236}">
                <a16:creationId xmlns:a16="http://schemas.microsoft.com/office/drawing/2014/main" id="{00000000-0008-0000-0E00-000030000000}"/>
              </a:ext>
            </a:extLst>
          </xdr:cNvPr>
          <xdr:cNvSpPr/>
        </xdr:nvSpPr>
        <xdr:spPr>
          <a:xfrm>
            <a:off x="3514961" y="718799"/>
            <a:ext cx="47460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Reset</a:t>
            </a:r>
          </a:p>
        </xdr:txBody>
      </xdr:sp>
      <xdr:pic macro="[0]!Reset_Transfert_PER">
        <xdr:nvPicPr>
          <xdr:cNvPr id="49" name="Graphique 48" descr="Ordures avec un remplissage uni">
            <a:extLst>
              <a:ext uri="{FF2B5EF4-FFF2-40B4-BE49-F238E27FC236}">
                <a16:creationId xmlns:a16="http://schemas.microsoft.com/office/drawing/2014/main" id="{00000000-0008-0000-0E00-00003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218720" y="752518"/>
            <a:ext cx="242028" cy="242028"/>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17</xdr:col>
          <xdr:colOff>182880</xdr:colOff>
          <xdr:row>15</xdr:row>
          <xdr:rowOff>30480</xdr:rowOff>
        </xdr:from>
        <xdr:to>
          <xdr:col>17</xdr:col>
          <xdr:colOff>1242060</xdr:colOff>
          <xdr:row>16</xdr:row>
          <xdr:rowOff>38100</xdr:rowOff>
        </xdr:to>
        <xdr:sp macro="" textlink="">
          <xdr:nvSpPr>
            <xdr:cNvPr id="27699" name="Evolution_PER" hidden="1">
              <a:extLst>
                <a:ext uri="{63B3BB69-23CF-44E3-9099-C40C66FF867C}">
                  <a14:compatExt spid="_x0000_s27699"/>
                </a:ext>
                <a:ext uri="{FF2B5EF4-FFF2-40B4-BE49-F238E27FC236}">
                  <a16:creationId xmlns:a16="http://schemas.microsoft.com/office/drawing/2014/main" id="{00000000-0008-0000-0E00-0000336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xdr:from>
      <xdr:col>18</xdr:col>
      <xdr:colOff>70267</xdr:colOff>
      <xdr:row>15</xdr:row>
      <xdr:rowOff>15489</xdr:rowOff>
    </xdr:from>
    <xdr:to>
      <xdr:col>18</xdr:col>
      <xdr:colOff>702664</xdr:colOff>
      <xdr:row>16</xdr:row>
      <xdr:rowOff>93690</xdr:rowOff>
    </xdr:to>
    <xdr:sp macro="" textlink="">
      <xdr:nvSpPr>
        <xdr:cNvPr id="21" name="Rectangle 20">
          <a:extLst>
            <a:ext uri="{FF2B5EF4-FFF2-40B4-BE49-F238E27FC236}">
              <a16:creationId xmlns:a16="http://schemas.microsoft.com/office/drawing/2014/main" id="{00000000-0008-0000-0E00-000015000000}"/>
            </a:ext>
          </a:extLst>
        </xdr:cNvPr>
        <xdr:cNvSpPr/>
      </xdr:nvSpPr>
      <xdr:spPr>
        <a:xfrm>
          <a:off x="13118743" y="2733599"/>
          <a:ext cx="632397" cy="27179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445020</xdr:colOff>
      <xdr:row>17</xdr:row>
      <xdr:rowOff>70077</xdr:rowOff>
    </xdr:from>
    <xdr:to>
      <xdr:col>18</xdr:col>
      <xdr:colOff>655820</xdr:colOff>
      <xdr:row>35</xdr:row>
      <xdr:rowOff>31040</xdr:rowOff>
    </xdr:to>
    <xdr:sp macro="" textlink="">
      <xdr:nvSpPr>
        <xdr:cNvPr id="22" name="MASQUER_CT_A_TRANSF">
          <a:extLst>
            <a:ext uri="{FF2B5EF4-FFF2-40B4-BE49-F238E27FC236}">
              <a16:creationId xmlns:a16="http://schemas.microsoft.com/office/drawing/2014/main" id="{00000000-0008-0000-0E00-000016000000}"/>
            </a:ext>
          </a:extLst>
        </xdr:cNvPr>
        <xdr:cNvSpPr/>
      </xdr:nvSpPr>
      <xdr:spPr>
        <a:xfrm>
          <a:off x="2024776" y="3175382"/>
          <a:ext cx="11679520" cy="344571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11</xdr:col>
      <xdr:colOff>69695</xdr:colOff>
      <xdr:row>7</xdr:row>
      <xdr:rowOff>193597</xdr:rowOff>
    </xdr:from>
    <xdr:to>
      <xdr:col>16</xdr:col>
      <xdr:colOff>859573</xdr:colOff>
      <xdr:row>10</xdr:row>
      <xdr:rowOff>0</xdr:rowOff>
    </xdr:to>
    <xdr:sp macro="" textlink="">
      <xdr:nvSpPr>
        <xdr:cNvPr id="23" name="Rectangle 22">
          <a:extLst>
            <a:ext uri="{FF2B5EF4-FFF2-40B4-BE49-F238E27FC236}">
              <a16:creationId xmlns:a16="http://schemas.microsoft.com/office/drawing/2014/main" id="{00000000-0008-0000-0E00-000017000000}"/>
            </a:ext>
          </a:extLst>
        </xdr:cNvPr>
        <xdr:cNvSpPr/>
      </xdr:nvSpPr>
      <xdr:spPr>
        <a:xfrm>
          <a:off x="7124390" y="1548780"/>
          <a:ext cx="4019085" cy="387196"/>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800" b="1" i="1">
            <a:solidFill>
              <a:schemeClr val="accent4">
                <a:lumMod val="50000"/>
              </a:schemeClr>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18</xdr:col>
      <xdr:colOff>260204</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1000-00000B000000}"/>
            </a:ext>
          </a:extLst>
        </xdr:cNvPr>
        <xdr:cNvGrpSpPr/>
      </xdr:nvGrpSpPr>
      <xdr:grpSpPr>
        <a:xfrm>
          <a:off x="30480" y="0"/>
          <a:ext cx="14292651" cy="1115123"/>
          <a:chOff x="30480" y="0"/>
          <a:chExt cx="14295120" cy="1097281"/>
        </a:xfrm>
      </xdr:grpSpPr>
      <xdr:sp macro="" textlink="">
        <xdr:nvSpPr>
          <xdr:cNvPr id="12" name="Rectangle 11">
            <a:extLst>
              <a:ext uri="{FF2B5EF4-FFF2-40B4-BE49-F238E27FC236}">
                <a16:creationId xmlns:a16="http://schemas.microsoft.com/office/drawing/2014/main" id="{00000000-0008-0000-10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10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10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166703</xdr:colOff>
      <xdr:row>0</xdr:row>
      <xdr:rowOff>117111</xdr:rowOff>
    </xdr:from>
    <xdr:to>
      <xdr:col>4</xdr:col>
      <xdr:colOff>95313</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1000-00000F000000}"/>
            </a:ext>
          </a:extLst>
        </xdr:cNvPr>
        <xdr:cNvGrpSpPr/>
      </xdr:nvGrpSpPr>
      <xdr:grpSpPr>
        <a:xfrm>
          <a:off x="1808410" y="117111"/>
          <a:ext cx="1619879" cy="348847"/>
          <a:chOff x="1751601" y="106493"/>
          <a:chExt cx="1575966" cy="351894"/>
        </a:xfrm>
        <a:solidFill>
          <a:schemeClr val="tx1">
            <a:lumMod val="50000"/>
            <a:lumOff val="50000"/>
          </a:schemeClr>
        </a:solidFill>
      </xdr:grpSpPr>
      <xdr:sp macro="" textlink="">
        <xdr:nvSpPr>
          <xdr:cNvPr id="16" name="Rectangle : avec coins arrondis en haut 15">
            <a:extLst>
              <a:ext uri="{FF2B5EF4-FFF2-40B4-BE49-F238E27FC236}">
                <a16:creationId xmlns:a16="http://schemas.microsoft.com/office/drawing/2014/main" id="{00000000-0008-0000-10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1000-000011000000}"/>
              </a:ext>
            </a:extLst>
          </xdr:cNvPr>
          <xdr:cNvSpPr/>
        </xdr:nvSpPr>
        <xdr:spPr>
          <a:xfrm>
            <a:off x="1873521" y="144967"/>
            <a:ext cx="1347366" cy="3061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xdr:col>
      <xdr:colOff>770849</xdr:colOff>
      <xdr:row>7</xdr:row>
      <xdr:rowOff>125463</xdr:rowOff>
    </xdr:from>
    <xdr:to>
      <xdr:col>7</xdr:col>
      <xdr:colOff>515287</xdr:colOff>
      <xdr:row>10</xdr:row>
      <xdr:rowOff>22871</xdr:rowOff>
    </xdr:to>
    <xdr:grpSp>
      <xdr:nvGrpSpPr>
        <xdr:cNvPr id="18" name="Groupe 17">
          <a:extLst>
            <a:ext uri="{FF2B5EF4-FFF2-40B4-BE49-F238E27FC236}">
              <a16:creationId xmlns:a16="http://schemas.microsoft.com/office/drawing/2014/main" id="{00000000-0008-0000-1000-000012000000}"/>
            </a:ext>
          </a:extLst>
        </xdr:cNvPr>
        <xdr:cNvGrpSpPr/>
      </xdr:nvGrpSpPr>
      <xdr:grpSpPr>
        <a:xfrm>
          <a:off x="1563825" y="1426439"/>
          <a:ext cx="3467706" cy="454969"/>
          <a:chOff x="1765956" y="2512140"/>
          <a:chExt cx="5228348" cy="266391"/>
        </a:xfrm>
      </xdr:grpSpPr>
      <xdr:sp macro="" textlink="">
        <xdr:nvSpPr>
          <xdr:cNvPr id="19" name="ZoneTexte 3">
            <a:extLst>
              <a:ext uri="{FF2B5EF4-FFF2-40B4-BE49-F238E27FC236}">
                <a16:creationId xmlns:a16="http://schemas.microsoft.com/office/drawing/2014/main" id="{00000000-0008-0000-1000-000013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Nouveau</a:t>
            </a:r>
            <a:r>
              <a:rPr lang="fr-FR" sz="1600" b="1" baseline="0">
                <a:effectLst/>
                <a:latin typeface="+mn-lt"/>
                <a:ea typeface="+mn-ea"/>
                <a:cs typeface="+mn-cs"/>
              </a:rPr>
              <a:t> PER</a:t>
            </a:r>
            <a:endParaRPr lang="fr-FR" sz="1600" b="1">
              <a:effectLst/>
              <a:latin typeface="+mn-lt"/>
              <a:ea typeface="+mn-ea"/>
              <a:cs typeface="+mn-cs"/>
            </a:endParaRPr>
          </a:p>
        </xdr:txBody>
      </xdr:sp>
      <xdr:cxnSp macro="">
        <xdr:nvCxnSpPr>
          <xdr:cNvPr id="20" name="Connecteur droit 19">
            <a:extLst>
              <a:ext uri="{FF2B5EF4-FFF2-40B4-BE49-F238E27FC236}">
                <a16:creationId xmlns:a16="http://schemas.microsoft.com/office/drawing/2014/main" id="{00000000-0008-0000-1000-000014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xdr:col>
      <xdr:colOff>770849</xdr:colOff>
      <xdr:row>7</xdr:row>
      <xdr:rowOff>39582</xdr:rowOff>
    </xdr:from>
    <xdr:to>
      <xdr:col>18</xdr:col>
      <xdr:colOff>442943</xdr:colOff>
      <xdr:row>40</xdr:row>
      <xdr:rowOff>171762</xdr:rowOff>
    </xdr:to>
    <xdr:sp macro="" textlink="">
      <xdr:nvSpPr>
        <xdr:cNvPr id="39" name="Rectangle 38">
          <a:extLst>
            <a:ext uri="{FF2B5EF4-FFF2-40B4-BE49-F238E27FC236}">
              <a16:creationId xmlns:a16="http://schemas.microsoft.com/office/drawing/2014/main" id="{00000000-0008-0000-1000-000027000000}"/>
            </a:ext>
          </a:extLst>
        </xdr:cNvPr>
        <xdr:cNvSpPr/>
      </xdr:nvSpPr>
      <xdr:spPr>
        <a:xfrm>
          <a:off x="1535972" y="1351221"/>
          <a:ext cx="12515229" cy="6050172"/>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0</xdr:col>
      <xdr:colOff>30480</xdr:colOff>
      <xdr:row>6</xdr:row>
      <xdr:rowOff>140532</xdr:rowOff>
    </xdr:from>
    <xdr:to>
      <xdr:col>1</xdr:col>
      <xdr:colOff>600418</xdr:colOff>
      <xdr:row>8</xdr:row>
      <xdr:rowOff>85880</xdr:rowOff>
    </xdr:to>
    <xdr:sp macro="" textlink="">
      <xdr:nvSpPr>
        <xdr:cNvPr id="41" name="Rectangle 40">
          <a:hlinkClick xmlns:r="http://schemas.openxmlformats.org/officeDocument/2006/relationships" r:id="rId4"/>
          <a:extLst>
            <a:ext uri="{FF2B5EF4-FFF2-40B4-BE49-F238E27FC236}">
              <a16:creationId xmlns:a16="http://schemas.microsoft.com/office/drawing/2014/main" id="{00000000-0008-0000-1000-000029000000}"/>
            </a:ext>
          </a:extLst>
        </xdr:cNvPr>
        <xdr:cNvSpPr/>
      </xdr:nvSpPr>
      <xdr:spPr>
        <a:xfrm>
          <a:off x="30480" y="1264794"/>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Contrat à transférer</a:t>
          </a:r>
        </a:p>
      </xdr:txBody>
    </xdr:sp>
    <xdr:clientData/>
  </xdr:twoCellAnchor>
  <xdr:twoCellAnchor editAs="absolute">
    <xdr:from>
      <xdr:col>0</xdr:col>
      <xdr:colOff>30480</xdr:colOff>
      <xdr:row>8</xdr:row>
      <xdr:rowOff>135223</xdr:rowOff>
    </xdr:from>
    <xdr:to>
      <xdr:col>1</xdr:col>
      <xdr:colOff>600418</xdr:colOff>
      <xdr:row>10</xdr:row>
      <xdr:rowOff>80571</xdr:rowOff>
    </xdr:to>
    <xdr:sp macro="" textlink="">
      <xdr:nvSpPr>
        <xdr:cNvPr id="42" name="Lien_Avis_IR_N-1_/_R_N-2">
          <a:hlinkClick xmlns:r="http://schemas.openxmlformats.org/officeDocument/2006/relationships" r:id="rId5"/>
          <a:extLst>
            <a:ext uri="{FF2B5EF4-FFF2-40B4-BE49-F238E27FC236}">
              <a16:creationId xmlns:a16="http://schemas.microsoft.com/office/drawing/2014/main" id="{00000000-0008-0000-1000-00002A000000}"/>
            </a:ext>
          </a:extLst>
        </xdr:cNvPr>
        <xdr:cNvSpPr/>
      </xdr:nvSpPr>
      <xdr:spPr>
        <a:xfrm>
          <a:off x="30480" y="1634239"/>
          <a:ext cx="1335061" cy="320102"/>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Nouveau PER</a:t>
          </a:r>
        </a:p>
      </xdr:txBody>
    </xdr:sp>
    <xdr:clientData/>
  </xdr:twoCellAnchor>
  <xdr:twoCellAnchor editAs="absolute">
    <xdr:from>
      <xdr:col>0</xdr:col>
      <xdr:colOff>30480</xdr:colOff>
      <xdr:row>10</xdr:row>
      <xdr:rowOff>129914</xdr:rowOff>
    </xdr:from>
    <xdr:to>
      <xdr:col>1</xdr:col>
      <xdr:colOff>600418</xdr:colOff>
      <xdr:row>12</xdr:row>
      <xdr:rowOff>75261</xdr:rowOff>
    </xdr:to>
    <xdr:sp macro="" textlink="">
      <xdr:nvSpPr>
        <xdr:cNvPr id="43" name="Lien_Déclaration_R_N-1">
          <a:hlinkClick xmlns:r="http://schemas.openxmlformats.org/officeDocument/2006/relationships" r:id="rId6"/>
          <a:extLst>
            <a:ext uri="{FF2B5EF4-FFF2-40B4-BE49-F238E27FC236}">
              <a16:creationId xmlns:a16="http://schemas.microsoft.com/office/drawing/2014/main" id="{00000000-0008-0000-1000-00002B000000}"/>
            </a:ext>
          </a:extLst>
        </xdr:cNvPr>
        <xdr:cNvSpPr/>
      </xdr:nvSpPr>
      <xdr:spPr>
        <a:xfrm>
          <a:off x="30480" y="2003684"/>
          <a:ext cx="1335061" cy="320102"/>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a:t>
          </a:r>
        </a:p>
      </xdr:txBody>
    </xdr:sp>
    <xdr:clientData/>
  </xdr:twoCellAnchor>
  <xdr:twoCellAnchor>
    <xdr:from>
      <xdr:col>15</xdr:col>
      <xdr:colOff>15616</xdr:colOff>
      <xdr:row>26</xdr:row>
      <xdr:rowOff>109305</xdr:rowOff>
    </xdr:from>
    <xdr:to>
      <xdr:col>18</xdr:col>
      <xdr:colOff>62460</xdr:colOff>
      <xdr:row>28</xdr:row>
      <xdr:rowOff>46846</xdr:rowOff>
    </xdr:to>
    <xdr:sp macro="" textlink="">
      <xdr:nvSpPr>
        <xdr:cNvPr id="21" name="MasquerRENDEMENT_LIQUID">
          <a:extLst>
            <a:ext uri="{FF2B5EF4-FFF2-40B4-BE49-F238E27FC236}">
              <a16:creationId xmlns:a16="http://schemas.microsoft.com/office/drawing/2014/main" id="{00000000-0008-0000-1000-000015000000}"/>
            </a:ext>
          </a:extLst>
        </xdr:cNvPr>
        <xdr:cNvSpPr/>
      </xdr:nvSpPr>
      <xdr:spPr>
        <a:xfrm>
          <a:off x="10766374" y="4778116"/>
          <a:ext cx="2904344" cy="32791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xdr:col>
      <xdr:colOff>917523</xdr:colOff>
      <xdr:row>26</xdr:row>
      <xdr:rowOff>121172</xdr:rowOff>
    </xdr:from>
    <xdr:to>
      <xdr:col>18</xdr:col>
      <xdr:colOff>93688</xdr:colOff>
      <xdr:row>30</xdr:row>
      <xdr:rowOff>117110</xdr:rowOff>
    </xdr:to>
    <xdr:sp macro="" textlink="">
      <xdr:nvSpPr>
        <xdr:cNvPr id="22" name="MasquerRENDEMENT_LIQUID_C3" hidden="1">
          <a:extLst>
            <a:ext uri="{FF2B5EF4-FFF2-40B4-BE49-F238E27FC236}">
              <a16:creationId xmlns:a16="http://schemas.microsoft.com/office/drawing/2014/main" id="{00000000-0008-0000-1000-000016000000}"/>
            </a:ext>
          </a:extLst>
        </xdr:cNvPr>
        <xdr:cNvSpPr/>
      </xdr:nvSpPr>
      <xdr:spPr>
        <a:xfrm>
          <a:off x="8147154" y="4789983"/>
          <a:ext cx="5554792" cy="6829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fr-FR" sz="1100"/>
        </a:p>
      </xdr:txBody>
    </xdr:sp>
    <xdr:clientData/>
  </xdr:twoCellAnchor>
  <xdr:twoCellAnchor>
    <xdr:from>
      <xdr:col>2</xdr:col>
      <xdr:colOff>234221</xdr:colOff>
      <xdr:row>10</xdr:row>
      <xdr:rowOff>179570</xdr:rowOff>
    </xdr:from>
    <xdr:to>
      <xdr:col>11</xdr:col>
      <xdr:colOff>202992</xdr:colOff>
      <xdr:row>19</xdr:row>
      <xdr:rowOff>62458</xdr:rowOff>
    </xdr:to>
    <xdr:sp macro="" textlink="">
      <xdr:nvSpPr>
        <xdr:cNvPr id="23" name="Rectangle 22">
          <a:extLst>
            <a:ext uri="{FF2B5EF4-FFF2-40B4-BE49-F238E27FC236}">
              <a16:creationId xmlns:a16="http://schemas.microsoft.com/office/drawing/2014/main" id="{00000000-0008-0000-1000-000017000000}"/>
            </a:ext>
          </a:extLst>
        </xdr:cNvPr>
        <xdr:cNvSpPr/>
      </xdr:nvSpPr>
      <xdr:spPr>
        <a:xfrm>
          <a:off x="1819119" y="2053340"/>
          <a:ext cx="6566004" cy="1428749"/>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18</xdr:col>
      <xdr:colOff>182130</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1100-00000B000000}"/>
            </a:ext>
          </a:extLst>
        </xdr:cNvPr>
        <xdr:cNvGrpSpPr/>
      </xdr:nvGrpSpPr>
      <xdr:grpSpPr>
        <a:xfrm>
          <a:off x="30480" y="0"/>
          <a:ext cx="14233162" cy="1115123"/>
          <a:chOff x="30480" y="0"/>
          <a:chExt cx="14295120" cy="1097281"/>
        </a:xfrm>
      </xdr:grpSpPr>
      <xdr:sp macro="" textlink="">
        <xdr:nvSpPr>
          <xdr:cNvPr id="12" name="Rectangle 11">
            <a:extLst>
              <a:ext uri="{FF2B5EF4-FFF2-40B4-BE49-F238E27FC236}">
                <a16:creationId xmlns:a16="http://schemas.microsoft.com/office/drawing/2014/main" id="{00000000-0008-0000-11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11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11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166703</xdr:colOff>
      <xdr:row>0</xdr:row>
      <xdr:rowOff>117111</xdr:rowOff>
    </xdr:from>
    <xdr:to>
      <xdr:col>5</xdr:col>
      <xdr:colOff>501297</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1100-00000F000000}"/>
            </a:ext>
          </a:extLst>
        </xdr:cNvPr>
        <xdr:cNvGrpSpPr/>
      </xdr:nvGrpSpPr>
      <xdr:grpSpPr>
        <a:xfrm>
          <a:off x="1808410" y="117111"/>
          <a:ext cx="1604594" cy="348847"/>
          <a:chOff x="1751601" y="106493"/>
          <a:chExt cx="1575966" cy="351894"/>
        </a:xfrm>
        <a:solidFill>
          <a:schemeClr val="tx1">
            <a:lumMod val="50000"/>
            <a:lumOff val="50000"/>
          </a:schemeClr>
        </a:solidFill>
      </xdr:grpSpPr>
      <xdr:sp macro="" textlink="">
        <xdr:nvSpPr>
          <xdr:cNvPr id="16" name="Rectangle : avec coins arrondis en haut 15">
            <a:extLst>
              <a:ext uri="{FF2B5EF4-FFF2-40B4-BE49-F238E27FC236}">
                <a16:creationId xmlns:a16="http://schemas.microsoft.com/office/drawing/2014/main" id="{00000000-0008-0000-1100-000010000000}"/>
              </a:ext>
            </a:extLst>
          </xdr:cNvPr>
          <xdr:cNvSpPr/>
        </xdr:nvSpPr>
        <xdr:spPr>
          <a:xfrm>
            <a:off x="1751601" y="106493"/>
            <a:ext cx="1575966" cy="351894"/>
          </a:xfrm>
          <a:prstGeom prst="round2SameRect">
            <a:avLst>
              <a:gd name="adj1" fmla="val 42917"/>
              <a:gd name="adj2" fmla="val 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1100-000011000000}"/>
              </a:ext>
            </a:extLst>
          </xdr:cNvPr>
          <xdr:cNvSpPr/>
        </xdr:nvSpPr>
        <xdr:spPr>
          <a:xfrm>
            <a:off x="1873521" y="144967"/>
            <a:ext cx="1347366" cy="3061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xdr:col>
      <xdr:colOff>770849</xdr:colOff>
      <xdr:row>7</xdr:row>
      <xdr:rowOff>125463</xdr:rowOff>
    </xdr:from>
    <xdr:to>
      <xdr:col>5</xdr:col>
      <xdr:colOff>2061148</xdr:colOff>
      <xdr:row>10</xdr:row>
      <xdr:rowOff>22871</xdr:rowOff>
    </xdr:to>
    <xdr:grpSp>
      <xdr:nvGrpSpPr>
        <xdr:cNvPr id="18" name="Groupe 17">
          <a:extLst>
            <a:ext uri="{FF2B5EF4-FFF2-40B4-BE49-F238E27FC236}">
              <a16:creationId xmlns:a16="http://schemas.microsoft.com/office/drawing/2014/main" id="{00000000-0008-0000-1100-000012000000}"/>
            </a:ext>
          </a:extLst>
        </xdr:cNvPr>
        <xdr:cNvGrpSpPr/>
      </xdr:nvGrpSpPr>
      <xdr:grpSpPr>
        <a:xfrm>
          <a:off x="1563825" y="1426439"/>
          <a:ext cx="3409030" cy="454969"/>
          <a:chOff x="1765956" y="2512140"/>
          <a:chExt cx="5228348" cy="266391"/>
        </a:xfrm>
      </xdr:grpSpPr>
      <xdr:sp macro="" textlink="">
        <xdr:nvSpPr>
          <xdr:cNvPr id="19" name="ZoneTexte 3">
            <a:extLst>
              <a:ext uri="{FF2B5EF4-FFF2-40B4-BE49-F238E27FC236}">
                <a16:creationId xmlns:a16="http://schemas.microsoft.com/office/drawing/2014/main" id="{00000000-0008-0000-1100-000013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Synthèse</a:t>
            </a:r>
          </a:p>
        </xdr:txBody>
      </xdr:sp>
      <xdr:cxnSp macro="">
        <xdr:nvCxnSpPr>
          <xdr:cNvPr id="20" name="Connecteur droit 19">
            <a:extLst>
              <a:ext uri="{FF2B5EF4-FFF2-40B4-BE49-F238E27FC236}">
                <a16:creationId xmlns:a16="http://schemas.microsoft.com/office/drawing/2014/main" id="{00000000-0008-0000-1100-000014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xdr:col>
      <xdr:colOff>770849</xdr:colOff>
      <xdr:row>7</xdr:row>
      <xdr:rowOff>39581</xdr:rowOff>
    </xdr:from>
    <xdr:to>
      <xdr:col>18</xdr:col>
      <xdr:colOff>364869</xdr:colOff>
      <xdr:row>41</xdr:row>
      <xdr:rowOff>31230</xdr:rowOff>
    </xdr:to>
    <xdr:sp macro="" textlink="">
      <xdr:nvSpPr>
        <xdr:cNvPr id="21" name="Rectangle 20">
          <a:extLst>
            <a:ext uri="{FF2B5EF4-FFF2-40B4-BE49-F238E27FC236}">
              <a16:creationId xmlns:a16="http://schemas.microsoft.com/office/drawing/2014/main" id="{00000000-0008-0000-1100-000015000000}"/>
            </a:ext>
          </a:extLst>
        </xdr:cNvPr>
        <xdr:cNvSpPr/>
      </xdr:nvSpPr>
      <xdr:spPr>
        <a:xfrm>
          <a:off x="1535972" y="1351220"/>
          <a:ext cx="12515229" cy="6362469"/>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0</xdr:col>
      <xdr:colOff>30480</xdr:colOff>
      <xdr:row>6</xdr:row>
      <xdr:rowOff>140532</xdr:rowOff>
    </xdr:from>
    <xdr:to>
      <xdr:col>1</xdr:col>
      <xdr:colOff>600418</xdr:colOff>
      <xdr:row>8</xdr:row>
      <xdr:rowOff>85880</xdr:rowOff>
    </xdr:to>
    <xdr:sp macro="" textlink="">
      <xdr:nvSpPr>
        <xdr:cNvPr id="22" name="Rectangle 21">
          <a:hlinkClick xmlns:r="http://schemas.openxmlformats.org/officeDocument/2006/relationships" r:id="rId4"/>
          <a:extLst>
            <a:ext uri="{FF2B5EF4-FFF2-40B4-BE49-F238E27FC236}">
              <a16:creationId xmlns:a16="http://schemas.microsoft.com/office/drawing/2014/main" id="{00000000-0008-0000-1100-000016000000}"/>
            </a:ext>
          </a:extLst>
        </xdr:cNvPr>
        <xdr:cNvSpPr/>
      </xdr:nvSpPr>
      <xdr:spPr>
        <a:xfrm>
          <a:off x="30480" y="1283532"/>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Contrat à transférer</a:t>
          </a:r>
        </a:p>
      </xdr:txBody>
    </xdr:sp>
    <xdr:clientData/>
  </xdr:twoCellAnchor>
  <xdr:twoCellAnchor editAs="absolute">
    <xdr:from>
      <xdr:col>0</xdr:col>
      <xdr:colOff>30480</xdr:colOff>
      <xdr:row>8</xdr:row>
      <xdr:rowOff>135223</xdr:rowOff>
    </xdr:from>
    <xdr:to>
      <xdr:col>1</xdr:col>
      <xdr:colOff>600418</xdr:colOff>
      <xdr:row>10</xdr:row>
      <xdr:rowOff>80571</xdr:rowOff>
    </xdr:to>
    <xdr:sp macro="" textlink="">
      <xdr:nvSpPr>
        <xdr:cNvPr id="23" name="Lien_Avis_IR_N-1_/_R_N-2">
          <a:hlinkClick xmlns:r="http://schemas.openxmlformats.org/officeDocument/2006/relationships" r:id="rId5"/>
          <a:extLst>
            <a:ext uri="{FF2B5EF4-FFF2-40B4-BE49-F238E27FC236}">
              <a16:creationId xmlns:a16="http://schemas.microsoft.com/office/drawing/2014/main" id="{00000000-0008-0000-1100-000017000000}"/>
            </a:ext>
          </a:extLst>
        </xdr:cNvPr>
        <xdr:cNvSpPr/>
      </xdr:nvSpPr>
      <xdr:spPr>
        <a:xfrm>
          <a:off x="30480" y="1659223"/>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Nouveau PER</a:t>
          </a:r>
        </a:p>
      </xdr:txBody>
    </xdr:sp>
    <xdr:clientData/>
  </xdr:twoCellAnchor>
  <xdr:twoCellAnchor editAs="absolute">
    <xdr:from>
      <xdr:col>0</xdr:col>
      <xdr:colOff>30480</xdr:colOff>
      <xdr:row>10</xdr:row>
      <xdr:rowOff>129914</xdr:rowOff>
    </xdr:from>
    <xdr:to>
      <xdr:col>1</xdr:col>
      <xdr:colOff>600418</xdr:colOff>
      <xdr:row>12</xdr:row>
      <xdr:rowOff>75261</xdr:rowOff>
    </xdr:to>
    <xdr:sp macro="" textlink="">
      <xdr:nvSpPr>
        <xdr:cNvPr id="24" name="Lien_Déclaration_R_N-1">
          <a:extLst>
            <a:ext uri="{FF2B5EF4-FFF2-40B4-BE49-F238E27FC236}">
              <a16:creationId xmlns:a16="http://schemas.microsoft.com/office/drawing/2014/main" id="{00000000-0008-0000-1100-000018000000}"/>
            </a:ext>
          </a:extLst>
        </xdr:cNvPr>
        <xdr:cNvSpPr/>
      </xdr:nvSpPr>
      <xdr:spPr>
        <a:xfrm>
          <a:off x="30480" y="2034914"/>
          <a:ext cx="1331938" cy="326347"/>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a:t>
          </a:r>
        </a:p>
      </xdr:txBody>
    </xdr:sp>
    <xdr:clientData/>
  </xdr:twoCellAnchor>
  <xdr:twoCellAnchor editAs="absolute">
    <xdr:from>
      <xdr:col>9</xdr:col>
      <xdr:colOff>675337</xdr:colOff>
      <xdr:row>21</xdr:row>
      <xdr:rowOff>31226</xdr:rowOff>
    </xdr:from>
    <xdr:to>
      <xdr:col>9</xdr:col>
      <xdr:colOff>917367</xdr:colOff>
      <xdr:row>22</xdr:row>
      <xdr:rowOff>62457</xdr:rowOff>
    </xdr:to>
    <xdr:grpSp>
      <xdr:nvGrpSpPr>
        <xdr:cNvPr id="29" name="Groupe 28">
          <a:hlinkClick xmlns:r="http://schemas.openxmlformats.org/officeDocument/2006/relationships" r:id="rId6"/>
          <a:extLst>
            <a:ext uri="{FF2B5EF4-FFF2-40B4-BE49-F238E27FC236}">
              <a16:creationId xmlns:a16="http://schemas.microsoft.com/office/drawing/2014/main" id="{00000000-0008-0000-1100-00001D000000}"/>
            </a:ext>
          </a:extLst>
        </xdr:cNvPr>
        <xdr:cNvGrpSpPr/>
      </xdr:nvGrpSpPr>
      <xdr:grpSpPr>
        <a:xfrm>
          <a:off x="7477581" y="3717324"/>
          <a:ext cx="242030" cy="217084"/>
          <a:chOff x="1690149" y="693856"/>
          <a:chExt cx="392983" cy="354575"/>
        </a:xfrm>
      </xdr:grpSpPr>
      <xdr:sp macro="" textlink="">
        <xdr:nvSpPr>
          <xdr:cNvPr id="30" name="Ellipse 29">
            <a:extLst>
              <a:ext uri="{FF2B5EF4-FFF2-40B4-BE49-F238E27FC236}">
                <a16:creationId xmlns:a16="http://schemas.microsoft.com/office/drawing/2014/main" id="{00000000-0008-0000-1100-00001E000000}"/>
              </a:ext>
            </a:extLst>
          </xdr:cNvPr>
          <xdr:cNvSpPr/>
        </xdr:nvSpPr>
        <xdr:spPr>
          <a:xfrm>
            <a:off x="1690149" y="693856"/>
            <a:ext cx="392983" cy="354575"/>
          </a:xfrm>
          <a:prstGeom prst="ellipse">
            <a:avLst/>
          </a:prstGeom>
          <a:solidFill>
            <a:schemeClr val="accent2">
              <a:lumMod val="40000"/>
              <a:lumOff val="60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31" name="Graphique 30" descr="Presse-papiers mixte avec un remplissage uni">
            <a:extLst>
              <a:ext uri="{FF2B5EF4-FFF2-40B4-BE49-F238E27FC236}">
                <a16:creationId xmlns:a16="http://schemas.microsoft.com/office/drawing/2014/main" id="{00000000-0008-0000-11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759057" y="714374"/>
            <a:ext cx="276534" cy="276534"/>
          </a:xfrm>
          <a:prstGeom prst="rect">
            <a:avLst/>
          </a:prstGeom>
        </xdr:spPr>
      </xdr:pic>
    </xdr:grpSp>
    <xdr:clientData/>
  </xdr:twoCellAnchor>
  <xdr:twoCellAnchor editAs="absolute">
    <xdr:from>
      <xdr:col>17</xdr:col>
      <xdr:colOff>683145</xdr:colOff>
      <xdr:row>21</xdr:row>
      <xdr:rowOff>31225</xdr:rowOff>
    </xdr:from>
    <xdr:to>
      <xdr:col>17</xdr:col>
      <xdr:colOff>925175</xdr:colOff>
      <xdr:row>22</xdr:row>
      <xdr:rowOff>62456</xdr:rowOff>
    </xdr:to>
    <xdr:grpSp>
      <xdr:nvGrpSpPr>
        <xdr:cNvPr id="36" name="Groupe 35">
          <a:hlinkClick xmlns:r="http://schemas.openxmlformats.org/officeDocument/2006/relationships" r:id="rId9"/>
          <a:extLst>
            <a:ext uri="{FF2B5EF4-FFF2-40B4-BE49-F238E27FC236}">
              <a16:creationId xmlns:a16="http://schemas.microsoft.com/office/drawing/2014/main" id="{00000000-0008-0000-1100-000024000000}"/>
            </a:ext>
          </a:extLst>
        </xdr:cNvPr>
        <xdr:cNvGrpSpPr/>
      </xdr:nvGrpSpPr>
      <xdr:grpSpPr>
        <a:xfrm>
          <a:off x="13779633" y="3717323"/>
          <a:ext cx="242030" cy="217084"/>
          <a:chOff x="1690149" y="693856"/>
          <a:chExt cx="392983" cy="354575"/>
        </a:xfrm>
      </xdr:grpSpPr>
      <xdr:sp macro="" textlink="">
        <xdr:nvSpPr>
          <xdr:cNvPr id="37" name="Ellipse 36">
            <a:extLst>
              <a:ext uri="{FF2B5EF4-FFF2-40B4-BE49-F238E27FC236}">
                <a16:creationId xmlns:a16="http://schemas.microsoft.com/office/drawing/2014/main" id="{00000000-0008-0000-1100-000025000000}"/>
              </a:ext>
            </a:extLst>
          </xdr:cNvPr>
          <xdr:cNvSpPr/>
        </xdr:nvSpPr>
        <xdr:spPr>
          <a:xfrm>
            <a:off x="1690149" y="693856"/>
            <a:ext cx="392983" cy="354575"/>
          </a:xfrm>
          <a:prstGeom prst="ellipse">
            <a:avLst/>
          </a:prstGeom>
          <a:solidFill>
            <a:schemeClr val="accent2">
              <a:lumMod val="40000"/>
              <a:lumOff val="60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38" name="Graphique 37" descr="Presse-papiers mixte avec un remplissage uni">
            <a:extLst>
              <a:ext uri="{FF2B5EF4-FFF2-40B4-BE49-F238E27FC236}">
                <a16:creationId xmlns:a16="http://schemas.microsoft.com/office/drawing/2014/main" id="{00000000-0008-0000-1100-00002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759057" y="714374"/>
            <a:ext cx="276534" cy="276534"/>
          </a:xfrm>
          <a:prstGeom prst="rect">
            <a:avLst/>
          </a:prstGeom>
        </xdr:spPr>
      </xdr:pic>
    </xdr:grpSp>
    <xdr:clientData/>
  </xdr:twoCellAnchor>
  <xdr:twoCellAnchor editAs="absolute">
    <xdr:from>
      <xdr:col>10</xdr:col>
      <xdr:colOff>398176</xdr:colOff>
      <xdr:row>10</xdr:row>
      <xdr:rowOff>179574</xdr:rowOff>
    </xdr:from>
    <xdr:to>
      <xdr:col>18</xdr:col>
      <xdr:colOff>39037</xdr:colOff>
      <xdr:row>15</xdr:row>
      <xdr:rowOff>85885</xdr:rowOff>
    </xdr:to>
    <xdr:sp macro="" textlink="">
      <xdr:nvSpPr>
        <xdr:cNvPr id="25" name="Rectangle 24">
          <a:extLst>
            <a:ext uri="{FF2B5EF4-FFF2-40B4-BE49-F238E27FC236}">
              <a16:creationId xmlns:a16="http://schemas.microsoft.com/office/drawing/2014/main" id="{00000000-0008-0000-1100-000019000000}"/>
            </a:ext>
          </a:extLst>
        </xdr:cNvPr>
        <xdr:cNvSpPr/>
      </xdr:nvSpPr>
      <xdr:spPr>
        <a:xfrm>
          <a:off x="7963524" y="2053344"/>
          <a:ext cx="5761845" cy="78073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11</xdr:col>
      <xdr:colOff>7806</xdr:colOff>
      <xdr:row>17</xdr:row>
      <xdr:rowOff>98</xdr:rowOff>
    </xdr:from>
    <xdr:to>
      <xdr:col>18</xdr:col>
      <xdr:colOff>54651</xdr:colOff>
      <xdr:row>19</xdr:row>
      <xdr:rowOff>113367</xdr:rowOff>
    </xdr:to>
    <xdr:sp macro="" textlink="">
      <xdr:nvSpPr>
        <xdr:cNvPr id="26" name="Rectangle 25">
          <a:extLst>
            <a:ext uri="{FF2B5EF4-FFF2-40B4-BE49-F238E27FC236}">
              <a16:creationId xmlns:a16="http://schemas.microsoft.com/office/drawing/2014/main" id="{00000000-0008-0000-1100-00001A000000}"/>
            </a:ext>
          </a:extLst>
        </xdr:cNvPr>
        <xdr:cNvSpPr/>
      </xdr:nvSpPr>
      <xdr:spPr>
        <a:xfrm>
          <a:off x="7979138" y="3037073"/>
          <a:ext cx="5761845" cy="417851"/>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3</xdr:col>
      <xdr:colOff>15616</xdr:colOff>
      <xdr:row>10</xdr:row>
      <xdr:rowOff>171763</xdr:rowOff>
    </xdr:from>
    <xdr:to>
      <xdr:col>10</xdr:col>
      <xdr:colOff>7808</xdr:colOff>
      <xdr:row>19</xdr:row>
      <xdr:rowOff>109303</xdr:rowOff>
    </xdr:to>
    <xdr:sp macro="" textlink="">
      <xdr:nvSpPr>
        <xdr:cNvPr id="27" name="Rectangle 26">
          <a:extLst>
            <a:ext uri="{FF2B5EF4-FFF2-40B4-BE49-F238E27FC236}">
              <a16:creationId xmlns:a16="http://schemas.microsoft.com/office/drawing/2014/main" id="{00000000-0008-0000-1100-00001B000000}"/>
            </a:ext>
          </a:extLst>
        </xdr:cNvPr>
        <xdr:cNvSpPr/>
      </xdr:nvSpPr>
      <xdr:spPr>
        <a:xfrm>
          <a:off x="1865964" y="2045533"/>
          <a:ext cx="5707192" cy="1405327"/>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xdr:from>
      <xdr:col>2</xdr:col>
      <xdr:colOff>109303</xdr:colOff>
      <xdr:row>22</xdr:row>
      <xdr:rowOff>93689</xdr:rowOff>
    </xdr:from>
    <xdr:to>
      <xdr:col>10</xdr:col>
      <xdr:colOff>23422</xdr:colOff>
      <xdr:row>29</xdr:row>
      <xdr:rowOff>163955</xdr:rowOff>
    </xdr:to>
    <xdr:sp macro="" textlink="">
      <xdr:nvSpPr>
        <xdr:cNvPr id="28" name="MasquerCTACTUEL_Rente">
          <a:extLst>
            <a:ext uri="{FF2B5EF4-FFF2-40B4-BE49-F238E27FC236}">
              <a16:creationId xmlns:a16="http://schemas.microsoft.com/office/drawing/2014/main" id="{00000000-0008-0000-1100-00001C000000}"/>
            </a:ext>
          </a:extLst>
        </xdr:cNvPr>
        <xdr:cNvSpPr/>
      </xdr:nvSpPr>
      <xdr:spPr>
        <a:xfrm>
          <a:off x="1694201" y="4012992"/>
          <a:ext cx="5894569" cy="14521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230474</xdr:colOff>
      <xdr:row>29</xdr:row>
      <xdr:rowOff>101497</xdr:rowOff>
    </xdr:from>
    <xdr:to>
      <xdr:col>10</xdr:col>
      <xdr:colOff>54652</xdr:colOff>
      <xdr:row>38</xdr:row>
      <xdr:rowOff>27483</xdr:rowOff>
    </xdr:to>
    <xdr:sp macro="" textlink="">
      <xdr:nvSpPr>
        <xdr:cNvPr id="32" name="MasquerCTACTUEL_Capital">
          <a:extLst>
            <a:ext uri="{FF2B5EF4-FFF2-40B4-BE49-F238E27FC236}">
              <a16:creationId xmlns:a16="http://schemas.microsoft.com/office/drawing/2014/main" id="{00000000-0008-0000-1100-000020000000}"/>
            </a:ext>
          </a:extLst>
        </xdr:cNvPr>
        <xdr:cNvSpPr/>
      </xdr:nvSpPr>
      <xdr:spPr>
        <a:xfrm>
          <a:off x="1815372" y="5402706"/>
          <a:ext cx="5804628" cy="17294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xdr:col>
      <xdr:colOff>394429</xdr:colOff>
      <xdr:row>22</xdr:row>
      <xdr:rowOff>144593</xdr:rowOff>
    </xdr:from>
    <xdr:to>
      <xdr:col>18</xdr:col>
      <xdr:colOff>140533</xdr:colOff>
      <xdr:row>29</xdr:row>
      <xdr:rowOff>132725</xdr:rowOff>
    </xdr:to>
    <xdr:sp macro="" textlink="">
      <xdr:nvSpPr>
        <xdr:cNvPr id="42" name="MasquerNewPER_Rente">
          <a:extLst>
            <a:ext uri="{FF2B5EF4-FFF2-40B4-BE49-F238E27FC236}">
              <a16:creationId xmlns:a16="http://schemas.microsoft.com/office/drawing/2014/main" id="{00000000-0008-0000-1100-00002A000000}"/>
            </a:ext>
          </a:extLst>
        </xdr:cNvPr>
        <xdr:cNvSpPr/>
      </xdr:nvSpPr>
      <xdr:spPr>
        <a:xfrm>
          <a:off x="7959777" y="4063896"/>
          <a:ext cx="5867088" cy="137003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xdr:col>
      <xdr:colOff>351645</xdr:colOff>
      <xdr:row>29</xdr:row>
      <xdr:rowOff>132725</xdr:rowOff>
    </xdr:from>
    <xdr:to>
      <xdr:col>18</xdr:col>
      <xdr:colOff>70266</xdr:colOff>
      <xdr:row>38</xdr:row>
      <xdr:rowOff>94001</xdr:rowOff>
    </xdr:to>
    <xdr:sp macro="" textlink="">
      <xdr:nvSpPr>
        <xdr:cNvPr id="43" name="MasquerNewPER_Capital">
          <a:extLst>
            <a:ext uri="{FF2B5EF4-FFF2-40B4-BE49-F238E27FC236}">
              <a16:creationId xmlns:a16="http://schemas.microsoft.com/office/drawing/2014/main" id="{00000000-0008-0000-1100-00002B000000}"/>
            </a:ext>
          </a:extLst>
        </xdr:cNvPr>
        <xdr:cNvSpPr/>
      </xdr:nvSpPr>
      <xdr:spPr>
        <a:xfrm>
          <a:off x="7916993" y="5433934"/>
          <a:ext cx="5839605" cy="17647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mc:AlternateContent xmlns:mc="http://schemas.openxmlformats.org/markup-compatibility/2006">
    <mc:Choice xmlns:a14="http://schemas.microsoft.com/office/drawing/2010/main" Requires="a14">
      <xdr:twoCellAnchor editAs="oneCell">
        <xdr:from>
          <xdr:col>7</xdr:col>
          <xdr:colOff>175260</xdr:colOff>
          <xdr:row>15</xdr:row>
          <xdr:rowOff>68580</xdr:rowOff>
        </xdr:from>
        <xdr:to>
          <xdr:col>8</xdr:col>
          <xdr:colOff>769620</xdr:colOff>
          <xdr:row>17</xdr:row>
          <xdr:rowOff>76200</xdr:rowOff>
        </xdr:to>
        <xdr:sp macro="" textlink="">
          <xdr:nvSpPr>
            <xdr:cNvPr id="31758" name="CheckBox1" hidden="1">
              <a:extLst>
                <a:ext uri="{63B3BB69-23CF-44E3-9099-C40C66FF867C}">
                  <a14:compatExt spid="_x0000_s31758"/>
                </a:ext>
                <a:ext uri="{FF2B5EF4-FFF2-40B4-BE49-F238E27FC236}">
                  <a16:creationId xmlns:a16="http://schemas.microsoft.com/office/drawing/2014/main" id="{00000000-0008-0000-1100-00000E7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944880</xdr:colOff>
          <xdr:row>15</xdr:row>
          <xdr:rowOff>68580</xdr:rowOff>
        </xdr:from>
        <xdr:to>
          <xdr:col>9</xdr:col>
          <xdr:colOff>830580</xdr:colOff>
          <xdr:row>17</xdr:row>
          <xdr:rowOff>76200</xdr:rowOff>
        </xdr:to>
        <xdr:sp macro="" textlink="">
          <xdr:nvSpPr>
            <xdr:cNvPr id="31759" name="CheckBox2" hidden="1">
              <a:extLst>
                <a:ext uri="{63B3BB69-23CF-44E3-9099-C40C66FF867C}">
                  <a14:compatExt spid="_x0000_s31759"/>
                </a:ext>
                <a:ext uri="{FF2B5EF4-FFF2-40B4-BE49-F238E27FC236}">
                  <a16:creationId xmlns:a16="http://schemas.microsoft.com/office/drawing/2014/main" id="{00000000-0008-0000-1100-00000F7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175260</xdr:colOff>
          <xdr:row>17</xdr:row>
          <xdr:rowOff>60960</xdr:rowOff>
        </xdr:from>
        <xdr:to>
          <xdr:col>8</xdr:col>
          <xdr:colOff>769620</xdr:colOff>
          <xdr:row>19</xdr:row>
          <xdr:rowOff>68580</xdr:rowOff>
        </xdr:to>
        <xdr:sp macro="" textlink="">
          <xdr:nvSpPr>
            <xdr:cNvPr id="31760" name="CheckBox3" hidden="1">
              <a:extLst>
                <a:ext uri="{63B3BB69-23CF-44E3-9099-C40C66FF867C}">
                  <a14:compatExt spid="_x0000_s31760"/>
                </a:ext>
                <a:ext uri="{FF2B5EF4-FFF2-40B4-BE49-F238E27FC236}">
                  <a16:creationId xmlns:a16="http://schemas.microsoft.com/office/drawing/2014/main" id="{00000000-0008-0000-1100-0000107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937260</xdr:colOff>
          <xdr:row>17</xdr:row>
          <xdr:rowOff>76200</xdr:rowOff>
        </xdr:from>
        <xdr:to>
          <xdr:col>9</xdr:col>
          <xdr:colOff>723900</xdr:colOff>
          <xdr:row>19</xdr:row>
          <xdr:rowOff>60960</xdr:rowOff>
        </xdr:to>
        <xdr:sp macro="" textlink="">
          <xdr:nvSpPr>
            <xdr:cNvPr id="31761" name="CheckBox4" hidden="1">
              <a:extLst>
                <a:ext uri="{63B3BB69-23CF-44E3-9099-C40C66FF867C}">
                  <a14:compatExt spid="_x0000_s31761"/>
                </a:ext>
                <a:ext uri="{FF2B5EF4-FFF2-40B4-BE49-F238E27FC236}">
                  <a16:creationId xmlns:a16="http://schemas.microsoft.com/office/drawing/2014/main" id="{00000000-0008-0000-1100-0000117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xdr:from>
      <xdr:col>2</xdr:col>
      <xdr:colOff>109305</xdr:colOff>
      <xdr:row>3</xdr:row>
      <xdr:rowOff>140532</xdr:rowOff>
    </xdr:from>
    <xdr:to>
      <xdr:col>5</xdr:col>
      <xdr:colOff>132729</xdr:colOff>
      <xdr:row>5</xdr:row>
      <xdr:rowOff>119945</xdr:rowOff>
    </xdr:to>
    <xdr:grpSp>
      <xdr:nvGrpSpPr>
        <xdr:cNvPr id="33" name="PRINT_Synthese">
          <a:extLst>
            <a:ext uri="{FF2B5EF4-FFF2-40B4-BE49-F238E27FC236}">
              <a16:creationId xmlns:a16="http://schemas.microsoft.com/office/drawing/2014/main" id="{00000000-0008-0000-1100-000021000000}"/>
            </a:ext>
          </a:extLst>
        </xdr:cNvPr>
        <xdr:cNvGrpSpPr/>
      </xdr:nvGrpSpPr>
      <xdr:grpSpPr>
        <a:xfrm>
          <a:off x="1751012" y="698093"/>
          <a:ext cx="1293424" cy="351120"/>
          <a:chOff x="4419286" y="710628"/>
          <a:chExt cx="1264796" cy="354167"/>
        </a:xfrm>
      </xdr:grpSpPr>
      <xdr:grpSp>
        <xdr:nvGrpSpPr>
          <xdr:cNvPr id="35" name="Groupe 34">
            <a:extLst>
              <a:ext uri="{FF2B5EF4-FFF2-40B4-BE49-F238E27FC236}">
                <a16:creationId xmlns:a16="http://schemas.microsoft.com/office/drawing/2014/main" id="{00000000-0008-0000-1100-000023000000}"/>
              </a:ext>
            </a:extLst>
          </xdr:cNvPr>
          <xdr:cNvGrpSpPr/>
        </xdr:nvGrpSpPr>
        <xdr:grpSpPr>
          <a:xfrm>
            <a:off x="4419286" y="710628"/>
            <a:ext cx="1264796" cy="354167"/>
            <a:chOff x="3142624" y="716405"/>
            <a:chExt cx="1264796" cy="354167"/>
          </a:xfrm>
        </xdr:grpSpPr>
        <xdr:sp macro="[0]!PREZ_ETUDE_PPT_OngletIMPR3" textlink="">
          <xdr:nvSpPr>
            <xdr:cNvPr id="40" name="Ellipse 39">
              <a:extLst>
                <a:ext uri="{FF2B5EF4-FFF2-40B4-BE49-F238E27FC236}">
                  <a16:creationId xmlns:a16="http://schemas.microsoft.com/office/drawing/2014/main" id="{00000000-0008-0000-1100-000028000000}"/>
                </a:ext>
              </a:extLst>
            </xdr:cNvPr>
            <xdr:cNvSpPr/>
          </xdr:nvSpPr>
          <xdr:spPr>
            <a:xfrm>
              <a:off x="3142624" y="716405"/>
              <a:ext cx="394218" cy="345485"/>
            </a:xfrm>
            <a:prstGeom prst="ellipse">
              <a:avLst/>
            </a:prstGeom>
            <a:solidFill>
              <a:schemeClr val="bg1">
                <a:lumMod val="85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0]!PREZ_ETUDE_PPT_OngletIMPR3" textlink="">
          <xdr:nvSpPr>
            <xdr:cNvPr id="41" name="Rectangle 40">
              <a:extLst>
                <a:ext uri="{FF2B5EF4-FFF2-40B4-BE49-F238E27FC236}">
                  <a16:creationId xmlns:a16="http://schemas.microsoft.com/office/drawing/2014/main" id="{00000000-0008-0000-1100-000029000000}"/>
                </a:ext>
              </a:extLst>
            </xdr:cNvPr>
            <xdr:cNvSpPr/>
          </xdr:nvSpPr>
          <xdr:spPr>
            <a:xfrm>
              <a:off x="3514961" y="718799"/>
              <a:ext cx="89245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Editer étude</a:t>
              </a:r>
            </a:p>
          </xdr:txBody>
        </xdr:sp>
      </xdr:grpSp>
      <xdr:pic macro="[0]!PREZ_ETUDE_PPT_OngletIMPR3">
        <xdr:nvPicPr>
          <xdr:cNvPr id="39" name="Graphique 38" descr="Télécopie avec un remplissage uni">
            <a:extLst>
              <a:ext uri="{FF2B5EF4-FFF2-40B4-BE49-F238E27FC236}">
                <a16:creationId xmlns:a16="http://schemas.microsoft.com/office/drawing/2014/main" id="{00000000-0008-0000-1100-000027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520472" y="772931"/>
            <a:ext cx="210798" cy="210798"/>
          </a:xfrm>
          <a:prstGeom prst="rect">
            <a:avLst/>
          </a:prstGeom>
        </xdr:spPr>
      </xdr:pic>
    </xdr:grpSp>
    <xdr:clientData/>
  </xdr:twoCellAnchor>
  <xdr:twoCellAnchor>
    <xdr:from>
      <xdr:col>8</xdr:col>
      <xdr:colOff>31231</xdr:colOff>
      <xdr:row>7</xdr:row>
      <xdr:rowOff>132724</xdr:rowOff>
    </xdr:from>
    <xdr:to>
      <xdr:col>9</xdr:col>
      <xdr:colOff>897850</xdr:colOff>
      <xdr:row>10</xdr:row>
      <xdr:rowOff>15614</xdr:rowOff>
    </xdr:to>
    <xdr:sp macro="" textlink="">
      <xdr:nvSpPr>
        <xdr:cNvPr id="34" name="Rectangle 33">
          <a:extLst>
            <a:ext uri="{FF2B5EF4-FFF2-40B4-BE49-F238E27FC236}">
              <a16:creationId xmlns:a16="http://schemas.microsoft.com/office/drawing/2014/main" id="{00000000-0008-0000-1100-000022000000}"/>
            </a:ext>
          </a:extLst>
        </xdr:cNvPr>
        <xdr:cNvSpPr/>
      </xdr:nvSpPr>
      <xdr:spPr>
        <a:xfrm>
          <a:off x="5691579" y="1444363"/>
          <a:ext cx="1819119" cy="44502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216032</xdr:colOff>
      <xdr:row>1</xdr:row>
      <xdr:rowOff>39277</xdr:rowOff>
    </xdr:from>
    <xdr:to>
      <xdr:col>1</xdr:col>
      <xdr:colOff>422243</xdr:colOff>
      <xdr:row>3</xdr:row>
      <xdr:rowOff>137472</xdr:rowOff>
    </xdr:to>
    <xdr:grpSp>
      <xdr:nvGrpSpPr>
        <xdr:cNvPr id="9" name="Groupe 8">
          <a:hlinkClick xmlns:r="http://schemas.openxmlformats.org/officeDocument/2006/relationships" r:id="rId1"/>
          <a:extLst>
            <a:ext uri="{FF2B5EF4-FFF2-40B4-BE49-F238E27FC236}">
              <a16:creationId xmlns:a16="http://schemas.microsoft.com/office/drawing/2014/main" id="{00000000-0008-0000-1200-000009000000}"/>
            </a:ext>
          </a:extLst>
        </xdr:cNvPr>
        <xdr:cNvGrpSpPr/>
      </xdr:nvGrpSpPr>
      <xdr:grpSpPr>
        <a:xfrm>
          <a:off x="216032" y="225131"/>
          <a:ext cx="515967" cy="494682"/>
          <a:chOff x="11076495" y="2513815"/>
          <a:chExt cx="1046669" cy="1034519"/>
        </a:xfrm>
      </xdr:grpSpPr>
      <xdr:sp macro="" textlink="">
        <xdr:nvSpPr>
          <xdr:cNvPr id="6" name="Ellipse 5">
            <a:extLst>
              <a:ext uri="{FF2B5EF4-FFF2-40B4-BE49-F238E27FC236}">
                <a16:creationId xmlns:a16="http://schemas.microsoft.com/office/drawing/2014/main" id="{00000000-0008-0000-1200-000006000000}"/>
              </a:ext>
            </a:extLst>
          </xdr:cNvPr>
          <xdr:cNvSpPr/>
        </xdr:nvSpPr>
        <xdr:spPr>
          <a:xfrm>
            <a:off x="11076495" y="2513815"/>
            <a:ext cx="1046669" cy="1034519"/>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4" name="Graphique 3" descr="Retour avec un remplissage uni">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33608" y="2621830"/>
            <a:ext cx="736469" cy="736469"/>
          </a:xfrm>
          <a:prstGeom prst="rect">
            <a:avLst/>
          </a:prstGeom>
        </xdr:spPr>
      </xdr:pic>
    </xdr:grpSp>
    <xdr:clientData/>
  </xdr:twoCellAnchor>
  <xdr:twoCellAnchor editAs="absolute">
    <xdr:from>
      <xdr:col>0</xdr:col>
      <xdr:colOff>39277</xdr:colOff>
      <xdr:row>11</xdr:row>
      <xdr:rowOff>66579</xdr:rowOff>
    </xdr:from>
    <xdr:to>
      <xdr:col>4</xdr:col>
      <xdr:colOff>284767</xdr:colOff>
      <xdr:row>16</xdr:row>
      <xdr:rowOff>46939</xdr:rowOff>
    </xdr:to>
    <xdr:sp macro="" textlink="">
      <xdr:nvSpPr>
        <xdr:cNvPr id="2" name="Rectangle 1">
          <a:extLst>
            <a:ext uri="{FF2B5EF4-FFF2-40B4-BE49-F238E27FC236}">
              <a16:creationId xmlns:a16="http://schemas.microsoft.com/office/drawing/2014/main" id="{00000000-0008-0000-1200-000002000000}"/>
            </a:ext>
          </a:extLst>
        </xdr:cNvPr>
        <xdr:cNvSpPr/>
      </xdr:nvSpPr>
      <xdr:spPr>
        <a:xfrm>
          <a:off x="39277" y="2040316"/>
          <a:ext cx="2651289" cy="834664"/>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4</xdr:col>
      <xdr:colOff>353505</xdr:colOff>
      <xdr:row>11</xdr:row>
      <xdr:rowOff>59313</xdr:rowOff>
    </xdr:from>
    <xdr:to>
      <xdr:col>8</xdr:col>
      <xdr:colOff>9820</xdr:colOff>
      <xdr:row>16</xdr:row>
      <xdr:rowOff>54206</xdr:rowOff>
    </xdr:to>
    <xdr:sp macro="" textlink="">
      <xdr:nvSpPr>
        <xdr:cNvPr id="3" name="Rectangle 2">
          <a:extLst>
            <a:ext uri="{FF2B5EF4-FFF2-40B4-BE49-F238E27FC236}">
              <a16:creationId xmlns:a16="http://schemas.microsoft.com/office/drawing/2014/main" id="{00000000-0008-0000-1200-000003000000}"/>
            </a:ext>
          </a:extLst>
        </xdr:cNvPr>
        <xdr:cNvSpPr/>
      </xdr:nvSpPr>
      <xdr:spPr>
        <a:xfrm>
          <a:off x="2759304" y="2033050"/>
          <a:ext cx="2268325" cy="849197"/>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9</xdr:col>
      <xdr:colOff>29458</xdr:colOff>
      <xdr:row>11</xdr:row>
      <xdr:rowOff>56956</xdr:rowOff>
    </xdr:from>
    <xdr:to>
      <xdr:col>14</xdr:col>
      <xdr:colOff>569535</xdr:colOff>
      <xdr:row>16</xdr:row>
      <xdr:rowOff>56562</xdr:rowOff>
    </xdr:to>
    <xdr:sp macro="" textlink="">
      <xdr:nvSpPr>
        <xdr:cNvPr id="5" name="Rectangle 4">
          <a:extLst>
            <a:ext uri="{FF2B5EF4-FFF2-40B4-BE49-F238E27FC236}">
              <a16:creationId xmlns:a16="http://schemas.microsoft.com/office/drawing/2014/main" id="{00000000-0008-0000-1200-000005000000}"/>
            </a:ext>
          </a:extLst>
        </xdr:cNvPr>
        <xdr:cNvSpPr/>
      </xdr:nvSpPr>
      <xdr:spPr>
        <a:xfrm>
          <a:off x="5096365" y="2030693"/>
          <a:ext cx="3122629" cy="853910"/>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15</xdr:col>
      <xdr:colOff>9821</xdr:colOff>
      <xdr:row>11</xdr:row>
      <xdr:rowOff>54599</xdr:rowOff>
    </xdr:from>
    <xdr:to>
      <xdr:col>17</xdr:col>
      <xdr:colOff>9821</xdr:colOff>
      <xdr:row>16</xdr:row>
      <xdr:rowOff>58919</xdr:rowOff>
    </xdr:to>
    <xdr:sp macro="" textlink="">
      <xdr:nvSpPr>
        <xdr:cNvPr id="7" name="Rectangle 6">
          <a:extLst>
            <a:ext uri="{FF2B5EF4-FFF2-40B4-BE49-F238E27FC236}">
              <a16:creationId xmlns:a16="http://schemas.microsoft.com/office/drawing/2014/main" id="{00000000-0008-0000-1200-000007000000}"/>
            </a:ext>
          </a:extLst>
        </xdr:cNvPr>
        <xdr:cNvSpPr/>
      </xdr:nvSpPr>
      <xdr:spPr>
        <a:xfrm>
          <a:off x="8287733" y="2028336"/>
          <a:ext cx="1433660" cy="858624"/>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18</xdr:col>
      <xdr:colOff>29459</xdr:colOff>
      <xdr:row>11</xdr:row>
      <xdr:rowOff>56956</xdr:rowOff>
    </xdr:from>
    <xdr:to>
      <xdr:col>24</xdr:col>
      <xdr:colOff>422242</xdr:colOff>
      <xdr:row>16</xdr:row>
      <xdr:rowOff>56562</xdr:rowOff>
    </xdr:to>
    <xdr:sp macro="" textlink="">
      <xdr:nvSpPr>
        <xdr:cNvPr id="8" name="Rectangle 7">
          <a:extLst>
            <a:ext uri="{FF2B5EF4-FFF2-40B4-BE49-F238E27FC236}">
              <a16:creationId xmlns:a16="http://schemas.microsoft.com/office/drawing/2014/main" id="{00000000-0008-0000-1200-000008000000}"/>
            </a:ext>
          </a:extLst>
        </xdr:cNvPr>
        <xdr:cNvSpPr/>
      </xdr:nvSpPr>
      <xdr:spPr>
        <a:xfrm>
          <a:off x="9790129" y="2030693"/>
          <a:ext cx="3593969" cy="853910"/>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24</xdr:col>
      <xdr:colOff>481159</xdr:colOff>
      <xdr:row>11</xdr:row>
      <xdr:rowOff>56956</xdr:rowOff>
    </xdr:from>
    <xdr:to>
      <xdr:col>28</xdr:col>
      <xdr:colOff>78557</xdr:colOff>
      <xdr:row>16</xdr:row>
      <xdr:rowOff>56562</xdr:rowOff>
    </xdr:to>
    <xdr:sp macro="" textlink="">
      <xdr:nvSpPr>
        <xdr:cNvPr id="10" name="Rectangle 9">
          <a:extLst>
            <a:ext uri="{FF2B5EF4-FFF2-40B4-BE49-F238E27FC236}">
              <a16:creationId xmlns:a16="http://schemas.microsoft.com/office/drawing/2014/main" id="{00000000-0008-0000-1200-00000A000000}"/>
            </a:ext>
          </a:extLst>
        </xdr:cNvPr>
        <xdr:cNvSpPr/>
      </xdr:nvSpPr>
      <xdr:spPr>
        <a:xfrm>
          <a:off x="13443015" y="2030693"/>
          <a:ext cx="2464717" cy="853910"/>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28</xdr:col>
      <xdr:colOff>122942</xdr:colOff>
      <xdr:row>11</xdr:row>
      <xdr:rowOff>56956</xdr:rowOff>
    </xdr:from>
    <xdr:to>
      <xdr:col>31</xdr:col>
      <xdr:colOff>687371</xdr:colOff>
      <xdr:row>16</xdr:row>
      <xdr:rowOff>56562</xdr:rowOff>
    </xdr:to>
    <xdr:sp macro="" textlink="">
      <xdr:nvSpPr>
        <xdr:cNvPr id="12" name="Rectangle 11">
          <a:extLst>
            <a:ext uri="{FF2B5EF4-FFF2-40B4-BE49-F238E27FC236}">
              <a16:creationId xmlns:a16="http://schemas.microsoft.com/office/drawing/2014/main" id="{00000000-0008-0000-1200-00000C000000}"/>
            </a:ext>
          </a:extLst>
        </xdr:cNvPr>
        <xdr:cNvSpPr/>
      </xdr:nvSpPr>
      <xdr:spPr>
        <a:xfrm>
          <a:off x="15952117" y="2030693"/>
          <a:ext cx="2331955" cy="853910"/>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216032</xdr:colOff>
      <xdr:row>1</xdr:row>
      <xdr:rowOff>39277</xdr:rowOff>
    </xdr:from>
    <xdr:to>
      <xdr:col>1</xdr:col>
      <xdr:colOff>422243</xdr:colOff>
      <xdr:row>3</xdr:row>
      <xdr:rowOff>137472</xdr:rowOff>
    </xdr:to>
    <xdr:grpSp>
      <xdr:nvGrpSpPr>
        <xdr:cNvPr id="2" name="Groupe 1">
          <a:hlinkClick xmlns:r="http://schemas.openxmlformats.org/officeDocument/2006/relationships" r:id="rId1"/>
          <a:extLst>
            <a:ext uri="{FF2B5EF4-FFF2-40B4-BE49-F238E27FC236}">
              <a16:creationId xmlns:a16="http://schemas.microsoft.com/office/drawing/2014/main" id="{00000000-0008-0000-1300-000002000000}"/>
            </a:ext>
          </a:extLst>
        </xdr:cNvPr>
        <xdr:cNvGrpSpPr/>
      </xdr:nvGrpSpPr>
      <xdr:grpSpPr>
        <a:xfrm>
          <a:off x="216032" y="225131"/>
          <a:ext cx="515967" cy="494682"/>
          <a:chOff x="11076495" y="2513815"/>
          <a:chExt cx="1046669" cy="1034519"/>
        </a:xfrm>
      </xdr:grpSpPr>
      <xdr:sp macro="" textlink="">
        <xdr:nvSpPr>
          <xdr:cNvPr id="3" name="Ellipse 2">
            <a:extLst>
              <a:ext uri="{FF2B5EF4-FFF2-40B4-BE49-F238E27FC236}">
                <a16:creationId xmlns:a16="http://schemas.microsoft.com/office/drawing/2014/main" id="{00000000-0008-0000-1300-000003000000}"/>
              </a:ext>
            </a:extLst>
          </xdr:cNvPr>
          <xdr:cNvSpPr/>
        </xdr:nvSpPr>
        <xdr:spPr>
          <a:xfrm>
            <a:off x="11076495" y="2513815"/>
            <a:ext cx="1046669" cy="1034519"/>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4" name="Graphique 3" descr="Retour avec un remplissage uni">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33608" y="2621830"/>
            <a:ext cx="736469" cy="736469"/>
          </a:xfrm>
          <a:prstGeom prst="rect">
            <a:avLst/>
          </a:prstGeom>
        </xdr:spPr>
      </xdr:pic>
    </xdr:grpSp>
    <xdr:clientData/>
  </xdr:twoCellAnchor>
  <xdr:twoCellAnchor editAs="absolute">
    <xdr:from>
      <xdr:col>0</xdr:col>
      <xdr:colOff>39277</xdr:colOff>
      <xdr:row>11</xdr:row>
      <xdr:rowOff>66579</xdr:rowOff>
    </xdr:from>
    <xdr:to>
      <xdr:col>4</xdr:col>
      <xdr:colOff>284767</xdr:colOff>
      <xdr:row>16</xdr:row>
      <xdr:rowOff>46939</xdr:rowOff>
    </xdr:to>
    <xdr:sp macro="" textlink="">
      <xdr:nvSpPr>
        <xdr:cNvPr id="5" name="Rectangle 4">
          <a:extLst>
            <a:ext uri="{FF2B5EF4-FFF2-40B4-BE49-F238E27FC236}">
              <a16:creationId xmlns:a16="http://schemas.microsoft.com/office/drawing/2014/main" id="{00000000-0008-0000-1300-000005000000}"/>
            </a:ext>
          </a:extLst>
        </xdr:cNvPr>
        <xdr:cNvSpPr/>
      </xdr:nvSpPr>
      <xdr:spPr>
        <a:xfrm>
          <a:off x="39277" y="2076354"/>
          <a:ext cx="2655315" cy="847135"/>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4</xdr:col>
      <xdr:colOff>353505</xdr:colOff>
      <xdr:row>11</xdr:row>
      <xdr:rowOff>59313</xdr:rowOff>
    </xdr:from>
    <xdr:to>
      <xdr:col>8</xdr:col>
      <xdr:colOff>9820</xdr:colOff>
      <xdr:row>16</xdr:row>
      <xdr:rowOff>54206</xdr:rowOff>
    </xdr:to>
    <xdr:sp macro="" textlink="">
      <xdr:nvSpPr>
        <xdr:cNvPr id="6" name="Rectangle 5">
          <a:extLst>
            <a:ext uri="{FF2B5EF4-FFF2-40B4-BE49-F238E27FC236}">
              <a16:creationId xmlns:a16="http://schemas.microsoft.com/office/drawing/2014/main" id="{00000000-0008-0000-1300-000006000000}"/>
            </a:ext>
          </a:extLst>
        </xdr:cNvPr>
        <xdr:cNvSpPr/>
      </xdr:nvSpPr>
      <xdr:spPr>
        <a:xfrm>
          <a:off x="2763330" y="2069088"/>
          <a:ext cx="2266165" cy="86166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9</xdr:col>
      <xdr:colOff>29458</xdr:colOff>
      <xdr:row>11</xdr:row>
      <xdr:rowOff>56956</xdr:rowOff>
    </xdr:from>
    <xdr:to>
      <xdr:col>14</xdr:col>
      <xdr:colOff>569535</xdr:colOff>
      <xdr:row>16</xdr:row>
      <xdr:rowOff>56562</xdr:rowOff>
    </xdr:to>
    <xdr:sp macro="" textlink="">
      <xdr:nvSpPr>
        <xdr:cNvPr id="7" name="Rectangle 6">
          <a:extLst>
            <a:ext uri="{FF2B5EF4-FFF2-40B4-BE49-F238E27FC236}">
              <a16:creationId xmlns:a16="http://schemas.microsoft.com/office/drawing/2014/main" id="{00000000-0008-0000-1300-000007000000}"/>
            </a:ext>
          </a:extLst>
        </xdr:cNvPr>
        <xdr:cNvSpPr/>
      </xdr:nvSpPr>
      <xdr:spPr>
        <a:xfrm>
          <a:off x="5096758" y="2066731"/>
          <a:ext cx="3111827" cy="866381"/>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15</xdr:col>
      <xdr:colOff>9821</xdr:colOff>
      <xdr:row>11</xdr:row>
      <xdr:rowOff>54599</xdr:rowOff>
    </xdr:from>
    <xdr:to>
      <xdr:col>17</xdr:col>
      <xdr:colOff>9821</xdr:colOff>
      <xdr:row>16</xdr:row>
      <xdr:rowOff>58919</xdr:rowOff>
    </xdr:to>
    <xdr:sp macro="" textlink="">
      <xdr:nvSpPr>
        <xdr:cNvPr id="8" name="Rectangle 7">
          <a:extLst>
            <a:ext uri="{FF2B5EF4-FFF2-40B4-BE49-F238E27FC236}">
              <a16:creationId xmlns:a16="http://schemas.microsoft.com/office/drawing/2014/main" id="{00000000-0008-0000-1300-000008000000}"/>
            </a:ext>
          </a:extLst>
        </xdr:cNvPr>
        <xdr:cNvSpPr/>
      </xdr:nvSpPr>
      <xdr:spPr>
        <a:xfrm>
          <a:off x="8277521" y="2064374"/>
          <a:ext cx="1428750" cy="871095"/>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18</xdr:col>
      <xdr:colOff>29459</xdr:colOff>
      <xdr:row>11</xdr:row>
      <xdr:rowOff>56956</xdr:rowOff>
    </xdr:from>
    <xdr:to>
      <xdr:col>24</xdr:col>
      <xdr:colOff>422242</xdr:colOff>
      <xdr:row>16</xdr:row>
      <xdr:rowOff>56562</xdr:rowOff>
    </xdr:to>
    <xdr:sp macro="" textlink="">
      <xdr:nvSpPr>
        <xdr:cNvPr id="9" name="Rectangle 8">
          <a:extLst>
            <a:ext uri="{FF2B5EF4-FFF2-40B4-BE49-F238E27FC236}">
              <a16:creationId xmlns:a16="http://schemas.microsoft.com/office/drawing/2014/main" id="{00000000-0008-0000-1300-000009000000}"/>
            </a:ext>
          </a:extLst>
        </xdr:cNvPr>
        <xdr:cNvSpPr/>
      </xdr:nvSpPr>
      <xdr:spPr>
        <a:xfrm>
          <a:off x="9773534" y="2066731"/>
          <a:ext cx="3583658" cy="866381"/>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24</xdr:col>
      <xdr:colOff>481159</xdr:colOff>
      <xdr:row>11</xdr:row>
      <xdr:rowOff>56956</xdr:rowOff>
    </xdr:from>
    <xdr:to>
      <xdr:col>28</xdr:col>
      <xdr:colOff>78557</xdr:colOff>
      <xdr:row>16</xdr:row>
      <xdr:rowOff>56562</xdr:rowOff>
    </xdr:to>
    <xdr:sp macro="" textlink="">
      <xdr:nvSpPr>
        <xdr:cNvPr id="10" name="Rectangle 9">
          <a:extLst>
            <a:ext uri="{FF2B5EF4-FFF2-40B4-BE49-F238E27FC236}">
              <a16:creationId xmlns:a16="http://schemas.microsoft.com/office/drawing/2014/main" id="{00000000-0008-0000-1300-00000A000000}"/>
            </a:ext>
          </a:extLst>
        </xdr:cNvPr>
        <xdr:cNvSpPr/>
      </xdr:nvSpPr>
      <xdr:spPr>
        <a:xfrm>
          <a:off x="13416109" y="2066731"/>
          <a:ext cx="2454898" cy="866381"/>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28</xdr:col>
      <xdr:colOff>122942</xdr:colOff>
      <xdr:row>11</xdr:row>
      <xdr:rowOff>56956</xdr:rowOff>
    </xdr:from>
    <xdr:to>
      <xdr:col>31</xdr:col>
      <xdr:colOff>687371</xdr:colOff>
      <xdr:row>16</xdr:row>
      <xdr:rowOff>56562</xdr:rowOff>
    </xdr:to>
    <xdr:sp macro="" textlink="">
      <xdr:nvSpPr>
        <xdr:cNvPr id="11" name="Rectangle 10">
          <a:extLst>
            <a:ext uri="{FF2B5EF4-FFF2-40B4-BE49-F238E27FC236}">
              <a16:creationId xmlns:a16="http://schemas.microsoft.com/office/drawing/2014/main" id="{00000000-0008-0000-1300-00000B000000}"/>
            </a:ext>
          </a:extLst>
        </xdr:cNvPr>
        <xdr:cNvSpPr/>
      </xdr:nvSpPr>
      <xdr:spPr>
        <a:xfrm>
          <a:off x="15915392" y="2066731"/>
          <a:ext cx="2336079" cy="866381"/>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5</xdr:col>
      <xdr:colOff>714375</xdr:colOff>
      <xdr:row>45</xdr:row>
      <xdr:rowOff>85725</xdr:rowOff>
    </xdr:from>
    <xdr:to>
      <xdr:col>15</xdr:col>
      <xdr:colOff>88234</xdr:colOff>
      <xdr:row>74</xdr:row>
      <xdr:rowOff>70509</xdr:rowOff>
    </xdr:to>
    <xdr:sp macro="" textlink="">
      <xdr:nvSpPr>
        <xdr:cNvPr id="2" name="Rectangle 1">
          <a:extLst>
            <a:ext uri="{FF2B5EF4-FFF2-40B4-BE49-F238E27FC236}">
              <a16:creationId xmlns:a16="http://schemas.microsoft.com/office/drawing/2014/main" id="{00000000-0008-0000-1400-000002000000}"/>
            </a:ext>
          </a:extLst>
        </xdr:cNvPr>
        <xdr:cNvSpPr/>
      </xdr:nvSpPr>
      <xdr:spPr>
        <a:xfrm>
          <a:off x="4524375" y="8258175"/>
          <a:ext cx="6993859" cy="5233059"/>
        </a:xfrm>
        <a:prstGeom prst="rect">
          <a:avLst/>
        </a:prstGeom>
        <a:solidFill>
          <a:srgbClr val="F2F2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editAs="oneCell">
    <xdr:from>
      <xdr:col>17</xdr:col>
      <xdr:colOff>68331</xdr:colOff>
      <xdr:row>0</xdr:row>
      <xdr:rowOff>134592</xdr:rowOff>
    </xdr:from>
    <xdr:to>
      <xdr:col>19</xdr:col>
      <xdr:colOff>700060</xdr:colOff>
      <xdr:row>5</xdr:row>
      <xdr:rowOff>145607</xdr:rowOff>
    </xdr:to>
    <xdr:pic>
      <xdr:nvPicPr>
        <xdr:cNvPr id="3" name="Imag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3022331" y="134592"/>
          <a:ext cx="2155729" cy="921155"/>
        </a:xfrm>
        <a:prstGeom prst="rect">
          <a:avLst/>
        </a:prstGeom>
      </xdr:spPr>
    </xdr:pic>
    <xdr:clientData/>
  </xdr:twoCellAnchor>
  <xdr:twoCellAnchor editAs="oneCell">
    <xdr:from>
      <xdr:col>0</xdr:col>
      <xdr:colOff>714375</xdr:colOff>
      <xdr:row>42</xdr:row>
      <xdr:rowOff>133350</xdr:rowOff>
    </xdr:from>
    <xdr:to>
      <xdr:col>7</xdr:col>
      <xdr:colOff>133353</xdr:colOff>
      <xdr:row>76</xdr:row>
      <xdr:rowOff>137431</xdr:rowOff>
    </xdr:to>
    <xdr:pic>
      <xdr:nvPicPr>
        <xdr:cNvPr id="4" name="Image 3">
          <a:extLst>
            <a:ext uri="{FF2B5EF4-FFF2-40B4-BE49-F238E27FC236}">
              <a16:creationId xmlns:a16="http://schemas.microsoft.com/office/drawing/2014/main" id="{00000000-0008-0000-1400-000004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a:stretch/>
      </xdr:blipFill>
      <xdr:spPr>
        <a:xfrm>
          <a:off x="714375" y="7762875"/>
          <a:ext cx="4752978" cy="6157231"/>
        </a:xfrm>
        <a:prstGeom prst="rect">
          <a:avLst/>
        </a:prstGeom>
      </xdr:spPr>
    </xdr:pic>
    <xdr:clientData/>
  </xdr:twoCellAnchor>
  <xdr:twoCellAnchor>
    <xdr:from>
      <xdr:col>0</xdr:col>
      <xdr:colOff>713836</xdr:colOff>
      <xdr:row>42</xdr:row>
      <xdr:rowOff>125896</xdr:rowOff>
    </xdr:from>
    <xdr:to>
      <xdr:col>7</xdr:col>
      <xdr:colOff>132812</xdr:colOff>
      <xdr:row>76</xdr:row>
      <xdr:rowOff>121753</xdr:rowOff>
    </xdr:to>
    <xdr:sp macro="" textlink="">
      <xdr:nvSpPr>
        <xdr:cNvPr id="5" name="Rectangle 4">
          <a:extLst>
            <a:ext uri="{FF2B5EF4-FFF2-40B4-BE49-F238E27FC236}">
              <a16:creationId xmlns:a16="http://schemas.microsoft.com/office/drawing/2014/main" id="{00000000-0008-0000-1400-000005000000}"/>
            </a:ext>
          </a:extLst>
        </xdr:cNvPr>
        <xdr:cNvSpPr/>
      </xdr:nvSpPr>
      <xdr:spPr>
        <a:xfrm>
          <a:off x="713836" y="7755421"/>
          <a:ext cx="4752976" cy="6149007"/>
        </a:xfrm>
        <a:prstGeom prst="rect">
          <a:avLst/>
        </a:prstGeom>
        <a:solidFill>
          <a:schemeClr val="accent2">
            <a:alpha val="30196"/>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7</xdr:col>
      <xdr:colOff>693821</xdr:colOff>
      <xdr:row>51</xdr:row>
      <xdr:rowOff>46431</xdr:rowOff>
    </xdr:from>
    <xdr:to>
      <xdr:col>9</xdr:col>
      <xdr:colOff>140369</xdr:colOff>
      <xdr:row>51</xdr:row>
      <xdr:rowOff>46431</xdr:rowOff>
    </xdr:to>
    <xdr:cxnSp macro="">
      <xdr:nvCxnSpPr>
        <xdr:cNvPr id="6" name="Connecteur droit 5">
          <a:extLst>
            <a:ext uri="{FF2B5EF4-FFF2-40B4-BE49-F238E27FC236}">
              <a16:creationId xmlns:a16="http://schemas.microsoft.com/office/drawing/2014/main" id="{00000000-0008-0000-1400-000006000000}"/>
            </a:ext>
          </a:extLst>
        </xdr:cNvPr>
        <xdr:cNvCxnSpPr>
          <a:cxnSpLocks/>
        </xdr:cNvCxnSpPr>
      </xdr:nvCxnSpPr>
      <xdr:spPr>
        <a:xfrm>
          <a:off x="6027821" y="9304731"/>
          <a:ext cx="970548" cy="0"/>
        </a:xfrm>
        <a:prstGeom prst="line">
          <a:avLst/>
        </a:prstGeom>
        <a:ln>
          <a:solidFill>
            <a:schemeClr val="accent4"/>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737691</xdr:colOff>
      <xdr:row>125</xdr:row>
      <xdr:rowOff>92350</xdr:rowOff>
    </xdr:from>
    <xdr:to>
      <xdr:col>15</xdr:col>
      <xdr:colOff>111550</xdr:colOff>
      <xdr:row>153</xdr:row>
      <xdr:rowOff>27439</xdr:rowOff>
    </xdr:to>
    <xdr:sp macro="" textlink="">
      <xdr:nvSpPr>
        <xdr:cNvPr id="72" name="Rectangle 71">
          <a:extLst>
            <a:ext uri="{FF2B5EF4-FFF2-40B4-BE49-F238E27FC236}">
              <a16:creationId xmlns:a16="http://schemas.microsoft.com/office/drawing/2014/main" id="{00000000-0008-0000-1400-000048000000}"/>
            </a:ext>
          </a:extLst>
        </xdr:cNvPr>
        <xdr:cNvSpPr/>
      </xdr:nvSpPr>
      <xdr:spPr>
        <a:xfrm>
          <a:off x="4547691" y="23316785"/>
          <a:ext cx="6993859" cy="5269089"/>
        </a:xfrm>
        <a:prstGeom prst="rect">
          <a:avLst/>
        </a:prstGeom>
        <a:solidFill>
          <a:srgbClr val="F2F2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7</xdr:col>
      <xdr:colOff>717137</xdr:colOff>
      <xdr:row>131</xdr:row>
      <xdr:rowOff>3361</xdr:rowOff>
    </xdr:from>
    <xdr:to>
      <xdr:col>9</xdr:col>
      <xdr:colOff>163685</xdr:colOff>
      <xdr:row>131</xdr:row>
      <xdr:rowOff>3361</xdr:rowOff>
    </xdr:to>
    <xdr:cxnSp macro="">
      <xdr:nvCxnSpPr>
        <xdr:cNvPr id="74" name="Connecteur droit 73">
          <a:extLst>
            <a:ext uri="{FF2B5EF4-FFF2-40B4-BE49-F238E27FC236}">
              <a16:creationId xmlns:a16="http://schemas.microsoft.com/office/drawing/2014/main" id="{00000000-0008-0000-1400-00004A000000}"/>
            </a:ext>
          </a:extLst>
        </xdr:cNvPr>
        <xdr:cNvCxnSpPr>
          <a:cxnSpLocks/>
        </xdr:cNvCxnSpPr>
      </xdr:nvCxnSpPr>
      <xdr:spPr>
        <a:xfrm>
          <a:off x="6051137" y="24370796"/>
          <a:ext cx="970548" cy="0"/>
        </a:xfrm>
        <a:prstGeom prst="line">
          <a:avLst/>
        </a:prstGeom>
        <a:ln>
          <a:solidFill>
            <a:schemeClr val="accent4"/>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704021</xdr:colOff>
      <xdr:row>122</xdr:row>
      <xdr:rowOff>140804</xdr:rowOff>
    </xdr:from>
    <xdr:to>
      <xdr:col>7</xdr:col>
      <xdr:colOff>123000</xdr:colOff>
      <xdr:row>155</xdr:row>
      <xdr:rowOff>3724</xdr:rowOff>
    </xdr:to>
    <xdr:grpSp>
      <xdr:nvGrpSpPr>
        <xdr:cNvPr id="77" name="Groupe 76">
          <a:extLst>
            <a:ext uri="{FF2B5EF4-FFF2-40B4-BE49-F238E27FC236}">
              <a16:creationId xmlns:a16="http://schemas.microsoft.com/office/drawing/2014/main" id="{00000000-0008-0000-1400-00004D000000}"/>
            </a:ext>
          </a:extLst>
        </xdr:cNvPr>
        <xdr:cNvGrpSpPr/>
      </xdr:nvGrpSpPr>
      <xdr:grpSpPr>
        <a:xfrm>
          <a:off x="704021" y="21916419"/>
          <a:ext cx="4917102" cy="5894443"/>
          <a:chOff x="704021" y="22876565"/>
          <a:chExt cx="4752979" cy="6149420"/>
        </a:xfrm>
      </xdr:grpSpPr>
      <xdr:pic>
        <xdr:nvPicPr>
          <xdr:cNvPr id="75" name="Image 74">
            <a:extLst>
              <a:ext uri="{FF2B5EF4-FFF2-40B4-BE49-F238E27FC236}">
                <a16:creationId xmlns:a16="http://schemas.microsoft.com/office/drawing/2014/main" id="{00000000-0008-0000-1400-00004B00000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xdr:blipFill>
        <xdr:spPr>
          <a:xfrm>
            <a:off x="704021" y="22876981"/>
            <a:ext cx="4752979" cy="6149004"/>
          </a:xfrm>
          <a:prstGeom prst="rect">
            <a:avLst/>
          </a:prstGeom>
        </xdr:spPr>
      </xdr:pic>
      <xdr:sp macro="" textlink="">
        <xdr:nvSpPr>
          <xdr:cNvPr id="73" name="Rectangle 72">
            <a:extLst>
              <a:ext uri="{FF2B5EF4-FFF2-40B4-BE49-F238E27FC236}">
                <a16:creationId xmlns:a16="http://schemas.microsoft.com/office/drawing/2014/main" id="{00000000-0008-0000-1400-000049000000}"/>
              </a:ext>
            </a:extLst>
          </xdr:cNvPr>
          <xdr:cNvSpPr/>
        </xdr:nvSpPr>
        <xdr:spPr>
          <a:xfrm>
            <a:off x="704022" y="22876565"/>
            <a:ext cx="4752976" cy="6137413"/>
          </a:xfrm>
          <a:prstGeom prst="rect">
            <a:avLst/>
          </a:prstGeom>
          <a:solidFill>
            <a:schemeClr val="accent2">
              <a:alpha val="30196"/>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grpSp>
    <xdr:clientData/>
  </xdr:twoCellAnchor>
  <xdr:twoCellAnchor>
    <xdr:from>
      <xdr:col>23</xdr:col>
      <xdr:colOff>165652</xdr:colOff>
      <xdr:row>18</xdr:row>
      <xdr:rowOff>76204</xdr:rowOff>
    </xdr:from>
    <xdr:to>
      <xdr:col>24</xdr:col>
      <xdr:colOff>604630</xdr:colOff>
      <xdr:row>23</xdr:row>
      <xdr:rowOff>114304</xdr:rowOff>
    </xdr:to>
    <xdr:graphicFrame macro="">
      <xdr:nvGraphicFramePr>
        <xdr:cNvPr id="7" name="Graphique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162891</xdr:colOff>
      <xdr:row>18</xdr:row>
      <xdr:rowOff>76204</xdr:rowOff>
    </xdr:from>
    <xdr:to>
      <xdr:col>27</xdr:col>
      <xdr:colOff>601869</xdr:colOff>
      <xdr:row>23</xdr:row>
      <xdr:rowOff>114304</xdr:rowOff>
    </xdr:to>
    <xdr:graphicFrame macro="">
      <xdr:nvGraphicFramePr>
        <xdr:cNvPr id="8" name="Graphique 7">
          <a:extLst>
            <a:ext uri="{FF2B5EF4-FFF2-40B4-BE49-F238E27FC236}">
              <a16:creationId xmlns:a16="http://schemas.microsoft.com/office/drawing/2014/main" id="{00000000-0008-0000-1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160130</xdr:colOff>
      <xdr:row>18</xdr:row>
      <xdr:rowOff>76204</xdr:rowOff>
    </xdr:from>
    <xdr:to>
      <xdr:col>30</xdr:col>
      <xdr:colOff>599108</xdr:colOff>
      <xdr:row>23</xdr:row>
      <xdr:rowOff>114304</xdr:rowOff>
    </xdr:to>
    <xdr:graphicFrame macro="">
      <xdr:nvGraphicFramePr>
        <xdr:cNvPr id="9" name="Graphique 8">
          <a:extLst>
            <a:ext uri="{FF2B5EF4-FFF2-40B4-BE49-F238E27FC236}">
              <a16:creationId xmlns:a16="http://schemas.microsoft.com/office/drawing/2014/main" id="{00000000-0008-0000-1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157370</xdr:colOff>
      <xdr:row>18</xdr:row>
      <xdr:rowOff>76204</xdr:rowOff>
    </xdr:from>
    <xdr:to>
      <xdr:col>34</xdr:col>
      <xdr:colOff>596348</xdr:colOff>
      <xdr:row>23</xdr:row>
      <xdr:rowOff>114304</xdr:rowOff>
    </xdr:to>
    <xdr:graphicFrame macro="">
      <xdr:nvGraphicFramePr>
        <xdr:cNvPr id="10" name="Graphique 9">
          <a:extLst>
            <a:ext uri="{FF2B5EF4-FFF2-40B4-BE49-F238E27FC236}">
              <a16:creationId xmlns:a16="http://schemas.microsoft.com/office/drawing/2014/main" id="{00000000-0008-0000-1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142756</xdr:colOff>
      <xdr:row>16</xdr:row>
      <xdr:rowOff>171498</xdr:rowOff>
    </xdr:from>
    <xdr:to>
      <xdr:col>34</xdr:col>
      <xdr:colOff>482344</xdr:colOff>
      <xdr:row>24</xdr:row>
      <xdr:rowOff>96954</xdr:rowOff>
    </xdr:to>
    <xdr:sp macro="" textlink="">
      <xdr:nvSpPr>
        <xdr:cNvPr id="12" name="MasquerCTACTUEL_Graph_Impresion">
          <a:extLst>
            <a:ext uri="{FF2B5EF4-FFF2-40B4-BE49-F238E27FC236}">
              <a16:creationId xmlns:a16="http://schemas.microsoft.com/office/drawing/2014/main" id="{00000000-0008-0000-1400-00000C000000}"/>
            </a:ext>
          </a:extLst>
        </xdr:cNvPr>
        <xdr:cNvSpPr/>
      </xdr:nvSpPr>
      <xdr:spPr>
        <a:xfrm>
          <a:off x="19405668" y="3040204"/>
          <a:ext cx="6435588" cy="13598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xdr:col>
      <xdr:colOff>737691</xdr:colOff>
      <xdr:row>325</xdr:row>
      <xdr:rowOff>92350</xdr:rowOff>
    </xdr:from>
    <xdr:to>
      <xdr:col>15</xdr:col>
      <xdr:colOff>111550</xdr:colOff>
      <xdr:row>353</xdr:row>
      <xdr:rowOff>27439</xdr:rowOff>
    </xdr:to>
    <xdr:sp macro="" textlink="">
      <xdr:nvSpPr>
        <xdr:cNvPr id="13" name="Rectangle 12">
          <a:extLst>
            <a:ext uri="{FF2B5EF4-FFF2-40B4-BE49-F238E27FC236}">
              <a16:creationId xmlns:a16="http://schemas.microsoft.com/office/drawing/2014/main" id="{00000000-0008-0000-1400-00000D000000}"/>
            </a:ext>
          </a:extLst>
        </xdr:cNvPr>
        <xdr:cNvSpPr/>
      </xdr:nvSpPr>
      <xdr:spPr>
        <a:xfrm>
          <a:off x="4547691" y="23316785"/>
          <a:ext cx="6993859" cy="5269089"/>
        </a:xfrm>
        <a:prstGeom prst="rect">
          <a:avLst/>
        </a:prstGeom>
        <a:solidFill>
          <a:srgbClr val="F2F2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7</xdr:col>
      <xdr:colOff>717137</xdr:colOff>
      <xdr:row>331</xdr:row>
      <xdr:rowOff>3361</xdr:rowOff>
    </xdr:from>
    <xdr:to>
      <xdr:col>9</xdr:col>
      <xdr:colOff>163685</xdr:colOff>
      <xdr:row>331</xdr:row>
      <xdr:rowOff>3361</xdr:rowOff>
    </xdr:to>
    <xdr:cxnSp macro="">
      <xdr:nvCxnSpPr>
        <xdr:cNvPr id="14" name="Connecteur droit 13">
          <a:extLst>
            <a:ext uri="{FF2B5EF4-FFF2-40B4-BE49-F238E27FC236}">
              <a16:creationId xmlns:a16="http://schemas.microsoft.com/office/drawing/2014/main" id="{00000000-0008-0000-1400-00000E000000}"/>
            </a:ext>
          </a:extLst>
        </xdr:cNvPr>
        <xdr:cNvCxnSpPr>
          <a:cxnSpLocks/>
        </xdr:cNvCxnSpPr>
      </xdr:nvCxnSpPr>
      <xdr:spPr>
        <a:xfrm>
          <a:off x="6051137" y="24370796"/>
          <a:ext cx="970548" cy="0"/>
        </a:xfrm>
        <a:prstGeom prst="line">
          <a:avLst/>
        </a:prstGeom>
        <a:ln>
          <a:solidFill>
            <a:schemeClr val="accent4"/>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687457</xdr:colOff>
      <xdr:row>322</xdr:row>
      <xdr:rowOff>115958</xdr:rowOff>
    </xdr:from>
    <xdr:to>
      <xdr:col>7</xdr:col>
      <xdr:colOff>106434</xdr:colOff>
      <xdr:row>354</xdr:row>
      <xdr:rowOff>168963</xdr:rowOff>
    </xdr:to>
    <xdr:grpSp>
      <xdr:nvGrpSpPr>
        <xdr:cNvPr id="20" name="Groupe 19">
          <a:extLst>
            <a:ext uri="{FF2B5EF4-FFF2-40B4-BE49-F238E27FC236}">
              <a16:creationId xmlns:a16="http://schemas.microsoft.com/office/drawing/2014/main" id="{00000000-0008-0000-1400-000014000000}"/>
            </a:ext>
          </a:extLst>
        </xdr:cNvPr>
        <xdr:cNvGrpSpPr/>
      </xdr:nvGrpSpPr>
      <xdr:grpSpPr>
        <a:xfrm>
          <a:off x="687457" y="58291727"/>
          <a:ext cx="4917100" cy="5867651"/>
          <a:chOff x="4953000" y="61167065"/>
          <a:chExt cx="4752977" cy="6149005"/>
        </a:xfrm>
      </xdr:grpSpPr>
      <xdr:pic>
        <xdr:nvPicPr>
          <xdr:cNvPr id="19" name="Image 18">
            <a:extLst>
              <a:ext uri="{FF2B5EF4-FFF2-40B4-BE49-F238E27FC236}">
                <a16:creationId xmlns:a16="http://schemas.microsoft.com/office/drawing/2014/main" id="{00000000-0008-0000-1400-000013000000}"/>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rcRect/>
          <a:stretch/>
        </xdr:blipFill>
        <xdr:spPr>
          <a:xfrm>
            <a:off x="4953000" y="61167065"/>
            <a:ext cx="4752976" cy="6149005"/>
          </a:xfrm>
          <a:prstGeom prst="rect">
            <a:avLst/>
          </a:prstGeom>
        </xdr:spPr>
      </xdr:pic>
      <xdr:sp macro="" textlink="">
        <xdr:nvSpPr>
          <xdr:cNvPr id="17" name="Rectangle 16">
            <a:extLst>
              <a:ext uri="{FF2B5EF4-FFF2-40B4-BE49-F238E27FC236}">
                <a16:creationId xmlns:a16="http://schemas.microsoft.com/office/drawing/2014/main" id="{00000000-0008-0000-1400-000011000000}"/>
              </a:ext>
            </a:extLst>
          </xdr:cNvPr>
          <xdr:cNvSpPr/>
        </xdr:nvSpPr>
        <xdr:spPr>
          <a:xfrm>
            <a:off x="4953001" y="61175348"/>
            <a:ext cx="4752976" cy="6137413"/>
          </a:xfrm>
          <a:prstGeom prst="rect">
            <a:avLst/>
          </a:prstGeom>
          <a:solidFill>
            <a:schemeClr val="accent2">
              <a:alpha val="30196"/>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grpSp>
    <xdr:clientData/>
  </xdr:twoCellAnchor>
  <xdr:twoCellAnchor>
    <xdr:from>
      <xdr:col>23</xdr:col>
      <xdr:colOff>190502</xdr:colOff>
      <xdr:row>33</xdr:row>
      <xdr:rowOff>78442</xdr:rowOff>
    </xdr:from>
    <xdr:to>
      <xdr:col>24</xdr:col>
      <xdr:colOff>629480</xdr:colOff>
      <xdr:row>38</xdr:row>
      <xdr:rowOff>116543</xdr:rowOff>
    </xdr:to>
    <xdr:graphicFrame macro="">
      <xdr:nvGraphicFramePr>
        <xdr:cNvPr id="11" name="Graphique 10">
          <a:extLst>
            <a:ext uri="{FF2B5EF4-FFF2-40B4-BE49-F238E27FC236}">
              <a16:creationId xmlns:a16="http://schemas.microsoft.com/office/drawing/2014/main" id="{00000000-0008-0000-1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187741</xdr:colOff>
      <xdr:row>33</xdr:row>
      <xdr:rowOff>78442</xdr:rowOff>
    </xdr:from>
    <xdr:to>
      <xdr:col>27</xdr:col>
      <xdr:colOff>626719</xdr:colOff>
      <xdr:row>38</xdr:row>
      <xdr:rowOff>116543</xdr:rowOff>
    </xdr:to>
    <xdr:graphicFrame macro="">
      <xdr:nvGraphicFramePr>
        <xdr:cNvPr id="15" name="Graphique 14">
          <a:extLst>
            <a:ext uri="{FF2B5EF4-FFF2-40B4-BE49-F238E27FC236}">
              <a16:creationId xmlns:a16="http://schemas.microsoft.com/office/drawing/2014/main" id="{00000000-0008-0000-1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184980</xdr:colOff>
      <xdr:row>33</xdr:row>
      <xdr:rowOff>78442</xdr:rowOff>
    </xdr:from>
    <xdr:to>
      <xdr:col>30</xdr:col>
      <xdr:colOff>623958</xdr:colOff>
      <xdr:row>38</xdr:row>
      <xdr:rowOff>116543</xdr:rowOff>
    </xdr:to>
    <xdr:graphicFrame macro="">
      <xdr:nvGraphicFramePr>
        <xdr:cNvPr id="16" name="Graphique 15">
          <a:extLst>
            <a:ext uri="{FF2B5EF4-FFF2-40B4-BE49-F238E27FC236}">
              <a16:creationId xmlns:a16="http://schemas.microsoft.com/office/drawing/2014/main" id="{00000000-0008-0000-14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182220</xdr:colOff>
      <xdr:row>33</xdr:row>
      <xdr:rowOff>78442</xdr:rowOff>
    </xdr:from>
    <xdr:to>
      <xdr:col>34</xdr:col>
      <xdr:colOff>621198</xdr:colOff>
      <xdr:row>38</xdr:row>
      <xdr:rowOff>116543</xdr:rowOff>
    </xdr:to>
    <xdr:graphicFrame macro="">
      <xdr:nvGraphicFramePr>
        <xdr:cNvPr id="18" name="Graphique 17">
          <a:extLst>
            <a:ext uri="{FF2B5EF4-FFF2-40B4-BE49-F238E27FC236}">
              <a16:creationId xmlns:a16="http://schemas.microsoft.com/office/drawing/2014/main" id="{00000000-0008-0000-14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190500</xdr:colOff>
      <xdr:row>562</xdr:row>
      <xdr:rowOff>19050</xdr:rowOff>
    </xdr:from>
    <xdr:to>
      <xdr:col>6</xdr:col>
      <xdr:colOff>371475</xdr:colOff>
      <xdr:row>598</xdr:row>
      <xdr:rowOff>9525</xdr:rowOff>
    </xdr:to>
    <xdr:sp macro="" textlink="">
      <xdr:nvSpPr>
        <xdr:cNvPr id="35" name="Rectangle 34">
          <a:extLst>
            <a:ext uri="{FF2B5EF4-FFF2-40B4-BE49-F238E27FC236}">
              <a16:creationId xmlns:a16="http://schemas.microsoft.com/office/drawing/2014/main" id="{00000000-0008-0000-1400-000023000000}"/>
            </a:ext>
          </a:extLst>
        </xdr:cNvPr>
        <xdr:cNvSpPr/>
      </xdr:nvSpPr>
      <xdr:spPr>
        <a:xfrm>
          <a:off x="190500" y="83413226"/>
          <a:ext cx="4752975" cy="6848475"/>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0</xdr:col>
      <xdr:colOff>577347</xdr:colOff>
      <xdr:row>570</xdr:row>
      <xdr:rowOff>148298</xdr:rowOff>
    </xdr:from>
    <xdr:to>
      <xdr:col>5</xdr:col>
      <xdr:colOff>746627</xdr:colOff>
      <xdr:row>585</xdr:row>
      <xdr:rowOff>130037</xdr:rowOff>
    </xdr:to>
    <xdr:sp macro="" textlink="">
      <xdr:nvSpPr>
        <xdr:cNvPr id="36" name="ZoneTexte 7">
          <a:extLst>
            <a:ext uri="{FF2B5EF4-FFF2-40B4-BE49-F238E27FC236}">
              <a16:creationId xmlns:a16="http://schemas.microsoft.com/office/drawing/2014/main" id="{00000000-0008-0000-1400-000024000000}"/>
            </a:ext>
          </a:extLst>
        </xdr:cNvPr>
        <xdr:cNvSpPr txBox="1"/>
      </xdr:nvSpPr>
      <xdr:spPr>
        <a:xfrm>
          <a:off x="577347" y="85066474"/>
          <a:ext cx="3979280" cy="2839239"/>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lang="fr-FR" sz="1050" b="0" kern="1200">
              <a:solidFill>
                <a:schemeClr val="bg1"/>
              </a:solidFill>
              <a:latin typeface="Optima LT Pro" panose="020B0502050508020304" pitchFamily="34" charset="0"/>
              <a:ea typeface="+mn-ea"/>
              <a:cs typeface="Arial" panose="020B0604020202020204" pitchFamily="34" charset="0"/>
            </a:rPr>
            <a:t>Document sans valeur contractuelle et purement indicatif, établi sur la base des dispositions légales et règlementaires en vigueur à la date de publication et sont susceptibles d’évolution. </a:t>
          </a:r>
        </a:p>
        <a:p>
          <a:pPr algn="just"/>
          <a:r>
            <a:rPr lang="fr-FR" sz="1050" b="0" kern="1200">
              <a:solidFill>
                <a:schemeClr val="bg1"/>
              </a:solidFill>
              <a:latin typeface="Optima LT Pro" panose="020B0502050508020304" pitchFamily="34" charset="0"/>
              <a:ea typeface="+mn-ea"/>
              <a:cs typeface="Arial" panose="020B0604020202020204" pitchFamily="34" charset="0"/>
            </a:rPr>
            <a:t> </a:t>
          </a:r>
        </a:p>
        <a:p>
          <a:pPr algn="just"/>
          <a:r>
            <a:rPr lang="fr-FR" sz="1050" b="0" kern="1200">
              <a:solidFill>
                <a:schemeClr val="bg1"/>
              </a:solidFill>
              <a:latin typeface="Optima LT Pro" panose="020B0502050508020304" pitchFamily="34" charset="0"/>
              <a:ea typeface="+mn-ea"/>
              <a:cs typeface="Arial" panose="020B0604020202020204" pitchFamily="34" charset="0"/>
            </a:rPr>
            <a:t>Le contenu et la forme du document et la méthodologie employée, relèvent de la législation sur le droit d'auteur, le droit des marques et, de façon générale, sur la propriété intellectuelle. La société Laplace en est le concepteur. </a:t>
          </a:r>
        </a:p>
        <a:p>
          <a:pPr algn="just"/>
          <a:endParaRPr lang="fr-FR" sz="1050" b="0" kern="1200">
            <a:solidFill>
              <a:schemeClr val="bg1"/>
            </a:solidFill>
            <a:latin typeface="Optima LT Pro" panose="020B0502050508020304" pitchFamily="34" charset="0"/>
            <a:ea typeface="+mn-ea"/>
            <a:cs typeface="Arial" panose="020B0604020202020204" pitchFamily="34" charset="0"/>
          </a:endParaRPr>
        </a:p>
        <a:p>
          <a:pPr algn="just"/>
          <a:r>
            <a:rPr lang="fr-FR" sz="1050" b="0" kern="1200">
              <a:solidFill>
                <a:schemeClr val="bg1"/>
              </a:solidFill>
              <a:latin typeface="Optima LT Pro" panose="020B0502050508020304" pitchFamily="34" charset="0"/>
              <a:ea typeface="+mn-ea"/>
              <a:cs typeface="Arial" panose="020B0604020202020204" pitchFamily="34" charset="0"/>
            </a:rPr>
            <a:t>Toute reproduction, représentation, diffusion ou rediffusion, en tout ou partie, de ce document ou ses annexes sur quelque support ou par tout procédé que ce soit, de même que toute vente, revente, retransmission ou mise à disposition de tiers de quelque manière que ce soit sont réglementées. Le non-respect de cette règlementation peut constituer une contrefaçon susceptible d'engager la responsabilité civile et pénale du contrefacteur (articles L335-1 à L335-10 du Code de la propriété intellectuelle).</a:t>
          </a:r>
        </a:p>
      </xdr:txBody>
    </xdr:sp>
    <xdr:clientData/>
  </xdr:twoCellAnchor>
  <xdr:oneCellAnchor>
    <xdr:from>
      <xdr:col>6</xdr:col>
      <xdr:colOff>571500</xdr:colOff>
      <xdr:row>568</xdr:row>
      <xdr:rowOff>185443</xdr:rowOff>
    </xdr:from>
    <xdr:ext cx="290135" cy="324000"/>
    <xdr:pic>
      <xdr:nvPicPr>
        <xdr:cNvPr id="37" name="Image 36">
          <a:extLst>
            <a:ext uri="{FF2B5EF4-FFF2-40B4-BE49-F238E27FC236}">
              <a16:creationId xmlns:a16="http://schemas.microsoft.com/office/drawing/2014/main" id="{00000000-0008-0000-1400-000025000000}"/>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5143500" y="84722619"/>
          <a:ext cx="290135" cy="324000"/>
        </a:xfrm>
        <a:prstGeom prst="rect">
          <a:avLst/>
        </a:prstGeom>
      </xdr:spPr>
    </xdr:pic>
    <xdr:clientData/>
  </xdr:oneCellAnchor>
  <xdr:oneCellAnchor>
    <xdr:from>
      <xdr:col>6</xdr:col>
      <xdr:colOff>573082</xdr:colOff>
      <xdr:row>571</xdr:row>
      <xdr:rowOff>8936</xdr:rowOff>
    </xdr:from>
    <xdr:ext cx="286970" cy="324000"/>
    <xdr:pic>
      <xdr:nvPicPr>
        <xdr:cNvPr id="38" name="Image 37">
          <a:extLst>
            <a:ext uri="{FF2B5EF4-FFF2-40B4-BE49-F238E27FC236}">
              <a16:creationId xmlns:a16="http://schemas.microsoft.com/office/drawing/2014/main" id="{00000000-0008-0000-1400-000026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5145082" y="85117612"/>
          <a:ext cx="286970" cy="324000"/>
        </a:xfrm>
        <a:prstGeom prst="rect">
          <a:avLst/>
        </a:prstGeom>
      </xdr:spPr>
    </xdr:pic>
    <xdr:clientData/>
  </xdr:oneCellAnchor>
  <xdr:oneCellAnchor>
    <xdr:from>
      <xdr:col>6</xdr:col>
      <xdr:colOff>574654</xdr:colOff>
      <xdr:row>566</xdr:row>
      <xdr:rowOff>171450</xdr:rowOff>
    </xdr:from>
    <xdr:ext cx="283827" cy="324000"/>
    <xdr:pic>
      <xdr:nvPicPr>
        <xdr:cNvPr id="39" name="Image 38">
          <a:extLst>
            <a:ext uri="{FF2B5EF4-FFF2-40B4-BE49-F238E27FC236}">
              <a16:creationId xmlns:a16="http://schemas.microsoft.com/office/drawing/2014/main" id="{00000000-0008-0000-1400-00002700000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5146654" y="84327626"/>
          <a:ext cx="283827" cy="324000"/>
        </a:xfrm>
        <a:prstGeom prst="rect">
          <a:avLst/>
        </a:prstGeom>
      </xdr:spPr>
    </xdr:pic>
    <xdr:clientData/>
  </xdr:oneCellAnchor>
  <xdr:oneCellAnchor>
    <xdr:from>
      <xdr:col>6</xdr:col>
      <xdr:colOff>571500</xdr:colOff>
      <xdr:row>573</xdr:row>
      <xdr:rowOff>22929</xdr:rowOff>
    </xdr:from>
    <xdr:ext cx="290135" cy="324000"/>
    <xdr:pic>
      <xdr:nvPicPr>
        <xdr:cNvPr id="40" name="Image 39">
          <a:extLst>
            <a:ext uri="{FF2B5EF4-FFF2-40B4-BE49-F238E27FC236}">
              <a16:creationId xmlns:a16="http://schemas.microsoft.com/office/drawing/2014/main" id="{00000000-0008-0000-1400-000028000000}"/>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5143500" y="85512605"/>
          <a:ext cx="290135" cy="324000"/>
        </a:xfrm>
        <a:prstGeom prst="rect">
          <a:avLst/>
        </a:prstGeom>
      </xdr:spPr>
    </xdr:pic>
    <xdr:clientData/>
  </xdr:oneCellAnchor>
  <xdr:oneCellAnchor>
    <xdr:from>
      <xdr:col>7</xdr:col>
      <xdr:colOff>161925</xdr:colOff>
      <xdr:row>595</xdr:row>
      <xdr:rowOff>85725</xdr:rowOff>
    </xdr:from>
    <xdr:ext cx="1184944" cy="503391"/>
    <xdr:pic>
      <xdr:nvPicPr>
        <xdr:cNvPr id="41" name="Graphique 6">
          <a:extLst>
            <a:ext uri="{FF2B5EF4-FFF2-40B4-BE49-F238E27FC236}">
              <a16:creationId xmlns:a16="http://schemas.microsoft.com/office/drawing/2014/main" id="{00000000-0008-0000-1400-000029000000}"/>
            </a:ext>
          </a:extLst>
        </xdr:cNvPr>
        <xdr:cNvPicPr>
          <a:picLocks noChangeAspect="1"/>
        </xdr:cNvPicPr>
      </xdr:nvPicPr>
      <xdr:blipFill>
        <a:blip xmlns:r="http://schemas.openxmlformats.org/officeDocument/2006/relationships" r:embed="rId17" cstate="screen">
          <a:extLst>
            <a:ext uri="{28A0092B-C50C-407E-A947-70E740481C1C}">
              <a14:useLocalDpi xmlns:a14="http://schemas.microsoft.com/office/drawing/2010/main"/>
            </a:ext>
          </a:extLst>
        </a:blip>
        <a:srcRect/>
        <a:stretch/>
      </xdr:blipFill>
      <xdr:spPr>
        <a:xfrm>
          <a:off x="5495925" y="89766401"/>
          <a:ext cx="1184944" cy="503391"/>
        </a:xfrm>
        <a:prstGeom prst="rect">
          <a:avLst/>
        </a:prstGeom>
      </xdr:spPr>
    </xdr:pic>
    <xdr:clientData/>
  </xdr:oneCellAnchor>
  <xdr:twoCellAnchor>
    <xdr:from>
      <xdr:col>5</xdr:col>
      <xdr:colOff>737691</xdr:colOff>
      <xdr:row>485</xdr:row>
      <xdr:rowOff>92350</xdr:rowOff>
    </xdr:from>
    <xdr:to>
      <xdr:col>15</xdr:col>
      <xdr:colOff>111550</xdr:colOff>
      <xdr:row>513</xdr:row>
      <xdr:rowOff>27439</xdr:rowOff>
    </xdr:to>
    <xdr:sp macro="" textlink="">
      <xdr:nvSpPr>
        <xdr:cNvPr id="21" name="Rectangle 20">
          <a:extLst>
            <a:ext uri="{FF2B5EF4-FFF2-40B4-BE49-F238E27FC236}">
              <a16:creationId xmlns:a16="http://schemas.microsoft.com/office/drawing/2014/main" id="{00000000-0008-0000-1400-000015000000}"/>
            </a:ext>
          </a:extLst>
        </xdr:cNvPr>
        <xdr:cNvSpPr/>
      </xdr:nvSpPr>
      <xdr:spPr>
        <a:xfrm>
          <a:off x="4547691" y="61186821"/>
          <a:ext cx="6993859" cy="5269089"/>
        </a:xfrm>
        <a:prstGeom prst="rect">
          <a:avLst/>
        </a:prstGeom>
        <a:solidFill>
          <a:srgbClr val="F2F2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7</xdr:col>
      <xdr:colOff>717137</xdr:colOff>
      <xdr:row>491</xdr:row>
      <xdr:rowOff>3361</xdr:rowOff>
    </xdr:from>
    <xdr:to>
      <xdr:col>9</xdr:col>
      <xdr:colOff>163685</xdr:colOff>
      <xdr:row>491</xdr:row>
      <xdr:rowOff>3361</xdr:rowOff>
    </xdr:to>
    <xdr:cxnSp macro="">
      <xdr:nvCxnSpPr>
        <xdr:cNvPr id="22" name="Connecteur droit 21">
          <a:extLst>
            <a:ext uri="{FF2B5EF4-FFF2-40B4-BE49-F238E27FC236}">
              <a16:creationId xmlns:a16="http://schemas.microsoft.com/office/drawing/2014/main" id="{00000000-0008-0000-1400-000016000000}"/>
            </a:ext>
          </a:extLst>
        </xdr:cNvPr>
        <xdr:cNvCxnSpPr>
          <a:cxnSpLocks/>
        </xdr:cNvCxnSpPr>
      </xdr:nvCxnSpPr>
      <xdr:spPr>
        <a:xfrm>
          <a:off x="6051137" y="62240832"/>
          <a:ext cx="970548" cy="0"/>
        </a:xfrm>
        <a:prstGeom prst="line">
          <a:avLst/>
        </a:prstGeom>
        <a:ln>
          <a:solidFill>
            <a:schemeClr val="accent4"/>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657495</xdr:colOff>
      <xdr:row>482</xdr:row>
      <xdr:rowOff>125437</xdr:rowOff>
    </xdr:from>
    <xdr:to>
      <xdr:col>7</xdr:col>
      <xdr:colOff>76471</xdr:colOff>
      <xdr:row>514</xdr:row>
      <xdr:rowOff>174685</xdr:rowOff>
    </xdr:to>
    <xdr:grpSp>
      <xdr:nvGrpSpPr>
        <xdr:cNvPr id="27" name="Groupe 26">
          <a:extLst>
            <a:ext uri="{FF2B5EF4-FFF2-40B4-BE49-F238E27FC236}">
              <a16:creationId xmlns:a16="http://schemas.microsoft.com/office/drawing/2014/main" id="{00000000-0008-0000-1400-00001B000000}"/>
            </a:ext>
          </a:extLst>
        </xdr:cNvPr>
        <xdr:cNvGrpSpPr/>
      </xdr:nvGrpSpPr>
      <xdr:grpSpPr>
        <a:xfrm>
          <a:off x="657495" y="87397883"/>
          <a:ext cx="4917099" cy="6145248"/>
          <a:chOff x="265289" y="91374937"/>
          <a:chExt cx="4752976" cy="6145248"/>
        </a:xfrm>
      </xdr:grpSpPr>
      <xdr:pic>
        <xdr:nvPicPr>
          <xdr:cNvPr id="26" name="Image 25" descr="Une image contenant intérieur, rideau, meubles, blanc&#10;&#10;Description générée automatiquement">
            <a:extLst>
              <a:ext uri="{FF2B5EF4-FFF2-40B4-BE49-F238E27FC236}">
                <a16:creationId xmlns:a16="http://schemas.microsoft.com/office/drawing/2014/main" id="{00000000-0008-0000-1400-00001A000000}"/>
              </a:ext>
            </a:extLst>
          </xdr:cNvPr>
          <xdr:cNvPicPr>
            <a:picLocks noChangeAspect="1"/>
          </xdr:cNvPicPr>
        </xdr:nvPicPr>
        <xdr:blipFill rotWithShape="1">
          <a:blip xmlns:r="http://schemas.openxmlformats.org/officeDocument/2006/relationships" r:embed="rId18" cstate="screen">
            <a:extLst>
              <a:ext uri="{28A0092B-C50C-407E-A947-70E740481C1C}">
                <a14:useLocalDpi xmlns:a14="http://schemas.microsoft.com/office/drawing/2010/main"/>
              </a:ext>
            </a:extLst>
          </a:blip>
          <a:srcRect/>
          <a:stretch/>
        </xdr:blipFill>
        <xdr:spPr>
          <a:xfrm>
            <a:off x="265290" y="91374937"/>
            <a:ext cx="4752975" cy="6145248"/>
          </a:xfrm>
          <a:prstGeom prst="rect">
            <a:avLst/>
          </a:prstGeom>
        </xdr:spPr>
      </xdr:pic>
      <xdr:sp macro="" textlink="">
        <xdr:nvSpPr>
          <xdr:cNvPr id="25" name="Rectangle 24">
            <a:extLst>
              <a:ext uri="{FF2B5EF4-FFF2-40B4-BE49-F238E27FC236}">
                <a16:creationId xmlns:a16="http://schemas.microsoft.com/office/drawing/2014/main" id="{00000000-0008-0000-1400-000019000000}"/>
              </a:ext>
            </a:extLst>
          </xdr:cNvPr>
          <xdr:cNvSpPr/>
        </xdr:nvSpPr>
        <xdr:spPr>
          <a:xfrm>
            <a:off x="265289" y="91378855"/>
            <a:ext cx="4752976" cy="6137413"/>
          </a:xfrm>
          <a:prstGeom prst="rect">
            <a:avLst/>
          </a:prstGeom>
          <a:solidFill>
            <a:schemeClr val="accent2">
              <a:alpha val="30196"/>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grpSp>
    <xdr:clientData/>
  </xdr:twoCellAnchor>
  <xdr:twoCellAnchor>
    <xdr:from>
      <xdr:col>27</xdr:col>
      <xdr:colOff>419894</xdr:colOff>
      <xdr:row>43</xdr:row>
      <xdr:rowOff>58614</xdr:rowOff>
    </xdr:from>
    <xdr:to>
      <xdr:col>34</xdr:col>
      <xdr:colOff>443204</xdr:colOff>
      <xdr:row>45</xdr:row>
      <xdr:rowOff>135001</xdr:rowOff>
    </xdr:to>
    <xdr:sp macro="" textlink="">
      <xdr:nvSpPr>
        <xdr:cNvPr id="23" name="Rectangle 22">
          <a:extLst>
            <a:ext uri="{FF2B5EF4-FFF2-40B4-BE49-F238E27FC236}">
              <a16:creationId xmlns:a16="http://schemas.microsoft.com/office/drawing/2014/main" id="{00000000-0008-0000-1400-000017000000}"/>
            </a:ext>
          </a:extLst>
        </xdr:cNvPr>
        <xdr:cNvSpPr/>
      </xdr:nvSpPr>
      <xdr:spPr>
        <a:xfrm>
          <a:off x="20444375" y="7949710"/>
          <a:ext cx="5357310" cy="442733"/>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fr-FR" sz="1100" b="1"/>
        </a:p>
      </xdr:txBody>
    </xdr:sp>
    <xdr:clientData/>
  </xdr:twoCellAnchor>
  <xdr:twoCellAnchor editAs="oneCell">
    <xdr:from>
      <xdr:col>22</xdr:col>
      <xdr:colOff>80596</xdr:colOff>
      <xdr:row>49</xdr:row>
      <xdr:rowOff>61859</xdr:rowOff>
    </xdr:from>
    <xdr:to>
      <xdr:col>23</xdr:col>
      <xdr:colOff>232996</xdr:colOff>
      <xdr:row>54</xdr:row>
      <xdr:rowOff>60394</xdr:rowOff>
    </xdr:to>
    <xdr:pic>
      <xdr:nvPicPr>
        <xdr:cNvPr id="24" name="Graphique 9" descr="Contrat contour">
          <a:extLst>
            <a:ext uri="{FF2B5EF4-FFF2-40B4-BE49-F238E27FC236}">
              <a16:creationId xmlns:a16="http://schemas.microsoft.com/office/drawing/2014/main" id="{00000000-0008-0000-1400-000018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6295077" y="9051994"/>
          <a:ext cx="914400" cy="914400"/>
        </a:xfrm>
        <a:prstGeom prst="rect">
          <a:avLst/>
        </a:prstGeom>
      </xdr:spPr>
    </xdr:pic>
    <xdr:clientData/>
  </xdr:twoCellAnchor>
  <xdr:twoCellAnchor editAs="oneCell">
    <xdr:from>
      <xdr:col>22</xdr:col>
      <xdr:colOff>80596</xdr:colOff>
      <xdr:row>59</xdr:row>
      <xdr:rowOff>54013</xdr:rowOff>
    </xdr:from>
    <xdr:to>
      <xdr:col>23</xdr:col>
      <xdr:colOff>232996</xdr:colOff>
      <xdr:row>64</xdr:row>
      <xdr:rowOff>52547</xdr:rowOff>
    </xdr:to>
    <xdr:pic>
      <xdr:nvPicPr>
        <xdr:cNvPr id="28" name="Graphique 10" descr="Contrat contour">
          <a:extLst>
            <a:ext uri="{FF2B5EF4-FFF2-40B4-BE49-F238E27FC236}">
              <a16:creationId xmlns:a16="http://schemas.microsoft.com/office/drawing/2014/main" id="{00000000-0008-0000-1400-00001C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6295077" y="10875878"/>
          <a:ext cx="914400" cy="9144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17</xdr:col>
      <xdr:colOff>752069</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1500-00000B000000}"/>
            </a:ext>
          </a:extLst>
        </xdr:cNvPr>
        <xdr:cNvGrpSpPr/>
      </xdr:nvGrpSpPr>
      <xdr:grpSpPr>
        <a:xfrm>
          <a:off x="30480" y="0"/>
          <a:ext cx="14245540" cy="1115123"/>
          <a:chOff x="30480" y="0"/>
          <a:chExt cx="14295120" cy="1097281"/>
        </a:xfrm>
      </xdr:grpSpPr>
      <xdr:sp macro="" textlink="">
        <xdr:nvSpPr>
          <xdr:cNvPr id="12" name="Rectangle 11">
            <a:extLst>
              <a:ext uri="{FF2B5EF4-FFF2-40B4-BE49-F238E27FC236}">
                <a16:creationId xmlns:a16="http://schemas.microsoft.com/office/drawing/2014/main" id="{00000000-0008-0000-15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15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15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205740</xdr:colOff>
      <xdr:row>0</xdr:row>
      <xdr:rowOff>117111</xdr:rowOff>
    </xdr:from>
    <xdr:to>
      <xdr:col>3</xdr:col>
      <xdr:colOff>829206</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1500-00000F000000}"/>
            </a:ext>
          </a:extLst>
        </xdr:cNvPr>
        <xdr:cNvGrpSpPr/>
      </xdr:nvGrpSpPr>
      <xdr:grpSpPr>
        <a:xfrm>
          <a:off x="1797886" y="117111"/>
          <a:ext cx="1608491" cy="348847"/>
          <a:chOff x="1751601" y="106493"/>
          <a:chExt cx="1575966" cy="351894"/>
        </a:xfrm>
        <a:solidFill>
          <a:schemeClr val="tx1">
            <a:lumMod val="50000"/>
            <a:lumOff val="50000"/>
          </a:schemeClr>
        </a:solidFill>
      </xdr:grpSpPr>
      <xdr:sp macro="" textlink="">
        <xdr:nvSpPr>
          <xdr:cNvPr id="16" name="Rectangle : avec coins arrondis en haut 15">
            <a:extLst>
              <a:ext uri="{FF2B5EF4-FFF2-40B4-BE49-F238E27FC236}">
                <a16:creationId xmlns:a16="http://schemas.microsoft.com/office/drawing/2014/main" id="{00000000-0008-0000-15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1500-000011000000}"/>
              </a:ext>
            </a:extLst>
          </xdr:cNvPr>
          <xdr:cNvSpPr/>
        </xdr:nvSpPr>
        <xdr:spPr>
          <a:xfrm>
            <a:off x="1873521" y="144967"/>
            <a:ext cx="1347366" cy="3061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xdr:col>
      <xdr:colOff>770849</xdr:colOff>
      <xdr:row>7</xdr:row>
      <xdr:rowOff>125463</xdr:rowOff>
    </xdr:from>
    <xdr:to>
      <xdr:col>5</xdr:col>
      <xdr:colOff>7807</xdr:colOff>
      <xdr:row>10</xdr:row>
      <xdr:rowOff>22871</xdr:rowOff>
    </xdr:to>
    <xdr:grpSp>
      <xdr:nvGrpSpPr>
        <xdr:cNvPr id="18" name="Groupe 17">
          <a:extLst>
            <a:ext uri="{FF2B5EF4-FFF2-40B4-BE49-F238E27FC236}">
              <a16:creationId xmlns:a16="http://schemas.microsoft.com/office/drawing/2014/main" id="{00000000-0008-0000-1500-000012000000}"/>
            </a:ext>
          </a:extLst>
        </xdr:cNvPr>
        <xdr:cNvGrpSpPr/>
      </xdr:nvGrpSpPr>
      <xdr:grpSpPr>
        <a:xfrm>
          <a:off x="1563825" y="1426439"/>
          <a:ext cx="3474421" cy="454969"/>
          <a:chOff x="1765956" y="2512140"/>
          <a:chExt cx="5228348" cy="266391"/>
        </a:xfrm>
      </xdr:grpSpPr>
      <xdr:sp macro="" textlink="">
        <xdr:nvSpPr>
          <xdr:cNvPr id="19" name="ZoneTexte 3">
            <a:extLst>
              <a:ext uri="{FF2B5EF4-FFF2-40B4-BE49-F238E27FC236}">
                <a16:creationId xmlns:a16="http://schemas.microsoft.com/office/drawing/2014/main" id="{00000000-0008-0000-1500-000013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baseline="0">
                <a:effectLst/>
                <a:latin typeface="+mn-lt"/>
                <a:ea typeface="+mn-ea"/>
                <a:cs typeface="+mn-cs"/>
              </a:rPr>
              <a:t>Paramètres en phase d'épargne</a:t>
            </a:r>
            <a:endParaRPr lang="fr-FR" sz="1600" b="1">
              <a:effectLst/>
              <a:latin typeface="+mn-lt"/>
              <a:ea typeface="+mn-ea"/>
              <a:cs typeface="+mn-cs"/>
            </a:endParaRPr>
          </a:p>
        </xdr:txBody>
      </xdr:sp>
      <xdr:cxnSp macro="">
        <xdr:nvCxnSpPr>
          <xdr:cNvPr id="20" name="Connecteur droit 19">
            <a:extLst>
              <a:ext uri="{FF2B5EF4-FFF2-40B4-BE49-F238E27FC236}">
                <a16:creationId xmlns:a16="http://schemas.microsoft.com/office/drawing/2014/main" id="{00000000-0008-0000-1500-000014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xdr:col>
      <xdr:colOff>1860</xdr:colOff>
      <xdr:row>7</xdr:row>
      <xdr:rowOff>16160</xdr:rowOff>
    </xdr:from>
    <xdr:to>
      <xdr:col>17</xdr:col>
      <xdr:colOff>942615</xdr:colOff>
      <xdr:row>40</xdr:row>
      <xdr:rowOff>148340</xdr:rowOff>
    </xdr:to>
    <xdr:sp macro="" textlink="">
      <xdr:nvSpPr>
        <xdr:cNvPr id="21" name="Rectangle 20">
          <a:extLst>
            <a:ext uri="{FF2B5EF4-FFF2-40B4-BE49-F238E27FC236}">
              <a16:creationId xmlns:a16="http://schemas.microsoft.com/office/drawing/2014/main" id="{00000000-0008-0000-1500-000015000000}"/>
            </a:ext>
          </a:extLst>
        </xdr:cNvPr>
        <xdr:cNvSpPr/>
      </xdr:nvSpPr>
      <xdr:spPr>
        <a:xfrm>
          <a:off x="1543779" y="1327799"/>
          <a:ext cx="12515229" cy="6050172"/>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0</xdr:col>
      <xdr:colOff>30480</xdr:colOff>
      <xdr:row>6</xdr:row>
      <xdr:rowOff>140532</xdr:rowOff>
    </xdr:from>
    <xdr:to>
      <xdr:col>1</xdr:col>
      <xdr:colOff>600418</xdr:colOff>
      <xdr:row>8</xdr:row>
      <xdr:rowOff>85880</xdr:rowOff>
    </xdr:to>
    <xdr:sp macro="" textlink="">
      <xdr:nvSpPr>
        <xdr:cNvPr id="22" name="Rectangle 21">
          <a:extLst>
            <a:ext uri="{FF2B5EF4-FFF2-40B4-BE49-F238E27FC236}">
              <a16:creationId xmlns:a16="http://schemas.microsoft.com/office/drawing/2014/main" id="{00000000-0008-0000-1500-000016000000}"/>
            </a:ext>
          </a:extLst>
        </xdr:cNvPr>
        <xdr:cNvSpPr/>
      </xdr:nvSpPr>
      <xdr:spPr>
        <a:xfrm>
          <a:off x="30480" y="1283532"/>
          <a:ext cx="1331938" cy="326348"/>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Phase épargne</a:t>
          </a:r>
        </a:p>
      </xdr:txBody>
    </xdr:sp>
    <xdr:clientData/>
  </xdr:twoCellAnchor>
  <xdr:twoCellAnchor editAs="absolute">
    <xdr:from>
      <xdr:col>0</xdr:col>
      <xdr:colOff>30480</xdr:colOff>
      <xdr:row>8</xdr:row>
      <xdr:rowOff>135223</xdr:rowOff>
    </xdr:from>
    <xdr:to>
      <xdr:col>1</xdr:col>
      <xdr:colOff>600418</xdr:colOff>
      <xdr:row>10</xdr:row>
      <xdr:rowOff>80571</xdr:rowOff>
    </xdr:to>
    <xdr:sp macro="[0]!MEPPER_pour_passer_MEPPER2" textlink="">
      <xdr:nvSpPr>
        <xdr:cNvPr id="23" name="Lien_Avis_IR_N-1_/_R_N-2">
          <a:extLst>
            <a:ext uri="{FF2B5EF4-FFF2-40B4-BE49-F238E27FC236}">
              <a16:creationId xmlns:a16="http://schemas.microsoft.com/office/drawing/2014/main" id="{00000000-0008-0000-1500-000017000000}"/>
            </a:ext>
          </a:extLst>
        </xdr:cNvPr>
        <xdr:cNvSpPr/>
      </xdr:nvSpPr>
      <xdr:spPr>
        <a:xfrm>
          <a:off x="30480" y="1659223"/>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Phase liquidation</a:t>
          </a:r>
        </a:p>
      </xdr:txBody>
    </xdr:sp>
    <xdr:clientData/>
  </xdr:twoCellAnchor>
  <xdr:twoCellAnchor editAs="absolute">
    <xdr:from>
      <xdr:col>0</xdr:col>
      <xdr:colOff>30480</xdr:colOff>
      <xdr:row>10</xdr:row>
      <xdr:rowOff>129914</xdr:rowOff>
    </xdr:from>
    <xdr:to>
      <xdr:col>1</xdr:col>
      <xdr:colOff>600418</xdr:colOff>
      <xdr:row>12</xdr:row>
      <xdr:rowOff>75261</xdr:rowOff>
    </xdr:to>
    <xdr:sp macro="" textlink="">
      <xdr:nvSpPr>
        <xdr:cNvPr id="24" name="Lien_Déclaration_R_N-1">
          <a:extLst>
            <a:ext uri="{FF2B5EF4-FFF2-40B4-BE49-F238E27FC236}">
              <a16:creationId xmlns:a16="http://schemas.microsoft.com/office/drawing/2014/main" id="{00000000-0008-0000-1500-000018000000}"/>
            </a:ext>
          </a:extLst>
        </xdr:cNvPr>
        <xdr:cNvSpPr/>
      </xdr:nvSpPr>
      <xdr:spPr>
        <a:xfrm>
          <a:off x="30480" y="2034914"/>
          <a:ext cx="1331938" cy="326347"/>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a:t>
          </a:r>
        </a:p>
      </xdr:txBody>
    </xdr:sp>
    <xdr:clientData/>
  </xdr:twoCellAnchor>
  <xdr:twoCellAnchor>
    <xdr:from>
      <xdr:col>3</xdr:col>
      <xdr:colOff>390369</xdr:colOff>
      <xdr:row>12</xdr:row>
      <xdr:rowOff>60586</xdr:rowOff>
    </xdr:from>
    <xdr:to>
      <xdr:col>16</xdr:col>
      <xdr:colOff>1116455</xdr:colOff>
      <xdr:row>16</xdr:row>
      <xdr:rowOff>138660</xdr:rowOff>
    </xdr:to>
    <xdr:grpSp>
      <xdr:nvGrpSpPr>
        <xdr:cNvPr id="29" name="Groupe 28">
          <a:extLst>
            <a:ext uri="{FF2B5EF4-FFF2-40B4-BE49-F238E27FC236}">
              <a16:creationId xmlns:a16="http://schemas.microsoft.com/office/drawing/2014/main" id="{00000000-0008-0000-1500-00001D000000}"/>
            </a:ext>
          </a:extLst>
        </xdr:cNvPr>
        <xdr:cNvGrpSpPr/>
      </xdr:nvGrpSpPr>
      <xdr:grpSpPr>
        <a:xfrm>
          <a:off x="2967540" y="2290830"/>
          <a:ext cx="10204622" cy="765732"/>
          <a:chOff x="3364981" y="2332532"/>
          <a:chExt cx="8423935" cy="780738"/>
        </a:xfrm>
      </xdr:grpSpPr>
      <xdr:sp macro="" textlink="">
        <xdr:nvSpPr>
          <xdr:cNvPr id="27" name="Rectangle 26">
            <a:extLst>
              <a:ext uri="{FF2B5EF4-FFF2-40B4-BE49-F238E27FC236}">
                <a16:creationId xmlns:a16="http://schemas.microsoft.com/office/drawing/2014/main" id="{00000000-0008-0000-1500-00001B000000}"/>
              </a:ext>
            </a:extLst>
          </xdr:cNvPr>
          <xdr:cNvSpPr/>
        </xdr:nvSpPr>
        <xdr:spPr>
          <a:xfrm>
            <a:off x="3364981" y="2332532"/>
            <a:ext cx="4083257" cy="78073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28" name="Rectangle 27">
            <a:extLst>
              <a:ext uri="{FF2B5EF4-FFF2-40B4-BE49-F238E27FC236}">
                <a16:creationId xmlns:a16="http://schemas.microsoft.com/office/drawing/2014/main" id="{00000000-0008-0000-1500-00001C000000}"/>
              </a:ext>
            </a:extLst>
          </xdr:cNvPr>
          <xdr:cNvSpPr/>
        </xdr:nvSpPr>
        <xdr:spPr>
          <a:xfrm>
            <a:off x="7725557" y="2332532"/>
            <a:ext cx="4063359" cy="78073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grpSp>
    <xdr:clientData/>
  </xdr:twoCellAnchor>
  <xdr:twoCellAnchor>
    <xdr:from>
      <xdr:col>3</xdr:col>
      <xdr:colOff>390369</xdr:colOff>
      <xdr:row>26</xdr:row>
      <xdr:rowOff>53857</xdr:rowOff>
    </xdr:from>
    <xdr:to>
      <xdr:col>9</xdr:col>
      <xdr:colOff>245691</xdr:colOff>
      <xdr:row>30</xdr:row>
      <xdr:rowOff>147546</xdr:rowOff>
    </xdr:to>
    <xdr:sp macro="" textlink="">
      <xdr:nvSpPr>
        <xdr:cNvPr id="35" name="Rectangle 34">
          <a:extLst>
            <a:ext uri="{FF2B5EF4-FFF2-40B4-BE49-F238E27FC236}">
              <a16:creationId xmlns:a16="http://schemas.microsoft.com/office/drawing/2014/main" id="{00000000-0008-0000-1500-000023000000}"/>
            </a:ext>
          </a:extLst>
        </xdr:cNvPr>
        <xdr:cNvSpPr/>
      </xdr:nvSpPr>
      <xdr:spPr>
        <a:xfrm>
          <a:off x="2883906" y="4800869"/>
          <a:ext cx="4811419" cy="782897"/>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3</xdr:col>
      <xdr:colOff>398176</xdr:colOff>
      <xdr:row>18</xdr:row>
      <xdr:rowOff>23422</xdr:rowOff>
    </xdr:from>
    <xdr:to>
      <xdr:col>16</xdr:col>
      <xdr:colOff>1108648</xdr:colOff>
      <xdr:row>25</xdr:row>
      <xdr:rowOff>78073</xdr:rowOff>
    </xdr:to>
    <xdr:grpSp>
      <xdr:nvGrpSpPr>
        <xdr:cNvPr id="37" name="Groupe 36">
          <a:extLst>
            <a:ext uri="{FF2B5EF4-FFF2-40B4-BE49-F238E27FC236}">
              <a16:creationId xmlns:a16="http://schemas.microsoft.com/office/drawing/2014/main" id="{00000000-0008-0000-1500-000025000000}"/>
            </a:ext>
          </a:extLst>
        </xdr:cNvPr>
        <xdr:cNvGrpSpPr/>
      </xdr:nvGrpSpPr>
      <xdr:grpSpPr>
        <a:xfrm>
          <a:off x="2975347" y="3313032"/>
          <a:ext cx="10189008" cy="1114017"/>
          <a:chOff x="3364981" y="2332532"/>
          <a:chExt cx="8443833" cy="780738"/>
        </a:xfrm>
      </xdr:grpSpPr>
      <xdr:sp macro="" textlink="">
        <xdr:nvSpPr>
          <xdr:cNvPr id="38" name="Rectangle 37">
            <a:extLst>
              <a:ext uri="{FF2B5EF4-FFF2-40B4-BE49-F238E27FC236}">
                <a16:creationId xmlns:a16="http://schemas.microsoft.com/office/drawing/2014/main" id="{00000000-0008-0000-1500-000026000000}"/>
              </a:ext>
            </a:extLst>
          </xdr:cNvPr>
          <xdr:cNvSpPr/>
        </xdr:nvSpPr>
        <xdr:spPr>
          <a:xfrm>
            <a:off x="3364981" y="2332532"/>
            <a:ext cx="4083257" cy="78073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39" name="Rectangle 38">
            <a:extLst>
              <a:ext uri="{FF2B5EF4-FFF2-40B4-BE49-F238E27FC236}">
                <a16:creationId xmlns:a16="http://schemas.microsoft.com/office/drawing/2014/main" id="{00000000-0008-0000-1500-000027000000}"/>
              </a:ext>
            </a:extLst>
          </xdr:cNvPr>
          <xdr:cNvSpPr/>
        </xdr:nvSpPr>
        <xdr:spPr>
          <a:xfrm>
            <a:off x="7725557" y="2332532"/>
            <a:ext cx="4083257" cy="78073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grpSp>
    <xdr:clientData/>
  </xdr:twoCellAnchor>
  <xdr:twoCellAnchor>
    <xdr:from>
      <xdr:col>10</xdr:col>
      <xdr:colOff>152398</xdr:colOff>
      <xdr:row>26</xdr:row>
      <xdr:rowOff>0</xdr:rowOff>
    </xdr:from>
    <xdr:to>
      <xdr:col>16</xdr:col>
      <xdr:colOff>1233565</xdr:colOff>
      <xdr:row>31</xdr:row>
      <xdr:rowOff>62459</xdr:rowOff>
    </xdr:to>
    <xdr:sp macro="" textlink="">
      <xdr:nvSpPr>
        <xdr:cNvPr id="31" name="Masquer_prev" hidden="1">
          <a:extLst>
            <a:ext uri="{FF2B5EF4-FFF2-40B4-BE49-F238E27FC236}">
              <a16:creationId xmlns:a16="http://schemas.microsoft.com/office/drawing/2014/main" id="{00000000-0008-0000-1500-00001F000000}"/>
            </a:ext>
          </a:extLst>
        </xdr:cNvPr>
        <xdr:cNvSpPr/>
      </xdr:nvSpPr>
      <xdr:spPr>
        <a:xfrm>
          <a:off x="7866087" y="4938324"/>
          <a:ext cx="5055121" cy="9796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187377</xdr:colOff>
      <xdr:row>3</xdr:row>
      <xdr:rowOff>132725</xdr:rowOff>
    </xdr:from>
    <xdr:to>
      <xdr:col>3</xdr:col>
      <xdr:colOff>81823</xdr:colOff>
      <xdr:row>5</xdr:row>
      <xdr:rowOff>112138</xdr:rowOff>
    </xdr:to>
    <xdr:grpSp>
      <xdr:nvGrpSpPr>
        <xdr:cNvPr id="25" name="Groupe 24">
          <a:extLst>
            <a:ext uri="{FF2B5EF4-FFF2-40B4-BE49-F238E27FC236}">
              <a16:creationId xmlns:a16="http://schemas.microsoft.com/office/drawing/2014/main" id="{00000000-0008-0000-1500-000019000000}"/>
            </a:ext>
          </a:extLst>
        </xdr:cNvPr>
        <xdr:cNvGrpSpPr/>
      </xdr:nvGrpSpPr>
      <xdr:grpSpPr>
        <a:xfrm>
          <a:off x="1779523" y="690286"/>
          <a:ext cx="879471" cy="351120"/>
          <a:chOff x="3142624" y="716405"/>
          <a:chExt cx="846946" cy="354167"/>
        </a:xfrm>
      </xdr:grpSpPr>
      <xdr:sp macro="[0]!Reset_MEPPER" textlink="">
        <xdr:nvSpPr>
          <xdr:cNvPr id="26" name="Ellipse 25">
            <a:extLst>
              <a:ext uri="{FF2B5EF4-FFF2-40B4-BE49-F238E27FC236}">
                <a16:creationId xmlns:a16="http://schemas.microsoft.com/office/drawing/2014/main" id="{00000000-0008-0000-1500-00001A000000}"/>
              </a:ext>
            </a:extLst>
          </xdr:cNvPr>
          <xdr:cNvSpPr/>
        </xdr:nvSpPr>
        <xdr:spPr>
          <a:xfrm>
            <a:off x="3142624" y="716405"/>
            <a:ext cx="394218" cy="345485"/>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0]!Reset_MEPPER" textlink="">
        <xdr:nvSpPr>
          <xdr:cNvPr id="30" name="Rectangle 29">
            <a:extLst>
              <a:ext uri="{FF2B5EF4-FFF2-40B4-BE49-F238E27FC236}">
                <a16:creationId xmlns:a16="http://schemas.microsoft.com/office/drawing/2014/main" id="{00000000-0008-0000-1500-00001E000000}"/>
              </a:ext>
            </a:extLst>
          </xdr:cNvPr>
          <xdr:cNvSpPr/>
        </xdr:nvSpPr>
        <xdr:spPr>
          <a:xfrm>
            <a:off x="3514961" y="718799"/>
            <a:ext cx="47460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Reset</a:t>
            </a:r>
          </a:p>
        </xdr:txBody>
      </xdr:sp>
      <xdr:pic macro="[0]!Reset_MEPPER">
        <xdr:nvPicPr>
          <xdr:cNvPr id="32" name="Graphique 31" descr="Ordures avec un remplissage uni">
            <a:extLst>
              <a:ext uri="{FF2B5EF4-FFF2-40B4-BE49-F238E27FC236}">
                <a16:creationId xmlns:a16="http://schemas.microsoft.com/office/drawing/2014/main" id="{00000000-0008-0000-1500-000020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218720" y="752518"/>
            <a:ext cx="242028" cy="242028"/>
          </a:xfrm>
          <a:prstGeom prst="rect">
            <a:avLst/>
          </a:prstGeom>
        </xdr:spPr>
      </xdr:pic>
    </xdr:grpSp>
    <xdr:clientData/>
  </xdr:twoCellAnchor>
  <xdr:twoCellAnchor>
    <xdr:from>
      <xdr:col>10</xdr:col>
      <xdr:colOff>279034</xdr:colOff>
      <xdr:row>26</xdr:row>
      <xdr:rowOff>53857</xdr:rowOff>
    </xdr:from>
    <xdr:to>
      <xdr:col>16</xdr:col>
      <xdr:colOff>1133319</xdr:colOff>
      <xdr:row>30</xdr:row>
      <xdr:rowOff>147546</xdr:rowOff>
    </xdr:to>
    <xdr:sp macro="" textlink="">
      <xdr:nvSpPr>
        <xdr:cNvPr id="40" name="Rectangle 39">
          <a:extLst>
            <a:ext uri="{FF2B5EF4-FFF2-40B4-BE49-F238E27FC236}">
              <a16:creationId xmlns:a16="http://schemas.microsoft.com/office/drawing/2014/main" id="{00000000-0008-0000-1500-000028000000}"/>
            </a:ext>
          </a:extLst>
        </xdr:cNvPr>
        <xdr:cNvSpPr/>
      </xdr:nvSpPr>
      <xdr:spPr>
        <a:xfrm>
          <a:off x="7991961" y="4800869"/>
          <a:ext cx="4811419" cy="782897"/>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17</xdr:col>
      <xdr:colOff>752069</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1600-00000B000000}"/>
            </a:ext>
          </a:extLst>
        </xdr:cNvPr>
        <xdr:cNvGrpSpPr/>
      </xdr:nvGrpSpPr>
      <xdr:grpSpPr>
        <a:xfrm>
          <a:off x="30480" y="0"/>
          <a:ext cx="14245540" cy="1115123"/>
          <a:chOff x="30480" y="0"/>
          <a:chExt cx="14295120" cy="1097281"/>
        </a:xfrm>
      </xdr:grpSpPr>
      <xdr:sp macro="" textlink="">
        <xdr:nvSpPr>
          <xdr:cNvPr id="12" name="Rectangle 11">
            <a:extLst>
              <a:ext uri="{FF2B5EF4-FFF2-40B4-BE49-F238E27FC236}">
                <a16:creationId xmlns:a16="http://schemas.microsoft.com/office/drawing/2014/main" id="{00000000-0008-0000-16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16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16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205740</xdr:colOff>
      <xdr:row>0</xdr:row>
      <xdr:rowOff>117111</xdr:rowOff>
    </xdr:from>
    <xdr:to>
      <xdr:col>3</xdr:col>
      <xdr:colOff>829206</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1600-00000F000000}"/>
            </a:ext>
          </a:extLst>
        </xdr:cNvPr>
        <xdr:cNvGrpSpPr/>
      </xdr:nvGrpSpPr>
      <xdr:grpSpPr>
        <a:xfrm>
          <a:off x="1797886" y="117111"/>
          <a:ext cx="1608491" cy="348847"/>
          <a:chOff x="1751601" y="106493"/>
          <a:chExt cx="1575966" cy="351894"/>
        </a:xfrm>
        <a:solidFill>
          <a:schemeClr val="tx1">
            <a:lumMod val="50000"/>
            <a:lumOff val="50000"/>
          </a:schemeClr>
        </a:solidFill>
      </xdr:grpSpPr>
      <xdr:sp macro="" textlink="">
        <xdr:nvSpPr>
          <xdr:cNvPr id="16" name="Rectangle : avec coins arrondis en haut 15">
            <a:extLst>
              <a:ext uri="{FF2B5EF4-FFF2-40B4-BE49-F238E27FC236}">
                <a16:creationId xmlns:a16="http://schemas.microsoft.com/office/drawing/2014/main" id="{00000000-0008-0000-16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1600-000011000000}"/>
              </a:ext>
            </a:extLst>
          </xdr:cNvPr>
          <xdr:cNvSpPr/>
        </xdr:nvSpPr>
        <xdr:spPr>
          <a:xfrm>
            <a:off x="1873521" y="144967"/>
            <a:ext cx="1347366" cy="3061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xdr:col>
      <xdr:colOff>770849</xdr:colOff>
      <xdr:row>7</xdr:row>
      <xdr:rowOff>125463</xdr:rowOff>
    </xdr:from>
    <xdr:to>
      <xdr:col>5</xdr:col>
      <xdr:colOff>7807</xdr:colOff>
      <xdr:row>10</xdr:row>
      <xdr:rowOff>22871</xdr:rowOff>
    </xdr:to>
    <xdr:grpSp>
      <xdr:nvGrpSpPr>
        <xdr:cNvPr id="18" name="Groupe 17">
          <a:extLst>
            <a:ext uri="{FF2B5EF4-FFF2-40B4-BE49-F238E27FC236}">
              <a16:creationId xmlns:a16="http://schemas.microsoft.com/office/drawing/2014/main" id="{00000000-0008-0000-1600-000012000000}"/>
            </a:ext>
          </a:extLst>
        </xdr:cNvPr>
        <xdr:cNvGrpSpPr/>
      </xdr:nvGrpSpPr>
      <xdr:grpSpPr>
        <a:xfrm>
          <a:off x="1563825" y="1426439"/>
          <a:ext cx="3474421" cy="454969"/>
          <a:chOff x="1765956" y="2512140"/>
          <a:chExt cx="5228348" cy="266391"/>
        </a:xfrm>
      </xdr:grpSpPr>
      <xdr:sp macro="" textlink="">
        <xdr:nvSpPr>
          <xdr:cNvPr id="19" name="ZoneTexte 3">
            <a:extLst>
              <a:ext uri="{FF2B5EF4-FFF2-40B4-BE49-F238E27FC236}">
                <a16:creationId xmlns:a16="http://schemas.microsoft.com/office/drawing/2014/main" id="{00000000-0008-0000-1600-000013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baseline="0">
                <a:effectLst/>
                <a:latin typeface="+mn-lt"/>
                <a:ea typeface="+mn-ea"/>
                <a:cs typeface="+mn-cs"/>
              </a:rPr>
              <a:t>Paramètres en phase de liquidation</a:t>
            </a:r>
          </a:p>
        </xdr:txBody>
      </xdr:sp>
      <xdr:cxnSp macro="">
        <xdr:nvCxnSpPr>
          <xdr:cNvPr id="20" name="Connecteur droit 19">
            <a:extLst>
              <a:ext uri="{FF2B5EF4-FFF2-40B4-BE49-F238E27FC236}">
                <a16:creationId xmlns:a16="http://schemas.microsoft.com/office/drawing/2014/main" id="{00000000-0008-0000-1600-000014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xdr:col>
      <xdr:colOff>1860</xdr:colOff>
      <xdr:row>7</xdr:row>
      <xdr:rowOff>16160</xdr:rowOff>
    </xdr:from>
    <xdr:to>
      <xdr:col>17</xdr:col>
      <xdr:colOff>942615</xdr:colOff>
      <xdr:row>42</xdr:row>
      <xdr:rowOff>7807</xdr:rowOff>
    </xdr:to>
    <xdr:sp macro="" textlink="">
      <xdr:nvSpPr>
        <xdr:cNvPr id="21" name="Rectangle 20">
          <a:extLst>
            <a:ext uri="{FF2B5EF4-FFF2-40B4-BE49-F238E27FC236}">
              <a16:creationId xmlns:a16="http://schemas.microsoft.com/office/drawing/2014/main" id="{00000000-0008-0000-1600-000015000000}"/>
            </a:ext>
          </a:extLst>
        </xdr:cNvPr>
        <xdr:cNvSpPr/>
      </xdr:nvSpPr>
      <xdr:spPr>
        <a:xfrm>
          <a:off x="1540656" y="1349660"/>
          <a:ext cx="12517884" cy="6093737"/>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0</xdr:col>
      <xdr:colOff>30480</xdr:colOff>
      <xdr:row>6</xdr:row>
      <xdr:rowOff>140532</xdr:rowOff>
    </xdr:from>
    <xdr:to>
      <xdr:col>1</xdr:col>
      <xdr:colOff>600418</xdr:colOff>
      <xdr:row>8</xdr:row>
      <xdr:rowOff>85880</xdr:rowOff>
    </xdr:to>
    <xdr:sp macro="" textlink="">
      <xdr:nvSpPr>
        <xdr:cNvPr id="22" name="Rectangle 21">
          <a:hlinkClick xmlns:r="http://schemas.openxmlformats.org/officeDocument/2006/relationships" r:id="rId4"/>
          <a:extLst>
            <a:ext uri="{FF2B5EF4-FFF2-40B4-BE49-F238E27FC236}">
              <a16:creationId xmlns:a16="http://schemas.microsoft.com/office/drawing/2014/main" id="{00000000-0008-0000-1600-000016000000}"/>
            </a:ext>
          </a:extLst>
        </xdr:cNvPr>
        <xdr:cNvSpPr/>
      </xdr:nvSpPr>
      <xdr:spPr>
        <a:xfrm>
          <a:off x="30480" y="1283532"/>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Phase épargne</a:t>
          </a:r>
        </a:p>
      </xdr:txBody>
    </xdr:sp>
    <xdr:clientData/>
  </xdr:twoCellAnchor>
  <xdr:twoCellAnchor editAs="absolute">
    <xdr:from>
      <xdr:col>0</xdr:col>
      <xdr:colOff>30480</xdr:colOff>
      <xdr:row>8</xdr:row>
      <xdr:rowOff>135223</xdr:rowOff>
    </xdr:from>
    <xdr:to>
      <xdr:col>1</xdr:col>
      <xdr:colOff>600418</xdr:colOff>
      <xdr:row>10</xdr:row>
      <xdr:rowOff>80571</xdr:rowOff>
    </xdr:to>
    <xdr:sp macro="" textlink="">
      <xdr:nvSpPr>
        <xdr:cNvPr id="23" name="Lien_Avis_IR_N-1_/_R_N-2">
          <a:extLst>
            <a:ext uri="{FF2B5EF4-FFF2-40B4-BE49-F238E27FC236}">
              <a16:creationId xmlns:a16="http://schemas.microsoft.com/office/drawing/2014/main" id="{00000000-0008-0000-1600-000017000000}"/>
            </a:ext>
          </a:extLst>
        </xdr:cNvPr>
        <xdr:cNvSpPr/>
      </xdr:nvSpPr>
      <xdr:spPr>
        <a:xfrm>
          <a:off x="30480" y="1659223"/>
          <a:ext cx="1331938" cy="326348"/>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Phase liquidation</a:t>
          </a:r>
        </a:p>
      </xdr:txBody>
    </xdr:sp>
    <xdr:clientData/>
  </xdr:twoCellAnchor>
  <xdr:twoCellAnchor editAs="absolute">
    <xdr:from>
      <xdr:col>0</xdr:col>
      <xdr:colOff>30480</xdr:colOff>
      <xdr:row>10</xdr:row>
      <xdr:rowOff>129914</xdr:rowOff>
    </xdr:from>
    <xdr:to>
      <xdr:col>1</xdr:col>
      <xdr:colOff>600418</xdr:colOff>
      <xdr:row>12</xdr:row>
      <xdr:rowOff>75261</xdr:rowOff>
    </xdr:to>
    <xdr:sp macro="[0]!MEPPER2_pour_passer_MEPPER3" textlink="">
      <xdr:nvSpPr>
        <xdr:cNvPr id="24" name="Lien_Déclaration_R_N-1">
          <a:extLst>
            <a:ext uri="{FF2B5EF4-FFF2-40B4-BE49-F238E27FC236}">
              <a16:creationId xmlns:a16="http://schemas.microsoft.com/office/drawing/2014/main" id="{00000000-0008-0000-1600-000018000000}"/>
            </a:ext>
          </a:extLst>
        </xdr:cNvPr>
        <xdr:cNvSpPr/>
      </xdr:nvSpPr>
      <xdr:spPr>
        <a:xfrm>
          <a:off x="30480" y="2034914"/>
          <a:ext cx="1331938" cy="326347"/>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a:t>
          </a:r>
        </a:p>
      </xdr:txBody>
    </xdr:sp>
    <xdr:clientData/>
  </xdr:twoCellAnchor>
  <xdr:twoCellAnchor editAs="absolute">
    <xdr:from>
      <xdr:col>2</xdr:col>
      <xdr:colOff>538709</xdr:colOff>
      <xdr:row>12</xdr:row>
      <xdr:rowOff>84007</xdr:rowOff>
    </xdr:from>
    <xdr:to>
      <xdr:col>9</xdr:col>
      <xdr:colOff>163955</xdr:colOff>
      <xdr:row>17</xdr:row>
      <xdr:rowOff>5934</xdr:rowOff>
    </xdr:to>
    <xdr:sp macro="" textlink="">
      <xdr:nvSpPr>
        <xdr:cNvPr id="26" name="Rectangle 25">
          <a:extLst>
            <a:ext uri="{FF2B5EF4-FFF2-40B4-BE49-F238E27FC236}">
              <a16:creationId xmlns:a16="http://schemas.microsoft.com/office/drawing/2014/main" id="{00000000-0008-0000-1600-00001A000000}"/>
            </a:ext>
          </a:extLst>
        </xdr:cNvPr>
        <xdr:cNvSpPr/>
      </xdr:nvSpPr>
      <xdr:spPr>
        <a:xfrm>
          <a:off x="2084570" y="2332532"/>
          <a:ext cx="5527623" cy="78073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2</xdr:col>
      <xdr:colOff>523094</xdr:colOff>
      <xdr:row>19</xdr:row>
      <xdr:rowOff>33411</xdr:rowOff>
    </xdr:from>
    <xdr:to>
      <xdr:col>17</xdr:col>
      <xdr:colOff>374755</xdr:colOff>
      <xdr:row>27</xdr:row>
      <xdr:rowOff>171762</xdr:rowOff>
    </xdr:to>
    <xdr:grpSp>
      <xdr:nvGrpSpPr>
        <xdr:cNvPr id="28" name="Groupe 27">
          <a:extLst>
            <a:ext uri="{FF2B5EF4-FFF2-40B4-BE49-F238E27FC236}">
              <a16:creationId xmlns:a16="http://schemas.microsoft.com/office/drawing/2014/main" id="{00000000-0008-0000-1600-00001C000000}"/>
            </a:ext>
          </a:extLst>
        </xdr:cNvPr>
        <xdr:cNvGrpSpPr/>
      </xdr:nvGrpSpPr>
      <xdr:grpSpPr>
        <a:xfrm>
          <a:off x="2115240" y="3335411"/>
          <a:ext cx="11783466" cy="1395961"/>
          <a:chOff x="3364981" y="2332532"/>
          <a:chExt cx="8443833" cy="780738"/>
        </a:xfrm>
      </xdr:grpSpPr>
      <xdr:sp macro="" textlink="">
        <xdr:nvSpPr>
          <xdr:cNvPr id="29" name="Rectangle 28">
            <a:extLst>
              <a:ext uri="{FF2B5EF4-FFF2-40B4-BE49-F238E27FC236}">
                <a16:creationId xmlns:a16="http://schemas.microsoft.com/office/drawing/2014/main" id="{00000000-0008-0000-1600-00001D000000}"/>
              </a:ext>
            </a:extLst>
          </xdr:cNvPr>
          <xdr:cNvSpPr/>
        </xdr:nvSpPr>
        <xdr:spPr>
          <a:xfrm>
            <a:off x="3364981" y="2332532"/>
            <a:ext cx="4083257" cy="78073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30" name="Rectangle 29">
            <a:extLst>
              <a:ext uri="{FF2B5EF4-FFF2-40B4-BE49-F238E27FC236}">
                <a16:creationId xmlns:a16="http://schemas.microsoft.com/office/drawing/2014/main" id="{00000000-0008-0000-1600-00001E000000}"/>
              </a:ext>
            </a:extLst>
          </xdr:cNvPr>
          <xdr:cNvSpPr/>
        </xdr:nvSpPr>
        <xdr:spPr>
          <a:xfrm>
            <a:off x="7725557" y="2332532"/>
            <a:ext cx="4083257" cy="78073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93688</xdr:colOff>
      <xdr:row>26</xdr:row>
      <xdr:rowOff>31230</xdr:rowOff>
    </xdr:from>
    <xdr:to>
      <xdr:col>16</xdr:col>
      <xdr:colOff>53090</xdr:colOff>
      <xdr:row>31</xdr:row>
      <xdr:rowOff>163956</xdr:rowOff>
    </xdr:to>
    <xdr:graphicFrame macro="">
      <xdr:nvGraphicFramePr>
        <xdr:cNvPr id="33" name="Graphique 32">
          <a:extLst>
            <a:ext uri="{FF2B5EF4-FFF2-40B4-BE49-F238E27FC236}">
              <a16:creationId xmlns:a16="http://schemas.microsoft.com/office/drawing/2014/main" id="{00000000-0008-0000-17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30480</xdr:colOff>
      <xdr:row>0</xdr:row>
      <xdr:rowOff>0</xdr:rowOff>
    </xdr:from>
    <xdr:to>
      <xdr:col>25</xdr:col>
      <xdr:colOff>2560</xdr:colOff>
      <xdr:row>6</xdr:row>
      <xdr:rowOff>1</xdr:rowOff>
    </xdr:to>
    <xdr:grpSp>
      <xdr:nvGrpSpPr>
        <xdr:cNvPr id="11" name="Groupe 10">
          <a:hlinkClick xmlns:r="http://schemas.openxmlformats.org/officeDocument/2006/relationships" r:id="rId2"/>
          <a:extLst>
            <a:ext uri="{FF2B5EF4-FFF2-40B4-BE49-F238E27FC236}">
              <a16:creationId xmlns:a16="http://schemas.microsoft.com/office/drawing/2014/main" id="{00000000-0008-0000-1700-00000B000000}"/>
            </a:ext>
          </a:extLst>
        </xdr:cNvPr>
        <xdr:cNvGrpSpPr/>
      </xdr:nvGrpSpPr>
      <xdr:grpSpPr>
        <a:xfrm>
          <a:off x="30480" y="0"/>
          <a:ext cx="14307592" cy="1115123"/>
          <a:chOff x="30480" y="0"/>
          <a:chExt cx="14295120" cy="1097281"/>
        </a:xfrm>
      </xdr:grpSpPr>
      <xdr:sp macro="" textlink="">
        <xdr:nvSpPr>
          <xdr:cNvPr id="12" name="Rectangle 11">
            <a:extLst>
              <a:ext uri="{FF2B5EF4-FFF2-40B4-BE49-F238E27FC236}">
                <a16:creationId xmlns:a16="http://schemas.microsoft.com/office/drawing/2014/main" id="{00000000-0008-0000-17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1700-00000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17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3</xdr:col>
      <xdr:colOff>26171</xdr:colOff>
      <xdr:row>0</xdr:row>
      <xdr:rowOff>117111</xdr:rowOff>
    </xdr:from>
    <xdr:to>
      <xdr:col>5</xdr:col>
      <xdr:colOff>829206</xdr:colOff>
      <xdr:row>2</xdr:row>
      <xdr:rowOff>94251</xdr:rowOff>
    </xdr:to>
    <xdr:grpSp>
      <xdr:nvGrpSpPr>
        <xdr:cNvPr id="15" name="Groupe 14">
          <a:hlinkClick xmlns:r="http://schemas.openxmlformats.org/officeDocument/2006/relationships" r:id="rId4"/>
          <a:extLst>
            <a:ext uri="{FF2B5EF4-FFF2-40B4-BE49-F238E27FC236}">
              <a16:creationId xmlns:a16="http://schemas.microsoft.com/office/drawing/2014/main" id="{00000000-0008-0000-1700-00000F000000}"/>
            </a:ext>
          </a:extLst>
        </xdr:cNvPr>
        <xdr:cNvGrpSpPr/>
      </xdr:nvGrpSpPr>
      <xdr:grpSpPr>
        <a:xfrm>
          <a:off x="1804171" y="117111"/>
          <a:ext cx="1596011" cy="348847"/>
          <a:chOff x="1751601" y="106493"/>
          <a:chExt cx="1575966" cy="351894"/>
        </a:xfrm>
        <a:solidFill>
          <a:schemeClr val="tx1">
            <a:lumMod val="50000"/>
            <a:lumOff val="50000"/>
          </a:schemeClr>
        </a:solidFill>
      </xdr:grpSpPr>
      <xdr:sp macro="" textlink="">
        <xdr:nvSpPr>
          <xdr:cNvPr id="16" name="Rectangle : avec coins arrondis en haut 15">
            <a:extLst>
              <a:ext uri="{FF2B5EF4-FFF2-40B4-BE49-F238E27FC236}">
                <a16:creationId xmlns:a16="http://schemas.microsoft.com/office/drawing/2014/main" id="{00000000-0008-0000-17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1700-000011000000}"/>
              </a:ext>
            </a:extLst>
          </xdr:cNvPr>
          <xdr:cNvSpPr/>
        </xdr:nvSpPr>
        <xdr:spPr>
          <a:xfrm>
            <a:off x="1873521" y="144967"/>
            <a:ext cx="1347366" cy="3061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xdr:col>
      <xdr:colOff>770849</xdr:colOff>
      <xdr:row>7</xdr:row>
      <xdr:rowOff>125463</xdr:rowOff>
    </xdr:from>
    <xdr:to>
      <xdr:col>9</xdr:col>
      <xdr:colOff>320102</xdr:colOff>
      <xdr:row>10</xdr:row>
      <xdr:rowOff>22871</xdr:rowOff>
    </xdr:to>
    <xdr:grpSp>
      <xdr:nvGrpSpPr>
        <xdr:cNvPr id="18" name="Groupe 17">
          <a:extLst>
            <a:ext uri="{FF2B5EF4-FFF2-40B4-BE49-F238E27FC236}">
              <a16:creationId xmlns:a16="http://schemas.microsoft.com/office/drawing/2014/main" id="{00000000-0008-0000-1700-000012000000}"/>
            </a:ext>
          </a:extLst>
        </xdr:cNvPr>
        <xdr:cNvGrpSpPr/>
      </xdr:nvGrpSpPr>
      <xdr:grpSpPr>
        <a:xfrm>
          <a:off x="1563825" y="1426439"/>
          <a:ext cx="3470765" cy="454969"/>
          <a:chOff x="1765956" y="2512140"/>
          <a:chExt cx="5228348" cy="266391"/>
        </a:xfrm>
      </xdr:grpSpPr>
      <xdr:sp macro="" textlink="">
        <xdr:nvSpPr>
          <xdr:cNvPr id="19" name="ZoneTexte 3">
            <a:extLst>
              <a:ext uri="{FF2B5EF4-FFF2-40B4-BE49-F238E27FC236}">
                <a16:creationId xmlns:a16="http://schemas.microsoft.com/office/drawing/2014/main" id="{00000000-0008-0000-1700-000013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baseline="0">
                <a:effectLst/>
                <a:latin typeface="+mn-lt"/>
                <a:ea typeface="+mn-ea"/>
                <a:cs typeface="+mn-cs"/>
              </a:rPr>
              <a:t>Synthèse</a:t>
            </a:r>
            <a:endParaRPr lang="fr-FR" sz="1600" b="1">
              <a:effectLst/>
              <a:latin typeface="+mn-lt"/>
              <a:ea typeface="+mn-ea"/>
              <a:cs typeface="+mn-cs"/>
            </a:endParaRPr>
          </a:p>
        </xdr:txBody>
      </xdr:sp>
      <xdr:cxnSp macro="">
        <xdr:nvCxnSpPr>
          <xdr:cNvPr id="20" name="Connecteur droit 19">
            <a:extLst>
              <a:ext uri="{FF2B5EF4-FFF2-40B4-BE49-F238E27FC236}">
                <a16:creationId xmlns:a16="http://schemas.microsoft.com/office/drawing/2014/main" id="{00000000-0008-0000-1700-000014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xdr:col>
      <xdr:colOff>1860</xdr:colOff>
      <xdr:row>7</xdr:row>
      <xdr:rowOff>16161</xdr:rowOff>
    </xdr:from>
    <xdr:to>
      <xdr:col>25</xdr:col>
      <xdr:colOff>193106</xdr:colOff>
      <xdr:row>39</xdr:row>
      <xdr:rowOff>39038</xdr:rowOff>
    </xdr:to>
    <xdr:sp macro="" textlink="">
      <xdr:nvSpPr>
        <xdr:cNvPr id="21" name="Rectangle 20">
          <a:extLst>
            <a:ext uri="{FF2B5EF4-FFF2-40B4-BE49-F238E27FC236}">
              <a16:creationId xmlns:a16="http://schemas.microsoft.com/office/drawing/2014/main" id="{00000000-0008-0000-1700-000015000000}"/>
            </a:ext>
          </a:extLst>
        </xdr:cNvPr>
        <xdr:cNvSpPr/>
      </xdr:nvSpPr>
      <xdr:spPr>
        <a:xfrm>
          <a:off x="1543779" y="1327800"/>
          <a:ext cx="12515229" cy="6050172"/>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0</xdr:col>
      <xdr:colOff>30480</xdr:colOff>
      <xdr:row>6</xdr:row>
      <xdr:rowOff>140532</xdr:rowOff>
    </xdr:from>
    <xdr:to>
      <xdr:col>1</xdr:col>
      <xdr:colOff>600418</xdr:colOff>
      <xdr:row>8</xdr:row>
      <xdr:rowOff>85880</xdr:rowOff>
    </xdr:to>
    <xdr:sp macro="" textlink="">
      <xdr:nvSpPr>
        <xdr:cNvPr id="22" name="Rectangle 21">
          <a:hlinkClick xmlns:r="http://schemas.openxmlformats.org/officeDocument/2006/relationships" r:id="rId5"/>
          <a:extLst>
            <a:ext uri="{FF2B5EF4-FFF2-40B4-BE49-F238E27FC236}">
              <a16:creationId xmlns:a16="http://schemas.microsoft.com/office/drawing/2014/main" id="{00000000-0008-0000-1700-000016000000}"/>
            </a:ext>
          </a:extLst>
        </xdr:cNvPr>
        <xdr:cNvSpPr/>
      </xdr:nvSpPr>
      <xdr:spPr>
        <a:xfrm>
          <a:off x="30480" y="1283532"/>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Phase épargne</a:t>
          </a:r>
        </a:p>
      </xdr:txBody>
    </xdr:sp>
    <xdr:clientData/>
  </xdr:twoCellAnchor>
  <xdr:twoCellAnchor editAs="absolute">
    <xdr:from>
      <xdr:col>0</xdr:col>
      <xdr:colOff>30480</xdr:colOff>
      <xdr:row>8</xdr:row>
      <xdr:rowOff>135223</xdr:rowOff>
    </xdr:from>
    <xdr:to>
      <xdr:col>1</xdr:col>
      <xdr:colOff>600418</xdr:colOff>
      <xdr:row>10</xdr:row>
      <xdr:rowOff>80571</xdr:rowOff>
    </xdr:to>
    <xdr:sp macro="" textlink="">
      <xdr:nvSpPr>
        <xdr:cNvPr id="23" name="Lien_Avis_IR_N-1_/_R_N-2">
          <a:hlinkClick xmlns:r="http://schemas.openxmlformats.org/officeDocument/2006/relationships" r:id="rId6"/>
          <a:extLst>
            <a:ext uri="{FF2B5EF4-FFF2-40B4-BE49-F238E27FC236}">
              <a16:creationId xmlns:a16="http://schemas.microsoft.com/office/drawing/2014/main" id="{00000000-0008-0000-1700-000017000000}"/>
            </a:ext>
          </a:extLst>
        </xdr:cNvPr>
        <xdr:cNvSpPr/>
      </xdr:nvSpPr>
      <xdr:spPr>
        <a:xfrm>
          <a:off x="30480" y="1659223"/>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Phase</a:t>
          </a:r>
          <a:r>
            <a:rPr lang="fr-FR" sz="1000" b="0" baseline="0">
              <a:solidFill>
                <a:sysClr val="windowText" lastClr="000000"/>
              </a:solidFill>
              <a:latin typeface="Optima LT Pro" panose="020B0502050508020304" pitchFamily="34" charset="0"/>
            </a:rPr>
            <a:t> liquidation</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30480</xdr:colOff>
      <xdr:row>10</xdr:row>
      <xdr:rowOff>129914</xdr:rowOff>
    </xdr:from>
    <xdr:to>
      <xdr:col>1</xdr:col>
      <xdr:colOff>600418</xdr:colOff>
      <xdr:row>12</xdr:row>
      <xdr:rowOff>59647</xdr:rowOff>
    </xdr:to>
    <xdr:sp macro="" textlink="">
      <xdr:nvSpPr>
        <xdr:cNvPr id="24" name="Lien_Déclaration_R_N-1">
          <a:extLst>
            <a:ext uri="{FF2B5EF4-FFF2-40B4-BE49-F238E27FC236}">
              <a16:creationId xmlns:a16="http://schemas.microsoft.com/office/drawing/2014/main" id="{00000000-0008-0000-1700-000018000000}"/>
            </a:ext>
          </a:extLst>
        </xdr:cNvPr>
        <xdr:cNvSpPr/>
      </xdr:nvSpPr>
      <xdr:spPr>
        <a:xfrm>
          <a:off x="30480" y="2034914"/>
          <a:ext cx="1331938" cy="326347"/>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a:t>
          </a:r>
        </a:p>
      </xdr:txBody>
    </xdr:sp>
    <xdr:clientData/>
  </xdr:twoCellAnchor>
  <xdr:twoCellAnchor>
    <xdr:from>
      <xdr:col>8</xdr:col>
      <xdr:colOff>39038</xdr:colOff>
      <xdr:row>12</xdr:row>
      <xdr:rowOff>93688</xdr:rowOff>
    </xdr:from>
    <xdr:to>
      <xdr:col>16</xdr:col>
      <xdr:colOff>54652</xdr:colOff>
      <xdr:row>18</xdr:row>
      <xdr:rowOff>146388</xdr:rowOff>
    </xdr:to>
    <xdr:graphicFrame macro="">
      <xdr:nvGraphicFramePr>
        <xdr:cNvPr id="25" name="Graphique 24">
          <a:extLst>
            <a:ext uri="{FF2B5EF4-FFF2-40B4-BE49-F238E27FC236}">
              <a16:creationId xmlns:a16="http://schemas.microsoft.com/office/drawing/2014/main" id="{00000000-0008-0000-17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14</xdr:row>
      <xdr:rowOff>70266</xdr:rowOff>
    </xdr:from>
    <xdr:to>
      <xdr:col>9</xdr:col>
      <xdr:colOff>124919</xdr:colOff>
      <xdr:row>18</xdr:row>
      <xdr:rowOff>146388</xdr:rowOff>
    </xdr:to>
    <xdr:graphicFrame macro="">
      <xdr:nvGraphicFramePr>
        <xdr:cNvPr id="26" name="Graphique 25">
          <a:extLst>
            <a:ext uri="{FF2B5EF4-FFF2-40B4-BE49-F238E27FC236}">
              <a16:creationId xmlns:a16="http://schemas.microsoft.com/office/drawing/2014/main" id="{00000000-0008-0000-17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4</xdr:col>
      <xdr:colOff>202991</xdr:colOff>
      <xdr:row>12</xdr:row>
      <xdr:rowOff>76200</xdr:rowOff>
    </xdr:from>
    <xdr:to>
      <xdr:col>15</xdr:col>
      <xdr:colOff>39036</xdr:colOff>
      <xdr:row>22</xdr:row>
      <xdr:rowOff>140534</xdr:rowOff>
    </xdr:to>
    <xdr:sp macro="" textlink="">
      <xdr:nvSpPr>
        <xdr:cNvPr id="27" name="Rectangle 26">
          <a:extLst>
            <a:ext uri="{FF2B5EF4-FFF2-40B4-BE49-F238E27FC236}">
              <a16:creationId xmlns:a16="http://schemas.microsoft.com/office/drawing/2014/main" id="{00000000-0008-0000-1700-00001B000000}"/>
            </a:ext>
          </a:extLst>
        </xdr:cNvPr>
        <xdr:cNvSpPr/>
      </xdr:nvSpPr>
      <xdr:spPr>
        <a:xfrm>
          <a:off x="2451516" y="2340339"/>
          <a:ext cx="6105368" cy="1938105"/>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17</xdr:col>
      <xdr:colOff>109303</xdr:colOff>
      <xdr:row>12</xdr:row>
      <xdr:rowOff>76200</xdr:rowOff>
    </xdr:from>
    <xdr:to>
      <xdr:col>24</xdr:col>
      <xdr:colOff>31230</xdr:colOff>
      <xdr:row>22</xdr:row>
      <xdr:rowOff>140533</xdr:rowOff>
    </xdr:to>
    <xdr:sp macro="" textlink="">
      <xdr:nvSpPr>
        <xdr:cNvPr id="28" name="Rectangle 27">
          <a:extLst>
            <a:ext uri="{FF2B5EF4-FFF2-40B4-BE49-F238E27FC236}">
              <a16:creationId xmlns:a16="http://schemas.microsoft.com/office/drawing/2014/main" id="{00000000-0008-0000-1700-00001C000000}"/>
            </a:ext>
          </a:extLst>
        </xdr:cNvPr>
        <xdr:cNvSpPr/>
      </xdr:nvSpPr>
      <xdr:spPr>
        <a:xfrm>
          <a:off x="9150246" y="2340339"/>
          <a:ext cx="4653197" cy="1938104"/>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xdr:from>
      <xdr:col>17</xdr:col>
      <xdr:colOff>39037</xdr:colOff>
      <xdr:row>14</xdr:row>
      <xdr:rowOff>62458</xdr:rowOff>
    </xdr:from>
    <xdr:to>
      <xdr:col>21</xdr:col>
      <xdr:colOff>78075</xdr:colOff>
      <xdr:row>18</xdr:row>
      <xdr:rowOff>146387</xdr:rowOff>
    </xdr:to>
    <xdr:graphicFrame macro="">
      <xdr:nvGraphicFramePr>
        <xdr:cNvPr id="29" name="Graphique 28">
          <a:extLst>
            <a:ext uri="{FF2B5EF4-FFF2-40B4-BE49-F238E27FC236}">
              <a16:creationId xmlns:a16="http://schemas.microsoft.com/office/drawing/2014/main" id="{00000000-0008-0000-17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93688</xdr:colOff>
      <xdr:row>12</xdr:row>
      <xdr:rowOff>101495</xdr:rowOff>
    </xdr:from>
    <xdr:to>
      <xdr:col>24</xdr:col>
      <xdr:colOff>15615</xdr:colOff>
      <xdr:row>18</xdr:row>
      <xdr:rowOff>130773</xdr:rowOff>
    </xdr:to>
    <xdr:graphicFrame macro="">
      <xdr:nvGraphicFramePr>
        <xdr:cNvPr id="32" name="Graphique 31">
          <a:extLst>
            <a:ext uri="{FF2B5EF4-FFF2-40B4-BE49-F238E27FC236}">
              <a16:creationId xmlns:a16="http://schemas.microsoft.com/office/drawing/2014/main" id="{00000000-0008-0000-17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4</xdr:col>
      <xdr:colOff>199243</xdr:colOff>
      <xdr:row>25</xdr:row>
      <xdr:rowOff>56837</xdr:rowOff>
    </xdr:from>
    <xdr:to>
      <xdr:col>15</xdr:col>
      <xdr:colOff>35288</xdr:colOff>
      <xdr:row>35</xdr:row>
      <xdr:rowOff>121172</xdr:rowOff>
    </xdr:to>
    <xdr:sp macro="" textlink="">
      <xdr:nvSpPr>
        <xdr:cNvPr id="35" name="Rectangle 34">
          <a:extLst>
            <a:ext uri="{FF2B5EF4-FFF2-40B4-BE49-F238E27FC236}">
              <a16:creationId xmlns:a16="http://schemas.microsoft.com/office/drawing/2014/main" id="{00000000-0008-0000-1700-000023000000}"/>
            </a:ext>
          </a:extLst>
        </xdr:cNvPr>
        <xdr:cNvSpPr/>
      </xdr:nvSpPr>
      <xdr:spPr>
        <a:xfrm>
          <a:off x="2447768" y="4772493"/>
          <a:ext cx="6105368" cy="1938105"/>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17</xdr:col>
      <xdr:colOff>105555</xdr:colOff>
      <xdr:row>25</xdr:row>
      <xdr:rowOff>56837</xdr:rowOff>
    </xdr:from>
    <xdr:to>
      <xdr:col>24</xdr:col>
      <xdr:colOff>27482</xdr:colOff>
      <xdr:row>35</xdr:row>
      <xdr:rowOff>121171</xdr:rowOff>
    </xdr:to>
    <xdr:sp macro="" textlink="">
      <xdr:nvSpPr>
        <xdr:cNvPr id="36" name="Rectangle 35">
          <a:extLst>
            <a:ext uri="{FF2B5EF4-FFF2-40B4-BE49-F238E27FC236}">
              <a16:creationId xmlns:a16="http://schemas.microsoft.com/office/drawing/2014/main" id="{00000000-0008-0000-1700-000024000000}"/>
            </a:ext>
          </a:extLst>
        </xdr:cNvPr>
        <xdr:cNvSpPr/>
      </xdr:nvSpPr>
      <xdr:spPr>
        <a:xfrm>
          <a:off x="9146498" y="4772493"/>
          <a:ext cx="4653197" cy="1938104"/>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5</xdr:col>
      <xdr:colOff>23422</xdr:colOff>
      <xdr:row>12</xdr:row>
      <xdr:rowOff>156147</xdr:rowOff>
    </xdr:from>
    <xdr:to>
      <xdr:col>5</xdr:col>
      <xdr:colOff>265452</xdr:colOff>
      <xdr:row>14</xdr:row>
      <xdr:rowOff>1</xdr:rowOff>
    </xdr:to>
    <xdr:grpSp>
      <xdr:nvGrpSpPr>
        <xdr:cNvPr id="37" name="Groupe 36">
          <a:hlinkClick xmlns:r="http://schemas.openxmlformats.org/officeDocument/2006/relationships" r:id="rId11"/>
          <a:extLst>
            <a:ext uri="{FF2B5EF4-FFF2-40B4-BE49-F238E27FC236}">
              <a16:creationId xmlns:a16="http://schemas.microsoft.com/office/drawing/2014/main" id="{00000000-0008-0000-1700-000025000000}"/>
            </a:ext>
          </a:extLst>
        </xdr:cNvPr>
        <xdr:cNvGrpSpPr/>
      </xdr:nvGrpSpPr>
      <xdr:grpSpPr>
        <a:xfrm>
          <a:off x="2594398" y="2392586"/>
          <a:ext cx="242030" cy="221756"/>
          <a:chOff x="1690149" y="693856"/>
          <a:chExt cx="392983" cy="354575"/>
        </a:xfrm>
      </xdr:grpSpPr>
      <xdr:sp macro="" textlink="">
        <xdr:nvSpPr>
          <xdr:cNvPr id="38" name="Ellipse 37">
            <a:extLst>
              <a:ext uri="{FF2B5EF4-FFF2-40B4-BE49-F238E27FC236}">
                <a16:creationId xmlns:a16="http://schemas.microsoft.com/office/drawing/2014/main" id="{00000000-0008-0000-1700-000026000000}"/>
              </a:ext>
            </a:extLst>
          </xdr:cNvPr>
          <xdr:cNvSpPr/>
        </xdr:nvSpPr>
        <xdr:spPr>
          <a:xfrm>
            <a:off x="1690149" y="693856"/>
            <a:ext cx="392983" cy="354575"/>
          </a:xfrm>
          <a:prstGeom prst="ellipse">
            <a:avLst/>
          </a:prstGeom>
          <a:solidFill>
            <a:schemeClr val="accent2">
              <a:lumMod val="40000"/>
              <a:lumOff val="60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39" name="Graphique 38" descr="Presse-papiers mixte avec un remplissage uni">
            <a:extLst>
              <a:ext uri="{FF2B5EF4-FFF2-40B4-BE49-F238E27FC236}">
                <a16:creationId xmlns:a16="http://schemas.microsoft.com/office/drawing/2014/main" id="{00000000-0008-0000-1700-000027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759057" y="714374"/>
            <a:ext cx="276534" cy="276534"/>
          </a:xfrm>
          <a:prstGeom prst="rect">
            <a:avLst/>
          </a:prstGeom>
        </xdr:spPr>
      </xdr:pic>
    </xdr:grpSp>
    <xdr:clientData/>
  </xdr:twoCellAnchor>
  <xdr:twoCellAnchor editAs="absolute">
    <xdr:from>
      <xdr:col>5</xdr:col>
      <xdr:colOff>19676</xdr:colOff>
      <xdr:row>25</xdr:row>
      <xdr:rowOff>128977</xdr:rowOff>
    </xdr:from>
    <xdr:to>
      <xdr:col>5</xdr:col>
      <xdr:colOff>261706</xdr:colOff>
      <xdr:row>26</xdr:row>
      <xdr:rowOff>160208</xdr:rowOff>
    </xdr:to>
    <xdr:grpSp>
      <xdr:nvGrpSpPr>
        <xdr:cNvPr id="40" name="Groupe 39">
          <a:hlinkClick xmlns:r="http://schemas.openxmlformats.org/officeDocument/2006/relationships" r:id="rId14"/>
          <a:extLst>
            <a:ext uri="{FF2B5EF4-FFF2-40B4-BE49-F238E27FC236}">
              <a16:creationId xmlns:a16="http://schemas.microsoft.com/office/drawing/2014/main" id="{00000000-0008-0000-1700-000028000000}"/>
            </a:ext>
          </a:extLst>
        </xdr:cNvPr>
        <xdr:cNvGrpSpPr/>
      </xdr:nvGrpSpPr>
      <xdr:grpSpPr>
        <a:xfrm>
          <a:off x="2590652" y="4800099"/>
          <a:ext cx="242030" cy="223280"/>
          <a:chOff x="1690149" y="693856"/>
          <a:chExt cx="392983" cy="354575"/>
        </a:xfrm>
      </xdr:grpSpPr>
      <xdr:sp macro="" textlink="">
        <xdr:nvSpPr>
          <xdr:cNvPr id="41" name="Ellipse 40">
            <a:extLst>
              <a:ext uri="{FF2B5EF4-FFF2-40B4-BE49-F238E27FC236}">
                <a16:creationId xmlns:a16="http://schemas.microsoft.com/office/drawing/2014/main" id="{00000000-0008-0000-1700-000029000000}"/>
              </a:ext>
            </a:extLst>
          </xdr:cNvPr>
          <xdr:cNvSpPr/>
        </xdr:nvSpPr>
        <xdr:spPr>
          <a:xfrm>
            <a:off x="1690149" y="693856"/>
            <a:ext cx="392983" cy="354575"/>
          </a:xfrm>
          <a:prstGeom prst="ellipse">
            <a:avLst/>
          </a:prstGeom>
          <a:solidFill>
            <a:schemeClr val="accent2">
              <a:lumMod val="40000"/>
              <a:lumOff val="60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42" name="Graphique 41" descr="Presse-papiers mixte avec un remplissage uni">
            <a:extLst>
              <a:ext uri="{FF2B5EF4-FFF2-40B4-BE49-F238E27FC236}">
                <a16:creationId xmlns:a16="http://schemas.microsoft.com/office/drawing/2014/main" id="{00000000-0008-0000-1700-00002A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759057" y="714374"/>
            <a:ext cx="276534" cy="276534"/>
          </a:xfrm>
          <a:prstGeom prst="rect">
            <a:avLst/>
          </a:prstGeom>
        </xdr:spPr>
      </xdr:pic>
    </xdr:grpSp>
    <xdr:clientData/>
  </xdr:twoCellAnchor>
  <xdr:twoCellAnchor>
    <xdr:from>
      <xdr:col>5</xdr:col>
      <xdr:colOff>0</xdr:colOff>
      <xdr:row>27</xdr:row>
      <xdr:rowOff>70266</xdr:rowOff>
    </xdr:from>
    <xdr:to>
      <xdr:col>9</xdr:col>
      <xdr:colOff>124919</xdr:colOff>
      <xdr:row>31</xdr:row>
      <xdr:rowOff>146388</xdr:rowOff>
    </xdr:to>
    <xdr:graphicFrame macro="">
      <xdr:nvGraphicFramePr>
        <xdr:cNvPr id="44" name="Graphique 43">
          <a:extLst>
            <a:ext uri="{FF2B5EF4-FFF2-40B4-BE49-F238E27FC236}">
              <a16:creationId xmlns:a16="http://schemas.microsoft.com/office/drawing/2014/main" id="{00000000-0008-0000-17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93688</xdr:colOff>
      <xdr:row>25</xdr:row>
      <xdr:rowOff>101495</xdr:rowOff>
    </xdr:from>
    <xdr:to>
      <xdr:col>24</xdr:col>
      <xdr:colOff>15615</xdr:colOff>
      <xdr:row>31</xdr:row>
      <xdr:rowOff>130773</xdr:rowOff>
    </xdr:to>
    <xdr:graphicFrame macro="">
      <xdr:nvGraphicFramePr>
        <xdr:cNvPr id="46" name="Graphique 45">
          <a:extLst>
            <a:ext uri="{FF2B5EF4-FFF2-40B4-BE49-F238E27FC236}">
              <a16:creationId xmlns:a16="http://schemas.microsoft.com/office/drawing/2014/main" id="{00000000-0008-0000-17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46844</xdr:colOff>
      <xdr:row>23</xdr:row>
      <xdr:rowOff>163955</xdr:rowOff>
    </xdr:from>
    <xdr:to>
      <xdr:col>25</xdr:col>
      <xdr:colOff>124918</xdr:colOff>
      <xdr:row>36</xdr:row>
      <xdr:rowOff>78074</xdr:rowOff>
    </xdr:to>
    <xdr:sp macro="" textlink="">
      <xdr:nvSpPr>
        <xdr:cNvPr id="34" name="MasquerASSVIE" hidden="1">
          <a:extLst>
            <a:ext uri="{FF2B5EF4-FFF2-40B4-BE49-F238E27FC236}">
              <a16:creationId xmlns:a16="http://schemas.microsoft.com/office/drawing/2014/main" id="{00000000-0008-0000-1700-000022000000}"/>
            </a:ext>
          </a:extLst>
        </xdr:cNvPr>
        <xdr:cNvSpPr/>
      </xdr:nvSpPr>
      <xdr:spPr>
        <a:xfrm>
          <a:off x="1592705" y="4489242"/>
          <a:ext cx="12398115" cy="23656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156151</xdr:colOff>
      <xdr:row>3</xdr:row>
      <xdr:rowOff>132725</xdr:rowOff>
    </xdr:from>
    <xdr:to>
      <xdr:col>5</xdr:col>
      <xdr:colOff>468447</xdr:colOff>
      <xdr:row>5</xdr:row>
      <xdr:rowOff>112138</xdr:rowOff>
    </xdr:to>
    <xdr:grpSp>
      <xdr:nvGrpSpPr>
        <xdr:cNvPr id="47" name="PRINT_Synthese">
          <a:extLst>
            <a:ext uri="{FF2B5EF4-FFF2-40B4-BE49-F238E27FC236}">
              <a16:creationId xmlns:a16="http://schemas.microsoft.com/office/drawing/2014/main" id="{00000000-0008-0000-1700-00002F000000}"/>
            </a:ext>
          </a:extLst>
        </xdr:cNvPr>
        <xdr:cNvGrpSpPr/>
      </xdr:nvGrpSpPr>
      <xdr:grpSpPr>
        <a:xfrm>
          <a:off x="1748297" y="690286"/>
          <a:ext cx="1291126" cy="351120"/>
          <a:chOff x="4419286" y="710628"/>
          <a:chExt cx="1264796" cy="354167"/>
        </a:xfrm>
      </xdr:grpSpPr>
      <xdr:grpSp>
        <xdr:nvGrpSpPr>
          <xdr:cNvPr id="48" name="Groupe 47">
            <a:extLst>
              <a:ext uri="{FF2B5EF4-FFF2-40B4-BE49-F238E27FC236}">
                <a16:creationId xmlns:a16="http://schemas.microsoft.com/office/drawing/2014/main" id="{00000000-0008-0000-1700-000030000000}"/>
              </a:ext>
            </a:extLst>
          </xdr:cNvPr>
          <xdr:cNvGrpSpPr/>
        </xdr:nvGrpSpPr>
        <xdr:grpSpPr>
          <a:xfrm>
            <a:off x="4419286" y="710628"/>
            <a:ext cx="1264796" cy="354167"/>
            <a:chOff x="3142624" y="716405"/>
            <a:chExt cx="1264796" cy="354167"/>
          </a:xfrm>
        </xdr:grpSpPr>
        <xdr:sp macro="" textlink="">
          <xdr:nvSpPr>
            <xdr:cNvPr id="50" name="Ellipse 49">
              <a:extLst>
                <a:ext uri="{FF2B5EF4-FFF2-40B4-BE49-F238E27FC236}">
                  <a16:creationId xmlns:a16="http://schemas.microsoft.com/office/drawing/2014/main" id="{00000000-0008-0000-1700-000032000000}"/>
                </a:ext>
              </a:extLst>
            </xdr:cNvPr>
            <xdr:cNvSpPr/>
          </xdr:nvSpPr>
          <xdr:spPr>
            <a:xfrm>
              <a:off x="3142624" y="716405"/>
              <a:ext cx="394218" cy="345485"/>
            </a:xfrm>
            <a:prstGeom prst="ellipse">
              <a:avLst/>
            </a:prstGeom>
            <a:solidFill>
              <a:schemeClr val="bg1">
                <a:lumMod val="85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1" name="Rectangle 50">
              <a:extLst>
                <a:ext uri="{FF2B5EF4-FFF2-40B4-BE49-F238E27FC236}">
                  <a16:creationId xmlns:a16="http://schemas.microsoft.com/office/drawing/2014/main" id="{00000000-0008-0000-1700-000033000000}"/>
                </a:ext>
              </a:extLst>
            </xdr:cNvPr>
            <xdr:cNvSpPr/>
          </xdr:nvSpPr>
          <xdr:spPr>
            <a:xfrm>
              <a:off x="3514961" y="718799"/>
              <a:ext cx="89245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Editer étude</a:t>
              </a:r>
            </a:p>
          </xdr:txBody>
        </xdr:sp>
      </xdr:grpSp>
      <xdr:pic>
        <xdr:nvPicPr>
          <xdr:cNvPr id="49" name="Graphique 48" descr="Télécopie avec un remplissage uni">
            <a:extLst>
              <a:ext uri="{FF2B5EF4-FFF2-40B4-BE49-F238E27FC236}">
                <a16:creationId xmlns:a16="http://schemas.microsoft.com/office/drawing/2014/main" id="{00000000-0008-0000-1700-000031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520472" y="772931"/>
            <a:ext cx="210798" cy="210798"/>
          </a:xfrm>
          <a:prstGeom prst="rect">
            <a:avLst/>
          </a:prstGeom>
        </xdr:spPr>
      </xdr:pic>
    </xdr:grpSp>
    <xdr:clientData/>
  </xdr:twoCellAnchor>
  <xdr:twoCellAnchor>
    <xdr:from>
      <xdr:col>17</xdr:col>
      <xdr:colOff>1</xdr:colOff>
      <xdr:row>27</xdr:row>
      <xdr:rowOff>7744</xdr:rowOff>
    </xdr:from>
    <xdr:to>
      <xdr:col>21</xdr:col>
      <xdr:colOff>39039</xdr:colOff>
      <xdr:row>31</xdr:row>
      <xdr:rowOff>91673</xdr:rowOff>
    </xdr:to>
    <xdr:graphicFrame macro="">
      <xdr:nvGraphicFramePr>
        <xdr:cNvPr id="30" name="Graphique 29">
          <a:extLst>
            <a:ext uri="{FF2B5EF4-FFF2-40B4-BE49-F238E27FC236}">
              <a16:creationId xmlns:a16="http://schemas.microsoft.com/office/drawing/2014/main" id="{00000000-0008-0000-17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216032</xdr:colOff>
      <xdr:row>1</xdr:row>
      <xdr:rowOff>39277</xdr:rowOff>
    </xdr:from>
    <xdr:to>
      <xdr:col>1</xdr:col>
      <xdr:colOff>422243</xdr:colOff>
      <xdr:row>3</xdr:row>
      <xdr:rowOff>137472</xdr:rowOff>
    </xdr:to>
    <xdr:grpSp>
      <xdr:nvGrpSpPr>
        <xdr:cNvPr id="2" name="Groupe 1">
          <a:hlinkClick xmlns:r="http://schemas.openxmlformats.org/officeDocument/2006/relationships" r:id="rId1"/>
          <a:extLst>
            <a:ext uri="{FF2B5EF4-FFF2-40B4-BE49-F238E27FC236}">
              <a16:creationId xmlns:a16="http://schemas.microsoft.com/office/drawing/2014/main" id="{00000000-0008-0000-1800-000002000000}"/>
            </a:ext>
          </a:extLst>
        </xdr:cNvPr>
        <xdr:cNvGrpSpPr/>
      </xdr:nvGrpSpPr>
      <xdr:grpSpPr>
        <a:xfrm>
          <a:off x="216032" y="225131"/>
          <a:ext cx="515967" cy="494682"/>
          <a:chOff x="11076495" y="2513815"/>
          <a:chExt cx="1046669" cy="1034519"/>
        </a:xfrm>
      </xdr:grpSpPr>
      <xdr:sp macro="" textlink="">
        <xdr:nvSpPr>
          <xdr:cNvPr id="3" name="Ellipse 2">
            <a:extLst>
              <a:ext uri="{FF2B5EF4-FFF2-40B4-BE49-F238E27FC236}">
                <a16:creationId xmlns:a16="http://schemas.microsoft.com/office/drawing/2014/main" id="{00000000-0008-0000-1800-000003000000}"/>
              </a:ext>
            </a:extLst>
          </xdr:cNvPr>
          <xdr:cNvSpPr/>
        </xdr:nvSpPr>
        <xdr:spPr>
          <a:xfrm>
            <a:off x="11076495" y="2513815"/>
            <a:ext cx="1046669" cy="1034519"/>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4" name="Graphique 3" descr="Retour avec un remplissage uni">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33608" y="2621830"/>
            <a:ext cx="736469" cy="736469"/>
          </a:xfrm>
          <a:prstGeom prst="rect">
            <a:avLst/>
          </a:prstGeom>
        </xdr:spPr>
      </xdr:pic>
    </xdr:grpSp>
    <xdr:clientData/>
  </xdr:twoCellAnchor>
  <xdr:twoCellAnchor editAs="absolute">
    <xdr:from>
      <xdr:col>0</xdr:col>
      <xdr:colOff>39277</xdr:colOff>
      <xdr:row>11</xdr:row>
      <xdr:rowOff>66579</xdr:rowOff>
    </xdr:from>
    <xdr:to>
      <xdr:col>4</xdr:col>
      <xdr:colOff>284767</xdr:colOff>
      <xdr:row>16</xdr:row>
      <xdr:rowOff>46939</xdr:rowOff>
    </xdr:to>
    <xdr:sp macro="" textlink="">
      <xdr:nvSpPr>
        <xdr:cNvPr id="5" name="Rectangle 4">
          <a:extLst>
            <a:ext uri="{FF2B5EF4-FFF2-40B4-BE49-F238E27FC236}">
              <a16:creationId xmlns:a16="http://schemas.microsoft.com/office/drawing/2014/main" id="{00000000-0008-0000-1800-000005000000}"/>
            </a:ext>
          </a:extLst>
        </xdr:cNvPr>
        <xdr:cNvSpPr/>
      </xdr:nvSpPr>
      <xdr:spPr>
        <a:xfrm>
          <a:off x="39277" y="2076354"/>
          <a:ext cx="2655315" cy="847135"/>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4</xdr:col>
      <xdr:colOff>353505</xdr:colOff>
      <xdr:row>11</xdr:row>
      <xdr:rowOff>59313</xdr:rowOff>
    </xdr:from>
    <xdr:to>
      <xdr:col>8</xdr:col>
      <xdr:colOff>9820</xdr:colOff>
      <xdr:row>16</xdr:row>
      <xdr:rowOff>54206</xdr:rowOff>
    </xdr:to>
    <xdr:sp macro="" textlink="">
      <xdr:nvSpPr>
        <xdr:cNvPr id="6" name="Rectangle 5">
          <a:extLst>
            <a:ext uri="{FF2B5EF4-FFF2-40B4-BE49-F238E27FC236}">
              <a16:creationId xmlns:a16="http://schemas.microsoft.com/office/drawing/2014/main" id="{00000000-0008-0000-1800-000006000000}"/>
            </a:ext>
          </a:extLst>
        </xdr:cNvPr>
        <xdr:cNvSpPr/>
      </xdr:nvSpPr>
      <xdr:spPr>
        <a:xfrm>
          <a:off x="2763330" y="2069088"/>
          <a:ext cx="2266165" cy="86166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xdr:from>
      <xdr:col>2</xdr:col>
      <xdr:colOff>23421</xdr:colOff>
      <xdr:row>6</xdr:row>
      <xdr:rowOff>7806</xdr:rowOff>
    </xdr:from>
    <xdr:to>
      <xdr:col>4</xdr:col>
      <xdr:colOff>7807</xdr:colOff>
      <xdr:row>6</xdr:row>
      <xdr:rowOff>179569</xdr:rowOff>
    </xdr:to>
    <xdr:sp macro="" textlink="">
      <xdr:nvSpPr>
        <xdr:cNvPr id="12" name="Rectangle 11">
          <a:extLst>
            <a:ext uri="{FF2B5EF4-FFF2-40B4-BE49-F238E27FC236}">
              <a16:creationId xmlns:a16="http://schemas.microsoft.com/office/drawing/2014/main" id="{00000000-0008-0000-1800-00000C000000}"/>
            </a:ext>
          </a:extLst>
        </xdr:cNvPr>
        <xdr:cNvSpPr/>
      </xdr:nvSpPr>
      <xdr:spPr>
        <a:xfrm>
          <a:off x="1163298" y="1147683"/>
          <a:ext cx="1249181" cy="17176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900">
              <a:solidFill>
                <a:sysClr val="windowText" lastClr="000000"/>
              </a:solidFill>
            </a:rPr>
            <a:t>PERIN</a:t>
          </a:r>
        </a:p>
      </xdr:txBody>
    </xdr:sp>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216032</xdr:colOff>
      <xdr:row>1</xdr:row>
      <xdr:rowOff>39277</xdr:rowOff>
    </xdr:from>
    <xdr:to>
      <xdr:col>1</xdr:col>
      <xdr:colOff>422243</xdr:colOff>
      <xdr:row>3</xdr:row>
      <xdr:rowOff>137472</xdr:rowOff>
    </xdr:to>
    <xdr:grpSp>
      <xdr:nvGrpSpPr>
        <xdr:cNvPr id="2" name="Groupe 1">
          <a:hlinkClick xmlns:r="http://schemas.openxmlformats.org/officeDocument/2006/relationships" r:id="rId1"/>
          <a:extLst>
            <a:ext uri="{FF2B5EF4-FFF2-40B4-BE49-F238E27FC236}">
              <a16:creationId xmlns:a16="http://schemas.microsoft.com/office/drawing/2014/main" id="{00000000-0008-0000-1900-000002000000}"/>
            </a:ext>
          </a:extLst>
        </xdr:cNvPr>
        <xdr:cNvGrpSpPr/>
      </xdr:nvGrpSpPr>
      <xdr:grpSpPr>
        <a:xfrm>
          <a:off x="216032" y="225131"/>
          <a:ext cx="515967" cy="494682"/>
          <a:chOff x="11076495" y="2513815"/>
          <a:chExt cx="1046669" cy="1034519"/>
        </a:xfrm>
      </xdr:grpSpPr>
      <xdr:sp macro="" textlink="">
        <xdr:nvSpPr>
          <xdr:cNvPr id="3" name="Ellipse 2">
            <a:extLst>
              <a:ext uri="{FF2B5EF4-FFF2-40B4-BE49-F238E27FC236}">
                <a16:creationId xmlns:a16="http://schemas.microsoft.com/office/drawing/2014/main" id="{00000000-0008-0000-1900-000003000000}"/>
              </a:ext>
            </a:extLst>
          </xdr:cNvPr>
          <xdr:cNvSpPr/>
        </xdr:nvSpPr>
        <xdr:spPr>
          <a:xfrm>
            <a:off x="11076495" y="2513815"/>
            <a:ext cx="1046669" cy="1034519"/>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4" name="Graphique 3" descr="Retour avec un remplissage uni">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33608" y="2621830"/>
            <a:ext cx="736469" cy="736469"/>
          </a:xfrm>
          <a:prstGeom prst="rect">
            <a:avLst/>
          </a:prstGeom>
        </xdr:spPr>
      </xdr:pic>
    </xdr:grpSp>
    <xdr:clientData/>
  </xdr:twoCellAnchor>
  <xdr:twoCellAnchor editAs="absolute">
    <xdr:from>
      <xdr:col>0</xdr:col>
      <xdr:colOff>39277</xdr:colOff>
      <xdr:row>11</xdr:row>
      <xdr:rowOff>66579</xdr:rowOff>
    </xdr:from>
    <xdr:to>
      <xdr:col>4</xdr:col>
      <xdr:colOff>284767</xdr:colOff>
      <xdr:row>16</xdr:row>
      <xdr:rowOff>46939</xdr:rowOff>
    </xdr:to>
    <xdr:sp macro="" textlink="">
      <xdr:nvSpPr>
        <xdr:cNvPr id="5" name="Rectangle 4">
          <a:extLst>
            <a:ext uri="{FF2B5EF4-FFF2-40B4-BE49-F238E27FC236}">
              <a16:creationId xmlns:a16="http://schemas.microsoft.com/office/drawing/2014/main" id="{00000000-0008-0000-1900-000005000000}"/>
            </a:ext>
          </a:extLst>
        </xdr:cNvPr>
        <xdr:cNvSpPr/>
      </xdr:nvSpPr>
      <xdr:spPr>
        <a:xfrm>
          <a:off x="39277" y="2076354"/>
          <a:ext cx="2655315" cy="847135"/>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4</xdr:col>
      <xdr:colOff>353505</xdr:colOff>
      <xdr:row>11</xdr:row>
      <xdr:rowOff>59313</xdr:rowOff>
    </xdr:from>
    <xdr:to>
      <xdr:col>8</xdr:col>
      <xdr:colOff>9820</xdr:colOff>
      <xdr:row>16</xdr:row>
      <xdr:rowOff>54206</xdr:rowOff>
    </xdr:to>
    <xdr:sp macro="" textlink="">
      <xdr:nvSpPr>
        <xdr:cNvPr id="6" name="Rectangle 5">
          <a:extLst>
            <a:ext uri="{FF2B5EF4-FFF2-40B4-BE49-F238E27FC236}">
              <a16:creationId xmlns:a16="http://schemas.microsoft.com/office/drawing/2014/main" id="{00000000-0008-0000-1900-000006000000}"/>
            </a:ext>
          </a:extLst>
        </xdr:cNvPr>
        <xdr:cNvSpPr/>
      </xdr:nvSpPr>
      <xdr:spPr>
        <a:xfrm>
          <a:off x="2763330" y="2069088"/>
          <a:ext cx="2266165" cy="86166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18</xdr:col>
      <xdr:colOff>481032</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1B00-00000B000000}"/>
            </a:ext>
          </a:extLst>
        </xdr:cNvPr>
        <xdr:cNvGrpSpPr/>
      </xdr:nvGrpSpPr>
      <xdr:grpSpPr>
        <a:xfrm>
          <a:off x="30480" y="0"/>
          <a:ext cx="14253284" cy="1115123"/>
          <a:chOff x="30480" y="0"/>
          <a:chExt cx="14295120" cy="1097281"/>
        </a:xfrm>
      </xdr:grpSpPr>
      <xdr:sp macro="" textlink="">
        <xdr:nvSpPr>
          <xdr:cNvPr id="12" name="Rectangle 11">
            <a:extLst>
              <a:ext uri="{FF2B5EF4-FFF2-40B4-BE49-F238E27FC236}">
                <a16:creationId xmlns:a16="http://schemas.microsoft.com/office/drawing/2014/main" id="{00000000-0008-0000-1B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1B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1B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205740</xdr:colOff>
      <xdr:row>0</xdr:row>
      <xdr:rowOff>117111</xdr:rowOff>
    </xdr:from>
    <xdr:to>
      <xdr:col>3</xdr:col>
      <xdr:colOff>829206</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1B00-00000F000000}"/>
            </a:ext>
          </a:extLst>
        </xdr:cNvPr>
        <xdr:cNvGrpSpPr/>
      </xdr:nvGrpSpPr>
      <xdr:grpSpPr>
        <a:xfrm>
          <a:off x="1797886" y="117111"/>
          <a:ext cx="1608491" cy="348847"/>
          <a:chOff x="1751601" y="106493"/>
          <a:chExt cx="1575966" cy="351894"/>
        </a:xfrm>
        <a:solidFill>
          <a:schemeClr val="tx1">
            <a:lumMod val="50000"/>
            <a:lumOff val="50000"/>
          </a:schemeClr>
        </a:solidFill>
      </xdr:grpSpPr>
      <xdr:sp macro="" textlink="">
        <xdr:nvSpPr>
          <xdr:cNvPr id="16" name="Rectangle : avec coins arrondis en haut 15">
            <a:extLst>
              <a:ext uri="{FF2B5EF4-FFF2-40B4-BE49-F238E27FC236}">
                <a16:creationId xmlns:a16="http://schemas.microsoft.com/office/drawing/2014/main" id="{00000000-0008-0000-1B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1B00-000011000000}"/>
              </a:ext>
            </a:extLst>
          </xdr:cNvPr>
          <xdr:cNvSpPr/>
        </xdr:nvSpPr>
        <xdr:spPr>
          <a:xfrm>
            <a:off x="1873521" y="144967"/>
            <a:ext cx="1347366" cy="3061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xdr:col>
      <xdr:colOff>770849</xdr:colOff>
      <xdr:row>7</xdr:row>
      <xdr:rowOff>125463</xdr:rowOff>
    </xdr:from>
    <xdr:to>
      <xdr:col>5</xdr:col>
      <xdr:colOff>7807</xdr:colOff>
      <xdr:row>10</xdr:row>
      <xdr:rowOff>15127</xdr:rowOff>
    </xdr:to>
    <xdr:grpSp>
      <xdr:nvGrpSpPr>
        <xdr:cNvPr id="18" name="Groupe 17">
          <a:extLst>
            <a:ext uri="{FF2B5EF4-FFF2-40B4-BE49-F238E27FC236}">
              <a16:creationId xmlns:a16="http://schemas.microsoft.com/office/drawing/2014/main" id="{00000000-0008-0000-1B00-000012000000}"/>
            </a:ext>
          </a:extLst>
        </xdr:cNvPr>
        <xdr:cNvGrpSpPr/>
      </xdr:nvGrpSpPr>
      <xdr:grpSpPr>
        <a:xfrm>
          <a:off x="1563825" y="1426439"/>
          <a:ext cx="3474421" cy="453420"/>
          <a:chOff x="1765956" y="2512140"/>
          <a:chExt cx="5228348" cy="266391"/>
        </a:xfrm>
      </xdr:grpSpPr>
      <xdr:sp macro="" textlink="">
        <xdr:nvSpPr>
          <xdr:cNvPr id="19" name="ZoneTexte 3">
            <a:extLst>
              <a:ext uri="{FF2B5EF4-FFF2-40B4-BE49-F238E27FC236}">
                <a16:creationId xmlns:a16="http://schemas.microsoft.com/office/drawing/2014/main" id="{00000000-0008-0000-1B00-000013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baseline="0">
                <a:effectLst/>
                <a:latin typeface="+mn-lt"/>
                <a:ea typeface="+mn-ea"/>
                <a:cs typeface="+mn-cs"/>
              </a:rPr>
              <a:t>Choix de la stratégie IS</a:t>
            </a:r>
            <a:endParaRPr lang="fr-FR" sz="1600" b="1">
              <a:effectLst/>
              <a:latin typeface="+mn-lt"/>
              <a:ea typeface="+mn-ea"/>
              <a:cs typeface="+mn-cs"/>
            </a:endParaRPr>
          </a:p>
        </xdr:txBody>
      </xdr:sp>
      <xdr:cxnSp macro="">
        <xdr:nvCxnSpPr>
          <xdr:cNvPr id="20" name="Connecteur droit 19">
            <a:extLst>
              <a:ext uri="{FF2B5EF4-FFF2-40B4-BE49-F238E27FC236}">
                <a16:creationId xmlns:a16="http://schemas.microsoft.com/office/drawing/2014/main" id="{00000000-0008-0000-1B00-000014000000}"/>
              </a:ext>
            </a:extLst>
          </xdr:cNvPr>
          <xdr:cNvCxnSpPr/>
        </xdr:nvCxnSpPr>
        <xdr:spPr>
          <a:xfrm flipH="1">
            <a:off x="2595700" y="2731279"/>
            <a:ext cx="3686862" cy="7674"/>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xdr:col>
      <xdr:colOff>1860</xdr:colOff>
      <xdr:row>7</xdr:row>
      <xdr:rowOff>16160</xdr:rowOff>
    </xdr:from>
    <xdr:to>
      <xdr:col>18</xdr:col>
      <xdr:colOff>671578</xdr:colOff>
      <xdr:row>41</xdr:row>
      <xdr:rowOff>63157</xdr:rowOff>
    </xdr:to>
    <xdr:sp macro="" textlink="">
      <xdr:nvSpPr>
        <xdr:cNvPr id="21" name="Rectangle 20">
          <a:extLst>
            <a:ext uri="{FF2B5EF4-FFF2-40B4-BE49-F238E27FC236}">
              <a16:creationId xmlns:a16="http://schemas.microsoft.com/office/drawing/2014/main" id="{00000000-0008-0000-1B00-000015000000}"/>
            </a:ext>
          </a:extLst>
        </xdr:cNvPr>
        <xdr:cNvSpPr/>
      </xdr:nvSpPr>
      <xdr:spPr>
        <a:xfrm>
          <a:off x="1537558" y="1371343"/>
          <a:ext cx="12507740" cy="6149192"/>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0</xdr:col>
      <xdr:colOff>30480</xdr:colOff>
      <xdr:row>6</xdr:row>
      <xdr:rowOff>140532</xdr:rowOff>
    </xdr:from>
    <xdr:to>
      <xdr:col>1</xdr:col>
      <xdr:colOff>600418</xdr:colOff>
      <xdr:row>8</xdr:row>
      <xdr:rowOff>78136</xdr:rowOff>
    </xdr:to>
    <xdr:sp macro="" textlink="">
      <xdr:nvSpPr>
        <xdr:cNvPr id="22" name="Rectangle 21">
          <a:extLst>
            <a:ext uri="{FF2B5EF4-FFF2-40B4-BE49-F238E27FC236}">
              <a16:creationId xmlns:a16="http://schemas.microsoft.com/office/drawing/2014/main" id="{00000000-0008-0000-1B00-000016000000}"/>
            </a:ext>
          </a:extLst>
        </xdr:cNvPr>
        <xdr:cNvSpPr/>
      </xdr:nvSpPr>
      <xdr:spPr>
        <a:xfrm>
          <a:off x="30480" y="1283532"/>
          <a:ext cx="1331938" cy="326348"/>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Choix de</a:t>
          </a:r>
          <a:r>
            <a:rPr lang="fr-FR" sz="1000" b="0" baseline="0">
              <a:solidFill>
                <a:sysClr val="windowText" lastClr="000000"/>
              </a:solidFill>
              <a:latin typeface="Optima LT Pro" panose="020B0502050508020304" pitchFamily="34" charset="0"/>
            </a:rPr>
            <a:t> la stratégie</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30480</xdr:colOff>
      <xdr:row>8</xdr:row>
      <xdr:rowOff>127479</xdr:rowOff>
    </xdr:from>
    <xdr:to>
      <xdr:col>1</xdr:col>
      <xdr:colOff>600418</xdr:colOff>
      <xdr:row>10</xdr:row>
      <xdr:rowOff>72827</xdr:rowOff>
    </xdr:to>
    <xdr:sp macro="[0]!MEPPER_pour_passer_MEPPER2" textlink="">
      <xdr:nvSpPr>
        <xdr:cNvPr id="23" name="Lien_Avis_IR_N-1_/_R_N-2">
          <a:hlinkClick xmlns:r="http://schemas.openxmlformats.org/officeDocument/2006/relationships" r:id="rId4"/>
          <a:extLst>
            <a:ext uri="{FF2B5EF4-FFF2-40B4-BE49-F238E27FC236}">
              <a16:creationId xmlns:a16="http://schemas.microsoft.com/office/drawing/2014/main" id="{00000000-0008-0000-1B00-000017000000}"/>
            </a:ext>
          </a:extLst>
        </xdr:cNvPr>
        <xdr:cNvSpPr/>
      </xdr:nvSpPr>
      <xdr:spPr>
        <a:xfrm>
          <a:off x="30480" y="1659223"/>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Paramètres</a:t>
          </a:r>
        </a:p>
      </xdr:txBody>
    </xdr:sp>
    <xdr:clientData/>
  </xdr:twoCellAnchor>
  <xdr:twoCellAnchor editAs="absolute">
    <xdr:from>
      <xdr:col>0</xdr:col>
      <xdr:colOff>30480</xdr:colOff>
      <xdr:row>10</xdr:row>
      <xdr:rowOff>122170</xdr:rowOff>
    </xdr:from>
    <xdr:to>
      <xdr:col>1</xdr:col>
      <xdr:colOff>600418</xdr:colOff>
      <xdr:row>12</xdr:row>
      <xdr:rowOff>67517</xdr:rowOff>
    </xdr:to>
    <xdr:sp macro="" textlink="">
      <xdr:nvSpPr>
        <xdr:cNvPr id="24" name="Lien_Déclaration_R_N-1">
          <a:extLst>
            <a:ext uri="{FF2B5EF4-FFF2-40B4-BE49-F238E27FC236}">
              <a16:creationId xmlns:a16="http://schemas.microsoft.com/office/drawing/2014/main" id="{00000000-0008-0000-1B00-000018000000}"/>
            </a:ext>
          </a:extLst>
        </xdr:cNvPr>
        <xdr:cNvSpPr/>
      </xdr:nvSpPr>
      <xdr:spPr>
        <a:xfrm>
          <a:off x="30480" y="2034914"/>
          <a:ext cx="1331938" cy="326347"/>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a:t>
          </a:r>
        </a:p>
      </xdr:txBody>
    </xdr:sp>
    <xdr:clientData/>
  </xdr:twoCellAnchor>
  <xdr:twoCellAnchor>
    <xdr:from>
      <xdr:col>3</xdr:col>
      <xdr:colOff>103845</xdr:colOff>
      <xdr:row>22</xdr:row>
      <xdr:rowOff>6378</xdr:rowOff>
    </xdr:from>
    <xdr:to>
      <xdr:col>11</xdr:col>
      <xdr:colOff>54207</xdr:colOff>
      <xdr:row>28</xdr:row>
      <xdr:rowOff>185853</xdr:rowOff>
    </xdr:to>
    <xdr:sp macro="" textlink="">
      <xdr:nvSpPr>
        <xdr:cNvPr id="26" name="Rectangle 25">
          <a:extLst>
            <a:ext uri="{FF2B5EF4-FFF2-40B4-BE49-F238E27FC236}">
              <a16:creationId xmlns:a16="http://schemas.microsoft.com/office/drawing/2014/main" id="{00000000-0008-0000-1B00-00001A000000}"/>
            </a:ext>
          </a:extLst>
        </xdr:cNvPr>
        <xdr:cNvSpPr/>
      </xdr:nvSpPr>
      <xdr:spPr>
        <a:xfrm>
          <a:off x="2597382" y="3669244"/>
          <a:ext cx="5433045" cy="1147463"/>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xdr:from>
      <xdr:col>2</xdr:col>
      <xdr:colOff>187377</xdr:colOff>
      <xdr:row>3</xdr:row>
      <xdr:rowOff>132725</xdr:rowOff>
    </xdr:from>
    <xdr:to>
      <xdr:col>3</xdr:col>
      <xdr:colOff>81823</xdr:colOff>
      <xdr:row>5</xdr:row>
      <xdr:rowOff>112138</xdr:rowOff>
    </xdr:to>
    <xdr:grpSp>
      <xdr:nvGrpSpPr>
        <xdr:cNvPr id="33" name="Groupe 32">
          <a:extLst>
            <a:ext uri="{FF2B5EF4-FFF2-40B4-BE49-F238E27FC236}">
              <a16:creationId xmlns:a16="http://schemas.microsoft.com/office/drawing/2014/main" id="{00000000-0008-0000-1B00-000021000000}"/>
            </a:ext>
          </a:extLst>
        </xdr:cNvPr>
        <xdr:cNvGrpSpPr/>
      </xdr:nvGrpSpPr>
      <xdr:grpSpPr>
        <a:xfrm>
          <a:off x="1779523" y="690286"/>
          <a:ext cx="879471" cy="351120"/>
          <a:chOff x="3142624" y="716405"/>
          <a:chExt cx="846946" cy="354167"/>
        </a:xfrm>
      </xdr:grpSpPr>
      <xdr:sp macro="[0]!Reset_TRESO" textlink="">
        <xdr:nvSpPr>
          <xdr:cNvPr id="34" name="Ellipse 33">
            <a:extLst>
              <a:ext uri="{FF2B5EF4-FFF2-40B4-BE49-F238E27FC236}">
                <a16:creationId xmlns:a16="http://schemas.microsoft.com/office/drawing/2014/main" id="{00000000-0008-0000-1B00-000022000000}"/>
              </a:ext>
            </a:extLst>
          </xdr:cNvPr>
          <xdr:cNvSpPr/>
        </xdr:nvSpPr>
        <xdr:spPr>
          <a:xfrm>
            <a:off x="3142624" y="716405"/>
            <a:ext cx="394218" cy="345485"/>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0]!Reset_TRESO" textlink="">
        <xdr:nvSpPr>
          <xdr:cNvPr id="35" name="Rectangle 34">
            <a:extLst>
              <a:ext uri="{FF2B5EF4-FFF2-40B4-BE49-F238E27FC236}">
                <a16:creationId xmlns:a16="http://schemas.microsoft.com/office/drawing/2014/main" id="{00000000-0008-0000-1B00-000023000000}"/>
              </a:ext>
            </a:extLst>
          </xdr:cNvPr>
          <xdr:cNvSpPr/>
        </xdr:nvSpPr>
        <xdr:spPr>
          <a:xfrm>
            <a:off x="3514961" y="718799"/>
            <a:ext cx="47460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Reset</a:t>
            </a:r>
          </a:p>
        </xdr:txBody>
      </xdr:sp>
      <xdr:pic macro="[0]!Reset_TRESO">
        <xdr:nvPicPr>
          <xdr:cNvPr id="36" name="Graphique 35" descr="Ordures avec un remplissage uni">
            <a:extLst>
              <a:ext uri="{FF2B5EF4-FFF2-40B4-BE49-F238E27FC236}">
                <a16:creationId xmlns:a16="http://schemas.microsoft.com/office/drawing/2014/main" id="{00000000-0008-0000-1B00-00002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218720" y="752518"/>
            <a:ext cx="242028" cy="242028"/>
          </a:xfrm>
          <a:prstGeom prst="rect">
            <a:avLst/>
          </a:prstGeom>
        </xdr:spPr>
      </xdr:pic>
    </xdr:grpSp>
    <xdr:clientData/>
  </xdr:twoCellAnchor>
  <xdr:twoCellAnchor>
    <xdr:from>
      <xdr:col>3</xdr:col>
      <xdr:colOff>109111</xdr:colOff>
      <xdr:row>12</xdr:row>
      <xdr:rowOff>19386</xdr:rowOff>
    </xdr:from>
    <xdr:to>
      <xdr:col>11</xdr:col>
      <xdr:colOff>38719</xdr:colOff>
      <xdr:row>20</xdr:row>
      <xdr:rowOff>147134</xdr:rowOff>
    </xdr:to>
    <xdr:sp macro="" textlink="">
      <xdr:nvSpPr>
        <xdr:cNvPr id="25" name="Rectangle 24">
          <a:extLst>
            <a:ext uri="{FF2B5EF4-FFF2-40B4-BE49-F238E27FC236}">
              <a16:creationId xmlns:a16="http://schemas.microsoft.com/office/drawing/2014/main" id="{00000000-0008-0000-1B00-000019000000}"/>
            </a:ext>
          </a:extLst>
        </xdr:cNvPr>
        <xdr:cNvSpPr/>
      </xdr:nvSpPr>
      <xdr:spPr>
        <a:xfrm>
          <a:off x="2602648" y="2342557"/>
          <a:ext cx="5412291" cy="135902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xdr:from>
      <xdr:col>11</xdr:col>
      <xdr:colOff>333685</xdr:colOff>
      <xdr:row>22</xdr:row>
      <xdr:rowOff>11643</xdr:rowOff>
    </xdr:from>
    <xdr:to>
      <xdr:col>18</xdr:col>
      <xdr:colOff>774</xdr:colOff>
      <xdr:row>28</xdr:row>
      <xdr:rowOff>178110</xdr:rowOff>
    </xdr:to>
    <xdr:sp macro="" textlink="">
      <xdr:nvSpPr>
        <xdr:cNvPr id="27" name="Rectangle 26">
          <a:extLst>
            <a:ext uri="{FF2B5EF4-FFF2-40B4-BE49-F238E27FC236}">
              <a16:creationId xmlns:a16="http://schemas.microsoft.com/office/drawing/2014/main" id="{00000000-0008-0000-1B00-00001B000000}"/>
            </a:ext>
          </a:extLst>
        </xdr:cNvPr>
        <xdr:cNvSpPr/>
      </xdr:nvSpPr>
      <xdr:spPr>
        <a:xfrm>
          <a:off x="8309905" y="3984265"/>
          <a:ext cx="5064589" cy="1134455"/>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xdr:from>
      <xdr:col>3</xdr:col>
      <xdr:colOff>85185</xdr:colOff>
      <xdr:row>30</xdr:row>
      <xdr:rowOff>30975</xdr:rowOff>
    </xdr:from>
    <xdr:to>
      <xdr:col>15</xdr:col>
      <xdr:colOff>712440</xdr:colOff>
      <xdr:row>41</xdr:row>
      <xdr:rowOff>7743</xdr:rowOff>
    </xdr:to>
    <xdr:graphicFrame macro="">
      <xdr:nvGraphicFramePr>
        <xdr:cNvPr id="28" name="Graphique 27">
          <a:extLst>
            <a:ext uri="{FF2B5EF4-FFF2-40B4-BE49-F238E27FC236}">
              <a16:creationId xmlns:a16="http://schemas.microsoft.com/office/drawing/2014/main" id="{00000000-0008-0000-1B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456889</xdr:colOff>
      <xdr:row>35</xdr:row>
      <xdr:rowOff>30975</xdr:rowOff>
    </xdr:from>
    <xdr:to>
      <xdr:col>18</xdr:col>
      <xdr:colOff>46462</xdr:colOff>
      <xdr:row>39</xdr:row>
      <xdr:rowOff>116159</xdr:rowOff>
    </xdr:to>
    <xdr:grpSp>
      <xdr:nvGrpSpPr>
        <xdr:cNvPr id="43" name="Groupe 42">
          <a:extLst>
            <a:ext uri="{FF2B5EF4-FFF2-40B4-BE49-F238E27FC236}">
              <a16:creationId xmlns:a16="http://schemas.microsoft.com/office/drawing/2014/main" id="{00000000-0008-0000-1B00-00002B000000}"/>
            </a:ext>
          </a:extLst>
        </xdr:cNvPr>
        <xdr:cNvGrpSpPr/>
      </xdr:nvGrpSpPr>
      <xdr:grpSpPr>
        <a:xfrm>
          <a:off x="12376304" y="6089804"/>
          <a:ext cx="1472890" cy="828599"/>
          <a:chOff x="11979817" y="6319024"/>
          <a:chExt cx="1417134" cy="859574"/>
        </a:xfrm>
      </xdr:grpSpPr>
      <xdr:sp macro="" textlink="">
        <xdr:nvSpPr>
          <xdr:cNvPr id="29" name="Rectangle 28">
            <a:extLst>
              <a:ext uri="{FF2B5EF4-FFF2-40B4-BE49-F238E27FC236}">
                <a16:creationId xmlns:a16="http://schemas.microsoft.com/office/drawing/2014/main" id="{00000000-0008-0000-1B00-00001D000000}"/>
              </a:ext>
            </a:extLst>
          </xdr:cNvPr>
          <xdr:cNvSpPr/>
        </xdr:nvSpPr>
        <xdr:spPr>
          <a:xfrm>
            <a:off x="12103876" y="6434872"/>
            <a:ext cx="1176917" cy="108726"/>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800" b="1" i="1">
                <a:solidFill>
                  <a:sysClr val="windowText" lastClr="000000"/>
                </a:solidFill>
              </a:rPr>
              <a:t>Besoin complémentaire</a:t>
            </a:r>
          </a:p>
        </xdr:txBody>
      </xdr:sp>
      <xdr:sp macro="" textlink="">
        <xdr:nvSpPr>
          <xdr:cNvPr id="30" name="Rectangle 29">
            <a:extLst>
              <a:ext uri="{FF2B5EF4-FFF2-40B4-BE49-F238E27FC236}">
                <a16:creationId xmlns:a16="http://schemas.microsoft.com/office/drawing/2014/main" id="{00000000-0008-0000-1B00-00001E000000}"/>
              </a:ext>
            </a:extLst>
          </xdr:cNvPr>
          <xdr:cNvSpPr/>
        </xdr:nvSpPr>
        <xdr:spPr>
          <a:xfrm>
            <a:off x="12103876" y="6610504"/>
            <a:ext cx="1176917" cy="108726"/>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800" b="0" i="1">
                <a:solidFill>
                  <a:schemeClr val="bg1"/>
                </a:solidFill>
              </a:rPr>
              <a:t>Revenus N</a:t>
            </a:r>
          </a:p>
        </xdr:txBody>
      </xdr:sp>
      <xdr:sp macro="" textlink="">
        <xdr:nvSpPr>
          <xdr:cNvPr id="31" name="Rectangle 30">
            <a:extLst>
              <a:ext uri="{FF2B5EF4-FFF2-40B4-BE49-F238E27FC236}">
                <a16:creationId xmlns:a16="http://schemas.microsoft.com/office/drawing/2014/main" id="{00000000-0008-0000-1B00-00001F000000}"/>
              </a:ext>
            </a:extLst>
          </xdr:cNvPr>
          <xdr:cNvSpPr/>
        </xdr:nvSpPr>
        <xdr:spPr>
          <a:xfrm>
            <a:off x="12103876" y="6786136"/>
            <a:ext cx="1176917" cy="108726"/>
          </a:xfrm>
          <a:prstGeom prst="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800" b="0" i="1">
                <a:solidFill>
                  <a:schemeClr val="tx1"/>
                </a:solidFill>
              </a:rPr>
              <a:t>IR (1 ou 2 parts)</a:t>
            </a:r>
          </a:p>
        </xdr:txBody>
      </xdr:sp>
      <xdr:sp macro="" textlink="">
        <xdr:nvSpPr>
          <xdr:cNvPr id="37" name="Rectangle 36">
            <a:extLst>
              <a:ext uri="{FF2B5EF4-FFF2-40B4-BE49-F238E27FC236}">
                <a16:creationId xmlns:a16="http://schemas.microsoft.com/office/drawing/2014/main" id="{00000000-0008-0000-1B00-000025000000}"/>
              </a:ext>
            </a:extLst>
          </xdr:cNvPr>
          <xdr:cNvSpPr/>
        </xdr:nvSpPr>
        <xdr:spPr>
          <a:xfrm>
            <a:off x="12103876" y="6961768"/>
            <a:ext cx="1176917" cy="108726"/>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800" b="0" i="1">
                <a:solidFill>
                  <a:schemeClr val="tx1"/>
                </a:solidFill>
              </a:rPr>
              <a:t>Autres revenus (nets)</a:t>
            </a:r>
          </a:p>
        </xdr:txBody>
      </xdr:sp>
      <xdr:sp macro="" textlink="">
        <xdr:nvSpPr>
          <xdr:cNvPr id="40" name="Rectangle 39">
            <a:extLst>
              <a:ext uri="{FF2B5EF4-FFF2-40B4-BE49-F238E27FC236}">
                <a16:creationId xmlns:a16="http://schemas.microsoft.com/office/drawing/2014/main" id="{00000000-0008-0000-1B00-000028000000}"/>
              </a:ext>
            </a:extLst>
          </xdr:cNvPr>
          <xdr:cNvSpPr/>
        </xdr:nvSpPr>
        <xdr:spPr>
          <a:xfrm>
            <a:off x="11979817" y="6319024"/>
            <a:ext cx="1417134" cy="859574"/>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grpSp>
    <xdr:clientData/>
  </xdr:twoCellAnchor>
</xdr:wsDr>
</file>

<file path=xl/drawings/drawing27.xml><?xml version="1.0" encoding="utf-8"?>
<xdr:wsDr xmlns:xdr="http://schemas.openxmlformats.org/drawingml/2006/spreadsheetDrawing" xmlns:a="http://schemas.openxmlformats.org/drawingml/2006/main">
  <xdr:twoCellAnchor editAs="absolute">
    <xdr:from>
      <xdr:col>0</xdr:col>
      <xdr:colOff>30976</xdr:colOff>
      <xdr:row>0</xdr:row>
      <xdr:rowOff>0</xdr:rowOff>
    </xdr:from>
    <xdr:to>
      <xdr:col>18</xdr:col>
      <xdr:colOff>365370</xdr:colOff>
      <xdr:row>6</xdr:row>
      <xdr:rowOff>1</xdr:rowOff>
    </xdr:to>
    <xdr:grpSp>
      <xdr:nvGrpSpPr>
        <xdr:cNvPr id="11" name="Groupe 10">
          <a:hlinkClick xmlns:r="http://schemas.openxmlformats.org/officeDocument/2006/relationships" r:id="rId1"/>
          <a:extLst>
            <a:ext uri="{FF2B5EF4-FFF2-40B4-BE49-F238E27FC236}">
              <a16:creationId xmlns:a16="http://schemas.microsoft.com/office/drawing/2014/main" id="{00000000-0008-0000-1C00-00000B000000}"/>
            </a:ext>
          </a:extLst>
        </xdr:cNvPr>
        <xdr:cNvGrpSpPr/>
      </xdr:nvGrpSpPr>
      <xdr:grpSpPr>
        <a:xfrm>
          <a:off x="30976" y="0"/>
          <a:ext cx="14248638" cy="1115123"/>
          <a:chOff x="30480" y="0"/>
          <a:chExt cx="14295120" cy="1097281"/>
        </a:xfrm>
      </xdr:grpSpPr>
      <xdr:sp macro="" textlink="">
        <xdr:nvSpPr>
          <xdr:cNvPr id="12" name="Rectangle 11">
            <a:extLst>
              <a:ext uri="{FF2B5EF4-FFF2-40B4-BE49-F238E27FC236}">
                <a16:creationId xmlns:a16="http://schemas.microsoft.com/office/drawing/2014/main" id="{00000000-0008-0000-1C00-00000C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1C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4" name="Rectangle 13">
            <a:extLst>
              <a:ext uri="{FF2B5EF4-FFF2-40B4-BE49-F238E27FC236}">
                <a16:creationId xmlns:a16="http://schemas.microsoft.com/office/drawing/2014/main" id="{00000000-0008-0000-1C00-00000E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205740</xdr:colOff>
      <xdr:row>0</xdr:row>
      <xdr:rowOff>117111</xdr:rowOff>
    </xdr:from>
    <xdr:to>
      <xdr:col>3</xdr:col>
      <xdr:colOff>829206</xdr:colOff>
      <xdr:row>2</xdr:row>
      <xdr:rowOff>94251</xdr:rowOff>
    </xdr:to>
    <xdr:grpSp>
      <xdr:nvGrpSpPr>
        <xdr:cNvPr id="15" name="Groupe 14">
          <a:hlinkClick xmlns:r="http://schemas.openxmlformats.org/officeDocument/2006/relationships" r:id="rId3"/>
          <a:extLst>
            <a:ext uri="{FF2B5EF4-FFF2-40B4-BE49-F238E27FC236}">
              <a16:creationId xmlns:a16="http://schemas.microsoft.com/office/drawing/2014/main" id="{00000000-0008-0000-1C00-00000F000000}"/>
            </a:ext>
          </a:extLst>
        </xdr:cNvPr>
        <xdr:cNvGrpSpPr/>
      </xdr:nvGrpSpPr>
      <xdr:grpSpPr>
        <a:xfrm>
          <a:off x="1797886" y="117111"/>
          <a:ext cx="1608491" cy="348847"/>
          <a:chOff x="1751601" y="106493"/>
          <a:chExt cx="1575966" cy="351894"/>
        </a:xfrm>
        <a:solidFill>
          <a:schemeClr val="tx1">
            <a:lumMod val="50000"/>
            <a:lumOff val="50000"/>
          </a:schemeClr>
        </a:solidFill>
      </xdr:grpSpPr>
      <xdr:sp macro="" textlink="">
        <xdr:nvSpPr>
          <xdr:cNvPr id="16" name="Rectangle : avec coins arrondis en haut 15">
            <a:extLst>
              <a:ext uri="{FF2B5EF4-FFF2-40B4-BE49-F238E27FC236}">
                <a16:creationId xmlns:a16="http://schemas.microsoft.com/office/drawing/2014/main" id="{00000000-0008-0000-1C00-000010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1C00-000011000000}"/>
              </a:ext>
            </a:extLst>
          </xdr:cNvPr>
          <xdr:cNvSpPr/>
        </xdr:nvSpPr>
        <xdr:spPr>
          <a:xfrm>
            <a:off x="1873521" y="144967"/>
            <a:ext cx="1347366" cy="3061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xdr:col>
      <xdr:colOff>770849</xdr:colOff>
      <xdr:row>7</xdr:row>
      <xdr:rowOff>125463</xdr:rowOff>
    </xdr:from>
    <xdr:to>
      <xdr:col>4</xdr:col>
      <xdr:colOff>805429</xdr:colOff>
      <xdr:row>10</xdr:row>
      <xdr:rowOff>22871</xdr:rowOff>
    </xdr:to>
    <xdr:grpSp>
      <xdr:nvGrpSpPr>
        <xdr:cNvPr id="18" name="Groupe 17">
          <a:extLst>
            <a:ext uri="{FF2B5EF4-FFF2-40B4-BE49-F238E27FC236}">
              <a16:creationId xmlns:a16="http://schemas.microsoft.com/office/drawing/2014/main" id="{00000000-0008-0000-1C00-000012000000}"/>
            </a:ext>
          </a:extLst>
        </xdr:cNvPr>
        <xdr:cNvGrpSpPr/>
      </xdr:nvGrpSpPr>
      <xdr:grpSpPr>
        <a:xfrm>
          <a:off x="1563825" y="1426439"/>
          <a:ext cx="3454287" cy="454969"/>
          <a:chOff x="1765956" y="2512140"/>
          <a:chExt cx="5228348" cy="266391"/>
        </a:xfrm>
      </xdr:grpSpPr>
      <xdr:sp macro="" textlink="">
        <xdr:nvSpPr>
          <xdr:cNvPr id="19" name="ZoneTexte 3">
            <a:extLst>
              <a:ext uri="{FF2B5EF4-FFF2-40B4-BE49-F238E27FC236}">
                <a16:creationId xmlns:a16="http://schemas.microsoft.com/office/drawing/2014/main" id="{00000000-0008-0000-1C00-000013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baseline="0">
                <a:effectLst/>
                <a:latin typeface="+mn-lt"/>
                <a:ea typeface="+mn-ea"/>
                <a:cs typeface="+mn-cs"/>
              </a:rPr>
              <a:t>Choix de la stratégie IS</a:t>
            </a:r>
            <a:endParaRPr lang="fr-FR" sz="1600" b="1">
              <a:effectLst/>
              <a:latin typeface="+mn-lt"/>
              <a:ea typeface="+mn-ea"/>
              <a:cs typeface="+mn-cs"/>
            </a:endParaRPr>
          </a:p>
        </xdr:txBody>
      </xdr:sp>
      <xdr:cxnSp macro="">
        <xdr:nvCxnSpPr>
          <xdr:cNvPr id="20" name="Connecteur droit 19">
            <a:extLst>
              <a:ext uri="{FF2B5EF4-FFF2-40B4-BE49-F238E27FC236}">
                <a16:creationId xmlns:a16="http://schemas.microsoft.com/office/drawing/2014/main" id="{00000000-0008-0000-1C00-000014000000}"/>
              </a:ext>
            </a:extLst>
          </xdr:cNvPr>
          <xdr:cNvCxnSpPr/>
        </xdr:nvCxnSpPr>
        <xdr:spPr>
          <a:xfrm flipH="1">
            <a:off x="2595700" y="2731279"/>
            <a:ext cx="3686862" cy="7674"/>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xdr:col>
      <xdr:colOff>1860</xdr:colOff>
      <xdr:row>7</xdr:row>
      <xdr:rowOff>16160</xdr:rowOff>
    </xdr:from>
    <xdr:to>
      <xdr:col>18</xdr:col>
      <xdr:colOff>555420</xdr:colOff>
      <xdr:row>45</xdr:row>
      <xdr:rowOff>70901</xdr:rowOff>
    </xdr:to>
    <xdr:sp macro="" textlink="">
      <xdr:nvSpPr>
        <xdr:cNvPr id="21" name="Rectangle 20">
          <a:extLst>
            <a:ext uri="{FF2B5EF4-FFF2-40B4-BE49-F238E27FC236}">
              <a16:creationId xmlns:a16="http://schemas.microsoft.com/office/drawing/2014/main" id="{00000000-0008-0000-1C00-000015000000}"/>
            </a:ext>
          </a:extLst>
        </xdr:cNvPr>
        <xdr:cNvSpPr/>
      </xdr:nvSpPr>
      <xdr:spPr>
        <a:xfrm>
          <a:off x="1540656" y="1349660"/>
          <a:ext cx="12517884" cy="6090571"/>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0</xdr:col>
      <xdr:colOff>30480</xdr:colOff>
      <xdr:row>6</xdr:row>
      <xdr:rowOff>140532</xdr:rowOff>
    </xdr:from>
    <xdr:to>
      <xdr:col>1</xdr:col>
      <xdr:colOff>600418</xdr:colOff>
      <xdr:row>8</xdr:row>
      <xdr:rowOff>85880</xdr:rowOff>
    </xdr:to>
    <xdr:sp macro="" textlink="">
      <xdr:nvSpPr>
        <xdr:cNvPr id="22" name="Rectangle 21">
          <a:hlinkClick xmlns:r="http://schemas.openxmlformats.org/officeDocument/2006/relationships" r:id="rId4"/>
          <a:extLst>
            <a:ext uri="{FF2B5EF4-FFF2-40B4-BE49-F238E27FC236}">
              <a16:creationId xmlns:a16="http://schemas.microsoft.com/office/drawing/2014/main" id="{00000000-0008-0000-1C00-000016000000}"/>
            </a:ext>
          </a:extLst>
        </xdr:cNvPr>
        <xdr:cNvSpPr/>
      </xdr:nvSpPr>
      <xdr:spPr>
        <a:xfrm>
          <a:off x="30480" y="1283532"/>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Choix de</a:t>
          </a:r>
          <a:r>
            <a:rPr lang="fr-FR" sz="1000" b="0" baseline="0">
              <a:solidFill>
                <a:sysClr val="windowText" lastClr="000000"/>
              </a:solidFill>
              <a:latin typeface="Optima LT Pro" panose="020B0502050508020304" pitchFamily="34" charset="0"/>
            </a:rPr>
            <a:t> la stratégie</a:t>
          </a:r>
          <a:endParaRPr lang="fr-FR" sz="1000" b="0">
            <a:solidFill>
              <a:sysClr val="windowText" lastClr="000000"/>
            </a:solidFill>
            <a:latin typeface="Optima LT Pro" panose="020B0502050508020304" pitchFamily="34" charset="0"/>
          </a:endParaRPr>
        </a:p>
      </xdr:txBody>
    </xdr:sp>
    <xdr:clientData/>
  </xdr:twoCellAnchor>
  <xdr:twoCellAnchor editAs="absolute">
    <xdr:from>
      <xdr:col>0</xdr:col>
      <xdr:colOff>30480</xdr:colOff>
      <xdr:row>8</xdr:row>
      <xdr:rowOff>135223</xdr:rowOff>
    </xdr:from>
    <xdr:to>
      <xdr:col>1</xdr:col>
      <xdr:colOff>600418</xdr:colOff>
      <xdr:row>10</xdr:row>
      <xdr:rowOff>80571</xdr:rowOff>
    </xdr:to>
    <xdr:sp macro="[0]!MEPPER_pour_passer_MEPPER2" textlink="">
      <xdr:nvSpPr>
        <xdr:cNvPr id="23" name="Lien_Avis_IR_N-1_/_R_N-2">
          <a:extLst>
            <a:ext uri="{FF2B5EF4-FFF2-40B4-BE49-F238E27FC236}">
              <a16:creationId xmlns:a16="http://schemas.microsoft.com/office/drawing/2014/main" id="{00000000-0008-0000-1C00-000017000000}"/>
            </a:ext>
          </a:extLst>
        </xdr:cNvPr>
        <xdr:cNvSpPr/>
      </xdr:nvSpPr>
      <xdr:spPr>
        <a:xfrm>
          <a:off x="30480" y="1659223"/>
          <a:ext cx="1331938" cy="326348"/>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Paramètres</a:t>
          </a:r>
        </a:p>
      </xdr:txBody>
    </xdr:sp>
    <xdr:clientData/>
  </xdr:twoCellAnchor>
  <xdr:twoCellAnchor editAs="absolute">
    <xdr:from>
      <xdr:col>0</xdr:col>
      <xdr:colOff>30480</xdr:colOff>
      <xdr:row>10</xdr:row>
      <xdr:rowOff>129914</xdr:rowOff>
    </xdr:from>
    <xdr:to>
      <xdr:col>1</xdr:col>
      <xdr:colOff>600418</xdr:colOff>
      <xdr:row>12</xdr:row>
      <xdr:rowOff>75261</xdr:rowOff>
    </xdr:to>
    <xdr:sp macro="" textlink="">
      <xdr:nvSpPr>
        <xdr:cNvPr id="24" name="Lien_Déclaration_R_N-1">
          <a:hlinkClick xmlns:r="http://schemas.openxmlformats.org/officeDocument/2006/relationships" r:id="rId5"/>
          <a:extLst>
            <a:ext uri="{FF2B5EF4-FFF2-40B4-BE49-F238E27FC236}">
              <a16:creationId xmlns:a16="http://schemas.microsoft.com/office/drawing/2014/main" id="{00000000-0008-0000-1C00-000018000000}"/>
            </a:ext>
          </a:extLst>
        </xdr:cNvPr>
        <xdr:cNvSpPr/>
      </xdr:nvSpPr>
      <xdr:spPr>
        <a:xfrm>
          <a:off x="30480" y="2034914"/>
          <a:ext cx="1331938" cy="326347"/>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a:t>
          </a:r>
        </a:p>
      </xdr:txBody>
    </xdr:sp>
    <xdr:clientData/>
  </xdr:twoCellAnchor>
  <xdr:twoCellAnchor>
    <xdr:from>
      <xdr:col>12</xdr:col>
      <xdr:colOff>152398</xdr:colOff>
      <xdr:row>14</xdr:row>
      <xdr:rowOff>0</xdr:rowOff>
    </xdr:from>
    <xdr:to>
      <xdr:col>18</xdr:col>
      <xdr:colOff>1233565</xdr:colOff>
      <xdr:row>19</xdr:row>
      <xdr:rowOff>62459</xdr:rowOff>
    </xdr:to>
    <xdr:sp macro="" textlink="">
      <xdr:nvSpPr>
        <xdr:cNvPr id="34" name="Masquer_prev" hidden="1">
          <a:extLst>
            <a:ext uri="{FF2B5EF4-FFF2-40B4-BE49-F238E27FC236}">
              <a16:creationId xmlns:a16="http://schemas.microsoft.com/office/drawing/2014/main" id="{00000000-0008-0000-1C00-000022000000}"/>
            </a:ext>
          </a:extLst>
        </xdr:cNvPr>
        <xdr:cNvSpPr/>
      </xdr:nvSpPr>
      <xdr:spPr>
        <a:xfrm>
          <a:off x="8134348" y="8401050"/>
          <a:ext cx="5053092" cy="8244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12</xdr:col>
      <xdr:colOff>92928</xdr:colOff>
      <xdr:row>13</xdr:row>
      <xdr:rowOff>133072</xdr:rowOff>
    </xdr:from>
    <xdr:to>
      <xdr:col>18</xdr:col>
      <xdr:colOff>170367</xdr:colOff>
      <xdr:row>21</xdr:row>
      <xdr:rowOff>54208</xdr:rowOff>
    </xdr:to>
    <xdr:sp macro="" textlink="">
      <xdr:nvSpPr>
        <xdr:cNvPr id="35" name="Rectangle 34">
          <a:extLst>
            <a:ext uri="{FF2B5EF4-FFF2-40B4-BE49-F238E27FC236}">
              <a16:creationId xmlns:a16="http://schemas.microsoft.com/office/drawing/2014/main" id="{00000000-0008-0000-1C00-000023000000}"/>
            </a:ext>
          </a:extLst>
        </xdr:cNvPr>
        <xdr:cNvSpPr/>
      </xdr:nvSpPr>
      <xdr:spPr>
        <a:xfrm>
          <a:off x="8727379" y="2541426"/>
          <a:ext cx="4932866" cy="1074977"/>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xdr:from>
      <xdr:col>3</xdr:col>
      <xdr:colOff>77439</xdr:colOff>
      <xdr:row>11</xdr:row>
      <xdr:rowOff>154879</xdr:rowOff>
    </xdr:from>
    <xdr:to>
      <xdr:col>11</xdr:col>
      <xdr:colOff>302013</xdr:colOff>
      <xdr:row>21</xdr:row>
      <xdr:rowOff>54209</xdr:rowOff>
    </xdr:to>
    <xdr:sp macro="" textlink="">
      <xdr:nvSpPr>
        <xdr:cNvPr id="36" name="Rectangle 35">
          <a:extLst>
            <a:ext uri="{FF2B5EF4-FFF2-40B4-BE49-F238E27FC236}">
              <a16:creationId xmlns:a16="http://schemas.microsoft.com/office/drawing/2014/main" id="{00000000-0008-0000-1C00-000024000000}"/>
            </a:ext>
          </a:extLst>
        </xdr:cNvPr>
        <xdr:cNvSpPr/>
      </xdr:nvSpPr>
      <xdr:spPr>
        <a:xfrm>
          <a:off x="2570976" y="2284452"/>
          <a:ext cx="5800183" cy="1331952"/>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xdr:from>
      <xdr:col>3</xdr:col>
      <xdr:colOff>98192</xdr:colOff>
      <xdr:row>25</xdr:row>
      <xdr:rowOff>130591</xdr:rowOff>
    </xdr:from>
    <xdr:to>
      <xdr:col>11</xdr:col>
      <xdr:colOff>276302</xdr:colOff>
      <xdr:row>43</xdr:row>
      <xdr:rowOff>170366</xdr:rowOff>
    </xdr:to>
    <xdr:sp macro="" textlink="">
      <xdr:nvSpPr>
        <xdr:cNvPr id="37" name="Rectangle 36">
          <a:extLst>
            <a:ext uri="{FF2B5EF4-FFF2-40B4-BE49-F238E27FC236}">
              <a16:creationId xmlns:a16="http://schemas.microsoft.com/office/drawing/2014/main" id="{00000000-0008-0000-1C00-000025000000}"/>
            </a:ext>
          </a:extLst>
        </xdr:cNvPr>
        <xdr:cNvSpPr/>
      </xdr:nvSpPr>
      <xdr:spPr>
        <a:xfrm>
          <a:off x="2591729" y="4273579"/>
          <a:ext cx="5753719" cy="2874043"/>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17</xdr:col>
      <xdr:colOff>731798</xdr:colOff>
      <xdr:row>19</xdr:row>
      <xdr:rowOff>1</xdr:rowOff>
    </xdr:from>
    <xdr:to>
      <xdr:col>18</xdr:col>
      <xdr:colOff>21328</xdr:colOff>
      <xdr:row>20</xdr:row>
      <xdr:rowOff>23488</xdr:rowOff>
    </xdr:to>
    <xdr:grpSp>
      <xdr:nvGrpSpPr>
        <xdr:cNvPr id="38" name="Groupe 37">
          <a:hlinkClick xmlns:r="http://schemas.openxmlformats.org/officeDocument/2006/relationships" r:id="rId6"/>
          <a:extLst>
            <a:ext uri="{FF2B5EF4-FFF2-40B4-BE49-F238E27FC236}">
              <a16:creationId xmlns:a16="http://schemas.microsoft.com/office/drawing/2014/main" id="{00000000-0008-0000-1C00-000026000000}"/>
            </a:ext>
          </a:extLst>
        </xdr:cNvPr>
        <xdr:cNvGrpSpPr/>
      </xdr:nvGrpSpPr>
      <xdr:grpSpPr>
        <a:xfrm>
          <a:off x="13661018" y="3165708"/>
          <a:ext cx="274554" cy="221731"/>
          <a:chOff x="1690149" y="693856"/>
          <a:chExt cx="392983" cy="354575"/>
        </a:xfrm>
      </xdr:grpSpPr>
      <xdr:sp macro="" textlink="">
        <xdr:nvSpPr>
          <xdr:cNvPr id="39" name="Ellipse 38">
            <a:extLst>
              <a:ext uri="{FF2B5EF4-FFF2-40B4-BE49-F238E27FC236}">
                <a16:creationId xmlns:a16="http://schemas.microsoft.com/office/drawing/2014/main" id="{00000000-0008-0000-1C00-000027000000}"/>
              </a:ext>
            </a:extLst>
          </xdr:cNvPr>
          <xdr:cNvSpPr/>
        </xdr:nvSpPr>
        <xdr:spPr>
          <a:xfrm>
            <a:off x="1690149" y="693856"/>
            <a:ext cx="392983" cy="354575"/>
          </a:xfrm>
          <a:prstGeom prst="ellipse">
            <a:avLst/>
          </a:prstGeom>
          <a:solidFill>
            <a:schemeClr val="accent2">
              <a:lumMod val="40000"/>
              <a:lumOff val="60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40" name="Graphique 39" descr="Presse-papiers mixte avec un remplissage uni">
            <a:extLst>
              <a:ext uri="{FF2B5EF4-FFF2-40B4-BE49-F238E27FC236}">
                <a16:creationId xmlns:a16="http://schemas.microsoft.com/office/drawing/2014/main" id="{00000000-0008-0000-1C00-00002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759057" y="714374"/>
            <a:ext cx="276534" cy="276534"/>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16</xdr:col>
          <xdr:colOff>30480</xdr:colOff>
          <xdr:row>29</xdr:row>
          <xdr:rowOff>22860</xdr:rowOff>
        </xdr:from>
        <xdr:to>
          <xdr:col>17</xdr:col>
          <xdr:colOff>297180</xdr:colOff>
          <xdr:row>32</xdr:row>
          <xdr:rowOff>7620</xdr:rowOff>
        </xdr:to>
        <xdr:sp macro="" textlink="">
          <xdr:nvSpPr>
            <xdr:cNvPr id="54284" name="CheckBox1" hidden="1">
              <a:extLst>
                <a:ext uri="{63B3BB69-23CF-44E3-9099-C40C66FF867C}">
                  <a14:compatExt spid="_x0000_s54284"/>
                </a:ext>
                <a:ext uri="{FF2B5EF4-FFF2-40B4-BE49-F238E27FC236}">
                  <a16:creationId xmlns:a16="http://schemas.microsoft.com/office/drawing/2014/main" id="{00000000-0008-0000-1C00-00000CD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xdr:colOff>
          <xdr:row>19</xdr:row>
          <xdr:rowOff>7620</xdr:rowOff>
        </xdr:from>
        <xdr:to>
          <xdr:col>17</xdr:col>
          <xdr:colOff>190500</xdr:colOff>
          <xdr:row>20</xdr:row>
          <xdr:rowOff>7620</xdr:rowOff>
        </xdr:to>
        <xdr:sp macro="" textlink="">
          <xdr:nvSpPr>
            <xdr:cNvPr id="54286" name="CheckBox2" hidden="1">
              <a:extLst>
                <a:ext uri="{63B3BB69-23CF-44E3-9099-C40C66FF867C}">
                  <a14:compatExt spid="_x0000_s54286"/>
                </a:ext>
                <a:ext uri="{FF2B5EF4-FFF2-40B4-BE49-F238E27FC236}">
                  <a16:creationId xmlns:a16="http://schemas.microsoft.com/office/drawing/2014/main" id="{00000000-0008-0000-1C00-00000ED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12</xdr:col>
      <xdr:colOff>116160</xdr:colOff>
      <xdr:row>27</xdr:row>
      <xdr:rowOff>91879</xdr:rowOff>
    </xdr:from>
    <xdr:to>
      <xdr:col>18</xdr:col>
      <xdr:colOff>167887</xdr:colOff>
      <xdr:row>33</xdr:row>
      <xdr:rowOff>69696</xdr:rowOff>
    </xdr:to>
    <xdr:sp macro="" textlink="">
      <xdr:nvSpPr>
        <xdr:cNvPr id="31" name="Rectangle 30">
          <a:extLst>
            <a:ext uri="{FF2B5EF4-FFF2-40B4-BE49-F238E27FC236}">
              <a16:creationId xmlns:a16="http://schemas.microsoft.com/office/drawing/2014/main" id="{00000000-0008-0000-1C00-00001F000000}"/>
            </a:ext>
          </a:extLst>
        </xdr:cNvPr>
        <xdr:cNvSpPr/>
      </xdr:nvSpPr>
      <xdr:spPr>
        <a:xfrm>
          <a:off x="8750611" y="4707245"/>
          <a:ext cx="4907154" cy="81415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17</xdr:col>
      <xdr:colOff>731798</xdr:colOff>
      <xdr:row>29</xdr:row>
      <xdr:rowOff>139389</xdr:rowOff>
    </xdr:from>
    <xdr:to>
      <xdr:col>18</xdr:col>
      <xdr:colOff>21328</xdr:colOff>
      <xdr:row>31</xdr:row>
      <xdr:rowOff>85436</xdr:rowOff>
    </xdr:to>
    <xdr:grpSp>
      <xdr:nvGrpSpPr>
        <xdr:cNvPr id="32" name="Groupe 31">
          <a:hlinkClick xmlns:r="http://schemas.openxmlformats.org/officeDocument/2006/relationships" r:id="rId9"/>
          <a:extLst>
            <a:ext uri="{FF2B5EF4-FFF2-40B4-BE49-F238E27FC236}">
              <a16:creationId xmlns:a16="http://schemas.microsoft.com/office/drawing/2014/main" id="{00000000-0008-0000-1C00-000020000000}"/>
            </a:ext>
          </a:extLst>
        </xdr:cNvPr>
        <xdr:cNvGrpSpPr/>
      </xdr:nvGrpSpPr>
      <xdr:grpSpPr>
        <a:xfrm>
          <a:off x="13661018" y="4903438"/>
          <a:ext cx="274554" cy="224827"/>
          <a:chOff x="1690149" y="693856"/>
          <a:chExt cx="392983" cy="354575"/>
        </a:xfrm>
      </xdr:grpSpPr>
      <xdr:sp macro="" textlink="">
        <xdr:nvSpPr>
          <xdr:cNvPr id="33" name="Ellipse 32">
            <a:extLst>
              <a:ext uri="{FF2B5EF4-FFF2-40B4-BE49-F238E27FC236}">
                <a16:creationId xmlns:a16="http://schemas.microsoft.com/office/drawing/2014/main" id="{00000000-0008-0000-1C00-000021000000}"/>
              </a:ext>
            </a:extLst>
          </xdr:cNvPr>
          <xdr:cNvSpPr/>
        </xdr:nvSpPr>
        <xdr:spPr>
          <a:xfrm>
            <a:off x="1690149" y="693856"/>
            <a:ext cx="392983" cy="354575"/>
          </a:xfrm>
          <a:prstGeom prst="ellipse">
            <a:avLst/>
          </a:prstGeom>
          <a:solidFill>
            <a:schemeClr val="accent2">
              <a:lumMod val="40000"/>
              <a:lumOff val="60000"/>
            </a:schemeClr>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41" name="Graphique 40" descr="Presse-papiers mixte avec un remplissage uni">
            <a:extLst>
              <a:ext uri="{FF2B5EF4-FFF2-40B4-BE49-F238E27FC236}">
                <a16:creationId xmlns:a16="http://schemas.microsoft.com/office/drawing/2014/main" id="{00000000-0008-0000-1C00-00002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759057" y="714374"/>
            <a:ext cx="276534" cy="276534"/>
          </a:xfrm>
          <a:prstGeom prst="rect">
            <a:avLst/>
          </a:prstGeom>
        </xdr:spPr>
      </xdr:pic>
    </xdr:grpSp>
    <xdr:clientData/>
  </xdr:twoCellAnchor>
  <xdr:twoCellAnchor>
    <xdr:from>
      <xdr:col>11</xdr:col>
      <xdr:colOff>557561</xdr:colOff>
      <xdr:row>11</xdr:row>
      <xdr:rowOff>131647</xdr:rowOff>
    </xdr:from>
    <xdr:to>
      <xdr:col>18</xdr:col>
      <xdr:colOff>325244</xdr:colOff>
      <xdr:row>22</xdr:row>
      <xdr:rowOff>7744</xdr:rowOff>
    </xdr:to>
    <xdr:sp macro="" textlink="">
      <xdr:nvSpPr>
        <xdr:cNvPr id="42" name="Masquer_emprunt_perso">
          <a:extLst>
            <a:ext uri="{FF2B5EF4-FFF2-40B4-BE49-F238E27FC236}">
              <a16:creationId xmlns:a16="http://schemas.microsoft.com/office/drawing/2014/main" id="{00000000-0008-0000-1C00-00002A000000}"/>
            </a:ext>
          </a:extLst>
        </xdr:cNvPr>
        <xdr:cNvSpPr/>
      </xdr:nvSpPr>
      <xdr:spPr>
        <a:xfrm>
          <a:off x="8626707" y="2261220"/>
          <a:ext cx="5188415" cy="15023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54209</xdr:colOff>
      <xdr:row>24</xdr:row>
      <xdr:rowOff>54207</xdr:rowOff>
    </xdr:from>
    <xdr:to>
      <xdr:col>10</xdr:col>
      <xdr:colOff>635001</xdr:colOff>
      <xdr:row>25</xdr:row>
      <xdr:rowOff>7744</xdr:rowOff>
    </xdr:to>
    <xdr:sp macro="" textlink="">
      <xdr:nvSpPr>
        <xdr:cNvPr id="43" name="Triangle isocèle 42">
          <a:extLst>
            <a:ext uri="{FF2B5EF4-FFF2-40B4-BE49-F238E27FC236}">
              <a16:creationId xmlns:a16="http://schemas.microsoft.com/office/drawing/2014/main" id="{00000000-0008-0000-1C00-00002B000000}"/>
            </a:ext>
          </a:extLst>
        </xdr:cNvPr>
        <xdr:cNvSpPr/>
      </xdr:nvSpPr>
      <xdr:spPr>
        <a:xfrm flipV="1">
          <a:off x="5273599" y="4197195"/>
          <a:ext cx="2718109" cy="147134"/>
        </a:xfrm>
        <a:prstGeom prst="triangle">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absolute">
    <xdr:from>
      <xdr:col>1</xdr:col>
      <xdr:colOff>770849</xdr:colOff>
      <xdr:row>6</xdr:row>
      <xdr:rowOff>178111</xdr:rowOff>
    </xdr:from>
    <xdr:to>
      <xdr:col>12</xdr:col>
      <xdr:colOff>394939</xdr:colOff>
      <xdr:row>382</xdr:row>
      <xdr:rowOff>179379</xdr:rowOff>
    </xdr:to>
    <xdr:grpSp>
      <xdr:nvGrpSpPr>
        <xdr:cNvPr id="2" name="Groupe 1">
          <a:extLst>
            <a:ext uri="{FF2B5EF4-FFF2-40B4-BE49-F238E27FC236}">
              <a16:creationId xmlns:a16="http://schemas.microsoft.com/office/drawing/2014/main" id="{00000000-0008-0000-1D00-000002000000}"/>
            </a:ext>
          </a:extLst>
        </xdr:cNvPr>
        <xdr:cNvGrpSpPr/>
      </xdr:nvGrpSpPr>
      <xdr:grpSpPr>
        <a:xfrm>
          <a:off x="1563825" y="1293233"/>
          <a:ext cx="10533699" cy="69696390"/>
          <a:chOff x="1765956" y="2462035"/>
          <a:chExt cx="14582377" cy="40710217"/>
        </a:xfrm>
      </xdr:grpSpPr>
      <xdr:sp macro="" textlink="">
        <xdr:nvSpPr>
          <xdr:cNvPr id="3" name="Rectangle 2">
            <a:extLst>
              <a:ext uri="{FF2B5EF4-FFF2-40B4-BE49-F238E27FC236}">
                <a16:creationId xmlns:a16="http://schemas.microsoft.com/office/drawing/2014/main" id="{00000000-0008-0000-1D00-000003000000}"/>
              </a:ext>
            </a:extLst>
          </xdr:cNvPr>
          <xdr:cNvSpPr/>
        </xdr:nvSpPr>
        <xdr:spPr>
          <a:xfrm>
            <a:off x="1769204" y="2462035"/>
            <a:ext cx="14579129" cy="40710217"/>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4" name="ZoneTexte 3">
            <a:extLst>
              <a:ext uri="{FF2B5EF4-FFF2-40B4-BE49-F238E27FC236}">
                <a16:creationId xmlns:a16="http://schemas.microsoft.com/office/drawing/2014/main" id="{00000000-0008-0000-1D00-000004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Crédit personnel</a:t>
            </a:r>
          </a:p>
        </xdr:txBody>
      </xdr:sp>
      <xdr:cxnSp macro="">
        <xdr:nvCxnSpPr>
          <xdr:cNvPr id="5" name="Connecteur droit 4">
            <a:extLst>
              <a:ext uri="{FF2B5EF4-FFF2-40B4-BE49-F238E27FC236}">
                <a16:creationId xmlns:a16="http://schemas.microsoft.com/office/drawing/2014/main" id="{00000000-0008-0000-1D00-000005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30480</xdr:colOff>
      <xdr:row>0</xdr:row>
      <xdr:rowOff>0</xdr:rowOff>
    </xdr:from>
    <xdr:to>
      <xdr:col>17</xdr:col>
      <xdr:colOff>949919</xdr:colOff>
      <xdr:row>6</xdr:row>
      <xdr:rowOff>1</xdr:rowOff>
    </xdr:to>
    <xdr:grpSp>
      <xdr:nvGrpSpPr>
        <xdr:cNvPr id="15" name="Groupe 14">
          <a:hlinkClick xmlns:r="http://schemas.openxmlformats.org/officeDocument/2006/relationships" r:id="rId1"/>
          <a:extLst>
            <a:ext uri="{FF2B5EF4-FFF2-40B4-BE49-F238E27FC236}">
              <a16:creationId xmlns:a16="http://schemas.microsoft.com/office/drawing/2014/main" id="{00000000-0008-0000-1D00-00000F000000}"/>
            </a:ext>
          </a:extLst>
        </xdr:cNvPr>
        <xdr:cNvGrpSpPr/>
      </xdr:nvGrpSpPr>
      <xdr:grpSpPr>
        <a:xfrm>
          <a:off x="30480" y="0"/>
          <a:ext cx="14207976" cy="1115123"/>
          <a:chOff x="30480" y="0"/>
          <a:chExt cx="14295120" cy="1097281"/>
        </a:xfrm>
      </xdr:grpSpPr>
      <xdr:sp macro="" textlink="">
        <xdr:nvSpPr>
          <xdr:cNvPr id="16" name="Rectangle 15">
            <a:extLst>
              <a:ext uri="{FF2B5EF4-FFF2-40B4-BE49-F238E27FC236}">
                <a16:creationId xmlns:a16="http://schemas.microsoft.com/office/drawing/2014/main" id="{00000000-0008-0000-1D00-000010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7" name="Image 16"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1D00-00001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8" name="Rectangle 17">
            <a:extLst>
              <a:ext uri="{FF2B5EF4-FFF2-40B4-BE49-F238E27FC236}">
                <a16:creationId xmlns:a16="http://schemas.microsoft.com/office/drawing/2014/main" id="{00000000-0008-0000-1D00-000012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0</xdr:col>
      <xdr:colOff>410427</xdr:colOff>
      <xdr:row>6</xdr:row>
      <xdr:rowOff>185854</xdr:rowOff>
    </xdr:from>
    <xdr:to>
      <xdr:col>1</xdr:col>
      <xdr:colOff>159748</xdr:colOff>
      <xdr:row>9</xdr:row>
      <xdr:rowOff>105938</xdr:rowOff>
    </xdr:to>
    <xdr:grpSp>
      <xdr:nvGrpSpPr>
        <xdr:cNvPr id="22" name="Groupe 21">
          <a:hlinkClick xmlns:r="http://schemas.openxmlformats.org/officeDocument/2006/relationships" r:id="rId3"/>
          <a:extLst>
            <a:ext uri="{FF2B5EF4-FFF2-40B4-BE49-F238E27FC236}">
              <a16:creationId xmlns:a16="http://schemas.microsoft.com/office/drawing/2014/main" id="{00000000-0008-0000-1D00-000016000000}"/>
            </a:ext>
          </a:extLst>
        </xdr:cNvPr>
        <xdr:cNvGrpSpPr/>
      </xdr:nvGrpSpPr>
      <xdr:grpSpPr>
        <a:xfrm>
          <a:off x="410427" y="1300976"/>
          <a:ext cx="542297" cy="477645"/>
          <a:chOff x="11076495" y="2513815"/>
          <a:chExt cx="1046669" cy="1034519"/>
        </a:xfrm>
      </xdr:grpSpPr>
      <xdr:sp macro="" textlink="">
        <xdr:nvSpPr>
          <xdr:cNvPr id="23" name="Ellipse 22">
            <a:extLst>
              <a:ext uri="{FF2B5EF4-FFF2-40B4-BE49-F238E27FC236}">
                <a16:creationId xmlns:a16="http://schemas.microsoft.com/office/drawing/2014/main" id="{00000000-0008-0000-1D00-000017000000}"/>
              </a:ext>
            </a:extLst>
          </xdr:cNvPr>
          <xdr:cNvSpPr/>
        </xdr:nvSpPr>
        <xdr:spPr>
          <a:xfrm>
            <a:off x="11076495" y="2513815"/>
            <a:ext cx="1046669" cy="1034519"/>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24" name="Graphique 23" descr="Retour avec un remplissage uni">
            <a:extLst>
              <a:ext uri="{FF2B5EF4-FFF2-40B4-BE49-F238E27FC236}">
                <a16:creationId xmlns:a16="http://schemas.microsoft.com/office/drawing/2014/main" id="{00000000-0008-0000-1D00-00001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33608" y="2621830"/>
            <a:ext cx="736469" cy="736469"/>
          </a:xfrm>
          <a:prstGeom prst="rect">
            <a:avLst/>
          </a:prstGeom>
        </xdr:spPr>
      </xdr:pic>
    </xdr:grpSp>
    <xdr:clientData/>
  </xdr:twoCellAnchor>
  <xdr:twoCellAnchor editAs="absolute">
    <xdr:from>
      <xdr:col>2</xdr:col>
      <xdr:colOff>162623</xdr:colOff>
      <xdr:row>0</xdr:row>
      <xdr:rowOff>116158</xdr:rowOff>
    </xdr:from>
    <xdr:to>
      <xdr:col>4</xdr:col>
      <xdr:colOff>367918</xdr:colOff>
      <xdr:row>2</xdr:row>
      <xdr:rowOff>93298</xdr:rowOff>
    </xdr:to>
    <xdr:grpSp>
      <xdr:nvGrpSpPr>
        <xdr:cNvPr id="25" name="Groupe 24">
          <a:hlinkClick xmlns:r="http://schemas.openxmlformats.org/officeDocument/2006/relationships" r:id="rId6"/>
          <a:extLst>
            <a:ext uri="{FF2B5EF4-FFF2-40B4-BE49-F238E27FC236}">
              <a16:creationId xmlns:a16="http://schemas.microsoft.com/office/drawing/2014/main" id="{00000000-0008-0000-1D00-000019000000}"/>
            </a:ext>
          </a:extLst>
        </xdr:cNvPr>
        <xdr:cNvGrpSpPr/>
      </xdr:nvGrpSpPr>
      <xdr:grpSpPr>
        <a:xfrm>
          <a:off x="1804330" y="116158"/>
          <a:ext cx="1611588" cy="348847"/>
          <a:chOff x="1751601" y="106493"/>
          <a:chExt cx="1575966" cy="351894"/>
        </a:xfrm>
        <a:solidFill>
          <a:schemeClr val="tx1">
            <a:lumMod val="50000"/>
            <a:lumOff val="50000"/>
          </a:schemeClr>
        </a:solidFill>
      </xdr:grpSpPr>
      <xdr:sp macro="" textlink="">
        <xdr:nvSpPr>
          <xdr:cNvPr id="26" name="Rectangle : avec coins arrondis en haut 25">
            <a:extLst>
              <a:ext uri="{FF2B5EF4-FFF2-40B4-BE49-F238E27FC236}">
                <a16:creationId xmlns:a16="http://schemas.microsoft.com/office/drawing/2014/main" id="{00000000-0008-0000-1D00-00001A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7" name="Rectangle 26">
            <a:extLst>
              <a:ext uri="{FF2B5EF4-FFF2-40B4-BE49-F238E27FC236}">
                <a16:creationId xmlns:a16="http://schemas.microsoft.com/office/drawing/2014/main" id="{00000000-0008-0000-1D00-00001B000000}"/>
              </a:ext>
            </a:extLst>
          </xdr:cNvPr>
          <xdr:cNvSpPr/>
        </xdr:nvSpPr>
        <xdr:spPr>
          <a:xfrm>
            <a:off x="1873521" y="144967"/>
            <a:ext cx="1347366" cy="3061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wsDr>
</file>

<file path=xl/drawings/drawing29.xml><?xml version="1.0" encoding="utf-8"?>
<xdr:wsDr xmlns:xdr="http://schemas.openxmlformats.org/drawingml/2006/spreadsheetDrawing" xmlns:a="http://schemas.openxmlformats.org/drawingml/2006/main">
  <xdr:twoCellAnchor editAs="absolute">
    <xdr:from>
      <xdr:col>1</xdr:col>
      <xdr:colOff>100671</xdr:colOff>
      <xdr:row>6</xdr:row>
      <xdr:rowOff>123903</xdr:rowOff>
    </xdr:from>
    <xdr:to>
      <xdr:col>41</xdr:col>
      <xdr:colOff>418171</xdr:colOff>
      <xdr:row>152</xdr:row>
      <xdr:rowOff>85183</xdr:rowOff>
    </xdr:to>
    <xdr:grpSp>
      <xdr:nvGrpSpPr>
        <xdr:cNvPr id="2" name="Groupe 1">
          <a:extLst>
            <a:ext uri="{FF2B5EF4-FFF2-40B4-BE49-F238E27FC236}">
              <a16:creationId xmlns:a16="http://schemas.microsoft.com/office/drawing/2014/main" id="{00000000-0008-0000-1E00-000002000000}"/>
            </a:ext>
          </a:extLst>
        </xdr:cNvPr>
        <xdr:cNvGrpSpPr/>
      </xdr:nvGrpSpPr>
      <xdr:grpSpPr>
        <a:xfrm>
          <a:off x="230769" y="1239025"/>
          <a:ext cx="14188378" cy="27349914"/>
          <a:chOff x="1765956" y="2462035"/>
          <a:chExt cx="14582377" cy="40710217"/>
        </a:xfrm>
      </xdr:grpSpPr>
      <xdr:sp macro="" textlink="">
        <xdr:nvSpPr>
          <xdr:cNvPr id="3" name="Rectangle 2">
            <a:extLst>
              <a:ext uri="{FF2B5EF4-FFF2-40B4-BE49-F238E27FC236}">
                <a16:creationId xmlns:a16="http://schemas.microsoft.com/office/drawing/2014/main" id="{00000000-0008-0000-1E00-000003000000}"/>
              </a:ext>
            </a:extLst>
          </xdr:cNvPr>
          <xdr:cNvSpPr/>
        </xdr:nvSpPr>
        <xdr:spPr>
          <a:xfrm>
            <a:off x="1769204" y="2462035"/>
            <a:ext cx="14579129" cy="40710217"/>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4" name="ZoneTexte 3">
            <a:extLst>
              <a:ext uri="{FF2B5EF4-FFF2-40B4-BE49-F238E27FC236}">
                <a16:creationId xmlns:a16="http://schemas.microsoft.com/office/drawing/2014/main" id="{00000000-0008-0000-1E00-000004000000}"/>
              </a:ext>
            </a:extLst>
          </xdr:cNvPr>
          <xdr:cNvSpPr txBox="1"/>
        </xdr:nvSpPr>
        <xdr:spPr>
          <a:xfrm>
            <a:off x="1765956" y="2568479"/>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Placements IS</a:t>
            </a:r>
          </a:p>
        </xdr:txBody>
      </xdr:sp>
      <xdr:cxnSp macro="">
        <xdr:nvCxnSpPr>
          <xdr:cNvPr id="5" name="Connecteur droit 4">
            <a:extLst>
              <a:ext uri="{FF2B5EF4-FFF2-40B4-BE49-F238E27FC236}">
                <a16:creationId xmlns:a16="http://schemas.microsoft.com/office/drawing/2014/main" id="{00000000-0008-0000-1E00-000005000000}"/>
              </a:ext>
            </a:extLst>
          </xdr:cNvPr>
          <xdr:cNvCxnSpPr/>
        </xdr:nvCxnSpPr>
        <xdr:spPr>
          <a:xfrm flipH="1">
            <a:off x="2659163" y="3095859"/>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30480</xdr:colOff>
      <xdr:row>0</xdr:row>
      <xdr:rowOff>0</xdr:rowOff>
    </xdr:from>
    <xdr:to>
      <xdr:col>41</xdr:col>
      <xdr:colOff>252968</xdr:colOff>
      <xdr:row>6</xdr:row>
      <xdr:rowOff>1</xdr:rowOff>
    </xdr:to>
    <xdr:grpSp>
      <xdr:nvGrpSpPr>
        <xdr:cNvPr id="15" name="Groupe 14">
          <a:hlinkClick xmlns:r="http://schemas.openxmlformats.org/officeDocument/2006/relationships" r:id="rId1"/>
          <a:extLst>
            <a:ext uri="{FF2B5EF4-FFF2-40B4-BE49-F238E27FC236}">
              <a16:creationId xmlns:a16="http://schemas.microsoft.com/office/drawing/2014/main" id="{00000000-0008-0000-1E00-00000F000000}"/>
            </a:ext>
          </a:extLst>
        </xdr:cNvPr>
        <xdr:cNvGrpSpPr/>
      </xdr:nvGrpSpPr>
      <xdr:grpSpPr>
        <a:xfrm>
          <a:off x="30480" y="0"/>
          <a:ext cx="14223464" cy="1115123"/>
          <a:chOff x="30480" y="0"/>
          <a:chExt cx="14295120" cy="1097281"/>
        </a:xfrm>
      </xdr:grpSpPr>
      <xdr:sp macro="" textlink="">
        <xdr:nvSpPr>
          <xdr:cNvPr id="16" name="Rectangle 15">
            <a:extLst>
              <a:ext uri="{FF2B5EF4-FFF2-40B4-BE49-F238E27FC236}">
                <a16:creationId xmlns:a16="http://schemas.microsoft.com/office/drawing/2014/main" id="{00000000-0008-0000-1E00-000010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7" name="Image 16"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1E00-00001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8" name="Rectangle 17">
            <a:extLst>
              <a:ext uri="{FF2B5EF4-FFF2-40B4-BE49-F238E27FC236}">
                <a16:creationId xmlns:a16="http://schemas.microsoft.com/office/drawing/2014/main" id="{00000000-0008-0000-1E00-000012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100670</xdr:colOff>
      <xdr:row>7</xdr:row>
      <xdr:rowOff>7743</xdr:rowOff>
    </xdr:from>
    <xdr:to>
      <xdr:col>4</xdr:col>
      <xdr:colOff>35844</xdr:colOff>
      <xdr:row>9</xdr:row>
      <xdr:rowOff>121425</xdr:rowOff>
    </xdr:to>
    <xdr:grpSp>
      <xdr:nvGrpSpPr>
        <xdr:cNvPr id="19" name="Groupe 18">
          <a:hlinkClick xmlns:r="http://schemas.openxmlformats.org/officeDocument/2006/relationships" r:id="rId3"/>
          <a:extLst>
            <a:ext uri="{FF2B5EF4-FFF2-40B4-BE49-F238E27FC236}">
              <a16:creationId xmlns:a16="http://schemas.microsoft.com/office/drawing/2014/main" id="{00000000-0008-0000-1E00-000013000000}"/>
            </a:ext>
          </a:extLst>
        </xdr:cNvPr>
        <xdr:cNvGrpSpPr/>
      </xdr:nvGrpSpPr>
      <xdr:grpSpPr>
        <a:xfrm>
          <a:off x="342280" y="1308719"/>
          <a:ext cx="529905" cy="485389"/>
          <a:chOff x="11076495" y="2513815"/>
          <a:chExt cx="1046669" cy="1034519"/>
        </a:xfrm>
      </xdr:grpSpPr>
      <xdr:sp macro="" textlink="">
        <xdr:nvSpPr>
          <xdr:cNvPr id="20" name="Ellipse 19">
            <a:extLst>
              <a:ext uri="{FF2B5EF4-FFF2-40B4-BE49-F238E27FC236}">
                <a16:creationId xmlns:a16="http://schemas.microsoft.com/office/drawing/2014/main" id="{00000000-0008-0000-1E00-000014000000}"/>
              </a:ext>
            </a:extLst>
          </xdr:cNvPr>
          <xdr:cNvSpPr/>
        </xdr:nvSpPr>
        <xdr:spPr>
          <a:xfrm>
            <a:off x="11076495" y="2513815"/>
            <a:ext cx="1046669" cy="1034519"/>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21" name="Graphique 20" descr="Retour avec un remplissage uni">
            <a:extLst>
              <a:ext uri="{FF2B5EF4-FFF2-40B4-BE49-F238E27FC236}">
                <a16:creationId xmlns:a16="http://schemas.microsoft.com/office/drawing/2014/main" id="{00000000-0008-0000-1E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33608" y="2621830"/>
            <a:ext cx="736469" cy="736469"/>
          </a:xfrm>
          <a:prstGeom prst="rect">
            <a:avLst/>
          </a:prstGeom>
        </xdr:spPr>
      </xdr:pic>
    </xdr:grpSp>
    <xdr:clientData/>
  </xdr:twoCellAnchor>
  <xdr:twoCellAnchor editAs="absolute">
    <xdr:from>
      <xdr:col>5</xdr:col>
      <xdr:colOff>549817</xdr:colOff>
      <xdr:row>0</xdr:row>
      <xdr:rowOff>116159</xdr:rowOff>
    </xdr:from>
    <xdr:to>
      <xdr:col>9</xdr:col>
      <xdr:colOff>42673</xdr:colOff>
      <xdr:row>2</xdr:row>
      <xdr:rowOff>93299</xdr:rowOff>
    </xdr:to>
    <xdr:grpSp>
      <xdr:nvGrpSpPr>
        <xdr:cNvPr id="22" name="Groupe 21">
          <a:hlinkClick xmlns:r="http://schemas.openxmlformats.org/officeDocument/2006/relationships" r:id="rId6"/>
          <a:extLst>
            <a:ext uri="{FF2B5EF4-FFF2-40B4-BE49-F238E27FC236}">
              <a16:creationId xmlns:a16="http://schemas.microsoft.com/office/drawing/2014/main" id="{00000000-0008-0000-1E00-000016000000}"/>
            </a:ext>
          </a:extLst>
        </xdr:cNvPr>
        <xdr:cNvGrpSpPr/>
      </xdr:nvGrpSpPr>
      <xdr:grpSpPr>
        <a:xfrm>
          <a:off x="1776451" y="116159"/>
          <a:ext cx="1642563" cy="348847"/>
          <a:chOff x="1751601" y="106493"/>
          <a:chExt cx="1575966" cy="351894"/>
        </a:xfrm>
        <a:solidFill>
          <a:schemeClr val="tx1">
            <a:lumMod val="50000"/>
            <a:lumOff val="50000"/>
          </a:schemeClr>
        </a:solidFill>
      </xdr:grpSpPr>
      <xdr:sp macro="" textlink="">
        <xdr:nvSpPr>
          <xdr:cNvPr id="23" name="Rectangle : avec coins arrondis en haut 22">
            <a:extLst>
              <a:ext uri="{FF2B5EF4-FFF2-40B4-BE49-F238E27FC236}">
                <a16:creationId xmlns:a16="http://schemas.microsoft.com/office/drawing/2014/main" id="{00000000-0008-0000-1E00-000017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4" name="Rectangle 23">
            <a:extLst>
              <a:ext uri="{FF2B5EF4-FFF2-40B4-BE49-F238E27FC236}">
                <a16:creationId xmlns:a16="http://schemas.microsoft.com/office/drawing/2014/main" id="{00000000-0008-0000-1E00-000018000000}"/>
              </a:ext>
            </a:extLst>
          </xdr:cNvPr>
          <xdr:cNvSpPr/>
        </xdr:nvSpPr>
        <xdr:spPr>
          <a:xfrm>
            <a:off x="1873521" y="144967"/>
            <a:ext cx="1347366" cy="3061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wsDr>
</file>

<file path=xl/drawings/drawing30.xml><?xml version="1.0" encoding="utf-8"?>
<xdr:wsDr xmlns:xdr="http://schemas.openxmlformats.org/drawingml/2006/spreadsheetDrawing" xmlns:a="http://schemas.openxmlformats.org/drawingml/2006/main">
  <xdr:twoCellAnchor editAs="absolute">
    <xdr:from>
      <xdr:col>1</xdr:col>
      <xdr:colOff>770849</xdr:colOff>
      <xdr:row>6</xdr:row>
      <xdr:rowOff>178111</xdr:rowOff>
    </xdr:from>
    <xdr:to>
      <xdr:col>12</xdr:col>
      <xdr:colOff>596281</xdr:colOff>
      <xdr:row>382</xdr:row>
      <xdr:rowOff>179379</xdr:rowOff>
    </xdr:to>
    <xdr:grpSp>
      <xdr:nvGrpSpPr>
        <xdr:cNvPr id="2" name="Groupe 1">
          <a:extLst>
            <a:ext uri="{FF2B5EF4-FFF2-40B4-BE49-F238E27FC236}">
              <a16:creationId xmlns:a16="http://schemas.microsoft.com/office/drawing/2014/main" id="{00000000-0008-0000-1F00-000002000000}"/>
            </a:ext>
          </a:extLst>
        </xdr:cNvPr>
        <xdr:cNvGrpSpPr/>
      </xdr:nvGrpSpPr>
      <xdr:grpSpPr>
        <a:xfrm>
          <a:off x="1563825" y="1293233"/>
          <a:ext cx="11782017" cy="69702585"/>
          <a:chOff x="1765956" y="2462035"/>
          <a:chExt cx="14582377" cy="40710217"/>
        </a:xfrm>
      </xdr:grpSpPr>
      <xdr:sp macro="" textlink="">
        <xdr:nvSpPr>
          <xdr:cNvPr id="3" name="Rectangle 2">
            <a:extLst>
              <a:ext uri="{FF2B5EF4-FFF2-40B4-BE49-F238E27FC236}">
                <a16:creationId xmlns:a16="http://schemas.microsoft.com/office/drawing/2014/main" id="{00000000-0008-0000-1F00-000003000000}"/>
              </a:ext>
            </a:extLst>
          </xdr:cNvPr>
          <xdr:cNvSpPr/>
        </xdr:nvSpPr>
        <xdr:spPr>
          <a:xfrm>
            <a:off x="1769204" y="2462035"/>
            <a:ext cx="14579129" cy="40710217"/>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sp macro="" textlink="">
        <xdr:nvSpPr>
          <xdr:cNvPr id="4" name="ZoneTexte 3">
            <a:extLst>
              <a:ext uri="{FF2B5EF4-FFF2-40B4-BE49-F238E27FC236}">
                <a16:creationId xmlns:a16="http://schemas.microsoft.com/office/drawing/2014/main" id="{00000000-0008-0000-1F00-000004000000}"/>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a:effectLst/>
                <a:latin typeface="+mn-lt"/>
                <a:ea typeface="+mn-ea"/>
                <a:cs typeface="+mn-cs"/>
              </a:rPr>
              <a:t>Crédit professionnel</a:t>
            </a:r>
          </a:p>
        </xdr:txBody>
      </xdr:sp>
      <xdr:cxnSp macro="">
        <xdr:nvCxnSpPr>
          <xdr:cNvPr id="5" name="Connecteur droit 4">
            <a:extLst>
              <a:ext uri="{FF2B5EF4-FFF2-40B4-BE49-F238E27FC236}">
                <a16:creationId xmlns:a16="http://schemas.microsoft.com/office/drawing/2014/main" id="{00000000-0008-0000-1F00-000005000000}"/>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30480</xdr:colOff>
      <xdr:row>0</xdr:row>
      <xdr:rowOff>0</xdr:rowOff>
    </xdr:from>
    <xdr:to>
      <xdr:col>13</xdr:col>
      <xdr:colOff>686626</xdr:colOff>
      <xdr:row>6</xdr:row>
      <xdr:rowOff>1</xdr:rowOff>
    </xdr:to>
    <xdr:grpSp>
      <xdr:nvGrpSpPr>
        <xdr:cNvPr id="15" name="Groupe 14">
          <a:hlinkClick xmlns:r="http://schemas.openxmlformats.org/officeDocument/2006/relationships" r:id="rId1"/>
          <a:extLst>
            <a:ext uri="{FF2B5EF4-FFF2-40B4-BE49-F238E27FC236}">
              <a16:creationId xmlns:a16="http://schemas.microsoft.com/office/drawing/2014/main" id="{00000000-0008-0000-1F00-00000F000000}"/>
            </a:ext>
          </a:extLst>
        </xdr:cNvPr>
        <xdr:cNvGrpSpPr/>
      </xdr:nvGrpSpPr>
      <xdr:grpSpPr>
        <a:xfrm>
          <a:off x="30480" y="0"/>
          <a:ext cx="14198683" cy="1115123"/>
          <a:chOff x="30480" y="0"/>
          <a:chExt cx="14295120" cy="1097281"/>
        </a:xfrm>
      </xdr:grpSpPr>
      <xdr:sp macro="" textlink="">
        <xdr:nvSpPr>
          <xdr:cNvPr id="16" name="Rectangle 15">
            <a:extLst>
              <a:ext uri="{FF2B5EF4-FFF2-40B4-BE49-F238E27FC236}">
                <a16:creationId xmlns:a16="http://schemas.microsoft.com/office/drawing/2014/main" id="{00000000-0008-0000-1F00-00001000000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7" name="Image 16" descr="Laplace, le nouvel acteur incontournable de la Gestion Privée d'excellence  - PATRIMOINE24 - Toute l'actualité de la gestion de patrimoine - GROUPE  FICADE">
            <a:extLst>
              <a:ext uri="{FF2B5EF4-FFF2-40B4-BE49-F238E27FC236}">
                <a16:creationId xmlns:a16="http://schemas.microsoft.com/office/drawing/2014/main" id="{00000000-0008-0000-1F00-00001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18" name="Rectangle 17">
            <a:extLst>
              <a:ext uri="{FF2B5EF4-FFF2-40B4-BE49-F238E27FC236}">
                <a16:creationId xmlns:a16="http://schemas.microsoft.com/office/drawing/2014/main" id="{00000000-0008-0000-1F00-000012000000}"/>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0</xdr:col>
      <xdr:colOff>410427</xdr:colOff>
      <xdr:row>6</xdr:row>
      <xdr:rowOff>185854</xdr:rowOff>
    </xdr:from>
    <xdr:to>
      <xdr:col>1</xdr:col>
      <xdr:colOff>159748</xdr:colOff>
      <xdr:row>9</xdr:row>
      <xdr:rowOff>105938</xdr:rowOff>
    </xdr:to>
    <xdr:grpSp>
      <xdr:nvGrpSpPr>
        <xdr:cNvPr id="19" name="Groupe 18">
          <a:hlinkClick xmlns:r="http://schemas.openxmlformats.org/officeDocument/2006/relationships" r:id="rId3"/>
          <a:extLst>
            <a:ext uri="{FF2B5EF4-FFF2-40B4-BE49-F238E27FC236}">
              <a16:creationId xmlns:a16="http://schemas.microsoft.com/office/drawing/2014/main" id="{00000000-0008-0000-1F00-000013000000}"/>
            </a:ext>
          </a:extLst>
        </xdr:cNvPr>
        <xdr:cNvGrpSpPr/>
      </xdr:nvGrpSpPr>
      <xdr:grpSpPr>
        <a:xfrm>
          <a:off x="410427" y="1300976"/>
          <a:ext cx="542297" cy="477645"/>
          <a:chOff x="11076495" y="2513815"/>
          <a:chExt cx="1046669" cy="1034519"/>
        </a:xfrm>
      </xdr:grpSpPr>
      <xdr:sp macro="" textlink="">
        <xdr:nvSpPr>
          <xdr:cNvPr id="20" name="Ellipse 19">
            <a:extLst>
              <a:ext uri="{FF2B5EF4-FFF2-40B4-BE49-F238E27FC236}">
                <a16:creationId xmlns:a16="http://schemas.microsoft.com/office/drawing/2014/main" id="{00000000-0008-0000-1F00-000014000000}"/>
              </a:ext>
            </a:extLst>
          </xdr:cNvPr>
          <xdr:cNvSpPr/>
        </xdr:nvSpPr>
        <xdr:spPr>
          <a:xfrm>
            <a:off x="11076495" y="2513815"/>
            <a:ext cx="1046669" cy="1034519"/>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21" name="Graphique 20" descr="Retour avec un remplissage uni">
            <a:extLst>
              <a:ext uri="{FF2B5EF4-FFF2-40B4-BE49-F238E27FC236}">
                <a16:creationId xmlns:a16="http://schemas.microsoft.com/office/drawing/2014/main" id="{00000000-0008-0000-1F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33608" y="2621830"/>
            <a:ext cx="736469" cy="736469"/>
          </a:xfrm>
          <a:prstGeom prst="rect">
            <a:avLst/>
          </a:prstGeom>
        </xdr:spPr>
      </xdr:pic>
    </xdr:grpSp>
    <xdr:clientData/>
  </xdr:twoCellAnchor>
  <xdr:twoCellAnchor editAs="absolute">
    <xdr:from>
      <xdr:col>2</xdr:col>
      <xdr:colOff>162623</xdr:colOff>
      <xdr:row>0</xdr:row>
      <xdr:rowOff>116159</xdr:rowOff>
    </xdr:from>
    <xdr:to>
      <xdr:col>4</xdr:col>
      <xdr:colOff>367918</xdr:colOff>
      <xdr:row>2</xdr:row>
      <xdr:rowOff>93299</xdr:rowOff>
    </xdr:to>
    <xdr:grpSp>
      <xdr:nvGrpSpPr>
        <xdr:cNvPr id="22" name="Groupe 21">
          <a:hlinkClick xmlns:r="http://schemas.openxmlformats.org/officeDocument/2006/relationships" r:id="rId6"/>
          <a:extLst>
            <a:ext uri="{FF2B5EF4-FFF2-40B4-BE49-F238E27FC236}">
              <a16:creationId xmlns:a16="http://schemas.microsoft.com/office/drawing/2014/main" id="{00000000-0008-0000-1F00-000016000000}"/>
            </a:ext>
          </a:extLst>
        </xdr:cNvPr>
        <xdr:cNvGrpSpPr/>
      </xdr:nvGrpSpPr>
      <xdr:grpSpPr>
        <a:xfrm>
          <a:off x="1804330" y="116159"/>
          <a:ext cx="1611588" cy="348847"/>
          <a:chOff x="1751601" y="106493"/>
          <a:chExt cx="1575966" cy="351894"/>
        </a:xfrm>
        <a:solidFill>
          <a:schemeClr val="tx1">
            <a:lumMod val="50000"/>
            <a:lumOff val="50000"/>
          </a:schemeClr>
        </a:solidFill>
      </xdr:grpSpPr>
      <xdr:sp macro="" textlink="">
        <xdr:nvSpPr>
          <xdr:cNvPr id="23" name="Rectangle : avec coins arrondis en haut 22">
            <a:extLst>
              <a:ext uri="{FF2B5EF4-FFF2-40B4-BE49-F238E27FC236}">
                <a16:creationId xmlns:a16="http://schemas.microsoft.com/office/drawing/2014/main" id="{00000000-0008-0000-1F00-000017000000}"/>
              </a:ext>
            </a:extLst>
          </xdr:cNvPr>
          <xdr:cNvSpPr/>
        </xdr:nvSpPr>
        <xdr:spPr>
          <a:xfrm>
            <a:off x="1751601" y="106493"/>
            <a:ext cx="1575966" cy="351894"/>
          </a:xfrm>
          <a:prstGeom prst="round2SameRect">
            <a:avLst>
              <a:gd name="adj1" fmla="val 42917"/>
              <a:gd name="adj2" fmla="val 0"/>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4" name="Rectangle 23">
            <a:extLst>
              <a:ext uri="{FF2B5EF4-FFF2-40B4-BE49-F238E27FC236}">
                <a16:creationId xmlns:a16="http://schemas.microsoft.com/office/drawing/2014/main" id="{00000000-0008-0000-1F00-000018000000}"/>
              </a:ext>
            </a:extLst>
          </xdr:cNvPr>
          <xdr:cNvSpPr/>
        </xdr:nvSpPr>
        <xdr:spPr>
          <a:xfrm>
            <a:off x="1873521" y="144967"/>
            <a:ext cx="1347366" cy="3061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wsDr>
</file>

<file path=xl/drawings/drawing31.xml><?xml version="1.0" encoding="utf-8"?>
<xdr:wsDr xmlns:xdr="http://schemas.openxmlformats.org/drawingml/2006/spreadsheetDrawing" xmlns:a="http://schemas.openxmlformats.org/drawingml/2006/main">
  <xdr:twoCellAnchor editAs="absolute">
    <xdr:from>
      <xdr:col>0</xdr:col>
      <xdr:colOff>30480</xdr:colOff>
      <xdr:row>0</xdr:row>
      <xdr:rowOff>0</xdr:rowOff>
    </xdr:from>
    <xdr:to>
      <xdr:col>17</xdr:col>
      <xdr:colOff>752069</xdr:colOff>
      <xdr:row>6</xdr:row>
      <xdr:rowOff>1</xdr:rowOff>
    </xdr:to>
    <xdr:grpSp>
      <xdr:nvGrpSpPr>
        <xdr:cNvPr id="2" name="Groupe 1">
          <a:hlinkClick xmlns:r="http://schemas.openxmlformats.org/officeDocument/2006/relationships" r:id="rId1"/>
          <a:extLst>
            <a:ext uri="{FF2B5EF4-FFF2-40B4-BE49-F238E27FC236}">
              <a16:creationId xmlns:a16="http://schemas.microsoft.com/office/drawing/2014/main" id="{FED83174-6105-4183-AE0A-6D62E5B5592B}"/>
            </a:ext>
          </a:extLst>
        </xdr:cNvPr>
        <xdr:cNvGrpSpPr/>
      </xdr:nvGrpSpPr>
      <xdr:grpSpPr>
        <a:xfrm>
          <a:off x="30480" y="0"/>
          <a:ext cx="14245540" cy="1115123"/>
          <a:chOff x="30480" y="0"/>
          <a:chExt cx="14295120" cy="1097281"/>
        </a:xfrm>
      </xdr:grpSpPr>
      <xdr:sp macro="" textlink="">
        <xdr:nvSpPr>
          <xdr:cNvPr id="3" name="Rectangle 2">
            <a:extLst>
              <a:ext uri="{FF2B5EF4-FFF2-40B4-BE49-F238E27FC236}">
                <a16:creationId xmlns:a16="http://schemas.microsoft.com/office/drawing/2014/main" id="{AF022D70-6569-9957-E92B-DBD2A8465E50}"/>
              </a:ext>
            </a:extLst>
          </xdr:cNvPr>
          <xdr:cNvSpPr/>
        </xdr:nvSpPr>
        <xdr:spPr>
          <a:xfrm>
            <a:off x="1676400" y="0"/>
            <a:ext cx="12649200" cy="525780"/>
          </a:xfrm>
          <a:prstGeom prst="rect">
            <a:avLst/>
          </a:prstGeom>
          <a:solidFill>
            <a:srgbClr val="2C3D38"/>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4" name="Image 3" descr="Laplace, le nouvel acteur incontournable de la Gestion Privée d'excellence  - PATRIMOINE24 - Toute l'actualité de la gestion de patrimoine - GROUPE  FICADE">
            <a:extLst>
              <a:ext uri="{FF2B5EF4-FFF2-40B4-BE49-F238E27FC236}">
                <a16:creationId xmlns:a16="http://schemas.microsoft.com/office/drawing/2014/main" id="{DF96AB91-D044-E3E3-788A-3BFBFFE199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7621"/>
            <a:ext cx="1600200" cy="1089660"/>
          </a:xfrm>
          <a:prstGeom prst="rect">
            <a:avLst/>
          </a:prstGeom>
          <a:noFill/>
          <a:effectLst>
            <a:outerShdw blurRad="50800" dist="38100" dir="2700000" algn="tl" rotWithShape="0">
              <a:prstClr val="black">
                <a:alpha val="40000"/>
              </a:prstClr>
            </a:outerShdw>
          </a:effectLst>
          <a:scene3d>
            <a:camera prst="orthographicFront"/>
            <a:lightRig rig="threePt" dir="t"/>
          </a:scene3d>
          <a:sp3d>
            <a:bevelT/>
          </a:sp3d>
          <a:extLst>
            <a:ext uri="{909E8E84-426E-40DD-AFC4-6F175D3DCCD1}">
              <a14:hiddenFill xmlns:a14="http://schemas.microsoft.com/office/drawing/2010/main">
                <a:solidFill>
                  <a:srgbClr val="FFFFFF"/>
                </a:solidFill>
              </a14:hiddenFill>
            </a:ext>
          </a:extLst>
        </xdr:spPr>
      </xdr:pic>
      <xdr:sp macro="" textlink="#REF!">
        <xdr:nvSpPr>
          <xdr:cNvPr id="5" name="Rectangle 4">
            <a:extLst>
              <a:ext uri="{FF2B5EF4-FFF2-40B4-BE49-F238E27FC236}">
                <a16:creationId xmlns:a16="http://schemas.microsoft.com/office/drawing/2014/main" id="{73D96531-AB07-E338-1AB0-6ED00335F716}"/>
              </a:ext>
            </a:extLst>
          </xdr:cNvPr>
          <xdr:cNvSpPr/>
        </xdr:nvSpPr>
        <xdr:spPr>
          <a:xfrm>
            <a:off x="2430780" y="60960"/>
            <a:ext cx="143256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C63C5A-5762-4D42-A57F-0CC749A6B0FC}" type="TxLink">
              <a:rPr lang="en-US" sz="900" b="0" i="0" u="none" strike="noStrike">
                <a:solidFill>
                  <a:srgbClr val="FFFFFF"/>
                </a:solidFill>
                <a:latin typeface="Calibri"/>
                <a:ea typeface="Calibri"/>
                <a:cs typeface="Calibri"/>
              </a:rPr>
              <a:pPr algn="l"/>
              <a:t> </a:t>
            </a:fld>
            <a:endParaRPr lang="fr-FR" sz="900" i="1"/>
          </a:p>
        </xdr:txBody>
      </xdr:sp>
    </xdr:grpSp>
    <xdr:clientData/>
  </xdr:twoCellAnchor>
  <xdr:twoCellAnchor editAs="absolute">
    <xdr:from>
      <xdr:col>2</xdr:col>
      <xdr:colOff>205740</xdr:colOff>
      <xdr:row>0</xdr:row>
      <xdr:rowOff>117111</xdr:rowOff>
    </xdr:from>
    <xdr:to>
      <xdr:col>3</xdr:col>
      <xdr:colOff>829206</xdr:colOff>
      <xdr:row>2</xdr:row>
      <xdr:rowOff>94251</xdr:rowOff>
    </xdr:to>
    <xdr:grpSp>
      <xdr:nvGrpSpPr>
        <xdr:cNvPr id="6" name="Groupe 5">
          <a:hlinkClick xmlns:r="http://schemas.openxmlformats.org/officeDocument/2006/relationships" r:id="rId3"/>
          <a:extLst>
            <a:ext uri="{FF2B5EF4-FFF2-40B4-BE49-F238E27FC236}">
              <a16:creationId xmlns:a16="http://schemas.microsoft.com/office/drawing/2014/main" id="{6B871756-189E-4BA4-A519-B34B55F83465}"/>
            </a:ext>
          </a:extLst>
        </xdr:cNvPr>
        <xdr:cNvGrpSpPr/>
      </xdr:nvGrpSpPr>
      <xdr:grpSpPr>
        <a:xfrm>
          <a:off x="1797886" y="117111"/>
          <a:ext cx="1608491" cy="348847"/>
          <a:chOff x="1751601" y="106493"/>
          <a:chExt cx="1575966" cy="351894"/>
        </a:xfrm>
        <a:solidFill>
          <a:schemeClr val="tx1">
            <a:lumMod val="50000"/>
            <a:lumOff val="50000"/>
          </a:schemeClr>
        </a:solidFill>
      </xdr:grpSpPr>
      <xdr:sp macro="" textlink="">
        <xdr:nvSpPr>
          <xdr:cNvPr id="7" name="Rectangle : avec coins arrondis en haut 6">
            <a:extLst>
              <a:ext uri="{FF2B5EF4-FFF2-40B4-BE49-F238E27FC236}">
                <a16:creationId xmlns:a16="http://schemas.microsoft.com/office/drawing/2014/main" id="{F7852BC8-B7EC-220C-5C5C-7BF9F945D7EA}"/>
              </a:ext>
            </a:extLst>
          </xdr:cNvPr>
          <xdr:cNvSpPr/>
        </xdr:nvSpPr>
        <xdr:spPr>
          <a:xfrm>
            <a:off x="1751601" y="106493"/>
            <a:ext cx="1575966" cy="351894"/>
          </a:xfrm>
          <a:prstGeom prst="round2SameRect">
            <a:avLst>
              <a:gd name="adj1" fmla="val 42917"/>
              <a:gd name="adj2" fmla="val 0"/>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8" name="Rectangle 7">
            <a:extLst>
              <a:ext uri="{FF2B5EF4-FFF2-40B4-BE49-F238E27FC236}">
                <a16:creationId xmlns:a16="http://schemas.microsoft.com/office/drawing/2014/main" id="{255E5A86-824B-44F6-C7EC-E9E14C9594D5}"/>
              </a:ext>
            </a:extLst>
          </xdr:cNvPr>
          <xdr:cNvSpPr/>
        </xdr:nvSpPr>
        <xdr:spPr>
          <a:xfrm>
            <a:off x="1873521" y="144967"/>
            <a:ext cx="1347366" cy="3061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lt1"/>
                </a:solidFill>
                <a:latin typeface="+mn-lt"/>
                <a:ea typeface="+mn-ea"/>
                <a:cs typeface="+mn-cs"/>
              </a:rPr>
              <a:t>HOME</a:t>
            </a:r>
          </a:p>
        </xdr:txBody>
      </xdr:sp>
    </xdr:grpSp>
    <xdr:clientData/>
  </xdr:twoCellAnchor>
  <xdr:twoCellAnchor editAs="absolute">
    <xdr:from>
      <xdr:col>1</xdr:col>
      <xdr:colOff>770849</xdr:colOff>
      <xdr:row>7</xdr:row>
      <xdr:rowOff>125463</xdr:rowOff>
    </xdr:from>
    <xdr:to>
      <xdr:col>5</xdr:col>
      <xdr:colOff>7807</xdr:colOff>
      <xdr:row>10</xdr:row>
      <xdr:rowOff>22871</xdr:rowOff>
    </xdr:to>
    <xdr:grpSp>
      <xdr:nvGrpSpPr>
        <xdr:cNvPr id="9" name="Groupe 8">
          <a:extLst>
            <a:ext uri="{FF2B5EF4-FFF2-40B4-BE49-F238E27FC236}">
              <a16:creationId xmlns:a16="http://schemas.microsoft.com/office/drawing/2014/main" id="{39A7A805-C262-4201-9C5B-2A35647301BB}"/>
            </a:ext>
          </a:extLst>
        </xdr:cNvPr>
        <xdr:cNvGrpSpPr/>
      </xdr:nvGrpSpPr>
      <xdr:grpSpPr>
        <a:xfrm>
          <a:off x="1563825" y="1426439"/>
          <a:ext cx="3474421" cy="454969"/>
          <a:chOff x="1765956" y="2512140"/>
          <a:chExt cx="5228348" cy="266391"/>
        </a:xfrm>
      </xdr:grpSpPr>
      <xdr:sp macro="" textlink="">
        <xdr:nvSpPr>
          <xdr:cNvPr id="10" name="ZoneTexte 3">
            <a:extLst>
              <a:ext uri="{FF2B5EF4-FFF2-40B4-BE49-F238E27FC236}">
                <a16:creationId xmlns:a16="http://schemas.microsoft.com/office/drawing/2014/main" id="{E3BC09C5-D7D5-2042-0BE7-8D745A6BA034}"/>
              </a:ext>
            </a:extLst>
          </xdr:cNvPr>
          <xdr:cNvSpPr txBox="1"/>
        </xdr:nvSpPr>
        <xdr:spPr>
          <a:xfrm>
            <a:off x="1765956" y="2512140"/>
            <a:ext cx="5228348" cy="266391"/>
          </a:xfrm>
          <a:prstGeom prst="rect">
            <a:avLst/>
          </a:prstGeom>
          <a:no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baseline="0">
                <a:effectLst/>
                <a:latin typeface="+mn-lt"/>
                <a:ea typeface="+mn-ea"/>
                <a:cs typeface="+mn-cs"/>
              </a:rPr>
              <a:t>Prestations Régime Obligatoire</a:t>
            </a:r>
            <a:endParaRPr lang="fr-FR" sz="1600" b="1">
              <a:effectLst/>
              <a:latin typeface="+mn-lt"/>
              <a:ea typeface="+mn-ea"/>
              <a:cs typeface="+mn-cs"/>
            </a:endParaRPr>
          </a:p>
        </xdr:txBody>
      </xdr:sp>
      <xdr:cxnSp macro="">
        <xdr:nvCxnSpPr>
          <xdr:cNvPr id="11" name="Connecteur droit 10">
            <a:extLst>
              <a:ext uri="{FF2B5EF4-FFF2-40B4-BE49-F238E27FC236}">
                <a16:creationId xmlns:a16="http://schemas.microsoft.com/office/drawing/2014/main" id="{2C9F825A-44C5-9396-69FC-0C3FF4D9DA19}"/>
              </a:ext>
            </a:extLst>
          </xdr:cNvPr>
          <xdr:cNvCxnSpPr/>
        </xdr:nvCxnSpPr>
        <xdr:spPr>
          <a:xfrm flipH="1">
            <a:off x="2595700" y="2733592"/>
            <a:ext cx="3460765" cy="5360"/>
          </a:xfrm>
          <a:prstGeom prst="line">
            <a:avLst/>
          </a:prstGeom>
          <a:ln w="28575">
            <a:solidFill>
              <a:schemeClr val="accent4"/>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xdr:col>
      <xdr:colOff>1860</xdr:colOff>
      <xdr:row>7</xdr:row>
      <xdr:rowOff>16160</xdr:rowOff>
    </xdr:from>
    <xdr:to>
      <xdr:col>17</xdr:col>
      <xdr:colOff>942615</xdr:colOff>
      <xdr:row>38</xdr:row>
      <xdr:rowOff>148340</xdr:rowOff>
    </xdr:to>
    <xdr:sp macro="" textlink="">
      <xdr:nvSpPr>
        <xdr:cNvPr id="12" name="Rectangle 11">
          <a:extLst>
            <a:ext uri="{FF2B5EF4-FFF2-40B4-BE49-F238E27FC236}">
              <a16:creationId xmlns:a16="http://schemas.microsoft.com/office/drawing/2014/main" id="{F80EC7E0-B954-4FAB-AD8D-64F614BA18FA}"/>
            </a:ext>
          </a:extLst>
        </xdr:cNvPr>
        <xdr:cNvSpPr/>
      </xdr:nvSpPr>
      <xdr:spPr>
        <a:xfrm>
          <a:off x="1544910" y="1349660"/>
          <a:ext cx="12513630" cy="6094830"/>
        </a:xfrm>
        <a:prstGeom prst="rect">
          <a:avLst/>
        </a:prstGeom>
        <a:no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twoCellAnchor editAs="absolute">
    <xdr:from>
      <xdr:col>0</xdr:col>
      <xdr:colOff>30480</xdr:colOff>
      <xdr:row>6</xdr:row>
      <xdr:rowOff>140532</xdr:rowOff>
    </xdr:from>
    <xdr:to>
      <xdr:col>1</xdr:col>
      <xdr:colOff>600418</xdr:colOff>
      <xdr:row>8</xdr:row>
      <xdr:rowOff>85880</xdr:rowOff>
    </xdr:to>
    <xdr:sp macro="" textlink="">
      <xdr:nvSpPr>
        <xdr:cNvPr id="13" name="Rectangle 12">
          <a:extLst>
            <a:ext uri="{FF2B5EF4-FFF2-40B4-BE49-F238E27FC236}">
              <a16:creationId xmlns:a16="http://schemas.microsoft.com/office/drawing/2014/main" id="{38D333CB-169D-44D7-8A48-2E63DF9E779F}"/>
            </a:ext>
          </a:extLst>
        </xdr:cNvPr>
        <xdr:cNvSpPr/>
      </xdr:nvSpPr>
      <xdr:spPr>
        <a:xfrm>
          <a:off x="30480" y="1283532"/>
          <a:ext cx="1331938" cy="326348"/>
        </a:xfrm>
        <a:prstGeom prst="rect">
          <a:avLst/>
        </a:prstGeom>
        <a:solidFill>
          <a:schemeClr val="accent2">
            <a:lumMod val="40000"/>
            <a:lumOff val="6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RO</a:t>
          </a:r>
        </a:p>
      </xdr:txBody>
    </xdr:sp>
    <xdr:clientData/>
  </xdr:twoCellAnchor>
  <xdr:twoCellAnchor editAs="absolute">
    <xdr:from>
      <xdr:col>0</xdr:col>
      <xdr:colOff>30480</xdr:colOff>
      <xdr:row>8</xdr:row>
      <xdr:rowOff>135223</xdr:rowOff>
    </xdr:from>
    <xdr:to>
      <xdr:col>1</xdr:col>
      <xdr:colOff>600418</xdr:colOff>
      <xdr:row>10</xdr:row>
      <xdr:rowOff>80571</xdr:rowOff>
    </xdr:to>
    <xdr:sp macro="" textlink="">
      <xdr:nvSpPr>
        <xdr:cNvPr id="14" name="Lien_Avis_IR_N-1_/_R_N-2">
          <a:extLst>
            <a:ext uri="{FF2B5EF4-FFF2-40B4-BE49-F238E27FC236}">
              <a16:creationId xmlns:a16="http://schemas.microsoft.com/office/drawing/2014/main" id="{205D90E4-4A26-40E8-A064-6BB75D29CF17}"/>
            </a:ext>
          </a:extLst>
        </xdr:cNvPr>
        <xdr:cNvSpPr/>
      </xdr:nvSpPr>
      <xdr:spPr>
        <a:xfrm>
          <a:off x="30480" y="1659223"/>
          <a:ext cx="1331938" cy="326348"/>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Phase liquidation</a:t>
          </a:r>
        </a:p>
      </xdr:txBody>
    </xdr:sp>
    <xdr:clientData/>
  </xdr:twoCellAnchor>
  <xdr:twoCellAnchor editAs="absolute">
    <xdr:from>
      <xdr:col>0</xdr:col>
      <xdr:colOff>30480</xdr:colOff>
      <xdr:row>10</xdr:row>
      <xdr:rowOff>129914</xdr:rowOff>
    </xdr:from>
    <xdr:to>
      <xdr:col>1</xdr:col>
      <xdr:colOff>600418</xdr:colOff>
      <xdr:row>12</xdr:row>
      <xdr:rowOff>75261</xdr:rowOff>
    </xdr:to>
    <xdr:sp macro="" textlink="">
      <xdr:nvSpPr>
        <xdr:cNvPr id="15" name="Lien_Déclaration_R_N-1">
          <a:extLst>
            <a:ext uri="{FF2B5EF4-FFF2-40B4-BE49-F238E27FC236}">
              <a16:creationId xmlns:a16="http://schemas.microsoft.com/office/drawing/2014/main" id="{C94D70F9-2740-400B-B40A-67B6ED112A1F}"/>
            </a:ext>
          </a:extLst>
        </xdr:cNvPr>
        <xdr:cNvSpPr/>
      </xdr:nvSpPr>
      <xdr:spPr>
        <a:xfrm>
          <a:off x="30480" y="2034914"/>
          <a:ext cx="1331938" cy="326347"/>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000" b="0">
              <a:solidFill>
                <a:sysClr val="windowText" lastClr="000000"/>
              </a:solidFill>
              <a:latin typeface="Optima LT Pro" panose="020B0502050508020304" pitchFamily="34" charset="0"/>
            </a:rPr>
            <a:t>Synthèse</a:t>
          </a:r>
        </a:p>
      </xdr:txBody>
    </xdr:sp>
    <xdr:clientData/>
  </xdr:twoCellAnchor>
  <xdr:twoCellAnchor>
    <xdr:from>
      <xdr:col>2</xdr:col>
      <xdr:colOff>187377</xdr:colOff>
      <xdr:row>3</xdr:row>
      <xdr:rowOff>132725</xdr:rowOff>
    </xdr:from>
    <xdr:to>
      <xdr:col>3</xdr:col>
      <xdr:colOff>81823</xdr:colOff>
      <xdr:row>5</xdr:row>
      <xdr:rowOff>112138</xdr:rowOff>
    </xdr:to>
    <xdr:grpSp>
      <xdr:nvGrpSpPr>
        <xdr:cNvPr id="24" name="Groupe 23">
          <a:extLst>
            <a:ext uri="{FF2B5EF4-FFF2-40B4-BE49-F238E27FC236}">
              <a16:creationId xmlns:a16="http://schemas.microsoft.com/office/drawing/2014/main" id="{4F31A604-9DD0-4B12-897A-FF421EC2DCC2}"/>
            </a:ext>
          </a:extLst>
        </xdr:cNvPr>
        <xdr:cNvGrpSpPr/>
      </xdr:nvGrpSpPr>
      <xdr:grpSpPr>
        <a:xfrm>
          <a:off x="1779523" y="690286"/>
          <a:ext cx="879471" cy="351120"/>
          <a:chOff x="3142624" y="716405"/>
          <a:chExt cx="846946" cy="354167"/>
        </a:xfrm>
      </xdr:grpSpPr>
      <xdr:sp macro="" textlink="">
        <xdr:nvSpPr>
          <xdr:cNvPr id="25" name="Ellipse 24">
            <a:extLst>
              <a:ext uri="{FF2B5EF4-FFF2-40B4-BE49-F238E27FC236}">
                <a16:creationId xmlns:a16="http://schemas.microsoft.com/office/drawing/2014/main" id="{8F157F67-6036-AB56-9C4A-84B858EAA15E}"/>
              </a:ext>
            </a:extLst>
          </xdr:cNvPr>
          <xdr:cNvSpPr/>
        </xdr:nvSpPr>
        <xdr:spPr>
          <a:xfrm>
            <a:off x="3142624" y="716405"/>
            <a:ext cx="394218" cy="345485"/>
          </a:xfrm>
          <a:prstGeom prst="ellipse">
            <a:avLst/>
          </a:prstGeom>
          <a:solidFill>
            <a:schemeClr val="accent4"/>
          </a:solidFill>
          <a:ln>
            <a:noFill/>
          </a:ln>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6" name="Rectangle 25">
            <a:extLst>
              <a:ext uri="{FF2B5EF4-FFF2-40B4-BE49-F238E27FC236}">
                <a16:creationId xmlns:a16="http://schemas.microsoft.com/office/drawing/2014/main" id="{FFCEBD1C-27EF-5D77-B3AC-36215A212B7E}"/>
              </a:ext>
            </a:extLst>
          </xdr:cNvPr>
          <xdr:cNvSpPr/>
        </xdr:nvSpPr>
        <xdr:spPr>
          <a:xfrm>
            <a:off x="3514961" y="718799"/>
            <a:ext cx="474609" cy="3517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800" i="1">
                <a:solidFill>
                  <a:sysClr val="windowText" lastClr="000000"/>
                </a:solidFill>
              </a:rPr>
              <a:t>Reset</a:t>
            </a:r>
          </a:p>
        </xdr:txBody>
      </xdr:sp>
      <xdr:pic>
        <xdr:nvPicPr>
          <xdr:cNvPr id="27" name="Graphique 26" descr="Ordures avec un remplissage uni">
            <a:extLst>
              <a:ext uri="{FF2B5EF4-FFF2-40B4-BE49-F238E27FC236}">
                <a16:creationId xmlns:a16="http://schemas.microsoft.com/office/drawing/2014/main" id="{DBCAC43F-0FD1-C1D8-D4BF-C99CD0B1531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218720" y="752518"/>
            <a:ext cx="242028" cy="242028"/>
          </a:xfrm>
          <a:prstGeom prst="rect">
            <a:avLst/>
          </a:prstGeom>
        </xdr:spPr>
      </xdr:pic>
    </xdr:grpSp>
    <xdr:clientData/>
  </xdr:twoCellAnchor>
  <xdr:twoCellAnchor>
    <xdr:from>
      <xdr:col>2</xdr:col>
      <xdr:colOff>658231</xdr:colOff>
      <xdr:row>11</xdr:row>
      <xdr:rowOff>147134</xdr:rowOff>
    </xdr:from>
    <xdr:to>
      <xdr:col>10</xdr:col>
      <xdr:colOff>425914</xdr:colOff>
      <xdr:row>15</xdr:row>
      <xdr:rowOff>46464</xdr:rowOff>
    </xdr:to>
    <xdr:sp macro="" textlink="">
      <xdr:nvSpPr>
        <xdr:cNvPr id="29" name="Rectangle 28">
          <a:extLst>
            <a:ext uri="{FF2B5EF4-FFF2-40B4-BE49-F238E27FC236}">
              <a16:creationId xmlns:a16="http://schemas.microsoft.com/office/drawing/2014/main" id="{8DAB61B3-50CB-4F8F-969D-E1499FE26E17}"/>
            </a:ext>
          </a:extLst>
        </xdr:cNvPr>
        <xdr:cNvSpPr/>
      </xdr:nvSpPr>
      <xdr:spPr>
        <a:xfrm>
          <a:off x="2199268" y="2276707"/>
          <a:ext cx="5939573" cy="689208"/>
        </a:xfrm>
        <a:prstGeom prst="rect">
          <a:avLst/>
        </a:prstGeom>
        <a:no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b="1"/>
        </a:p>
      </xdr:txBody>
    </xdr:sp>
    <xdr:clientData/>
  </xdr:twoCellAnchor>
</xdr:wsDr>
</file>

<file path=xl/theme/theme1.xml><?xml version="1.0" encoding="utf-8"?>
<a:theme xmlns:a="http://schemas.openxmlformats.org/drawingml/2006/main" name="Thème Office">
  <a:themeElements>
    <a:clrScheme name="Personnalisé 3">
      <a:dk1>
        <a:sysClr val="windowText" lastClr="000000"/>
      </a:dk1>
      <a:lt1>
        <a:sysClr val="window" lastClr="FFFFFF"/>
      </a:lt1>
      <a:dk2>
        <a:srgbClr val="44546A"/>
      </a:dk2>
      <a:lt2>
        <a:srgbClr val="E7E6E6"/>
      </a:lt2>
      <a:accent1>
        <a:srgbClr val="4472C4"/>
      </a:accent1>
      <a:accent2>
        <a:srgbClr val="2C3D38"/>
      </a:accent2>
      <a:accent3>
        <a:srgbClr val="F1E7DD"/>
      </a:accent3>
      <a:accent4>
        <a:srgbClr val="E4D0BB"/>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9.bin"/><Relationship Id="rId4" Type="http://schemas.openxmlformats.org/officeDocument/2006/relationships/ctrlProp" Target="../ctrlProps/ctrlProp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openxmlformats.org/officeDocument/2006/relationships/ctrlProp" Target="../ctrlProps/ctrlProp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3.xml"/><Relationship Id="rId1" Type="http://schemas.openxmlformats.org/officeDocument/2006/relationships/printerSettings" Target="../printerSettings/printerSettings12.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5.xml"/><Relationship Id="rId1" Type="http://schemas.openxmlformats.org/officeDocument/2006/relationships/printerSettings" Target="../printerSettings/printerSettings13.bin"/><Relationship Id="rId6" Type="http://schemas.openxmlformats.org/officeDocument/2006/relationships/comments" Target="../comments5.xml"/><Relationship Id="rId5" Type="http://schemas.openxmlformats.org/officeDocument/2006/relationships/image" Target="../media/image59.emf"/><Relationship Id="rId4" Type="http://schemas.openxmlformats.org/officeDocument/2006/relationships/control" Target="../activeX/activeX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6.xml"/></Relationships>
</file>

<file path=xl/worksheets/_rels/sheet18.xml.rels><?xml version="1.0" encoding="UTF-8" standalone="yes"?>
<Relationships xmlns="http://schemas.openxmlformats.org/package/2006/relationships"><Relationship Id="rId8" Type="http://schemas.openxmlformats.org/officeDocument/2006/relationships/control" Target="../activeX/activeX4.xml"/><Relationship Id="rId3" Type="http://schemas.openxmlformats.org/officeDocument/2006/relationships/vmlDrawing" Target="../drawings/vmlDrawing11.vml"/><Relationship Id="rId7" Type="http://schemas.openxmlformats.org/officeDocument/2006/relationships/image" Target="../media/image61.emf"/><Relationship Id="rId2" Type="http://schemas.openxmlformats.org/officeDocument/2006/relationships/drawing" Target="../drawings/drawing17.xml"/><Relationship Id="rId1" Type="http://schemas.openxmlformats.org/officeDocument/2006/relationships/printerSettings" Target="../printerSettings/printerSettings15.bin"/><Relationship Id="rId6" Type="http://schemas.openxmlformats.org/officeDocument/2006/relationships/control" Target="../activeX/activeX3.xml"/><Relationship Id="rId5" Type="http://schemas.openxmlformats.org/officeDocument/2006/relationships/image" Target="../media/image60.emf"/><Relationship Id="rId10" Type="http://schemas.openxmlformats.org/officeDocument/2006/relationships/image" Target="../media/image62.emf"/><Relationship Id="rId4" Type="http://schemas.openxmlformats.org/officeDocument/2006/relationships/control" Target="../activeX/activeX2.xml"/><Relationship Id="rId9" Type="http://schemas.openxmlformats.org/officeDocument/2006/relationships/control" Target="../activeX/activeX5.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8.xml"/><Relationship Id="rId1" Type="http://schemas.openxmlformats.org/officeDocument/2006/relationships/printerSettings" Target="../printerSettings/printerSettings16.bin"/><Relationship Id="rId4" Type="http://schemas.openxmlformats.org/officeDocument/2006/relationships/comments" Target="../comments7.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9.xml"/><Relationship Id="rId1" Type="http://schemas.openxmlformats.org/officeDocument/2006/relationships/printerSettings" Target="../printerSettings/printerSettings17.bin"/><Relationship Id="rId4" Type="http://schemas.openxmlformats.org/officeDocument/2006/relationships/comments" Target="../comments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1.xml"/><Relationship Id="rId1" Type="http://schemas.openxmlformats.org/officeDocument/2006/relationships/printerSettings" Target="../printerSettings/printerSettings18.bin"/><Relationship Id="rId4" Type="http://schemas.openxmlformats.org/officeDocument/2006/relationships/comments" Target="../comments9.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2.xml"/><Relationship Id="rId1" Type="http://schemas.openxmlformats.org/officeDocument/2006/relationships/printerSettings" Target="../printerSettings/printerSettings19.bin"/><Relationship Id="rId4" Type="http://schemas.openxmlformats.org/officeDocument/2006/relationships/comments" Target="../comments10.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8" Type="http://schemas.openxmlformats.org/officeDocument/2006/relationships/comments" Target="../comments11.xml"/><Relationship Id="rId3" Type="http://schemas.openxmlformats.org/officeDocument/2006/relationships/vmlDrawing" Target="../drawings/vmlDrawing16.vml"/><Relationship Id="rId7" Type="http://schemas.openxmlformats.org/officeDocument/2006/relationships/image" Target="../media/image73.emf"/><Relationship Id="rId2" Type="http://schemas.openxmlformats.org/officeDocument/2006/relationships/drawing" Target="../drawings/drawing27.xml"/><Relationship Id="rId1" Type="http://schemas.openxmlformats.org/officeDocument/2006/relationships/printerSettings" Target="../printerSettings/printerSettings25.bin"/><Relationship Id="rId6" Type="http://schemas.openxmlformats.org/officeDocument/2006/relationships/control" Target="../activeX/activeX7.xml"/><Relationship Id="rId5" Type="http://schemas.openxmlformats.org/officeDocument/2006/relationships/image" Target="../media/image72.emf"/><Relationship Id="rId4" Type="http://schemas.openxmlformats.org/officeDocument/2006/relationships/control" Target="../activeX/activeX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9.xml"/><Relationship Id="rId1" Type="http://schemas.openxmlformats.org/officeDocument/2006/relationships/printerSettings" Target="../printerSettings/printerSettings27.bin"/><Relationship Id="rId4" Type="http://schemas.openxmlformats.org/officeDocument/2006/relationships/comments" Target="../comments12.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1C7B-24BA-4B5E-9FDD-FCF2944774DB}">
  <sheetPr codeName="Feuil8"/>
  <dimension ref="S1:T2"/>
  <sheetViews>
    <sheetView showGridLines="0" zoomScale="95" zoomScaleNormal="95" workbookViewId="0">
      <selection activeCell="S1" sqref="S1"/>
    </sheetView>
  </sheetViews>
  <sheetFormatPr baseColWidth="10" defaultColWidth="11.5546875" defaultRowHeight="14.4"/>
  <cols>
    <col min="1" max="16384" width="11.5546875" style="5"/>
  </cols>
  <sheetData>
    <row r="1" spans="19:20">
      <c r="S1" s="24" t="s">
        <v>1602</v>
      </c>
      <c r="T1" s="6"/>
    </row>
    <row r="2" spans="19:20">
      <c r="T2" s="6"/>
    </row>
  </sheetData>
  <sheetProtection selectLockedCells="1"/>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5" r:id="rId4" name="Spinner 11">
              <controlPr defaultSize="0" autoPict="0" macro="[0]!ajustement_ecran">
                <anchor moveWithCells="1" sizeWithCells="1">
                  <from>
                    <xdr:col>0</xdr:col>
                    <xdr:colOff>762000</xdr:colOff>
                    <xdr:row>13</xdr:row>
                    <xdr:rowOff>114300</xdr:rowOff>
                  </from>
                  <to>
                    <xdr:col>1</xdr:col>
                    <xdr:colOff>480060</xdr:colOff>
                    <xdr:row>16</xdr:row>
                    <xdr:rowOff>76200</xdr:rowOff>
                  </to>
                </anchor>
              </controlPr>
            </control>
          </mc:Choice>
        </mc:AlternateContent>
        <mc:AlternateContent xmlns:mc="http://schemas.openxmlformats.org/markup-compatibility/2006">
          <mc:Choice Requires="x14">
            <control shapeId="1036" r:id="rId5" name="Spinner 12">
              <controlPr defaultSize="0" autoPict="0" macro="[0]!ajustement_ecran">
                <anchor moveWithCells="1" sizeWithCells="1">
                  <from>
                    <xdr:col>0</xdr:col>
                    <xdr:colOff>556260</xdr:colOff>
                    <xdr:row>13</xdr:row>
                    <xdr:rowOff>114300</xdr:rowOff>
                  </from>
                  <to>
                    <xdr:col>0</xdr:col>
                    <xdr:colOff>723900</xdr:colOff>
                    <xdr:row>16</xdr:row>
                    <xdr:rowOff>76200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9925D-6C25-432F-BAE4-0064DC777BF7}">
  <sheetPr codeName="Feuil17"/>
  <dimension ref="B2:R5"/>
  <sheetViews>
    <sheetView showGridLines="0" showRowColHeaders="0" zoomScale="123" zoomScaleNormal="123" workbookViewId="0">
      <selection activeCell="G2" sqref="G2"/>
    </sheetView>
  </sheetViews>
  <sheetFormatPr baseColWidth="10" defaultRowHeight="14.4"/>
  <cols>
    <col min="2" max="2" width="12.33203125" customWidth="1"/>
    <col min="3" max="3" width="4" customWidth="1"/>
    <col min="17" max="17" width="11.5546875" customWidth="1"/>
    <col min="18" max="18" width="16.33203125" customWidth="1"/>
  </cols>
  <sheetData>
    <row r="2" spans="2:18">
      <c r="G2" s="516"/>
    </row>
    <row r="4" spans="2:18">
      <c r="P4" s="2"/>
      <c r="Q4" s="3"/>
      <c r="R4" s="4"/>
    </row>
    <row r="5" spans="2:18">
      <c r="B5" s="1">
        <f ca="1">TODAY()</f>
        <v>46023</v>
      </c>
    </row>
  </sheetData>
  <sheetProtection selectLockedCells="1"/>
  <conditionalFormatting sqref="R4">
    <cfRule type="expression" dxfId="226" priority="1">
      <formula>$B$5-$R$4&gt;7</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6C06B-99B9-4B7F-A84C-C5CD9A19F37A}">
  <sheetPr codeName="Feuil18"/>
  <dimension ref="B4:S59"/>
  <sheetViews>
    <sheetView showGridLines="0" showRowColHeaders="0" zoomScale="123" zoomScaleNormal="123" workbookViewId="0">
      <selection activeCell="R4" sqref="R4"/>
    </sheetView>
  </sheetViews>
  <sheetFormatPr baseColWidth="10" defaultRowHeight="14.4"/>
  <cols>
    <col min="1" max="1" width="4.5546875" customWidth="1"/>
    <col min="2" max="2" width="2.5546875" customWidth="1"/>
    <col min="3" max="3" width="3.33203125" customWidth="1"/>
    <col min="4" max="4" width="13.33203125" customWidth="1"/>
    <col min="5" max="5" width="13.6640625" customWidth="1"/>
    <col min="11" max="11" width="11.44140625" customWidth="1"/>
    <col min="12" max="12" width="28.109375" bestFit="1" customWidth="1"/>
    <col min="13" max="13" width="13.109375" customWidth="1"/>
    <col min="14" max="14" width="15" customWidth="1"/>
    <col min="15" max="15" width="12.6640625" customWidth="1"/>
    <col min="16" max="20" width="7.44140625" customWidth="1"/>
    <col min="22" max="22" width="13.109375" customWidth="1"/>
  </cols>
  <sheetData>
    <row r="4" spans="2:19">
      <c r="E4" s="11" t="s">
        <v>88</v>
      </c>
      <c r="F4" s="69">
        <f ca="1">YEAR(TODAY())</f>
        <v>2026</v>
      </c>
      <c r="P4" s="2"/>
      <c r="Q4" s="3" t="s">
        <v>52</v>
      </c>
      <c r="R4" s="637">
        <v>95</v>
      </c>
    </row>
    <row r="5" spans="2:19">
      <c r="B5" s="1">
        <f ca="1">TODAY()</f>
        <v>46023</v>
      </c>
      <c r="E5" s="11" t="s">
        <v>122</v>
      </c>
      <c r="F5" s="69">
        <f ca="1">F4-1</f>
        <v>2025</v>
      </c>
      <c r="Q5" s="3" t="s">
        <v>1600</v>
      </c>
      <c r="R5" s="719">
        <v>46023</v>
      </c>
      <c r="S5" s="719"/>
    </row>
    <row r="6" spans="2:19">
      <c r="Q6" s="3" t="s">
        <v>1601</v>
      </c>
      <c r="R6" s="719">
        <f ca="1">TODAY()</f>
        <v>46023</v>
      </c>
      <c r="S6" s="719"/>
    </row>
    <row r="12" spans="2:19">
      <c r="D12" s="70"/>
      <c r="E12" s="71"/>
      <c r="F12" s="71" t="s">
        <v>0</v>
      </c>
      <c r="G12" s="71" t="s">
        <v>1</v>
      </c>
      <c r="H12" s="72"/>
      <c r="I12" s="72"/>
      <c r="K12" s="70"/>
      <c r="L12" s="70"/>
      <c r="N12" s="726" t="s">
        <v>221</v>
      </c>
      <c r="O12" s="726"/>
      <c r="P12" s="254" t="s">
        <v>224</v>
      </c>
      <c r="Q12" s="254" t="s">
        <v>222</v>
      </c>
    </row>
    <row r="13" spans="2:19" ht="15" customHeight="1">
      <c r="D13" s="94">
        <v>0</v>
      </c>
      <c r="E13" s="7">
        <v>11498</v>
      </c>
      <c r="F13" s="8">
        <v>0</v>
      </c>
      <c r="G13" s="94"/>
      <c r="H13" s="72"/>
      <c r="I13" s="72"/>
      <c r="K13" s="94" t="s">
        <v>48</v>
      </c>
      <c r="L13" s="18">
        <v>152500</v>
      </c>
      <c r="N13" s="727">
        <v>250000</v>
      </c>
      <c r="O13" s="727"/>
      <c r="P13" s="84">
        <v>0</v>
      </c>
      <c r="Q13" s="84">
        <v>0</v>
      </c>
    </row>
    <row r="14" spans="2:19">
      <c r="D14" s="94">
        <f>E13+1</f>
        <v>11499</v>
      </c>
      <c r="E14" s="7">
        <v>29315</v>
      </c>
      <c r="F14" s="8">
        <v>0.11</v>
      </c>
      <c r="G14" s="98">
        <f>E13*F14</f>
        <v>1264.78</v>
      </c>
      <c r="H14" s="72"/>
      <c r="I14" s="72"/>
      <c r="K14" s="94" t="s">
        <v>49</v>
      </c>
      <c r="L14" s="18">
        <v>30500</v>
      </c>
      <c r="N14" s="727">
        <v>500000</v>
      </c>
      <c r="O14" s="727"/>
      <c r="P14" s="84">
        <v>0.03</v>
      </c>
      <c r="Q14" s="84">
        <v>0</v>
      </c>
    </row>
    <row r="15" spans="2:19">
      <c r="D15" s="94">
        <f>E14+1</f>
        <v>29316</v>
      </c>
      <c r="E15" s="7">
        <v>83823</v>
      </c>
      <c r="F15" s="8">
        <v>0.3</v>
      </c>
      <c r="G15" s="98">
        <f>(E13-D13)*F15+(E14-E13)*(F15-F14)</f>
        <v>6834.63</v>
      </c>
      <c r="H15" s="72"/>
      <c r="I15" s="72"/>
      <c r="K15" s="94" t="s">
        <v>50</v>
      </c>
      <c r="L15" s="13">
        <v>7.4999999999999997E-2</v>
      </c>
      <c r="N15" s="727">
        <v>1000000</v>
      </c>
      <c r="O15" s="727"/>
      <c r="P15" s="84">
        <v>0.04</v>
      </c>
      <c r="Q15" s="84">
        <v>0.03</v>
      </c>
    </row>
    <row r="16" spans="2:19">
      <c r="D16" s="94">
        <f>E15+1</f>
        <v>83824</v>
      </c>
      <c r="E16" s="7">
        <v>180294</v>
      </c>
      <c r="F16" s="8">
        <v>0.41</v>
      </c>
      <c r="G16" s="98">
        <f>(E13-D13)*F16+(E14-E13)*(F16-F14)+(E15-E14)*(F16-F15)</f>
        <v>16055.159999999998</v>
      </c>
      <c r="H16" s="72"/>
      <c r="I16" s="72"/>
      <c r="K16" s="93">
        <v>152500</v>
      </c>
      <c r="L16" s="13">
        <v>0.2</v>
      </c>
      <c r="N16" s="728" t="s">
        <v>223</v>
      </c>
      <c r="O16" s="728"/>
      <c r="P16" s="84">
        <v>0.04</v>
      </c>
      <c r="Q16" s="84">
        <v>0.04</v>
      </c>
    </row>
    <row r="17" spans="3:19">
      <c r="D17" s="735">
        <f>E16</f>
        <v>180294</v>
      </c>
      <c r="E17" s="736"/>
      <c r="F17" s="9">
        <v>0.45</v>
      </c>
      <c r="G17" s="99">
        <f>(E13-D13)*F17+(E14-E13)*(F17-F14)+(E15-E14)*(F17-F15)+(E16-E15)*(F17-F16)</f>
        <v>23266.920000000006</v>
      </c>
      <c r="H17" s="72"/>
      <c r="I17" s="72"/>
      <c r="K17" s="93">
        <v>700000</v>
      </c>
      <c r="L17" s="13">
        <v>0.3125</v>
      </c>
    </row>
    <row r="18" spans="3:19">
      <c r="D18" s="95" t="s">
        <v>2</v>
      </c>
      <c r="E18" s="95"/>
      <c r="F18" s="19">
        <v>1791</v>
      </c>
      <c r="G18" s="19">
        <v>4224</v>
      </c>
      <c r="H18" s="72" t="s">
        <v>123</v>
      </c>
      <c r="I18" s="72"/>
      <c r="S18" s="366"/>
    </row>
    <row r="19" spans="3:19">
      <c r="D19" s="737" t="s">
        <v>3</v>
      </c>
      <c r="E19" s="96" t="s">
        <v>4</v>
      </c>
      <c r="F19" s="20">
        <v>1964</v>
      </c>
      <c r="G19" s="21">
        <v>3248</v>
      </c>
      <c r="H19" s="72"/>
      <c r="I19" s="72"/>
    </row>
    <row r="20" spans="3:19">
      <c r="D20" s="738"/>
      <c r="E20" s="97" t="s">
        <v>5</v>
      </c>
      <c r="F20" s="22">
        <v>889</v>
      </c>
      <c r="G20" s="23">
        <v>1470</v>
      </c>
      <c r="H20" s="72"/>
      <c r="I20" s="72"/>
    </row>
    <row r="21" spans="3:19">
      <c r="D21" s="738"/>
      <c r="E21" s="97" t="s">
        <v>0</v>
      </c>
      <c r="F21" s="10">
        <v>0.45250000000000001</v>
      </c>
      <c r="G21" s="86"/>
      <c r="H21" s="72"/>
      <c r="I21" s="72"/>
    </row>
    <row r="22" spans="3:19">
      <c r="D22" s="73" t="s">
        <v>124</v>
      </c>
      <c r="E22" s="72"/>
      <c r="F22" s="72"/>
      <c r="G22" s="72"/>
      <c r="H22" s="72"/>
      <c r="I22" s="72"/>
    </row>
    <row r="23" spans="3:19">
      <c r="D23" s="72"/>
      <c r="E23" s="72"/>
      <c r="F23" s="726">
        <f ca="1">F4</f>
        <v>2026</v>
      </c>
      <c r="G23" s="726"/>
      <c r="H23" s="726">
        <f ca="1">F5</f>
        <v>2025</v>
      </c>
      <c r="I23" s="726"/>
      <c r="K23" s="70"/>
      <c r="L23" s="70"/>
    </row>
    <row r="24" spans="3:19">
      <c r="D24" s="74" t="s">
        <v>6</v>
      </c>
      <c r="E24" s="74"/>
      <c r="F24" s="14">
        <v>14426</v>
      </c>
      <c r="G24" s="15">
        <v>504</v>
      </c>
      <c r="H24" s="14">
        <v>14171</v>
      </c>
      <c r="I24" s="15">
        <v>495</v>
      </c>
      <c r="K24" s="94" t="s">
        <v>46</v>
      </c>
      <c r="L24" s="13">
        <v>0.25</v>
      </c>
    </row>
    <row r="25" spans="3:19">
      <c r="D25" s="74" t="s">
        <v>7</v>
      </c>
      <c r="E25" s="74"/>
      <c r="F25" s="16">
        <v>4399</v>
      </c>
      <c r="G25" s="17">
        <v>450</v>
      </c>
      <c r="H25" s="16">
        <v>4321</v>
      </c>
      <c r="I25" s="17">
        <v>442</v>
      </c>
      <c r="K25" s="94" t="s">
        <v>47</v>
      </c>
      <c r="L25" s="13">
        <v>0.15</v>
      </c>
      <c r="N25" s="70"/>
      <c r="O25" s="70"/>
      <c r="P25" s="70"/>
      <c r="Q25" s="70"/>
      <c r="R25" s="70"/>
      <c r="S25" s="70"/>
    </row>
    <row r="26" spans="3:19">
      <c r="D26" s="72"/>
      <c r="E26" s="72"/>
      <c r="F26" s="72"/>
      <c r="G26" s="72"/>
      <c r="H26" s="72"/>
      <c r="I26" s="72"/>
      <c r="K26" s="94" t="s">
        <v>45</v>
      </c>
      <c r="L26" s="18">
        <v>42500</v>
      </c>
      <c r="N26" s="720" t="s">
        <v>1440</v>
      </c>
      <c r="O26" s="721"/>
      <c r="P26" s="721"/>
      <c r="Q26" s="721"/>
      <c r="R26" s="722"/>
      <c r="S26" s="458">
        <v>110</v>
      </c>
    </row>
    <row r="27" spans="3:19">
      <c r="D27" s="72"/>
      <c r="E27" s="72"/>
      <c r="F27" s="72"/>
      <c r="G27" s="72"/>
      <c r="H27" s="72"/>
      <c r="I27" s="72"/>
      <c r="N27" s="88" t="s">
        <v>21</v>
      </c>
      <c r="O27" s="58"/>
      <c r="P27" s="58"/>
      <c r="Q27" s="58"/>
      <c r="R27" s="58"/>
      <c r="S27" s="12">
        <v>7.4999999999999997E-2</v>
      </c>
    </row>
    <row r="28" spans="3:19">
      <c r="D28" s="74" t="s">
        <v>20</v>
      </c>
      <c r="E28" s="88"/>
      <c r="F28" s="12">
        <v>0.128</v>
      </c>
    </row>
    <row r="29" spans="3:19">
      <c r="D29" s="72"/>
      <c r="E29" s="72"/>
      <c r="F29" s="72"/>
      <c r="G29" s="72"/>
      <c r="H29" s="72"/>
      <c r="I29" s="72"/>
    </row>
    <row r="30" spans="3:19">
      <c r="D30" s="72"/>
      <c r="E30" s="72"/>
      <c r="F30" s="72"/>
      <c r="G30" s="72"/>
      <c r="H30" s="72"/>
      <c r="I30" s="72"/>
    </row>
    <row r="31" spans="3:19">
      <c r="C31" s="72"/>
      <c r="D31" s="72"/>
      <c r="E31" s="72"/>
      <c r="F31" s="72"/>
      <c r="G31" s="72"/>
      <c r="H31" s="72"/>
      <c r="I31" s="72"/>
      <c r="J31" s="72"/>
      <c r="K31" s="72"/>
      <c r="L31" s="72"/>
      <c r="M31" s="72"/>
    </row>
    <row r="32" spans="3:19">
      <c r="C32" s="72"/>
      <c r="D32" s="72"/>
      <c r="E32" s="72"/>
      <c r="F32" s="72"/>
      <c r="G32" s="72"/>
      <c r="H32" s="72"/>
      <c r="I32" s="72"/>
      <c r="J32" s="72"/>
      <c r="K32" s="72"/>
      <c r="L32" s="72"/>
      <c r="M32" s="72"/>
    </row>
    <row r="33" spans="3:19">
      <c r="C33" s="72"/>
      <c r="D33" s="72"/>
      <c r="E33" s="72"/>
      <c r="F33" s="72"/>
      <c r="G33" s="72"/>
      <c r="H33" s="72"/>
      <c r="I33" s="72"/>
      <c r="J33" s="72"/>
      <c r="K33" s="72"/>
      <c r="L33" s="72"/>
      <c r="M33" s="72"/>
    </row>
    <row r="34" spans="3:19">
      <c r="C34" s="72"/>
      <c r="D34" s="72"/>
      <c r="E34" s="72"/>
      <c r="F34" s="72"/>
      <c r="G34" s="72"/>
      <c r="H34" s="72"/>
      <c r="I34" s="72"/>
      <c r="J34" s="72"/>
      <c r="K34" s="72"/>
      <c r="L34" s="72"/>
      <c r="M34" s="72"/>
    </row>
    <row r="35" spans="3:19">
      <c r="C35" s="72"/>
      <c r="D35" s="75"/>
      <c r="E35" s="76"/>
      <c r="F35" s="77" t="s">
        <v>23</v>
      </c>
      <c r="G35" s="77" t="s">
        <v>22</v>
      </c>
      <c r="H35" s="72"/>
      <c r="I35" s="72"/>
      <c r="J35" s="72"/>
      <c r="K35" s="72"/>
      <c r="L35" s="72"/>
      <c r="M35" s="72"/>
      <c r="S35" s="72"/>
    </row>
    <row r="36" spans="3:19">
      <c r="C36" s="72"/>
      <c r="D36" s="88" t="s">
        <v>10</v>
      </c>
      <c r="E36" s="88"/>
      <c r="F36" s="85">
        <v>0.17199999999999999</v>
      </c>
      <c r="G36" s="85">
        <v>6.8000000000000005E-2</v>
      </c>
      <c r="H36" s="72"/>
      <c r="I36" s="72"/>
      <c r="J36" s="72"/>
      <c r="K36" s="72"/>
      <c r="L36" s="72"/>
      <c r="M36" s="72"/>
      <c r="S36" s="72"/>
    </row>
    <row r="37" spans="3:19">
      <c r="C37" s="72"/>
      <c r="D37" s="71" t="s">
        <v>11</v>
      </c>
      <c r="E37" s="729" t="s">
        <v>12</v>
      </c>
      <c r="F37" s="731"/>
      <c r="G37" s="71" t="str">
        <f>"+/0,25 parts"</f>
        <v>+/0,25 parts</v>
      </c>
      <c r="H37" s="71" t="s">
        <v>13</v>
      </c>
      <c r="I37" s="71" t="s">
        <v>14</v>
      </c>
      <c r="J37" s="71" t="s">
        <v>15</v>
      </c>
      <c r="K37" s="71" t="s">
        <v>24</v>
      </c>
      <c r="L37" s="71" t="s">
        <v>16</v>
      </c>
      <c r="M37" s="71" t="s">
        <v>17</v>
      </c>
      <c r="S37" s="72"/>
    </row>
    <row r="38" spans="3:19">
      <c r="C38" s="72"/>
      <c r="D38" s="88" t="s">
        <v>18</v>
      </c>
      <c r="E38" s="89">
        <v>0</v>
      </c>
      <c r="F38" s="80">
        <v>11432</v>
      </c>
      <c r="G38" s="23">
        <v>1526</v>
      </c>
      <c r="H38" s="81" t="s">
        <v>19</v>
      </c>
      <c r="I38" s="81" t="s">
        <v>19</v>
      </c>
      <c r="J38" s="81" t="s">
        <v>19</v>
      </c>
      <c r="K38" s="81" t="s">
        <v>19</v>
      </c>
      <c r="L38" s="86">
        <f>0</f>
        <v>0</v>
      </c>
      <c r="M38" s="81">
        <v>0</v>
      </c>
      <c r="S38" s="72"/>
    </row>
    <row r="39" spans="3:19">
      <c r="C39" s="72"/>
      <c r="D39" s="88"/>
      <c r="E39" s="90">
        <f>F38+1</f>
        <v>11433</v>
      </c>
      <c r="F39" s="82">
        <v>14944</v>
      </c>
      <c r="G39" s="23">
        <v>1995</v>
      </c>
      <c r="H39" s="83">
        <v>3.7999999999999999E-2</v>
      </c>
      <c r="I39" s="83">
        <v>5.0000000000000001E-3</v>
      </c>
      <c r="J39" s="81" t="s">
        <v>19</v>
      </c>
      <c r="K39" s="81" t="s">
        <v>19</v>
      </c>
      <c r="L39" s="87">
        <f>H39+I39</f>
        <v>4.2999999999999997E-2</v>
      </c>
      <c r="M39" s="83">
        <v>3.7999999999999999E-2</v>
      </c>
      <c r="S39" s="72"/>
    </row>
    <row r="40" spans="3:19">
      <c r="C40" s="72"/>
      <c r="D40" s="88"/>
      <c r="E40" s="90">
        <f>F39+1</f>
        <v>14945</v>
      </c>
      <c r="F40" s="82">
        <v>23193</v>
      </c>
      <c r="G40" s="23">
        <v>3095.5</v>
      </c>
      <c r="H40" s="83">
        <v>6.6000000000000003E-2</v>
      </c>
      <c r="I40" s="83">
        <v>5.0000000000000001E-3</v>
      </c>
      <c r="J40" s="83">
        <v>3.0000000000000001E-3</v>
      </c>
      <c r="K40" s="84">
        <v>0.01</v>
      </c>
      <c r="L40" s="87">
        <f>H40+I40+J40+K40</f>
        <v>8.4000000000000005E-2</v>
      </c>
      <c r="M40" s="83">
        <v>4.2000000000000003E-2</v>
      </c>
      <c r="O40" s="72"/>
      <c r="P40" s="72"/>
      <c r="Q40" s="72"/>
      <c r="R40" s="72"/>
      <c r="S40" s="72"/>
    </row>
    <row r="41" spans="3:19">
      <c r="D41" s="88"/>
      <c r="E41" s="90">
        <f>F40</f>
        <v>23193</v>
      </c>
      <c r="F41" s="91"/>
      <c r="G41" s="92"/>
      <c r="H41" s="83">
        <v>8.3000000000000004E-2</v>
      </c>
      <c r="I41" s="83">
        <v>5.0000000000000001E-3</v>
      </c>
      <c r="J41" s="83">
        <v>3.0000000000000001E-3</v>
      </c>
      <c r="K41" s="84">
        <v>0.01</v>
      </c>
      <c r="L41" s="87">
        <f>H41+I41+J41+K41</f>
        <v>0.10100000000000001</v>
      </c>
      <c r="M41" s="83">
        <v>5.8999999999999997E-2</v>
      </c>
      <c r="O41" s="72"/>
      <c r="P41" s="72"/>
      <c r="Q41" s="72"/>
      <c r="R41" s="72"/>
      <c r="S41" s="72"/>
    </row>
    <row r="42" spans="3:19">
      <c r="O42" s="72"/>
      <c r="P42" s="72"/>
      <c r="Q42" s="72"/>
      <c r="R42" s="72"/>
      <c r="S42" s="72"/>
    </row>
    <row r="43" spans="3:19">
      <c r="O43" s="72"/>
      <c r="P43" s="72"/>
      <c r="Q43" s="72"/>
      <c r="R43" s="72"/>
      <c r="S43" s="72"/>
    </row>
    <row r="48" spans="3:19">
      <c r="G48" s="72"/>
    </row>
    <row r="49" spans="3:14">
      <c r="C49" s="72"/>
      <c r="D49" s="729" t="s">
        <v>8</v>
      </c>
      <c r="E49" s="730"/>
      <c r="F49" s="731"/>
      <c r="G49" s="72"/>
      <c r="H49" s="729" t="s">
        <v>25</v>
      </c>
      <c r="I49" s="730"/>
      <c r="J49" s="731"/>
      <c r="L49" s="75" t="s">
        <v>35</v>
      </c>
      <c r="M49" s="78"/>
    </row>
    <row r="50" spans="3:14">
      <c r="C50" s="72"/>
      <c r="D50" s="7">
        <v>2019</v>
      </c>
      <c r="E50" s="7">
        <v>40524</v>
      </c>
      <c r="F50" s="732" t="s">
        <v>9</v>
      </c>
      <c r="G50" s="72"/>
      <c r="H50" s="723" t="s">
        <v>26</v>
      </c>
      <c r="I50" s="723"/>
      <c r="J50" s="723"/>
      <c r="L50" s="79" t="s">
        <v>36</v>
      </c>
      <c r="M50" s="724" t="s">
        <v>42</v>
      </c>
    </row>
    <row r="51" spans="3:14">
      <c r="C51" s="72"/>
      <c r="D51" s="7">
        <v>2020</v>
      </c>
      <c r="E51" s="7">
        <v>41136</v>
      </c>
      <c r="F51" s="733"/>
      <c r="G51" s="72"/>
      <c r="H51" s="723" t="s">
        <v>27</v>
      </c>
      <c r="I51" s="723"/>
      <c r="J51" s="723"/>
      <c r="L51" s="79" t="s">
        <v>37</v>
      </c>
      <c r="M51" s="725"/>
    </row>
    <row r="52" spans="3:14">
      <c r="C52" s="72"/>
      <c r="D52" s="7">
        <v>2021</v>
      </c>
      <c r="E52" s="7">
        <v>41136</v>
      </c>
      <c r="F52" s="733"/>
      <c r="G52" s="72"/>
      <c r="H52" s="723" t="s">
        <v>28</v>
      </c>
      <c r="I52" s="723"/>
      <c r="J52" s="723"/>
      <c r="L52" s="79" t="s">
        <v>38</v>
      </c>
      <c r="M52" s="724" t="s">
        <v>43</v>
      </c>
    </row>
    <row r="53" spans="3:14">
      <c r="C53" s="72"/>
      <c r="D53" s="7">
        <v>2022</v>
      </c>
      <c r="E53" s="7">
        <v>41136</v>
      </c>
      <c r="F53" s="733"/>
      <c r="G53" s="72"/>
      <c r="H53" s="723" t="s">
        <v>29</v>
      </c>
      <c r="I53" s="723"/>
      <c r="J53" s="723"/>
      <c r="L53" s="79" t="s">
        <v>39</v>
      </c>
      <c r="M53" s="725"/>
    </row>
    <row r="54" spans="3:14">
      <c r="C54" s="72"/>
      <c r="D54" s="7">
        <v>2023</v>
      </c>
      <c r="E54" s="7">
        <v>43992</v>
      </c>
      <c r="F54" s="733"/>
      <c r="G54" s="72"/>
      <c r="H54" s="723" t="s">
        <v>30</v>
      </c>
      <c r="I54" s="723"/>
      <c r="J54" s="723"/>
      <c r="L54" s="79" t="s">
        <v>40</v>
      </c>
      <c r="M54" s="724" t="s">
        <v>44</v>
      </c>
    </row>
    <row r="55" spans="3:14">
      <c r="C55" s="72"/>
      <c r="D55" s="7">
        <v>2024</v>
      </c>
      <c r="E55" s="7">
        <v>46368</v>
      </c>
      <c r="F55" s="733"/>
      <c r="G55" s="72"/>
      <c r="H55" s="723" t="s">
        <v>31</v>
      </c>
      <c r="I55" s="723"/>
      <c r="J55" s="723"/>
      <c r="L55" s="79" t="s">
        <v>41</v>
      </c>
      <c r="M55" s="725"/>
    </row>
    <row r="56" spans="3:14">
      <c r="C56" s="72"/>
      <c r="D56" s="7">
        <v>2025</v>
      </c>
      <c r="E56" s="7">
        <v>47100</v>
      </c>
      <c r="F56" s="734"/>
      <c r="G56" s="72"/>
      <c r="H56" s="723" t="s">
        <v>32</v>
      </c>
      <c r="I56" s="723"/>
      <c r="J56" s="723"/>
      <c r="L56" s="79"/>
      <c r="M56" s="79"/>
    </row>
    <row r="57" spans="3:14">
      <c r="C57" s="72"/>
      <c r="D57" s="72"/>
      <c r="E57" s="72"/>
      <c r="F57" s="72"/>
      <c r="G57" s="72"/>
      <c r="H57" s="723" t="s">
        <v>33</v>
      </c>
      <c r="I57" s="723"/>
      <c r="J57" s="723"/>
    </row>
    <row r="58" spans="3:14">
      <c r="C58" s="72"/>
      <c r="D58" s="72"/>
      <c r="E58" s="72"/>
      <c r="F58" s="72"/>
      <c r="G58" s="72"/>
      <c r="H58" s="723" t="s">
        <v>34</v>
      </c>
      <c r="I58" s="723"/>
      <c r="J58" s="723"/>
    </row>
    <row r="59" spans="3:14">
      <c r="C59" s="72"/>
      <c r="D59" s="72"/>
      <c r="E59" s="72"/>
      <c r="F59" s="72"/>
      <c r="G59" s="72"/>
      <c r="H59" s="72"/>
      <c r="I59" s="72"/>
      <c r="J59" s="72"/>
      <c r="K59" s="72"/>
      <c r="L59" s="72"/>
      <c r="M59" s="72"/>
      <c r="N59" s="72"/>
    </row>
  </sheetData>
  <sheetProtection selectLockedCells="1"/>
  <protectedRanges>
    <protectedRange sqref="E13:E16 F13:F17 D14:D17 K14 K25" name="Plage3_2_2_1"/>
    <protectedRange sqref="E13:E16 F13:F17 D14:D17 K14 K25" name="Taux_1_1_2_1"/>
  </protectedRanges>
  <mergeCells count="28">
    <mergeCell ref="E37:F37"/>
    <mergeCell ref="D17:E17"/>
    <mergeCell ref="D19:D21"/>
    <mergeCell ref="F23:G23"/>
    <mergeCell ref="H23:I23"/>
    <mergeCell ref="D49:F49"/>
    <mergeCell ref="F50:F56"/>
    <mergeCell ref="H49:J49"/>
    <mergeCell ref="H50:J50"/>
    <mergeCell ref="H51:J51"/>
    <mergeCell ref="H52:J52"/>
    <mergeCell ref="H53:J53"/>
    <mergeCell ref="H54:J54"/>
    <mergeCell ref="H55:J55"/>
    <mergeCell ref="H56:J56"/>
    <mergeCell ref="R5:S5"/>
    <mergeCell ref="N26:R26"/>
    <mergeCell ref="R6:S6"/>
    <mergeCell ref="H57:J57"/>
    <mergeCell ref="H58:J58"/>
    <mergeCell ref="M50:M51"/>
    <mergeCell ref="M52:M53"/>
    <mergeCell ref="M54:M55"/>
    <mergeCell ref="N12:O12"/>
    <mergeCell ref="N13:O13"/>
    <mergeCell ref="N14:O14"/>
    <mergeCell ref="N15:O15"/>
    <mergeCell ref="N16:O16"/>
  </mergeCells>
  <phoneticPr fontId="9" type="noConversion"/>
  <pageMargins left="0.7" right="0.7" top="0.75" bottom="0.75" header="0.3" footer="0.3"/>
  <pageSetup paperSize="9" orientation="portrait" verticalDpi="0" r:id="rId1"/>
  <ignoredErrors>
    <ignoredError sqref="D14:D17" unlockedFormula="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9E5A-12A6-4BF2-88B9-3B6DCED36E64}">
  <sheetPr codeName="Feuil19">
    <tabColor theme="9" tint="0.79998168889431442"/>
  </sheetPr>
  <dimension ref="B4:R35"/>
  <sheetViews>
    <sheetView showGridLines="0" showRowColHeaders="0" zoomScale="123" zoomScaleNormal="123" workbookViewId="0">
      <selection activeCell="E17" sqref="E17"/>
    </sheetView>
  </sheetViews>
  <sheetFormatPr baseColWidth="10" defaultRowHeight="14.4"/>
  <cols>
    <col min="2" max="2" width="12.33203125" customWidth="1"/>
    <col min="3" max="3" width="4" customWidth="1"/>
    <col min="4" max="4" width="17.88671875" bestFit="1" customWidth="1"/>
    <col min="5" max="7" width="14.33203125" customWidth="1"/>
    <col min="8" max="10" width="15.6640625" customWidth="1"/>
    <col min="17" max="17" width="11.5546875" customWidth="1"/>
    <col min="18" max="18" width="16.33203125" customWidth="1"/>
  </cols>
  <sheetData>
    <row r="4" spans="2:18">
      <c r="P4" s="2"/>
      <c r="Q4" s="3"/>
      <c r="R4" s="4"/>
    </row>
    <row r="5" spans="2:18">
      <c r="B5" s="1">
        <f ca="1">TODAY()</f>
        <v>46023</v>
      </c>
    </row>
    <row r="11" spans="2:18" ht="15" thickBot="1"/>
    <row r="12" spans="2:18" ht="15" thickBot="1">
      <c r="D12" s="113"/>
      <c r="E12" s="115" t="s">
        <v>53</v>
      </c>
      <c r="F12" s="116" t="s">
        <v>54</v>
      </c>
      <c r="G12" s="117" t="s">
        <v>55</v>
      </c>
      <c r="H12" s="739" t="s">
        <v>34</v>
      </c>
      <c r="I12" s="740"/>
      <c r="J12" s="118" t="s">
        <v>56</v>
      </c>
    </row>
    <row r="13" spans="2:18" ht="15" thickTop="1">
      <c r="D13" s="114"/>
      <c r="E13" s="745"/>
      <c r="F13" s="745"/>
      <c r="G13" s="746"/>
      <c r="H13" s="119" t="s">
        <v>57</v>
      </c>
      <c r="I13" s="741" t="s">
        <v>199</v>
      </c>
      <c r="J13" s="742"/>
    </row>
    <row r="14" spans="2:18">
      <c r="D14" s="114" t="s">
        <v>200</v>
      </c>
      <c r="E14" s="25">
        <v>0.05</v>
      </c>
      <c r="F14" s="26">
        <v>0.05</v>
      </c>
      <c r="G14" s="26">
        <v>0.04</v>
      </c>
      <c r="H14" s="26">
        <v>3.5000000000000003E-2</v>
      </c>
      <c r="I14" s="26">
        <v>0.04</v>
      </c>
      <c r="J14" s="27">
        <v>0.05</v>
      </c>
    </row>
    <row r="15" spans="2:18">
      <c r="D15" s="114"/>
      <c r="E15" s="120"/>
      <c r="F15" s="120"/>
      <c r="G15" s="121"/>
      <c r="H15" s="121"/>
      <c r="I15" s="121"/>
      <c r="J15" s="122"/>
    </row>
    <row r="16" spans="2:18">
      <c r="D16" s="100" t="s">
        <v>58</v>
      </c>
      <c r="E16" s="28">
        <v>563750</v>
      </c>
      <c r="F16" s="29">
        <v>570000</v>
      </c>
      <c r="G16" s="29">
        <v>100000</v>
      </c>
      <c r="H16" s="29">
        <v>97000</v>
      </c>
      <c r="I16" s="29">
        <v>100000</v>
      </c>
      <c r="J16" s="30">
        <v>100000</v>
      </c>
    </row>
    <row r="17" spans="4:10">
      <c r="D17" s="114" t="s">
        <v>59</v>
      </c>
      <c r="E17" s="31"/>
      <c r="F17" s="32"/>
      <c r="G17" s="32">
        <v>0.03</v>
      </c>
      <c r="H17" s="32">
        <v>8.5000000000000006E-2</v>
      </c>
      <c r="I17" s="32">
        <v>0</v>
      </c>
      <c r="J17" s="33"/>
    </row>
    <row r="18" spans="4:10">
      <c r="D18" s="100" t="s">
        <v>60</v>
      </c>
      <c r="E18" s="101">
        <f>(PRODUCT((E16-(E16*E17)),(POWER($E$14,1))))+(E16-(E16*E17))</f>
        <v>591937.5</v>
      </c>
      <c r="F18" s="101">
        <f>(PRODUCT((F16-(F16*F17)),(POWER($F$14,1))))+(F16-(F16*F17))</f>
        <v>598500</v>
      </c>
      <c r="G18" s="101">
        <f>(PRODUCT((G16-(G16*G17)),(POWER(G14,1))))+(G16-(G16*G17))</f>
        <v>100880</v>
      </c>
      <c r="H18" s="101">
        <f>(PRODUCT(H16,(POWER(H14,1))))+(H16-(H16*H17))</f>
        <v>92150</v>
      </c>
      <c r="I18" s="101">
        <f>(I16-(I16*I17))+(I14*(I16-(I16*I17)))</f>
        <v>104000</v>
      </c>
      <c r="J18" s="102">
        <f>(J16-(J16*J17))+(J14*(J16-(J16*J17)))</f>
        <v>105000</v>
      </c>
    </row>
    <row r="19" spans="4:10">
      <c r="D19" s="100" t="s">
        <v>61</v>
      </c>
      <c r="E19" s="103">
        <f t="shared" ref="E19:E26" si="0">(PRODUCT(E18,(POWER($E$14,1))))+E18</f>
        <v>621534.375</v>
      </c>
      <c r="F19" s="103">
        <f t="shared" ref="F19:F33" si="1">(PRODUCT(F18,(POWER($F$14,1))))+F18</f>
        <v>628425</v>
      </c>
      <c r="G19" s="103">
        <f t="shared" ref="G19:G33" si="2">(PRODUCT(G18,(POWER($G$14,1))))+G18</f>
        <v>104915.2</v>
      </c>
      <c r="H19" s="103">
        <f t="shared" ref="H19:H24" si="3">(PRODUCT($H$16,(POWER($H$14,1))))+H18</f>
        <v>95545</v>
      </c>
      <c r="I19" s="104">
        <f>(I16-(I16*I17))+((I16-(I16*I17))*$I$14*2)</f>
        <v>108000</v>
      </c>
      <c r="J19" s="105">
        <f>(J16-(J16*J17))+((J16-(J16*J17))*J14*2)</f>
        <v>110000</v>
      </c>
    </row>
    <row r="20" spans="4:10">
      <c r="D20" s="100" t="s">
        <v>62</v>
      </c>
      <c r="E20" s="103">
        <f t="shared" si="0"/>
        <v>652611.09375</v>
      </c>
      <c r="F20" s="103">
        <f t="shared" si="1"/>
        <v>659846.25</v>
      </c>
      <c r="G20" s="103">
        <f t="shared" si="2"/>
        <v>109111.80799999999</v>
      </c>
      <c r="H20" s="103">
        <f t="shared" si="3"/>
        <v>98940</v>
      </c>
      <c r="I20" s="104">
        <f>(I16-(I16*I17))+((I16-(I16*I17))*I14*3)</f>
        <v>112000</v>
      </c>
      <c r="J20" s="105">
        <f>(J16-(J16*J17))+((J16-(J16*J17))*J14*3)</f>
        <v>115000</v>
      </c>
    </row>
    <row r="21" spans="4:10">
      <c r="D21" s="100" t="s">
        <v>63</v>
      </c>
      <c r="E21" s="103">
        <f t="shared" si="0"/>
        <v>685241.6484375</v>
      </c>
      <c r="F21" s="103">
        <f t="shared" si="1"/>
        <v>692838.5625</v>
      </c>
      <c r="G21" s="103">
        <f t="shared" si="2"/>
        <v>113476.28031999999</v>
      </c>
      <c r="H21" s="103">
        <f t="shared" si="3"/>
        <v>102335</v>
      </c>
      <c r="I21" s="104">
        <f>(I16-(I16*I17))+((I16-(I16*I17))*I14*4)</f>
        <v>116000</v>
      </c>
      <c r="J21" s="105">
        <f>(J16-(J16*J17))+((J16-(J16*J17))*J14*4)</f>
        <v>120000</v>
      </c>
    </row>
    <row r="22" spans="4:10">
      <c r="D22" s="100" t="s">
        <v>64</v>
      </c>
      <c r="E22" s="103">
        <f t="shared" si="0"/>
        <v>719503.73085937498</v>
      </c>
      <c r="F22" s="103">
        <f t="shared" si="1"/>
        <v>727480.49062499998</v>
      </c>
      <c r="G22" s="103">
        <f t="shared" si="2"/>
        <v>118015.33153279999</v>
      </c>
      <c r="H22" s="103">
        <f t="shared" si="3"/>
        <v>105730</v>
      </c>
      <c r="I22" s="104">
        <f>(I16-(I16*I17))+((I16-(I16*I17))*I14*5)</f>
        <v>120000</v>
      </c>
      <c r="J22" s="105">
        <f>(J16-(J16*J17))+((J16-(J16*J17))*J14*5)</f>
        <v>125000</v>
      </c>
    </row>
    <row r="23" spans="4:10">
      <c r="D23" s="100" t="s">
        <v>65</v>
      </c>
      <c r="E23" s="103">
        <f t="shared" si="0"/>
        <v>755478.91740234371</v>
      </c>
      <c r="F23" s="103">
        <f t="shared" si="1"/>
        <v>763854.51515624998</v>
      </c>
      <c r="G23" s="103">
        <f t="shared" si="2"/>
        <v>122735.94479411199</v>
      </c>
      <c r="H23" s="103">
        <f t="shared" si="3"/>
        <v>109125</v>
      </c>
      <c r="I23" s="104">
        <f>(I16-(I16*I17))+((I16-(I16*I17))*I14*6)</f>
        <v>124000</v>
      </c>
      <c r="J23" s="105">
        <f>(J16-(J16*J17))+((J16-(J16*J17))*J14*6)</f>
        <v>130000</v>
      </c>
    </row>
    <row r="24" spans="4:10">
      <c r="D24" s="100" t="s">
        <v>66</v>
      </c>
      <c r="E24" s="103">
        <f t="shared" si="0"/>
        <v>793252.86327246088</v>
      </c>
      <c r="F24" s="103">
        <f t="shared" si="1"/>
        <v>802047.24091406248</v>
      </c>
      <c r="G24" s="103">
        <f t="shared" si="2"/>
        <v>127645.38258587646</v>
      </c>
      <c r="H24" s="103">
        <f t="shared" si="3"/>
        <v>112520</v>
      </c>
      <c r="I24" s="104">
        <f>(I16-(I16*I17))+((I16-(I16*I17))*I14*7)</f>
        <v>128000</v>
      </c>
      <c r="J24" s="105">
        <f>(J16-(J16*J17))+((J16-(J16*J17))*J14*7)</f>
        <v>135000</v>
      </c>
    </row>
    <row r="25" spans="4:10">
      <c r="D25" s="100" t="s">
        <v>67</v>
      </c>
      <c r="E25" s="106">
        <f t="shared" si="0"/>
        <v>832915.50643608393</v>
      </c>
      <c r="F25" s="106">
        <f t="shared" si="1"/>
        <v>842149.60295976559</v>
      </c>
      <c r="G25" s="106">
        <f t="shared" si="2"/>
        <v>132751.19788931153</v>
      </c>
      <c r="H25" s="106">
        <f>(PRODUCT(H16,(POWER(H14,1))))+H24</f>
        <v>115915</v>
      </c>
      <c r="I25" s="104">
        <f>(I16-(I16*I17))+((I16-(I16*I17))*I14*8)</f>
        <v>132000</v>
      </c>
      <c r="J25" s="105">
        <f>(J16-(J16*J17))+((J16-(J16*J17))*J14*8)</f>
        <v>140000</v>
      </c>
    </row>
    <row r="26" spans="4:10">
      <c r="D26" s="100" t="s">
        <v>68</v>
      </c>
      <c r="E26" s="103">
        <f t="shared" si="0"/>
        <v>874561.28175788815</v>
      </c>
      <c r="F26" s="103">
        <f t="shared" si="1"/>
        <v>884257.08310775389</v>
      </c>
      <c r="G26" s="103">
        <f t="shared" si="2"/>
        <v>138061.24580488401</v>
      </c>
      <c r="H26" s="103">
        <f t="shared" ref="H26:H31" si="4">(PRODUCT($H$16,(POWER($H$14,1))))+H25</f>
        <v>119310</v>
      </c>
      <c r="I26" s="104">
        <f>(I16-(I16*I17))+((I16-(I16*I17))*I14*9)</f>
        <v>136000</v>
      </c>
      <c r="J26" s="105">
        <f>(J16-(J16*J17))+((J16-(J16*J17))*J14*9)</f>
        <v>145000</v>
      </c>
    </row>
    <row r="27" spans="4:10">
      <c r="D27" s="100" t="s">
        <v>69</v>
      </c>
      <c r="E27" s="103">
        <f>(PRODUCT(E26,(POWER($E$14,1))))+E26</f>
        <v>918289.34584578255</v>
      </c>
      <c r="F27" s="103">
        <f t="shared" si="1"/>
        <v>928469.93726314162</v>
      </c>
      <c r="G27" s="103">
        <f t="shared" si="2"/>
        <v>143583.69563707936</v>
      </c>
      <c r="H27" s="103">
        <f t="shared" si="4"/>
        <v>122705</v>
      </c>
      <c r="I27" s="104">
        <f>(I16-(I16*I17))+((I16-(I16*I17))*I14*10)</f>
        <v>140000</v>
      </c>
      <c r="J27" s="105">
        <f>(J16-(J16*J17))+((J16-(J16*J17))*J14*10)</f>
        <v>150000</v>
      </c>
    </row>
    <row r="28" spans="4:10">
      <c r="D28" s="100" t="s">
        <v>70</v>
      </c>
      <c r="E28" s="103">
        <f>(PRODUCT(E27,(POWER($E$14,1))))+E27</f>
        <v>964203.81313807168</v>
      </c>
      <c r="F28" s="103">
        <f t="shared" si="1"/>
        <v>974893.43412629864</v>
      </c>
      <c r="G28" s="103">
        <f t="shared" si="2"/>
        <v>149327.04346256255</v>
      </c>
      <c r="H28" s="103">
        <f t="shared" si="4"/>
        <v>126100</v>
      </c>
      <c r="I28" s="107"/>
      <c r="J28" s="108"/>
    </row>
    <row r="29" spans="4:10">
      <c r="D29" s="100" t="s">
        <v>71</v>
      </c>
      <c r="E29" s="103">
        <f>(PRODUCT(E28,(POWER($E$14,1))))+E28</f>
        <v>1012414.0037949752</v>
      </c>
      <c r="F29" s="103">
        <f t="shared" si="1"/>
        <v>1023638.1058326135</v>
      </c>
      <c r="G29" s="103">
        <f t="shared" si="2"/>
        <v>155300.12520106506</v>
      </c>
      <c r="H29" s="103">
        <f t="shared" si="4"/>
        <v>129495</v>
      </c>
      <c r="I29" s="107"/>
      <c r="J29" s="108"/>
    </row>
    <row r="30" spans="4:10">
      <c r="D30" s="100" t="s">
        <v>72</v>
      </c>
      <c r="E30" s="103">
        <f>(PRODUCT(E29,(POWER($E$14,1))))+E29</f>
        <v>1063034.7039847239</v>
      </c>
      <c r="F30" s="103">
        <f t="shared" si="1"/>
        <v>1074820.0111242442</v>
      </c>
      <c r="G30" s="103">
        <f t="shared" si="2"/>
        <v>161512.13020910768</v>
      </c>
      <c r="H30" s="103">
        <f t="shared" si="4"/>
        <v>132890</v>
      </c>
      <c r="I30" s="107"/>
      <c r="J30" s="108"/>
    </row>
    <row r="31" spans="4:10">
      <c r="D31" s="100" t="s">
        <v>73</v>
      </c>
      <c r="E31" s="103">
        <f>(PRODUCT(E30,(POWER($E$14,1))))+E30</f>
        <v>1116186.4391839602</v>
      </c>
      <c r="F31" s="103">
        <f t="shared" si="1"/>
        <v>1128561.0116804563</v>
      </c>
      <c r="G31" s="103">
        <f t="shared" si="2"/>
        <v>167972.615417472</v>
      </c>
      <c r="H31" s="103">
        <f t="shared" si="4"/>
        <v>136285</v>
      </c>
      <c r="I31" s="107"/>
      <c r="J31" s="108"/>
    </row>
    <row r="32" spans="4:10">
      <c r="D32" s="100" t="s">
        <v>74</v>
      </c>
      <c r="E32" s="106">
        <f>(PRODUCT(E31,(POWER(E14,1))))+E31</f>
        <v>1171995.7611431582</v>
      </c>
      <c r="F32" s="106">
        <f t="shared" si="1"/>
        <v>1184989.0622644792</v>
      </c>
      <c r="G32" s="106">
        <f t="shared" si="2"/>
        <v>174691.52003417088</v>
      </c>
      <c r="H32" s="106">
        <f>(PRODUCT(H16,(POWER(H14,1))))+H31</f>
        <v>139680</v>
      </c>
      <c r="I32" s="107"/>
      <c r="J32" s="108"/>
    </row>
    <row r="33" spans="4:10" ht="15" thickBot="1">
      <c r="D33" s="109" t="s">
        <v>75</v>
      </c>
      <c r="E33" s="110">
        <f>(PRODUCT(E32,(POWER(E14,1))))+E32</f>
        <v>1230595.5492003162</v>
      </c>
      <c r="F33" s="110">
        <f t="shared" si="1"/>
        <v>1244238.5153777031</v>
      </c>
      <c r="G33" s="110">
        <f t="shared" si="2"/>
        <v>181679.18083553773</v>
      </c>
      <c r="H33" s="110">
        <f>(PRODUCT(H16,(POWER(H14,1))))+H32</f>
        <v>143075</v>
      </c>
      <c r="I33" s="111"/>
      <c r="J33" s="112"/>
    </row>
    <row r="34" spans="4:10">
      <c r="D34" s="743" t="s">
        <v>76</v>
      </c>
      <c r="E34" s="744"/>
      <c r="F34" s="65"/>
      <c r="G34" s="65"/>
      <c r="H34" s="65"/>
      <c r="I34" s="66"/>
      <c r="J34" s="66"/>
    </row>
    <row r="35" spans="4:10" ht="15" thickBot="1">
      <c r="D35" s="34">
        <v>20</v>
      </c>
      <c r="E35" s="123">
        <f>(E16*(1-E17))*(1+E14)^D35</f>
        <v>1495796.5812751672</v>
      </c>
      <c r="F35" s="67"/>
      <c r="G35" s="67"/>
      <c r="H35" s="67"/>
      <c r="I35" s="68"/>
      <c r="J35" s="68"/>
    </row>
  </sheetData>
  <sheetProtection selectLockedCells="1"/>
  <mergeCells count="4">
    <mergeCell ref="H12:I12"/>
    <mergeCell ref="I13:J13"/>
    <mergeCell ref="D34:E34"/>
    <mergeCell ref="E13:G13"/>
  </mergeCells>
  <conditionalFormatting sqref="R4">
    <cfRule type="expression" dxfId="225" priority="1">
      <formula>$B$5-$R$4&gt;7</formula>
    </cfRule>
  </conditionalFormatting>
  <dataValidations count="1">
    <dataValidation type="list" allowBlank="1" showInputMessage="1" showErrorMessage="1" sqref="D35" xr:uid="{D4F1BCF7-C5FF-477B-80B4-806DA58D48FD}">
      <formula1>"1,2,3,4,5,6,7,8,9,10,11,12,13,14,15,16,17,18,19,20,21,22,23,24,25,26,27,28,29,30,31,32,33,34,35,36,37,38,39,40,41,42,43,44,45,46,47,48,49,50"</formula1>
    </dataValidation>
  </dataValidations>
  <pageMargins left="0.7" right="0.7" top="0.75" bottom="0.75" header="0.3" footer="0.3"/>
  <pageSetup paperSize="9" orientation="portrait" verticalDpi="0" r:id="rId1"/>
  <ignoredErrors>
    <ignoredError sqref="H25" formula="1"/>
  </ignoredError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B5F4B-D4CB-41DE-867E-24AB48BF30DC}">
  <sheetPr codeName="Feuil20">
    <tabColor theme="9" tint="0.79998168889431442"/>
  </sheetPr>
  <dimension ref="B4:R390"/>
  <sheetViews>
    <sheetView showGridLines="0" showRowColHeaders="0" zoomScale="123" zoomScaleNormal="123" workbookViewId="0">
      <selection activeCell="G14" sqref="G14"/>
    </sheetView>
  </sheetViews>
  <sheetFormatPr baseColWidth="10" defaultRowHeight="14.4"/>
  <cols>
    <col min="2" max="2" width="12.33203125" customWidth="1"/>
    <col min="3" max="3" width="4" customWidth="1"/>
    <col min="4" max="4" width="16.5546875" bestFit="1" customWidth="1"/>
    <col min="5" max="7" width="14.33203125" customWidth="1"/>
    <col min="8" max="10" width="15.6640625" customWidth="1"/>
    <col min="17" max="17" width="11.5546875" customWidth="1"/>
    <col min="18" max="18" width="16.33203125" customWidth="1"/>
  </cols>
  <sheetData>
    <row r="4" spans="2:18">
      <c r="P4" s="2"/>
      <c r="Q4" s="3"/>
      <c r="R4" s="4"/>
    </row>
    <row r="5" spans="2:18">
      <c r="B5" s="1">
        <f ca="1">TODAY()</f>
        <v>46023</v>
      </c>
    </row>
    <row r="11" spans="2:18" ht="15" thickBot="1"/>
    <row r="12" spans="2:18">
      <c r="D12" s="54"/>
      <c r="E12" s="55"/>
      <c r="F12" s="55"/>
      <c r="G12" s="55"/>
      <c r="H12" s="55"/>
      <c r="I12" s="55"/>
      <c r="J12" s="55"/>
      <c r="K12" s="55"/>
      <c r="L12" s="56"/>
    </row>
    <row r="13" spans="2:18">
      <c r="D13" s="57"/>
      <c r="E13" s="223" t="s">
        <v>77</v>
      </c>
      <c r="F13" s="224"/>
      <c r="G13" s="38">
        <v>447072</v>
      </c>
      <c r="H13" s="58"/>
      <c r="I13" s="748" t="s">
        <v>79</v>
      </c>
      <c r="J13" s="748"/>
      <c r="K13" s="59">
        <f>-PMT(G14/12,G15,G13)</f>
        <v>4399.9979762943995</v>
      </c>
      <c r="L13" s="60"/>
    </row>
    <row r="14" spans="2:18">
      <c r="D14" s="57"/>
      <c r="E14" s="223" t="s">
        <v>78</v>
      </c>
      <c r="F14" s="224"/>
      <c r="G14" s="39">
        <v>3.4000000000000002E-2</v>
      </c>
      <c r="H14" s="58"/>
      <c r="I14" s="749" t="s">
        <v>197</v>
      </c>
      <c r="J14" s="749"/>
      <c r="K14" s="227">
        <f>K13*12</f>
        <v>52799.975715532797</v>
      </c>
      <c r="L14" s="60"/>
    </row>
    <row r="15" spans="2:18">
      <c r="D15" s="57"/>
      <c r="E15" s="223" t="s">
        <v>195</v>
      </c>
      <c r="F15" s="224"/>
      <c r="G15" s="40">
        <v>120</v>
      </c>
      <c r="H15" s="58"/>
      <c r="I15" s="750" t="s">
        <v>81</v>
      </c>
      <c r="J15" s="750"/>
      <c r="K15" s="644">
        <f>K13+(G13*(G16/12))</f>
        <v>4399.9979762943995</v>
      </c>
      <c r="L15" s="60"/>
    </row>
    <row r="16" spans="2:18">
      <c r="D16" s="57"/>
      <c r="E16" s="223" t="s">
        <v>80</v>
      </c>
      <c r="F16" s="224"/>
      <c r="G16" s="39"/>
      <c r="H16" s="58"/>
      <c r="I16" s="751" t="s">
        <v>197</v>
      </c>
      <c r="J16" s="751"/>
      <c r="K16" s="228">
        <f>K15*12</f>
        <v>52799.975715532797</v>
      </c>
      <c r="L16" s="60"/>
    </row>
    <row r="17" spans="4:12">
      <c r="D17" s="57"/>
      <c r="E17" s="223" t="s">
        <v>196</v>
      </c>
      <c r="F17" s="224"/>
      <c r="G17" s="225">
        <v>45658</v>
      </c>
      <c r="H17" s="58"/>
      <c r="I17" s="753" t="s">
        <v>198</v>
      </c>
      <c r="J17" s="753"/>
      <c r="K17" s="229">
        <f>SUM(G21:G381)</f>
        <v>80927.757155327999</v>
      </c>
      <c r="L17" s="60"/>
    </row>
    <row r="18" spans="4:12" ht="15" thickBot="1">
      <c r="D18" s="61"/>
      <c r="E18" s="222"/>
      <c r="F18" s="62"/>
      <c r="G18" s="62"/>
      <c r="H18" s="62"/>
      <c r="I18" s="754" t="s">
        <v>193</v>
      </c>
      <c r="J18" s="754"/>
      <c r="K18" s="230">
        <f>SUM(K21:K381)</f>
        <v>0</v>
      </c>
      <c r="L18" s="63"/>
    </row>
    <row r="20" spans="4:12">
      <c r="D20" s="64"/>
      <c r="E20" s="231" t="s">
        <v>82</v>
      </c>
      <c r="F20" s="231" t="s">
        <v>194</v>
      </c>
      <c r="G20" s="231" t="s">
        <v>83</v>
      </c>
      <c r="H20" s="231" t="s">
        <v>84</v>
      </c>
      <c r="I20" s="752" t="s">
        <v>85</v>
      </c>
      <c r="J20" s="752"/>
      <c r="K20" s="231" t="s">
        <v>86</v>
      </c>
      <c r="L20" s="64"/>
    </row>
    <row r="21" spans="4:12">
      <c r="D21" s="64"/>
      <c r="E21" s="226">
        <f>IF(F21&lt;&gt;0,G17,0)</f>
        <v>45658</v>
      </c>
      <c r="F21" s="35">
        <f>IF(G15&gt;=1,1,"")</f>
        <v>1</v>
      </c>
      <c r="G21" s="36">
        <f>IFERROR(IF(F21&lt;&gt;"",-IPMT($G$14/12,F21,$G$15,$G$13),""),0)</f>
        <v>1266.7040000000002</v>
      </c>
      <c r="H21" s="36">
        <f>IFERROR(IF(F21&lt;&gt;"",-PPMT($G$14/12,F21,$G$15,$G$13),""),0)</f>
        <v>3133.2939762943993</v>
      </c>
      <c r="I21" s="747">
        <f>IF(F21&lt;&gt;"",G13-H21,"")</f>
        <v>443938.7060237056</v>
      </c>
      <c r="J21" s="747"/>
      <c r="K21" s="37">
        <f>IF(F21&lt;&gt;"",$G$13*($G$16/12),"")</f>
        <v>0</v>
      </c>
      <c r="L21" s="64"/>
    </row>
    <row r="22" spans="4:12">
      <c r="D22" s="64"/>
      <c r="E22" s="226">
        <f>IFERROR(IF($G$15&lt;=F21,"",DATE(YEAR(E21),MONTH(E21)+1,DAY(E21))),"")</f>
        <v>45689</v>
      </c>
      <c r="F22" s="35">
        <f>IF(OR(F21="",F21=$G$15),"",IF(F21&lt;$G$15,F21+1,0))</f>
        <v>2</v>
      </c>
      <c r="G22" s="36">
        <f t="shared" ref="G22:G85" si="0">IFERROR(IF(F22&lt;&gt;"",-IPMT($G$14/12,F22,$G$15,$G$13),""),0)</f>
        <v>1257.8263337338324</v>
      </c>
      <c r="H22" s="36">
        <f t="shared" ref="H22:H85" si="1">IFERROR(IF(F22&lt;&gt;"",-PPMT($G$14/12,F22,$G$15,$G$13),""),0)</f>
        <v>3142.1716425605673</v>
      </c>
      <c r="I22" s="747">
        <f>IF(F22&lt;&gt;"",I21-H22,"")</f>
        <v>440796.53438114503</v>
      </c>
      <c r="J22" s="747"/>
      <c r="K22" s="37">
        <f t="shared" ref="K22:K85" si="2">IF(F22&lt;&gt;"",$G$13*($G$16/12),"")</f>
        <v>0</v>
      </c>
      <c r="L22" s="64"/>
    </row>
    <row r="23" spans="4:12">
      <c r="D23" s="64"/>
      <c r="E23" s="226">
        <f t="shared" ref="E23:E86" si="3">IFERROR(IF($G$15&lt;=F22,"",DATE(YEAR(E22),MONTH(E22)+1,DAY(E22))),"")</f>
        <v>45717</v>
      </c>
      <c r="F23" s="35">
        <f t="shared" ref="F23:F86" si="4">IF(OR(F22="",F22=$G$15),"",IF(F22&lt;$G$15,F22+1,0))</f>
        <v>3</v>
      </c>
      <c r="G23" s="36">
        <f t="shared" si="0"/>
        <v>1248.9235140799108</v>
      </c>
      <c r="H23" s="36">
        <f t="shared" si="1"/>
        <v>3151.0744622144889</v>
      </c>
      <c r="I23" s="747">
        <f t="shared" ref="I23:I40" si="5">IF(F23&lt;&gt;"",I22-H23,"")</f>
        <v>437645.45991893054</v>
      </c>
      <c r="J23" s="747"/>
      <c r="K23" s="37">
        <f t="shared" si="2"/>
        <v>0</v>
      </c>
      <c r="L23" s="64"/>
    </row>
    <row r="24" spans="4:12">
      <c r="D24" s="64"/>
      <c r="E24" s="226">
        <f t="shared" si="3"/>
        <v>45748</v>
      </c>
      <c r="F24" s="35">
        <f t="shared" si="4"/>
        <v>4</v>
      </c>
      <c r="G24" s="36">
        <f t="shared" si="0"/>
        <v>1239.9954697703029</v>
      </c>
      <c r="H24" s="36">
        <f t="shared" si="1"/>
        <v>3160.0025065240966</v>
      </c>
      <c r="I24" s="747">
        <f t="shared" si="5"/>
        <v>434485.45741240645</v>
      </c>
      <c r="J24" s="747"/>
      <c r="K24" s="37">
        <f t="shared" si="2"/>
        <v>0</v>
      </c>
      <c r="L24" s="64"/>
    </row>
    <row r="25" spans="4:12">
      <c r="D25" s="64"/>
      <c r="E25" s="226">
        <f t="shared" si="3"/>
        <v>45778</v>
      </c>
      <c r="F25" s="35">
        <f t="shared" si="4"/>
        <v>5</v>
      </c>
      <c r="G25" s="36">
        <f t="shared" si="0"/>
        <v>1231.0421293351515</v>
      </c>
      <c r="H25" s="36">
        <f t="shared" si="1"/>
        <v>3168.9558469592475</v>
      </c>
      <c r="I25" s="747">
        <f t="shared" si="5"/>
        <v>431316.50156544719</v>
      </c>
      <c r="J25" s="747"/>
      <c r="K25" s="37">
        <f t="shared" si="2"/>
        <v>0</v>
      </c>
      <c r="L25" s="64"/>
    </row>
    <row r="26" spans="4:12">
      <c r="D26" s="64"/>
      <c r="E26" s="226">
        <f t="shared" si="3"/>
        <v>45809</v>
      </c>
      <c r="F26" s="35">
        <f t="shared" si="4"/>
        <v>6</v>
      </c>
      <c r="G26" s="36">
        <f t="shared" si="0"/>
        <v>1222.0634211021002</v>
      </c>
      <c r="H26" s="36">
        <f t="shared" si="1"/>
        <v>3177.9345551922993</v>
      </c>
      <c r="I26" s="747">
        <f t="shared" si="5"/>
        <v>428138.56701025489</v>
      </c>
      <c r="J26" s="747"/>
      <c r="K26" s="37">
        <f t="shared" si="2"/>
        <v>0</v>
      </c>
      <c r="L26" s="64"/>
    </row>
    <row r="27" spans="4:12">
      <c r="D27" s="64"/>
      <c r="E27" s="226">
        <f t="shared" si="3"/>
        <v>45839</v>
      </c>
      <c r="F27" s="35">
        <f t="shared" si="4"/>
        <v>7</v>
      </c>
      <c r="G27" s="36">
        <f t="shared" si="0"/>
        <v>1213.059273195722</v>
      </c>
      <c r="H27" s="36">
        <f t="shared" si="1"/>
        <v>3186.9387030986773</v>
      </c>
      <c r="I27" s="747">
        <f t="shared" si="5"/>
        <v>424951.62830715621</v>
      </c>
      <c r="J27" s="747"/>
      <c r="K27" s="37">
        <f t="shared" si="2"/>
        <v>0</v>
      </c>
      <c r="L27" s="64"/>
    </row>
    <row r="28" spans="4:12">
      <c r="D28" s="64"/>
      <c r="E28" s="226">
        <f t="shared" si="3"/>
        <v>45870</v>
      </c>
      <c r="F28" s="35">
        <f t="shared" si="4"/>
        <v>8</v>
      </c>
      <c r="G28" s="36">
        <f t="shared" si="0"/>
        <v>1204.0296135369424</v>
      </c>
      <c r="H28" s="36">
        <f t="shared" si="1"/>
        <v>3195.9683627574573</v>
      </c>
      <c r="I28" s="747">
        <f t="shared" si="5"/>
        <v>421755.65994439874</v>
      </c>
      <c r="J28" s="747"/>
      <c r="K28" s="37">
        <f t="shared" si="2"/>
        <v>0</v>
      </c>
      <c r="L28" s="64"/>
    </row>
    <row r="29" spans="4:12">
      <c r="D29" s="64"/>
      <c r="E29" s="226">
        <f t="shared" si="3"/>
        <v>45901</v>
      </c>
      <c r="F29" s="35">
        <f t="shared" si="4"/>
        <v>9</v>
      </c>
      <c r="G29" s="36">
        <f t="shared" si="0"/>
        <v>1194.9743698424629</v>
      </c>
      <c r="H29" s="36">
        <f t="shared" si="1"/>
        <v>3205.0236064519358</v>
      </c>
      <c r="I29" s="747">
        <f t="shared" si="5"/>
        <v>418550.63633794681</v>
      </c>
      <c r="J29" s="747"/>
      <c r="K29" s="37">
        <f t="shared" si="2"/>
        <v>0</v>
      </c>
      <c r="L29" s="64"/>
    </row>
    <row r="30" spans="4:12">
      <c r="D30" s="64"/>
      <c r="E30" s="226">
        <f t="shared" si="3"/>
        <v>45931</v>
      </c>
      <c r="F30" s="35">
        <f t="shared" si="4"/>
        <v>10</v>
      </c>
      <c r="G30" s="36">
        <f t="shared" si="0"/>
        <v>1185.8934696241827</v>
      </c>
      <c r="H30" s="36">
        <f t="shared" si="1"/>
        <v>3214.1045066702163</v>
      </c>
      <c r="I30" s="747">
        <f t="shared" si="5"/>
        <v>415336.5318312766</v>
      </c>
      <c r="J30" s="747"/>
      <c r="K30" s="37">
        <f t="shared" si="2"/>
        <v>0</v>
      </c>
      <c r="L30" s="64"/>
    </row>
    <row r="31" spans="4:12">
      <c r="D31" s="64"/>
      <c r="E31" s="226">
        <f t="shared" si="3"/>
        <v>45962</v>
      </c>
      <c r="F31" s="35">
        <f t="shared" si="4"/>
        <v>11</v>
      </c>
      <c r="G31" s="36">
        <f t="shared" si="0"/>
        <v>1176.7868401886169</v>
      </c>
      <c r="H31" s="36">
        <f t="shared" si="1"/>
        <v>3223.2111361057823</v>
      </c>
      <c r="I31" s="747">
        <f t="shared" si="5"/>
        <v>412113.32069517084</v>
      </c>
      <c r="J31" s="747"/>
      <c r="K31" s="37">
        <f t="shared" si="2"/>
        <v>0</v>
      </c>
      <c r="L31" s="64"/>
    </row>
    <row r="32" spans="4:12">
      <c r="D32" s="64"/>
      <c r="E32" s="226">
        <f t="shared" si="3"/>
        <v>45992</v>
      </c>
      <c r="F32" s="35">
        <f t="shared" si="4"/>
        <v>12</v>
      </c>
      <c r="G32" s="36">
        <f t="shared" si="0"/>
        <v>1167.6544086363172</v>
      </c>
      <c r="H32" s="36">
        <f t="shared" si="1"/>
        <v>3232.3435676580816</v>
      </c>
      <c r="I32" s="747">
        <f t="shared" si="5"/>
        <v>408880.97712751274</v>
      </c>
      <c r="J32" s="747"/>
      <c r="K32" s="37">
        <f t="shared" si="2"/>
        <v>0</v>
      </c>
      <c r="L32" s="64"/>
    </row>
    <row r="33" spans="4:12">
      <c r="D33" s="64"/>
      <c r="E33" s="226">
        <f t="shared" si="3"/>
        <v>46023</v>
      </c>
      <c r="F33" s="35">
        <f t="shared" si="4"/>
        <v>13</v>
      </c>
      <c r="G33" s="36">
        <f t="shared" si="0"/>
        <v>1158.4961018612862</v>
      </c>
      <c r="H33" s="36">
        <f t="shared" si="1"/>
        <v>3241.5018744331132</v>
      </c>
      <c r="I33" s="747">
        <f t="shared" si="5"/>
        <v>405639.47525307961</v>
      </c>
      <c r="J33" s="747"/>
      <c r="K33" s="37">
        <f t="shared" si="2"/>
        <v>0</v>
      </c>
      <c r="L33" s="64"/>
    </row>
    <row r="34" spans="4:12">
      <c r="D34" s="64"/>
      <c r="E34" s="226">
        <f t="shared" si="3"/>
        <v>46054</v>
      </c>
      <c r="F34" s="35">
        <f t="shared" si="4"/>
        <v>14</v>
      </c>
      <c r="G34" s="36">
        <f t="shared" si="0"/>
        <v>1149.3118465503924</v>
      </c>
      <c r="H34" s="36">
        <f t="shared" si="1"/>
        <v>3250.6861297440073</v>
      </c>
      <c r="I34" s="747">
        <f t="shared" si="5"/>
        <v>402388.78912333562</v>
      </c>
      <c r="J34" s="747"/>
      <c r="K34" s="37">
        <f t="shared" si="2"/>
        <v>0</v>
      </c>
      <c r="L34" s="64"/>
    </row>
    <row r="35" spans="4:12">
      <c r="D35" s="64"/>
      <c r="E35" s="226">
        <f t="shared" si="3"/>
        <v>46082</v>
      </c>
      <c r="F35" s="35">
        <f t="shared" si="4"/>
        <v>15</v>
      </c>
      <c r="G35" s="36">
        <f t="shared" si="0"/>
        <v>1140.1015691827843</v>
      </c>
      <c r="H35" s="36">
        <f t="shared" si="1"/>
        <v>3259.8964071116152</v>
      </c>
      <c r="I35" s="747">
        <f t="shared" si="5"/>
        <v>399128.89271622401</v>
      </c>
      <c r="J35" s="747"/>
      <c r="K35" s="37">
        <f t="shared" si="2"/>
        <v>0</v>
      </c>
      <c r="L35" s="64"/>
    </row>
    <row r="36" spans="4:12">
      <c r="D36" s="64"/>
      <c r="E36" s="226">
        <f t="shared" si="3"/>
        <v>46113</v>
      </c>
      <c r="F36" s="35">
        <f t="shared" si="4"/>
        <v>16</v>
      </c>
      <c r="G36" s="36">
        <f t="shared" si="0"/>
        <v>1130.8651960293014</v>
      </c>
      <c r="H36" s="36">
        <f t="shared" si="1"/>
        <v>3269.1327802650976</v>
      </c>
      <c r="I36" s="747">
        <f t="shared" si="5"/>
        <v>395859.75993595889</v>
      </c>
      <c r="J36" s="747"/>
      <c r="K36" s="37">
        <f t="shared" si="2"/>
        <v>0</v>
      </c>
      <c r="L36" s="64"/>
    </row>
    <row r="37" spans="4:12">
      <c r="D37" s="64"/>
      <c r="E37" s="226">
        <f t="shared" si="3"/>
        <v>46143</v>
      </c>
      <c r="F37" s="35">
        <f t="shared" si="4"/>
        <v>17</v>
      </c>
      <c r="G37" s="36">
        <f t="shared" si="0"/>
        <v>1121.6026531518837</v>
      </c>
      <c r="H37" s="36">
        <f t="shared" si="1"/>
        <v>3278.3953231425153</v>
      </c>
      <c r="I37" s="747">
        <f t="shared" si="5"/>
        <v>392581.36461281637</v>
      </c>
      <c r="J37" s="747"/>
      <c r="K37" s="37">
        <f t="shared" si="2"/>
        <v>0</v>
      </c>
      <c r="L37" s="64"/>
    </row>
    <row r="38" spans="4:12">
      <c r="D38" s="64"/>
      <c r="E38" s="226">
        <f t="shared" si="3"/>
        <v>46174</v>
      </c>
      <c r="F38" s="35">
        <f t="shared" si="4"/>
        <v>18</v>
      </c>
      <c r="G38" s="36">
        <f t="shared" si="0"/>
        <v>1112.3138664029796</v>
      </c>
      <c r="H38" s="36">
        <f t="shared" si="1"/>
        <v>3287.6841098914197</v>
      </c>
      <c r="I38" s="747">
        <f t="shared" si="5"/>
        <v>389293.68050292495</v>
      </c>
      <c r="J38" s="747"/>
      <c r="K38" s="37">
        <f t="shared" si="2"/>
        <v>0</v>
      </c>
      <c r="L38" s="64"/>
    </row>
    <row r="39" spans="4:12">
      <c r="D39" s="64"/>
      <c r="E39" s="226">
        <f t="shared" si="3"/>
        <v>46204</v>
      </c>
      <c r="F39" s="35">
        <f t="shared" si="4"/>
        <v>19</v>
      </c>
      <c r="G39" s="36">
        <f t="shared" si="0"/>
        <v>1102.998761424954</v>
      </c>
      <c r="H39" s="36">
        <f t="shared" si="1"/>
        <v>3296.9992148694455</v>
      </c>
      <c r="I39" s="747">
        <f t="shared" si="5"/>
        <v>385996.68128805549</v>
      </c>
      <c r="J39" s="747"/>
      <c r="K39" s="37">
        <f t="shared" si="2"/>
        <v>0</v>
      </c>
      <c r="L39" s="64"/>
    </row>
    <row r="40" spans="4:12">
      <c r="D40" s="64"/>
      <c r="E40" s="226">
        <f t="shared" si="3"/>
        <v>46235</v>
      </c>
      <c r="F40" s="35">
        <f t="shared" si="4"/>
        <v>20</v>
      </c>
      <c r="G40" s="36">
        <f t="shared" si="0"/>
        <v>1093.6572636494905</v>
      </c>
      <c r="H40" s="36">
        <f t="shared" si="1"/>
        <v>3306.3407126449083</v>
      </c>
      <c r="I40" s="747">
        <f t="shared" si="5"/>
        <v>382690.34057541058</v>
      </c>
      <c r="J40" s="747"/>
      <c r="K40" s="37">
        <f t="shared" si="2"/>
        <v>0</v>
      </c>
      <c r="L40" s="64"/>
    </row>
    <row r="41" spans="4:12">
      <c r="E41" s="226">
        <f t="shared" si="3"/>
        <v>46266</v>
      </c>
      <c r="F41" s="35">
        <f t="shared" si="4"/>
        <v>21</v>
      </c>
      <c r="G41" s="36">
        <f t="shared" si="0"/>
        <v>1084.2892982969968</v>
      </c>
      <c r="H41" s="36">
        <f t="shared" si="1"/>
        <v>3315.708677997402</v>
      </c>
      <c r="I41" s="747">
        <f t="shared" ref="I41:I59" si="6">IF(F41&lt;&gt;"",I40-H41,"")</f>
        <v>379374.63189741317</v>
      </c>
      <c r="J41" s="747"/>
      <c r="K41" s="37">
        <f t="shared" si="2"/>
        <v>0</v>
      </c>
    </row>
    <row r="42" spans="4:12">
      <c r="E42" s="226">
        <f t="shared" si="3"/>
        <v>46296</v>
      </c>
      <c r="F42" s="35">
        <f t="shared" si="4"/>
        <v>22</v>
      </c>
      <c r="G42" s="36">
        <f t="shared" si="0"/>
        <v>1074.8947903760038</v>
      </c>
      <c r="H42" s="36">
        <f t="shared" si="1"/>
        <v>3325.1031859183954</v>
      </c>
      <c r="I42" s="747">
        <f t="shared" si="6"/>
        <v>376049.52871149476</v>
      </c>
      <c r="J42" s="747"/>
      <c r="K42" s="37">
        <f t="shared" si="2"/>
        <v>0</v>
      </c>
    </row>
    <row r="43" spans="4:12">
      <c r="E43" s="226">
        <f t="shared" si="3"/>
        <v>46327</v>
      </c>
      <c r="F43" s="35">
        <f t="shared" si="4"/>
        <v>23</v>
      </c>
      <c r="G43" s="36">
        <f t="shared" si="0"/>
        <v>1065.4736646825688</v>
      </c>
      <c r="H43" s="36">
        <f t="shared" si="1"/>
        <v>3334.5243116118309</v>
      </c>
      <c r="I43" s="747">
        <f t="shared" si="6"/>
        <v>372715.00439988292</v>
      </c>
      <c r="J43" s="747"/>
      <c r="K43" s="37">
        <f t="shared" si="2"/>
        <v>0</v>
      </c>
    </row>
    <row r="44" spans="4:12">
      <c r="E44" s="226">
        <f t="shared" si="3"/>
        <v>46357</v>
      </c>
      <c r="F44" s="35">
        <f t="shared" si="4"/>
        <v>24</v>
      </c>
      <c r="G44" s="36">
        <f t="shared" si="0"/>
        <v>1056.0258457996683</v>
      </c>
      <c r="H44" s="36">
        <f t="shared" si="1"/>
        <v>3343.9721304947311</v>
      </c>
      <c r="I44" s="747">
        <f t="shared" si="6"/>
        <v>369371.0322693882</v>
      </c>
      <c r="J44" s="747"/>
      <c r="K44" s="37">
        <f t="shared" si="2"/>
        <v>0</v>
      </c>
    </row>
    <row r="45" spans="4:12">
      <c r="E45" s="226">
        <f t="shared" si="3"/>
        <v>46388</v>
      </c>
      <c r="F45" s="35">
        <f t="shared" si="4"/>
        <v>25</v>
      </c>
      <c r="G45" s="36">
        <f t="shared" si="0"/>
        <v>1046.5512580965999</v>
      </c>
      <c r="H45" s="36">
        <f t="shared" si="1"/>
        <v>3353.4467181977993</v>
      </c>
      <c r="I45" s="747">
        <f t="shared" si="6"/>
        <v>366017.58555119042</v>
      </c>
      <c r="J45" s="747"/>
      <c r="K45" s="37">
        <f t="shared" si="2"/>
        <v>0</v>
      </c>
    </row>
    <row r="46" spans="4:12">
      <c r="E46" s="226">
        <f t="shared" si="3"/>
        <v>46419</v>
      </c>
      <c r="F46" s="35">
        <f t="shared" si="4"/>
        <v>26</v>
      </c>
      <c r="G46" s="36">
        <f t="shared" si="0"/>
        <v>1037.049825728373</v>
      </c>
      <c r="H46" s="36">
        <f t="shared" si="1"/>
        <v>3362.9481505660265</v>
      </c>
      <c r="I46" s="747">
        <f t="shared" si="6"/>
        <v>362654.6374006244</v>
      </c>
      <c r="J46" s="747"/>
      <c r="K46" s="37">
        <f t="shared" si="2"/>
        <v>0</v>
      </c>
    </row>
    <row r="47" spans="4:12">
      <c r="E47" s="226">
        <f t="shared" si="3"/>
        <v>46447</v>
      </c>
      <c r="F47" s="35">
        <f t="shared" si="4"/>
        <v>27</v>
      </c>
      <c r="G47" s="36">
        <f t="shared" si="0"/>
        <v>1027.5214726351026</v>
      </c>
      <c r="H47" s="36">
        <f t="shared" si="1"/>
        <v>3372.4765036592971</v>
      </c>
      <c r="I47" s="747">
        <f t="shared" si="6"/>
        <v>359282.16089696513</v>
      </c>
      <c r="J47" s="747"/>
      <c r="K47" s="37">
        <f t="shared" si="2"/>
        <v>0</v>
      </c>
    </row>
    <row r="48" spans="4:12">
      <c r="E48" s="226">
        <f t="shared" si="3"/>
        <v>46478</v>
      </c>
      <c r="F48" s="35">
        <f t="shared" si="4"/>
        <v>28</v>
      </c>
      <c r="G48" s="36">
        <f t="shared" si="0"/>
        <v>1017.9661225414011</v>
      </c>
      <c r="H48" s="36">
        <f t="shared" si="1"/>
        <v>3382.0318537529984</v>
      </c>
      <c r="I48" s="747">
        <f t="shared" si="6"/>
        <v>355900.1290432121</v>
      </c>
      <c r="J48" s="747"/>
      <c r="K48" s="37">
        <f t="shared" si="2"/>
        <v>0</v>
      </c>
    </row>
    <row r="49" spans="5:11">
      <c r="E49" s="226">
        <f t="shared" si="3"/>
        <v>46508</v>
      </c>
      <c r="F49" s="35">
        <f t="shared" si="4"/>
        <v>29</v>
      </c>
      <c r="G49" s="36">
        <f t="shared" si="0"/>
        <v>1008.3836989557677</v>
      </c>
      <c r="H49" s="36">
        <f t="shared" si="1"/>
        <v>3391.6142773386314</v>
      </c>
      <c r="I49" s="747">
        <f t="shared" si="6"/>
        <v>352508.51476587349</v>
      </c>
      <c r="J49" s="747"/>
      <c r="K49" s="37">
        <f t="shared" si="2"/>
        <v>0</v>
      </c>
    </row>
    <row r="50" spans="5:11">
      <c r="E50" s="226">
        <f t="shared" si="3"/>
        <v>46539</v>
      </c>
      <c r="F50" s="35">
        <f t="shared" si="4"/>
        <v>30</v>
      </c>
      <c r="G50" s="36">
        <f t="shared" si="0"/>
        <v>998.77412516997492</v>
      </c>
      <c r="H50" s="36">
        <f t="shared" si="1"/>
        <v>3401.2238511244241</v>
      </c>
      <c r="I50" s="747">
        <f t="shared" si="6"/>
        <v>349107.29091474909</v>
      </c>
      <c r="J50" s="747"/>
      <c r="K50" s="37">
        <f t="shared" si="2"/>
        <v>0</v>
      </c>
    </row>
    <row r="51" spans="5:11">
      <c r="E51" s="226">
        <f t="shared" si="3"/>
        <v>46569</v>
      </c>
      <c r="F51" s="35">
        <f t="shared" si="4"/>
        <v>31</v>
      </c>
      <c r="G51" s="36">
        <f t="shared" si="0"/>
        <v>989.13732425845569</v>
      </c>
      <c r="H51" s="36">
        <f t="shared" si="1"/>
        <v>3410.8606520359435</v>
      </c>
      <c r="I51" s="747">
        <f t="shared" si="6"/>
        <v>345696.43026271317</v>
      </c>
      <c r="J51" s="747"/>
      <c r="K51" s="37">
        <f t="shared" si="2"/>
        <v>0</v>
      </c>
    </row>
    <row r="52" spans="5:11">
      <c r="E52" s="226">
        <f t="shared" si="3"/>
        <v>46600</v>
      </c>
      <c r="F52" s="35">
        <f t="shared" si="4"/>
        <v>32</v>
      </c>
      <c r="G52" s="36">
        <f t="shared" si="0"/>
        <v>979.47321907768719</v>
      </c>
      <c r="H52" s="36">
        <f t="shared" si="1"/>
        <v>3420.5247572167127</v>
      </c>
      <c r="I52" s="747">
        <f t="shared" si="6"/>
        <v>342275.90550549648</v>
      </c>
      <c r="J52" s="747"/>
      <c r="K52" s="37">
        <f t="shared" si="2"/>
        <v>0</v>
      </c>
    </row>
    <row r="53" spans="5:11">
      <c r="E53" s="226">
        <f t="shared" si="3"/>
        <v>46631</v>
      </c>
      <c r="F53" s="35">
        <f t="shared" si="4"/>
        <v>33</v>
      </c>
      <c r="G53" s="36">
        <f t="shared" si="0"/>
        <v>969.78173226557317</v>
      </c>
      <c r="H53" s="36">
        <f t="shared" si="1"/>
        <v>3430.2162440288266</v>
      </c>
      <c r="I53" s="747">
        <f t="shared" si="6"/>
        <v>338845.68926146766</v>
      </c>
      <c r="J53" s="747"/>
      <c r="K53" s="37">
        <f t="shared" si="2"/>
        <v>0</v>
      </c>
    </row>
    <row r="54" spans="5:11">
      <c r="E54" s="226">
        <f t="shared" si="3"/>
        <v>46661</v>
      </c>
      <c r="F54" s="35">
        <f t="shared" si="4"/>
        <v>34</v>
      </c>
      <c r="G54" s="36">
        <f t="shared" si="0"/>
        <v>960.06278624082483</v>
      </c>
      <c r="H54" s="36">
        <f t="shared" si="1"/>
        <v>3439.9351900535744</v>
      </c>
      <c r="I54" s="747">
        <f t="shared" si="6"/>
        <v>335405.75407141406</v>
      </c>
      <c r="J54" s="747"/>
      <c r="K54" s="37">
        <f t="shared" si="2"/>
        <v>0</v>
      </c>
    </row>
    <row r="55" spans="5:11">
      <c r="E55" s="226">
        <f t="shared" si="3"/>
        <v>46692</v>
      </c>
      <c r="F55" s="35">
        <f t="shared" si="4"/>
        <v>35</v>
      </c>
      <c r="G55" s="36">
        <f t="shared" si="0"/>
        <v>950.31630320233978</v>
      </c>
      <c r="H55" s="36">
        <f t="shared" si="1"/>
        <v>3449.6816730920596</v>
      </c>
      <c r="I55" s="747">
        <f t="shared" si="6"/>
        <v>331956.07239832199</v>
      </c>
      <c r="J55" s="747"/>
      <c r="K55" s="37">
        <f t="shared" si="2"/>
        <v>0</v>
      </c>
    </row>
    <row r="56" spans="5:11">
      <c r="E56" s="226">
        <f t="shared" si="3"/>
        <v>46722</v>
      </c>
      <c r="F56" s="35">
        <f t="shared" si="4"/>
        <v>36</v>
      </c>
      <c r="G56" s="36">
        <f t="shared" si="0"/>
        <v>940.54220512857887</v>
      </c>
      <c r="H56" s="36">
        <f t="shared" si="1"/>
        <v>3459.4557711658204</v>
      </c>
      <c r="I56" s="747">
        <f t="shared" si="6"/>
        <v>328496.61662715615</v>
      </c>
      <c r="J56" s="747"/>
      <c r="K56" s="37">
        <f t="shared" si="2"/>
        <v>0</v>
      </c>
    </row>
    <row r="57" spans="5:11">
      <c r="E57" s="226">
        <f t="shared" si="3"/>
        <v>46753</v>
      </c>
      <c r="F57" s="35">
        <f t="shared" si="4"/>
        <v>37</v>
      </c>
      <c r="G57" s="36">
        <f t="shared" si="0"/>
        <v>930.74041377694232</v>
      </c>
      <c r="H57" s="36">
        <f t="shared" si="1"/>
        <v>3469.2575625174572</v>
      </c>
      <c r="I57" s="747">
        <f t="shared" si="6"/>
        <v>325027.35906463867</v>
      </c>
      <c r="J57" s="747"/>
      <c r="K57" s="37">
        <f t="shared" si="2"/>
        <v>0</v>
      </c>
    </row>
    <row r="58" spans="5:11">
      <c r="E58" s="226">
        <f t="shared" si="3"/>
        <v>46784</v>
      </c>
      <c r="F58" s="35">
        <f t="shared" si="4"/>
        <v>38</v>
      </c>
      <c r="G58" s="36">
        <f t="shared" si="0"/>
        <v>920.91085068314283</v>
      </c>
      <c r="H58" s="36">
        <f t="shared" si="1"/>
        <v>3479.0871256112564</v>
      </c>
      <c r="I58" s="747">
        <f t="shared" si="6"/>
        <v>321548.27193902741</v>
      </c>
      <c r="J58" s="747"/>
      <c r="K58" s="37">
        <f t="shared" si="2"/>
        <v>0</v>
      </c>
    </row>
    <row r="59" spans="5:11">
      <c r="E59" s="226">
        <f t="shared" si="3"/>
        <v>46813</v>
      </c>
      <c r="F59" s="35">
        <f t="shared" si="4"/>
        <v>39</v>
      </c>
      <c r="G59" s="36">
        <f t="shared" si="0"/>
        <v>911.05343716057757</v>
      </c>
      <c r="H59" s="36">
        <f t="shared" si="1"/>
        <v>3488.9445391338218</v>
      </c>
      <c r="I59" s="747">
        <f t="shared" si="6"/>
        <v>318059.32739989361</v>
      </c>
      <c r="J59" s="747"/>
      <c r="K59" s="37">
        <f t="shared" si="2"/>
        <v>0</v>
      </c>
    </row>
    <row r="60" spans="5:11">
      <c r="E60" s="226">
        <f t="shared" si="3"/>
        <v>46844</v>
      </c>
      <c r="F60" s="35">
        <f t="shared" si="4"/>
        <v>40</v>
      </c>
      <c r="G60" s="36">
        <f t="shared" si="0"/>
        <v>901.16809429969862</v>
      </c>
      <c r="H60" s="36">
        <f t="shared" si="1"/>
        <v>3498.8298819947013</v>
      </c>
      <c r="I60" s="747">
        <f t="shared" ref="I60:I112" si="7">IF(F60&lt;&gt;"",I59-H60,"")</f>
        <v>314560.49751789891</v>
      </c>
      <c r="J60" s="747"/>
      <c r="K60" s="37">
        <f t="shared" si="2"/>
        <v>0</v>
      </c>
    </row>
    <row r="61" spans="5:11">
      <c r="E61" s="226">
        <f t="shared" si="3"/>
        <v>46874</v>
      </c>
      <c r="F61" s="35">
        <f t="shared" si="4"/>
        <v>41</v>
      </c>
      <c r="G61" s="36">
        <f t="shared" si="0"/>
        <v>891.25474296738014</v>
      </c>
      <c r="H61" s="36">
        <f t="shared" si="1"/>
        <v>3508.743233327019</v>
      </c>
      <c r="I61" s="747">
        <f t="shared" si="7"/>
        <v>311051.75428457191</v>
      </c>
      <c r="J61" s="747"/>
      <c r="K61" s="37">
        <f t="shared" si="2"/>
        <v>0</v>
      </c>
    </row>
    <row r="62" spans="5:11">
      <c r="E62" s="226">
        <f t="shared" si="3"/>
        <v>46905</v>
      </c>
      <c r="F62" s="35">
        <f t="shared" si="4"/>
        <v>42</v>
      </c>
      <c r="G62" s="36">
        <f t="shared" si="0"/>
        <v>881.31330380628697</v>
      </c>
      <c r="H62" s="36">
        <f t="shared" si="1"/>
        <v>3518.6846724881125</v>
      </c>
      <c r="I62" s="747">
        <f t="shared" si="7"/>
        <v>307533.06961208378</v>
      </c>
      <c r="J62" s="747"/>
      <c r="K62" s="37">
        <f t="shared" si="2"/>
        <v>0</v>
      </c>
    </row>
    <row r="63" spans="5:11">
      <c r="E63" s="226">
        <f t="shared" si="3"/>
        <v>46935</v>
      </c>
      <c r="F63" s="35">
        <f t="shared" si="4"/>
        <v>43</v>
      </c>
      <c r="G63" s="36">
        <f t="shared" si="0"/>
        <v>871.34369723423731</v>
      </c>
      <c r="H63" s="36">
        <f t="shared" si="1"/>
        <v>3528.654279060162</v>
      </c>
      <c r="I63" s="747">
        <f t="shared" si="7"/>
        <v>304004.41533302364</v>
      </c>
      <c r="J63" s="747"/>
      <c r="K63" s="37">
        <f t="shared" si="2"/>
        <v>0</v>
      </c>
    </row>
    <row r="64" spans="5:11">
      <c r="E64" s="226">
        <f t="shared" si="3"/>
        <v>46966</v>
      </c>
      <c r="F64" s="35">
        <f t="shared" si="4"/>
        <v>44</v>
      </c>
      <c r="G64" s="36">
        <f t="shared" si="0"/>
        <v>861.34584344356688</v>
      </c>
      <c r="H64" s="36">
        <f t="shared" si="1"/>
        <v>3538.6521328508325</v>
      </c>
      <c r="I64" s="747">
        <f t="shared" si="7"/>
        <v>300465.76320017281</v>
      </c>
      <c r="J64" s="747"/>
      <c r="K64" s="37">
        <f t="shared" si="2"/>
        <v>0</v>
      </c>
    </row>
    <row r="65" spans="5:11">
      <c r="E65" s="226">
        <f t="shared" si="3"/>
        <v>46997</v>
      </c>
      <c r="F65" s="35">
        <f t="shared" si="4"/>
        <v>45</v>
      </c>
      <c r="G65" s="36">
        <f t="shared" si="0"/>
        <v>851.31966240048939</v>
      </c>
      <c r="H65" s="36">
        <f t="shared" si="1"/>
        <v>3548.6783138939099</v>
      </c>
      <c r="I65" s="747">
        <f t="shared" si="7"/>
        <v>296917.0848862789</v>
      </c>
      <c r="J65" s="747"/>
      <c r="K65" s="37">
        <f t="shared" si="2"/>
        <v>0</v>
      </c>
    </row>
    <row r="66" spans="5:11">
      <c r="E66" s="226">
        <f t="shared" si="3"/>
        <v>47027</v>
      </c>
      <c r="F66" s="35">
        <f t="shared" si="4"/>
        <v>46</v>
      </c>
      <c r="G66" s="36">
        <f t="shared" si="0"/>
        <v>841.26507384445677</v>
      </c>
      <c r="H66" s="36">
        <f t="shared" si="1"/>
        <v>3558.7329024499431</v>
      </c>
      <c r="I66" s="747">
        <f t="shared" si="7"/>
        <v>293358.35198382894</v>
      </c>
      <c r="J66" s="747"/>
      <c r="K66" s="37">
        <f t="shared" si="2"/>
        <v>0</v>
      </c>
    </row>
    <row r="67" spans="5:11">
      <c r="E67" s="226">
        <f t="shared" si="3"/>
        <v>47058</v>
      </c>
      <c r="F67" s="35">
        <f t="shared" si="4"/>
        <v>47</v>
      </c>
      <c r="G67" s="36">
        <f t="shared" si="0"/>
        <v>831.18199728751517</v>
      </c>
      <c r="H67" s="36">
        <f t="shared" si="1"/>
        <v>3568.8159790068839</v>
      </c>
      <c r="I67" s="747">
        <f t="shared" si="7"/>
        <v>289789.53600482206</v>
      </c>
      <c r="J67" s="747"/>
      <c r="K67" s="37">
        <f t="shared" si="2"/>
        <v>0</v>
      </c>
    </row>
    <row r="68" spans="5:11">
      <c r="E68" s="226">
        <f t="shared" si="3"/>
        <v>47088</v>
      </c>
      <c r="F68" s="35">
        <f t="shared" si="4"/>
        <v>48</v>
      </c>
      <c r="G68" s="36">
        <f t="shared" si="0"/>
        <v>821.07035201366227</v>
      </c>
      <c r="H68" s="36">
        <f t="shared" si="1"/>
        <v>3578.9276242807368</v>
      </c>
      <c r="I68" s="747">
        <f t="shared" si="7"/>
        <v>286210.60838054132</v>
      </c>
      <c r="J68" s="747"/>
      <c r="K68" s="37">
        <f t="shared" si="2"/>
        <v>0</v>
      </c>
    </row>
    <row r="69" spans="5:11">
      <c r="E69" s="226">
        <f t="shared" si="3"/>
        <v>47119</v>
      </c>
      <c r="F69" s="35">
        <f t="shared" si="4"/>
        <v>49</v>
      </c>
      <c r="G69" s="36">
        <f t="shared" si="0"/>
        <v>810.93005707820032</v>
      </c>
      <c r="H69" s="36">
        <f t="shared" si="1"/>
        <v>3589.0679192161992</v>
      </c>
      <c r="I69" s="747">
        <f t="shared" si="7"/>
        <v>282621.54046132514</v>
      </c>
      <c r="J69" s="747"/>
      <c r="K69" s="37">
        <f t="shared" si="2"/>
        <v>0</v>
      </c>
    </row>
    <row r="70" spans="5:11">
      <c r="E70" s="226">
        <f t="shared" si="3"/>
        <v>47150</v>
      </c>
      <c r="F70" s="35">
        <f t="shared" si="4"/>
        <v>50</v>
      </c>
      <c r="G70" s="36">
        <f t="shared" si="0"/>
        <v>800.76103130708782</v>
      </c>
      <c r="H70" s="36">
        <f t="shared" si="1"/>
        <v>3599.2369449873117</v>
      </c>
      <c r="I70" s="747">
        <f t="shared" si="7"/>
        <v>279022.30351633782</v>
      </c>
      <c r="J70" s="747"/>
      <c r="K70" s="37">
        <f t="shared" si="2"/>
        <v>0</v>
      </c>
    </row>
    <row r="71" spans="5:11">
      <c r="E71" s="226">
        <f t="shared" si="3"/>
        <v>47178</v>
      </c>
      <c r="F71" s="35">
        <f t="shared" si="4"/>
        <v>51</v>
      </c>
      <c r="G71" s="36">
        <f t="shared" si="0"/>
        <v>790.56319329629036</v>
      </c>
      <c r="H71" s="36">
        <f t="shared" si="1"/>
        <v>3609.4347829981093</v>
      </c>
      <c r="I71" s="747">
        <f t="shared" si="7"/>
        <v>275412.86873333971</v>
      </c>
      <c r="J71" s="747"/>
      <c r="K71" s="37">
        <f t="shared" si="2"/>
        <v>0</v>
      </c>
    </row>
    <row r="72" spans="5:11">
      <c r="E72" s="226">
        <f t="shared" si="3"/>
        <v>47209</v>
      </c>
      <c r="F72" s="35">
        <f t="shared" si="4"/>
        <v>52</v>
      </c>
      <c r="G72" s="36">
        <f t="shared" si="0"/>
        <v>780.33646141112911</v>
      </c>
      <c r="H72" s="36">
        <f t="shared" si="1"/>
        <v>3619.6615148832702</v>
      </c>
      <c r="I72" s="747">
        <f t="shared" si="7"/>
        <v>271793.20721845643</v>
      </c>
      <c r="J72" s="747"/>
      <c r="K72" s="37">
        <f t="shared" si="2"/>
        <v>0</v>
      </c>
    </row>
    <row r="73" spans="5:11">
      <c r="E73" s="226">
        <f t="shared" si="3"/>
        <v>47239</v>
      </c>
      <c r="F73" s="35">
        <f t="shared" si="4"/>
        <v>53</v>
      </c>
      <c r="G73" s="36">
        <f t="shared" si="0"/>
        <v>770.08075378562648</v>
      </c>
      <c r="H73" s="36">
        <f t="shared" si="1"/>
        <v>3629.9172225087723</v>
      </c>
      <c r="I73" s="747">
        <f t="shared" si="7"/>
        <v>268163.28999594768</v>
      </c>
      <c r="J73" s="747"/>
      <c r="K73" s="37">
        <f t="shared" si="2"/>
        <v>0</v>
      </c>
    </row>
    <row r="74" spans="5:11">
      <c r="E74" s="226">
        <f t="shared" si="3"/>
        <v>47270</v>
      </c>
      <c r="F74" s="35">
        <f t="shared" si="4"/>
        <v>54</v>
      </c>
      <c r="G74" s="36">
        <f t="shared" si="0"/>
        <v>759.79598832185161</v>
      </c>
      <c r="H74" s="36">
        <f t="shared" si="1"/>
        <v>3640.2019879725476</v>
      </c>
      <c r="I74" s="747">
        <f t="shared" si="7"/>
        <v>264523.08800797514</v>
      </c>
      <c r="J74" s="747"/>
      <c r="K74" s="37">
        <f t="shared" si="2"/>
        <v>0</v>
      </c>
    </row>
    <row r="75" spans="5:11">
      <c r="E75" s="226">
        <f t="shared" si="3"/>
        <v>47300</v>
      </c>
      <c r="F75" s="35">
        <f t="shared" si="4"/>
        <v>55</v>
      </c>
      <c r="G75" s="36">
        <f t="shared" si="0"/>
        <v>749.4820826892626</v>
      </c>
      <c r="H75" s="36">
        <f t="shared" si="1"/>
        <v>3650.5158936051366</v>
      </c>
      <c r="I75" s="747">
        <f t="shared" si="7"/>
        <v>260872.57211437001</v>
      </c>
      <c r="J75" s="747"/>
      <c r="K75" s="37">
        <f t="shared" si="2"/>
        <v>0</v>
      </c>
    </row>
    <row r="76" spans="5:11">
      <c r="E76" s="226">
        <f t="shared" si="3"/>
        <v>47331</v>
      </c>
      <c r="F76" s="35">
        <f t="shared" si="4"/>
        <v>56</v>
      </c>
      <c r="G76" s="36">
        <f t="shared" si="0"/>
        <v>739.1389543240482</v>
      </c>
      <c r="H76" s="36">
        <f t="shared" si="1"/>
        <v>3660.8590219703515</v>
      </c>
      <c r="I76" s="747">
        <f t="shared" si="7"/>
        <v>257211.71309239964</v>
      </c>
      <c r="J76" s="747"/>
      <c r="K76" s="37">
        <f t="shared" si="2"/>
        <v>0</v>
      </c>
    </row>
    <row r="77" spans="5:11">
      <c r="E77" s="226">
        <f t="shared" si="3"/>
        <v>47362</v>
      </c>
      <c r="F77" s="35">
        <f t="shared" si="4"/>
        <v>57</v>
      </c>
      <c r="G77" s="36">
        <f t="shared" si="0"/>
        <v>728.76652042846547</v>
      </c>
      <c r="H77" s="36">
        <f t="shared" si="1"/>
        <v>3671.2314558659341</v>
      </c>
      <c r="I77" s="747">
        <f t="shared" si="7"/>
        <v>253540.48163653372</v>
      </c>
      <c r="J77" s="747"/>
      <c r="K77" s="37">
        <f t="shared" si="2"/>
        <v>0</v>
      </c>
    </row>
    <row r="78" spans="5:11">
      <c r="E78" s="226">
        <f t="shared" si="3"/>
        <v>47392</v>
      </c>
      <c r="F78" s="35">
        <f t="shared" si="4"/>
        <v>58</v>
      </c>
      <c r="G78" s="36">
        <f t="shared" si="0"/>
        <v>718.36469797017867</v>
      </c>
      <c r="H78" s="36">
        <f t="shared" si="1"/>
        <v>3681.633278324221</v>
      </c>
      <c r="I78" s="747">
        <f t="shared" si="7"/>
        <v>249858.84835820951</v>
      </c>
      <c r="J78" s="747"/>
      <c r="K78" s="37">
        <f t="shared" si="2"/>
        <v>0</v>
      </c>
    </row>
    <row r="79" spans="5:11">
      <c r="E79" s="226">
        <f t="shared" si="3"/>
        <v>47423</v>
      </c>
      <c r="F79" s="35">
        <f t="shared" si="4"/>
        <v>59</v>
      </c>
      <c r="G79" s="36">
        <f t="shared" si="0"/>
        <v>707.93340368159329</v>
      </c>
      <c r="H79" s="36">
        <f t="shared" si="1"/>
        <v>3692.0645726128059</v>
      </c>
      <c r="I79" s="747">
        <f t="shared" si="7"/>
        <v>246166.78378559669</v>
      </c>
      <c r="J79" s="747"/>
      <c r="K79" s="37">
        <f t="shared" si="2"/>
        <v>0</v>
      </c>
    </row>
    <row r="80" spans="5:11">
      <c r="E80" s="226">
        <f t="shared" si="3"/>
        <v>47453</v>
      </c>
      <c r="F80" s="35">
        <f t="shared" si="4"/>
        <v>60</v>
      </c>
      <c r="G80" s="36">
        <f t="shared" si="0"/>
        <v>697.47255405919032</v>
      </c>
      <c r="H80" s="36">
        <f t="shared" si="1"/>
        <v>3702.5254222352087</v>
      </c>
      <c r="I80" s="747">
        <f t="shared" si="7"/>
        <v>242464.25836336147</v>
      </c>
      <c r="J80" s="747"/>
      <c r="K80" s="37">
        <f t="shared" si="2"/>
        <v>0</v>
      </c>
    </row>
    <row r="81" spans="5:11">
      <c r="E81" s="226">
        <f t="shared" si="3"/>
        <v>47484</v>
      </c>
      <c r="F81" s="35">
        <f t="shared" si="4"/>
        <v>61</v>
      </c>
      <c r="G81" s="36">
        <f t="shared" si="0"/>
        <v>686.98206536285727</v>
      </c>
      <c r="H81" s="36">
        <f t="shared" si="1"/>
        <v>3713.0159109315418</v>
      </c>
      <c r="I81" s="747">
        <f t="shared" si="7"/>
        <v>238751.24245242993</v>
      </c>
      <c r="J81" s="747"/>
      <c r="K81" s="37">
        <f t="shared" si="2"/>
        <v>0</v>
      </c>
    </row>
    <row r="82" spans="5:11">
      <c r="E82" s="226">
        <f t="shared" si="3"/>
        <v>47515</v>
      </c>
      <c r="F82" s="35">
        <f t="shared" si="4"/>
        <v>62</v>
      </c>
      <c r="G82" s="36">
        <f t="shared" si="0"/>
        <v>676.46185361521782</v>
      </c>
      <c r="H82" s="36">
        <f t="shared" si="1"/>
        <v>3723.5361226791815</v>
      </c>
      <c r="I82" s="747">
        <f t="shared" si="7"/>
        <v>235027.70632975074</v>
      </c>
      <c r="J82" s="747"/>
      <c r="K82" s="37">
        <f t="shared" si="2"/>
        <v>0</v>
      </c>
    </row>
    <row r="83" spans="5:11">
      <c r="E83" s="226">
        <f t="shared" si="3"/>
        <v>47543</v>
      </c>
      <c r="F83" s="35">
        <f t="shared" si="4"/>
        <v>63</v>
      </c>
      <c r="G83" s="36">
        <f t="shared" si="0"/>
        <v>665.91183460096022</v>
      </c>
      <c r="H83" s="36">
        <f t="shared" si="1"/>
        <v>3734.0861416934395</v>
      </c>
      <c r="I83" s="747">
        <f t="shared" si="7"/>
        <v>231293.62018805731</v>
      </c>
      <c r="J83" s="747"/>
      <c r="K83" s="37">
        <f t="shared" si="2"/>
        <v>0</v>
      </c>
    </row>
    <row r="84" spans="5:11">
      <c r="E84" s="226">
        <f t="shared" si="3"/>
        <v>47574</v>
      </c>
      <c r="F84" s="35">
        <f t="shared" si="4"/>
        <v>64</v>
      </c>
      <c r="G84" s="36">
        <f t="shared" si="0"/>
        <v>655.33192386616213</v>
      </c>
      <c r="H84" s="36">
        <f t="shared" si="1"/>
        <v>3744.6660524282374</v>
      </c>
      <c r="I84" s="747">
        <f t="shared" si="7"/>
        <v>227548.95413562906</v>
      </c>
      <c r="J84" s="747"/>
      <c r="K84" s="37">
        <f t="shared" si="2"/>
        <v>0</v>
      </c>
    </row>
    <row r="85" spans="5:11">
      <c r="E85" s="226">
        <f t="shared" si="3"/>
        <v>47604</v>
      </c>
      <c r="F85" s="35">
        <f t="shared" si="4"/>
        <v>65</v>
      </c>
      <c r="G85" s="36">
        <f t="shared" si="0"/>
        <v>644.72203671761542</v>
      </c>
      <c r="H85" s="36">
        <f t="shared" si="1"/>
        <v>3755.2759395767844</v>
      </c>
      <c r="I85" s="747">
        <f t="shared" si="7"/>
        <v>223793.67819605226</v>
      </c>
      <c r="J85" s="747"/>
      <c r="K85" s="37">
        <f t="shared" si="2"/>
        <v>0</v>
      </c>
    </row>
    <row r="86" spans="5:11">
      <c r="E86" s="226">
        <f t="shared" si="3"/>
        <v>47635</v>
      </c>
      <c r="F86" s="35">
        <f t="shared" si="4"/>
        <v>66</v>
      </c>
      <c r="G86" s="36">
        <f t="shared" ref="G86:G149" si="8">IFERROR(IF(F86&lt;&gt;"",-IPMT($G$14/12,F86,$G$15,$G$13),""),0)</f>
        <v>634.08208822214806</v>
      </c>
      <c r="H86" s="36">
        <f t="shared" ref="H86:H149" si="9">IFERROR(IF(F86&lt;&gt;"",-PPMT($G$14/12,F86,$G$15,$G$13),""),0)</f>
        <v>3765.9158880722512</v>
      </c>
      <c r="I86" s="747">
        <f t="shared" si="7"/>
        <v>220027.76230798001</v>
      </c>
      <c r="J86" s="747"/>
      <c r="K86" s="37">
        <f t="shared" ref="K86:K149" si="10">IF(F86&lt;&gt;"",$G$13*($G$16/12),"")</f>
        <v>0</v>
      </c>
    </row>
    <row r="87" spans="5:11">
      <c r="E87" s="226">
        <f t="shared" ref="E87:E150" si="11">IFERROR(IF($G$15&lt;=F86,"",DATE(YEAR(E86),MONTH(E86)+1,DAY(E86))),"")</f>
        <v>47665</v>
      </c>
      <c r="F87" s="35">
        <f t="shared" ref="F87:F150" si="12">IF(OR(F86="",F86=$G$15),"",IF(F86&lt;$G$15,F86+1,0))</f>
        <v>67</v>
      </c>
      <c r="G87" s="36">
        <f t="shared" si="8"/>
        <v>623.41199320594319</v>
      </c>
      <c r="H87" s="36">
        <f t="shared" si="9"/>
        <v>3776.5859830884556</v>
      </c>
      <c r="I87" s="747">
        <f t="shared" si="7"/>
        <v>216251.17632489157</v>
      </c>
      <c r="J87" s="747"/>
      <c r="K87" s="37">
        <f t="shared" si="10"/>
        <v>0</v>
      </c>
    </row>
    <row r="88" spans="5:11">
      <c r="E88" s="226">
        <f t="shared" si="11"/>
        <v>47696</v>
      </c>
      <c r="F88" s="35">
        <f t="shared" si="12"/>
        <v>68</v>
      </c>
      <c r="G88" s="36">
        <f t="shared" si="8"/>
        <v>612.71166625385922</v>
      </c>
      <c r="H88" s="36">
        <f t="shared" si="9"/>
        <v>3787.2863100405398</v>
      </c>
      <c r="I88" s="747">
        <f t="shared" si="7"/>
        <v>212463.89001485103</v>
      </c>
      <c r="J88" s="747"/>
      <c r="K88" s="37">
        <f t="shared" si="10"/>
        <v>0</v>
      </c>
    </row>
    <row r="89" spans="5:11">
      <c r="E89" s="226">
        <f t="shared" si="11"/>
        <v>47727</v>
      </c>
      <c r="F89" s="35">
        <f t="shared" si="12"/>
        <v>69</v>
      </c>
      <c r="G89" s="36">
        <f t="shared" si="8"/>
        <v>601.98102170874438</v>
      </c>
      <c r="H89" s="36">
        <f t="shared" si="9"/>
        <v>3798.0169545856547</v>
      </c>
      <c r="I89" s="747">
        <f t="shared" si="7"/>
        <v>208665.87306026538</v>
      </c>
      <c r="J89" s="747"/>
      <c r="K89" s="37">
        <f t="shared" si="10"/>
        <v>0</v>
      </c>
    </row>
    <row r="90" spans="5:11">
      <c r="E90" s="226">
        <f t="shared" si="11"/>
        <v>47757</v>
      </c>
      <c r="F90" s="35">
        <f t="shared" si="12"/>
        <v>70</v>
      </c>
      <c r="G90" s="36">
        <f t="shared" si="8"/>
        <v>591.21997367075176</v>
      </c>
      <c r="H90" s="36">
        <f t="shared" si="9"/>
        <v>3808.7780026236478</v>
      </c>
      <c r="I90" s="747">
        <f t="shared" si="7"/>
        <v>204857.09505764174</v>
      </c>
      <c r="J90" s="747"/>
      <c r="K90" s="37">
        <f t="shared" si="10"/>
        <v>0</v>
      </c>
    </row>
    <row r="91" spans="5:11">
      <c r="E91" s="226">
        <f t="shared" si="11"/>
        <v>47788</v>
      </c>
      <c r="F91" s="35">
        <f t="shared" si="12"/>
        <v>71</v>
      </c>
      <c r="G91" s="36">
        <f t="shared" si="8"/>
        <v>580.42843599665139</v>
      </c>
      <c r="H91" s="36">
        <f t="shared" si="9"/>
        <v>3819.5695402977481</v>
      </c>
      <c r="I91" s="747">
        <f t="shared" si="7"/>
        <v>201037.52551734398</v>
      </c>
      <c r="J91" s="747"/>
      <c r="K91" s="37">
        <f t="shared" si="10"/>
        <v>0</v>
      </c>
    </row>
    <row r="92" spans="5:11">
      <c r="E92" s="226">
        <f t="shared" si="11"/>
        <v>47818</v>
      </c>
      <c r="F92" s="35">
        <f t="shared" si="12"/>
        <v>72</v>
      </c>
      <c r="G92" s="36">
        <f t="shared" si="8"/>
        <v>569.60632229914108</v>
      </c>
      <c r="H92" s="36">
        <f t="shared" si="9"/>
        <v>3830.3916539952588</v>
      </c>
      <c r="I92" s="747">
        <f t="shared" si="7"/>
        <v>197207.13386334872</v>
      </c>
      <c r="J92" s="747"/>
      <c r="K92" s="37">
        <f t="shared" si="10"/>
        <v>0</v>
      </c>
    </row>
    <row r="93" spans="5:11">
      <c r="E93" s="226">
        <f t="shared" si="11"/>
        <v>47849</v>
      </c>
      <c r="F93" s="35">
        <f t="shared" si="12"/>
        <v>73</v>
      </c>
      <c r="G93" s="36">
        <f t="shared" si="8"/>
        <v>558.75354594615453</v>
      </c>
      <c r="H93" s="36">
        <f t="shared" si="9"/>
        <v>3841.2444303482453</v>
      </c>
      <c r="I93" s="747">
        <f t="shared" si="7"/>
        <v>193365.88943300047</v>
      </c>
      <c r="J93" s="747"/>
      <c r="K93" s="37">
        <f t="shared" si="10"/>
        <v>0</v>
      </c>
    </row>
    <row r="94" spans="5:11">
      <c r="E94" s="226">
        <f t="shared" si="11"/>
        <v>47880</v>
      </c>
      <c r="F94" s="35">
        <f t="shared" si="12"/>
        <v>74</v>
      </c>
      <c r="G94" s="36">
        <f t="shared" si="8"/>
        <v>547.8700200601678</v>
      </c>
      <c r="H94" s="36">
        <f t="shared" si="9"/>
        <v>3852.1279562342315</v>
      </c>
      <c r="I94" s="747">
        <f t="shared" si="7"/>
        <v>189513.76147676623</v>
      </c>
      <c r="J94" s="747"/>
      <c r="K94" s="37">
        <f t="shared" si="10"/>
        <v>0</v>
      </c>
    </row>
    <row r="95" spans="5:11">
      <c r="E95" s="226">
        <f t="shared" si="11"/>
        <v>47908</v>
      </c>
      <c r="F95" s="35">
        <f t="shared" si="12"/>
        <v>75</v>
      </c>
      <c r="G95" s="36">
        <f t="shared" si="8"/>
        <v>536.95565751750416</v>
      </c>
      <c r="H95" s="36">
        <f t="shared" si="9"/>
        <v>3863.0423187768956</v>
      </c>
      <c r="I95" s="747">
        <f t="shared" si="7"/>
        <v>185650.71915798934</v>
      </c>
      <c r="J95" s="747"/>
      <c r="K95" s="37">
        <f t="shared" si="10"/>
        <v>0</v>
      </c>
    </row>
    <row r="96" spans="5:11">
      <c r="E96" s="226">
        <f t="shared" si="11"/>
        <v>47939</v>
      </c>
      <c r="F96" s="35">
        <f t="shared" si="12"/>
        <v>76</v>
      </c>
      <c r="G96" s="36">
        <f t="shared" si="8"/>
        <v>526.01037094763637</v>
      </c>
      <c r="H96" s="36">
        <f t="shared" si="9"/>
        <v>3873.9876053467628</v>
      </c>
      <c r="I96" s="747">
        <f t="shared" si="7"/>
        <v>181776.73155264257</v>
      </c>
      <c r="J96" s="747"/>
      <c r="K96" s="37">
        <f t="shared" si="10"/>
        <v>0</v>
      </c>
    </row>
    <row r="97" spans="5:11">
      <c r="E97" s="226">
        <f t="shared" si="11"/>
        <v>47969</v>
      </c>
      <c r="F97" s="35">
        <f t="shared" si="12"/>
        <v>77</v>
      </c>
      <c r="G97" s="36">
        <f t="shared" si="8"/>
        <v>515.03407273248706</v>
      </c>
      <c r="H97" s="36">
        <f t="shared" si="9"/>
        <v>3884.963903561912</v>
      </c>
      <c r="I97" s="747">
        <f t="shared" si="7"/>
        <v>177891.76764908066</v>
      </c>
      <c r="J97" s="747"/>
      <c r="K97" s="37">
        <f t="shared" si="10"/>
        <v>0</v>
      </c>
    </row>
    <row r="98" spans="5:11">
      <c r="E98" s="226">
        <f t="shared" si="11"/>
        <v>48000</v>
      </c>
      <c r="F98" s="35">
        <f t="shared" si="12"/>
        <v>78</v>
      </c>
      <c r="G98" s="36">
        <f t="shared" si="8"/>
        <v>504.02667500572841</v>
      </c>
      <c r="H98" s="36">
        <f t="shared" si="9"/>
        <v>3895.9713012886709</v>
      </c>
      <c r="I98" s="747">
        <f t="shared" si="7"/>
        <v>173995.796347792</v>
      </c>
      <c r="J98" s="747"/>
      <c r="K98" s="37">
        <f t="shared" si="10"/>
        <v>0</v>
      </c>
    </row>
    <row r="99" spans="5:11">
      <c r="E99" s="226">
        <f t="shared" si="11"/>
        <v>48030</v>
      </c>
      <c r="F99" s="35">
        <f t="shared" si="12"/>
        <v>79</v>
      </c>
      <c r="G99" s="36">
        <f t="shared" si="8"/>
        <v>492.98808965207718</v>
      </c>
      <c r="H99" s="36">
        <f t="shared" si="9"/>
        <v>3907.0098866423227</v>
      </c>
      <c r="I99" s="747">
        <f t="shared" si="7"/>
        <v>170088.78646114966</v>
      </c>
      <c r="J99" s="747"/>
      <c r="K99" s="37">
        <f t="shared" si="10"/>
        <v>0</v>
      </c>
    </row>
    <row r="100" spans="5:11">
      <c r="E100" s="226">
        <f t="shared" si="11"/>
        <v>48061</v>
      </c>
      <c r="F100" s="35">
        <f t="shared" si="12"/>
        <v>80</v>
      </c>
      <c r="G100" s="36">
        <f t="shared" si="8"/>
        <v>481.91822830659049</v>
      </c>
      <c r="H100" s="36">
        <f t="shared" si="9"/>
        <v>3918.0797479878088</v>
      </c>
      <c r="I100" s="747">
        <f t="shared" si="7"/>
        <v>166170.70671316187</v>
      </c>
      <c r="J100" s="747"/>
      <c r="K100" s="37">
        <f t="shared" si="10"/>
        <v>0</v>
      </c>
    </row>
    <row r="101" spans="5:11">
      <c r="E101" s="226">
        <f t="shared" si="11"/>
        <v>48092</v>
      </c>
      <c r="F101" s="35">
        <f t="shared" si="12"/>
        <v>81</v>
      </c>
      <c r="G101" s="36">
        <f t="shared" si="8"/>
        <v>470.8170023539584</v>
      </c>
      <c r="H101" s="36">
        <f t="shared" si="9"/>
        <v>3929.1809739404412</v>
      </c>
      <c r="I101" s="747">
        <f t="shared" si="7"/>
        <v>162241.52573922143</v>
      </c>
      <c r="J101" s="747"/>
      <c r="K101" s="37">
        <f t="shared" si="10"/>
        <v>0</v>
      </c>
    </row>
    <row r="102" spans="5:11">
      <c r="E102" s="226">
        <f t="shared" si="11"/>
        <v>48122</v>
      </c>
      <c r="F102" s="35">
        <f t="shared" si="12"/>
        <v>82</v>
      </c>
      <c r="G102" s="36">
        <f t="shared" si="8"/>
        <v>459.68432292779391</v>
      </c>
      <c r="H102" s="36">
        <f t="shared" si="9"/>
        <v>3940.3136533666056</v>
      </c>
      <c r="I102" s="747">
        <f t="shared" si="7"/>
        <v>158301.21208585482</v>
      </c>
      <c r="J102" s="747"/>
      <c r="K102" s="37">
        <f t="shared" si="10"/>
        <v>0</v>
      </c>
    </row>
    <row r="103" spans="5:11">
      <c r="E103" s="226">
        <f t="shared" si="11"/>
        <v>48153</v>
      </c>
      <c r="F103" s="35">
        <f t="shared" si="12"/>
        <v>83</v>
      </c>
      <c r="G103" s="36">
        <f t="shared" si="8"/>
        <v>448.52010090992178</v>
      </c>
      <c r="H103" s="36">
        <f t="shared" si="9"/>
        <v>3951.4778753844776</v>
      </c>
      <c r="I103" s="747">
        <f t="shared" si="7"/>
        <v>154349.73421047034</v>
      </c>
      <c r="J103" s="747"/>
      <c r="K103" s="37">
        <f t="shared" si="10"/>
        <v>0</v>
      </c>
    </row>
    <row r="104" spans="5:11">
      <c r="E104" s="226">
        <f t="shared" si="11"/>
        <v>48183</v>
      </c>
      <c r="F104" s="35">
        <f t="shared" si="12"/>
        <v>84</v>
      </c>
      <c r="G104" s="36">
        <f t="shared" si="8"/>
        <v>437.32424692966578</v>
      </c>
      <c r="H104" s="36">
        <f t="shared" si="9"/>
        <v>3962.6737293647338</v>
      </c>
      <c r="I104" s="747">
        <f t="shared" si="7"/>
        <v>150387.06048110561</v>
      </c>
      <c r="J104" s="747"/>
      <c r="K104" s="37">
        <f t="shared" si="10"/>
        <v>0</v>
      </c>
    </row>
    <row r="105" spans="5:11">
      <c r="E105" s="226">
        <f t="shared" si="11"/>
        <v>48214</v>
      </c>
      <c r="F105" s="35">
        <f t="shared" si="12"/>
        <v>85</v>
      </c>
      <c r="G105" s="36">
        <f t="shared" si="8"/>
        <v>426.09667136313243</v>
      </c>
      <c r="H105" s="36">
        <f t="shared" si="9"/>
        <v>3973.9013049312666</v>
      </c>
      <c r="I105" s="747">
        <f t="shared" si="7"/>
        <v>146413.15917617435</v>
      </c>
      <c r="J105" s="747"/>
      <c r="K105" s="37">
        <f t="shared" si="10"/>
        <v>0</v>
      </c>
    </row>
    <row r="106" spans="5:11">
      <c r="E106" s="226">
        <f t="shared" si="11"/>
        <v>48245</v>
      </c>
      <c r="F106" s="35">
        <f t="shared" si="12"/>
        <v>86</v>
      </c>
      <c r="G106" s="36">
        <f t="shared" si="8"/>
        <v>414.83728433249377</v>
      </c>
      <c r="H106" s="36">
        <f t="shared" si="9"/>
        <v>3985.1606919619053</v>
      </c>
      <c r="I106" s="747">
        <f t="shared" si="7"/>
        <v>142427.99848421244</v>
      </c>
      <c r="J106" s="747"/>
      <c r="K106" s="37">
        <f t="shared" si="10"/>
        <v>0</v>
      </c>
    </row>
    <row r="107" spans="5:11">
      <c r="E107" s="226">
        <f t="shared" si="11"/>
        <v>48274</v>
      </c>
      <c r="F107" s="35">
        <f t="shared" si="12"/>
        <v>87</v>
      </c>
      <c r="G107" s="36">
        <f t="shared" si="8"/>
        <v>403.54599570526835</v>
      </c>
      <c r="H107" s="36">
        <f t="shared" si="9"/>
        <v>3996.4519805891309</v>
      </c>
      <c r="I107" s="747">
        <f t="shared" si="7"/>
        <v>138431.54650362331</v>
      </c>
      <c r="J107" s="747"/>
      <c r="K107" s="37">
        <f t="shared" si="10"/>
        <v>0</v>
      </c>
    </row>
    <row r="108" spans="5:11">
      <c r="E108" s="226">
        <f t="shared" si="11"/>
        <v>48305</v>
      </c>
      <c r="F108" s="35">
        <f t="shared" si="12"/>
        <v>88</v>
      </c>
      <c r="G108" s="36">
        <f t="shared" si="8"/>
        <v>392.22271509359916</v>
      </c>
      <c r="H108" s="36">
        <f t="shared" si="9"/>
        <v>4007.7752612008003</v>
      </c>
      <c r="I108" s="747">
        <f t="shared" si="7"/>
        <v>134423.77124242252</v>
      </c>
      <c r="J108" s="747"/>
      <c r="K108" s="37">
        <f t="shared" si="10"/>
        <v>0</v>
      </c>
    </row>
    <row r="109" spans="5:11">
      <c r="E109" s="226">
        <f t="shared" si="11"/>
        <v>48335</v>
      </c>
      <c r="F109" s="35">
        <f t="shared" si="12"/>
        <v>89</v>
      </c>
      <c r="G109" s="36">
        <f t="shared" si="8"/>
        <v>380.86735185353024</v>
      </c>
      <c r="H109" s="36">
        <f t="shared" si="9"/>
        <v>4019.1306244408697</v>
      </c>
      <c r="I109" s="747">
        <f t="shared" si="7"/>
        <v>130404.64061798164</v>
      </c>
      <c r="J109" s="747"/>
      <c r="K109" s="37">
        <f t="shared" si="10"/>
        <v>0</v>
      </c>
    </row>
    <row r="110" spans="5:11">
      <c r="E110" s="226">
        <f t="shared" si="11"/>
        <v>48366</v>
      </c>
      <c r="F110" s="35">
        <f t="shared" si="12"/>
        <v>90</v>
      </c>
      <c r="G110" s="36">
        <f t="shared" si="8"/>
        <v>369.47981508428109</v>
      </c>
      <c r="H110" s="36">
        <f t="shared" si="9"/>
        <v>4030.5181612101183</v>
      </c>
      <c r="I110" s="747">
        <f t="shared" si="7"/>
        <v>126374.12245677153</v>
      </c>
      <c r="J110" s="747"/>
      <c r="K110" s="37">
        <f t="shared" si="10"/>
        <v>0</v>
      </c>
    </row>
    <row r="111" spans="5:11">
      <c r="E111" s="226">
        <f t="shared" si="11"/>
        <v>48396</v>
      </c>
      <c r="F111" s="35">
        <f t="shared" si="12"/>
        <v>91</v>
      </c>
      <c r="G111" s="36">
        <f t="shared" si="8"/>
        <v>358.06001362751908</v>
      </c>
      <c r="H111" s="36">
        <f t="shared" si="9"/>
        <v>4041.9379626668806</v>
      </c>
      <c r="I111" s="747">
        <f t="shared" si="7"/>
        <v>122332.18449410464</v>
      </c>
      <c r="J111" s="747"/>
      <c r="K111" s="37">
        <f t="shared" si="10"/>
        <v>0</v>
      </c>
    </row>
    <row r="112" spans="5:11">
      <c r="E112" s="226">
        <f t="shared" si="11"/>
        <v>48427</v>
      </c>
      <c r="F112" s="35">
        <f t="shared" si="12"/>
        <v>92</v>
      </c>
      <c r="G112" s="36">
        <f t="shared" si="8"/>
        <v>346.60785606662961</v>
      </c>
      <c r="H112" s="36">
        <f t="shared" si="9"/>
        <v>4053.3901202277702</v>
      </c>
      <c r="I112" s="747">
        <f t="shared" si="7"/>
        <v>118278.79437387688</v>
      </c>
      <c r="J112" s="747"/>
      <c r="K112" s="37">
        <f t="shared" si="10"/>
        <v>0</v>
      </c>
    </row>
    <row r="113" spans="5:11">
      <c r="E113" s="226">
        <f t="shared" si="11"/>
        <v>48458</v>
      </c>
      <c r="F113" s="35">
        <f t="shared" si="12"/>
        <v>93</v>
      </c>
      <c r="G113" s="36">
        <f t="shared" si="8"/>
        <v>335.12325072598424</v>
      </c>
      <c r="H113" s="36">
        <f t="shared" si="9"/>
        <v>4064.8747255684157</v>
      </c>
      <c r="I113" s="747">
        <f t="shared" ref="I113:I140" si="13">IF(F113&lt;&gt;"",I112-H113,"")</f>
        <v>114213.91964830847</v>
      </c>
      <c r="J113" s="747"/>
      <c r="K113" s="37">
        <f t="shared" si="10"/>
        <v>0</v>
      </c>
    </row>
    <row r="114" spans="5:11">
      <c r="E114" s="226">
        <f t="shared" si="11"/>
        <v>48488</v>
      </c>
      <c r="F114" s="35">
        <f t="shared" si="12"/>
        <v>94</v>
      </c>
      <c r="G114" s="36">
        <f t="shared" si="8"/>
        <v>323.60610567020711</v>
      </c>
      <c r="H114" s="36">
        <f t="shared" si="9"/>
        <v>4076.3918706241925</v>
      </c>
      <c r="I114" s="747">
        <f t="shared" si="13"/>
        <v>110137.52777768427</v>
      </c>
      <c r="J114" s="747"/>
      <c r="K114" s="37">
        <f t="shared" si="10"/>
        <v>0</v>
      </c>
    </row>
    <row r="115" spans="5:11">
      <c r="E115" s="226">
        <f t="shared" si="11"/>
        <v>48519</v>
      </c>
      <c r="F115" s="35">
        <f t="shared" si="12"/>
        <v>95</v>
      </c>
      <c r="G115" s="36">
        <f t="shared" si="8"/>
        <v>312.05632870343857</v>
      </c>
      <c r="H115" s="36">
        <f t="shared" si="9"/>
        <v>4087.9416475909611</v>
      </c>
      <c r="I115" s="747">
        <f t="shared" si="13"/>
        <v>106049.5861300933</v>
      </c>
      <c r="J115" s="747"/>
      <c r="K115" s="37">
        <f t="shared" si="10"/>
        <v>0</v>
      </c>
    </row>
    <row r="116" spans="5:11">
      <c r="E116" s="226">
        <f t="shared" si="11"/>
        <v>48549</v>
      </c>
      <c r="F116" s="35">
        <f t="shared" si="12"/>
        <v>96</v>
      </c>
      <c r="G116" s="36">
        <f t="shared" si="8"/>
        <v>300.47382736859748</v>
      </c>
      <c r="H116" s="36">
        <f t="shared" si="9"/>
        <v>4099.5241489258024</v>
      </c>
      <c r="I116" s="747">
        <f t="shared" si="13"/>
        <v>101950.0619811675</v>
      </c>
      <c r="J116" s="747"/>
      <c r="K116" s="37">
        <f t="shared" si="10"/>
        <v>0</v>
      </c>
    </row>
    <row r="117" spans="5:11">
      <c r="E117" s="226">
        <f t="shared" si="11"/>
        <v>48580</v>
      </c>
      <c r="F117" s="35">
        <f t="shared" si="12"/>
        <v>97</v>
      </c>
      <c r="G117" s="36">
        <f t="shared" si="8"/>
        <v>288.858508946641</v>
      </c>
      <c r="H117" s="36">
        <f t="shared" si="9"/>
        <v>4111.139467347758</v>
      </c>
      <c r="I117" s="747">
        <f t="shared" si="13"/>
        <v>97838.922513819736</v>
      </c>
      <c r="J117" s="747"/>
      <c r="K117" s="37">
        <f t="shared" si="10"/>
        <v>0</v>
      </c>
    </row>
    <row r="118" spans="5:11">
      <c r="E118" s="226">
        <f t="shared" si="11"/>
        <v>48611</v>
      </c>
      <c r="F118" s="35">
        <f t="shared" si="12"/>
        <v>98</v>
      </c>
      <c r="G118" s="36">
        <f t="shared" si="8"/>
        <v>277.21028045582239</v>
      </c>
      <c r="H118" s="36">
        <f t="shared" si="9"/>
        <v>4122.7876958385768</v>
      </c>
      <c r="I118" s="747">
        <f t="shared" si="13"/>
        <v>93716.134817981161</v>
      </c>
      <c r="J118" s="747"/>
      <c r="K118" s="37">
        <f t="shared" si="10"/>
        <v>0</v>
      </c>
    </row>
    <row r="119" spans="5:11">
      <c r="E119" s="226">
        <f t="shared" si="11"/>
        <v>48639</v>
      </c>
      <c r="F119" s="35">
        <f t="shared" si="12"/>
        <v>99</v>
      </c>
      <c r="G119" s="36">
        <f t="shared" si="8"/>
        <v>265.52904865094638</v>
      </c>
      <c r="H119" s="36">
        <f t="shared" si="9"/>
        <v>4134.4689276434528</v>
      </c>
      <c r="I119" s="747">
        <f t="shared" si="13"/>
        <v>89581.66589033771</v>
      </c>
      <c r="J119" s="747"/>
      <c r="K119" s="37">
        <f t="shared" si="10"/>
        <v>0</v>
      </c>
    </row>
    <row r="120" spans="5:11">
      <c r="E120" s="226">
        <f t="shared" si="11"/>
        <v>48670</v>
      </c>
      <c r="F120" s="35">
        <f t="shared" si="12"/>
        <v>100</v>
      </c>
      <c r="G120" s="36">
        <f t="shared" si="8"/>
        <v>253.81472002262328</v>
      </c>
      <c r="H120" s="36">
        <f t="shared" si="9"/>
        <v>4146.1832562717764</v>
      </c>
      <c r="I120" s="747">
        <f t="shared" si="13"/>
        <v>85435.482634065935</v>
      </c>
      <c r="J120" s="747"/>
      <c r="K120" s="37">
        <f t="shared" si="10"/>
        <v>0</v>
      </c>
    </row>
    <row r="121" spans="5:11">
      <c r="E121" s="226">
        <f t="shared" si="11"/>
        <v>48700</v>
      </c>
      <c r="F121" s="35">
        <f t="shared" si="12"/>
        <v>101</v>
      </c>
      <c r="G121" s="36">
        <f t="shared" si="8"/>
        <v>242.06720079651987</v>
      </c>
      <c r="H121" s="36">
        <f t="shared" si="9"/>
        <v>4157.930775497879</v>
      </c>
      <c r="I121" s="747">
        <f t="shared" si="13"/>
        <v>81277.551858568055</v>
      </c>
      <c r="J121" s="747"/>
      <c r="K121" s="37">
        <f t="shared" si="10"/>
        <v>0</v>
      </c>
    </row>
    <row r="122" spans="5:11">
      <c r="E122" s="226">
        <f t="shared" si="11"/>
        <v>48731</v>
      </c>
      <c r="F122" s="35">
        <f t="shared" si="12"/>
        <v>102</v>
      </c>
      <c r="G122" s="36">
        <f t="shared" si="8"/>
        <v>230.28639693260925</v>
      </c>
      <c r="H122" s="36">
        <f t="shared" si="9"/>
        <v>4169.7115793617904</v>
      </c>
      <c r="I122" s="747">
        <f t="shared" si="13"/>
        <v>77107.84027920627</v>
      </c>
      <c r="J122" s="747"/>
      <c r="K122" s="37">
        <f t="shared" si="10"/>
        <v>0</v>
      </c>
    </row>
    <row r="123" spans="5:11">
      <c r="E123" s="226">
        <f t="shared" si="11"/>
        <v>48761</v>
      </c>
      <c r="F123" s="35">
        <f t="shared" si="12"/>
        <v>103</v>
      </c>
      <c r="G123" s="36">
        <f t="shared" si="8"/>
        <v>218.47221412441749</v>
      </c>
      <c r="H123" s="36">
        <f t="shared" si="9"/>
        <v>4181.525762169982</v>
      </c>
      <c r="I123" s="747">
        <f t="shared" si="13"/>
        <v>72926.314517036284</v>
      </c>
      <c r="J123" s="747"/>
      <c r="K123" s="37">
        <f t="shared" si="10"/>
        <v>0</v>
      </c>
    </row>
    <row r="124" spans="5:11">
      <c r="E124" s="226">
        <f t="shared" si="11"/>
        <v>48792</v>
      </c>
      <c r="F124" s="35">
        <f t="shared" si="12"/>
        <v>104</v>
      </c>
      <c r="G124" s="36">
        <f t="shared" si="8"/>
        <v>206.62455779826919</v>
      </c>
      <c r="H124" s="36">
        <f t="shared" si="9"/>
        <v>4193.3734184961295</v>
      </c>
      <c r="I124" s="747">
        <f t="shared" si="13"/>
        <v>68732.941098540148</v>
      </c>
      <c r="J124" s="747"/>
      <c r="K124" s="37">
        <f t="shared" si="10"/>
        <v>0</v>
      </c>
    </row>
    <row r="125" spans="5:11">
      <c r="E125" s="226">
        <f t="shared" si="11"/>
        <v>48823</v>
      </c>
      <c r="F125" s="35">
        <f t="shared" si="12"/>
        <v>105</v>
      </c>
      <c r="G125" s="36">
        <f t="shared" si="8"/>
        <v>194.74333311253014</v>
      </c>
      <c r="H125" s="36">
        <f t="shared" si="9"/>
        <v>4205.2546431818691</v>
      </c>
      <c r="I125" s="747">
        <f t="shared" si="13"/>
        <v>64527.686455358278</v>
      </c>
      <c r="J125" s="747"/>
      <c r="K125" s="37">
        <f t="shared" si="10"/>
        <v>0</v>
      </c>
    </row>
    <row r="126" spans="5:11">
      <c r="E126" s="226">
        <f t="shared" si="11"/>
        <v>48853</v>
      </c>
      <c r="F126" s="35">
        <f t="shared" si="12"/>
        <v>106</v>
      </c>
      <c r="G126" s="36">
        <f t="shared" si="8"/>
        <v>182.82844495684819</v>
      </c>
      <c r="H126" s="36">
        <f t="shared" si="9"/>
        <v>4217.1695313375512</v>
      </c>
      <c r="I126" s="747">
        <f t="shared" si="13"/>
        <v>60310.516924020725</v>
      </c>
      <c r="J126" s="747"/>
      <c r="K126" s="37">
        <f t="shared" si="10"/>
        <v>0</v>
      </c>
    </row>
    <row r="127" spans="5:11">
      <c r="E127" s="226">
        <f t="shared" si="11"/>
        <v>48884</v>
      </c>
      <c r="F127" s="35">
        <f t="shared" si="12"/>
        <v>107</v>
      </c>
      <c r="G127" s="36">
        <f t="shared" si="8"/>
        <v>170.87979795139179</v>
      </c>
      <c r="H127" s="36">
        <f t="shared" si="9"/>
        <v>4229.1181783430075</v>
      </c>
      <c r="I127" s="747">
        <f t="shared" si="13"/>
        <v>56081.398745677718</v>
      </c>
      <c r="J127" s="747"/>
      <c r="K127" s="37">
        <f t="shared" si="10"/>
        <v>0</v>
      </c>
    </row>
    <row r="128" spans="5:11">
      <c r="E128" s="226">
        <f t="shared" si="11"/>
        <v>48914</v>
      </c>
      <c r="F128" s="35">
        <f t="shared" si="12"/>
        <v>108</v>
      </c>
      <c r="G128" s="36">
        <f t="shared" si="8"/>
        <v>158.89729644608664</v>
      </c>
      <c r="H128" s="36">
        <f t="shared" si="9"/>
        <v>4241.1006798483131</v>
      </c>
      <c r="I128" s="747">
        <f t="shared" si="13"/>
        <v>51840.298065829404</v>
      </c>
      <c r="J128" s="747"/>
      <c r="K128" s="37">
        <f t="shared" si="10"/>
        <v>0</v>
      </c>
    </row>
    <row r="129" spans="5:11">
      <c r="E129" s="226">
        <f t="shared" si="11"/>
        <v>48945</v>
      </c>
      <c r="F129" s="35">
        <f t="shared" si="12"/>
        <v>109</v>
      </c>
      <c r="G129" s="36">
        <f t="shared" si="8"/>
        <v>146.88084451984975</v>
      </c>
      <c r="H129" s="36">
        <f t="shared" si="9"/>
        <v>4253.1171317745493</v>
      </c>
      <c r="I129" s="747">
        <f t="shared" si="13"/>
        <v>47587.180934054857</v>
      </c>
      <c r="J129" s="747"/>
      <c r="K129" s="37">
        <f t="shared" si="10"/>
        <v>0</v>
      </c>
    </row>
    <row r="130" spans="5:11">
      <c r="E130" s="226">
        <f t="shared" si="11"/>
        <v>48976</v>
      </c>
      <c r="F130" s="35">
        <f t="shared" si="12"/>
        <v>110</v>
      </c>
      <c r="G130" s="36">
        <f t="shared" si="8"/>
        <v>134.83034597982183</v>
      </c>
      <c r="H130" s="36">
        <f t="shared" si="9"/>
        <v>4265.1676303145778</v>
      </c>
      <c r="I130" s="747">
        <f t="shared" si="13"/>
        <v>43322.013303740277</v>
      </c>
      <c r="J130" s="747"/>
      <c r="K130" s="37">
        <f t="shared" si="10"/>
        <v>0</v>
      </c>
    </row>
    <row r="131" spans="5:11">
      <c r="E131" s="226">
        <f t="shared" si="11"/>
        <v>49004</v>
      </c>
      <c r="F131" s="35">
        <f t="shared" si="12"/>
        <v>111</v>
      </c>
      <c r="G131" s="36">
        <f t="shared" si="8"/>
        <v>122.74570436059722</v>
      </c>
      <c r="H131" s="36">
        <f t="shared" si="9"/>
        <v>4277.2522719338021</v>
      </c>
      <c r="I131" s="747">
        <f t="shared" si="13"/>
        <v>39044.761031806476</v>
      </c>
      <c r="J131" s="747"/>
      <c r="K131" s="37">
        <f t="shared" si="10"/>
        <v>0</v>
      </c>
    </row>
    <row r="132" spans="5:11">
      <c r="E132" s="226">
        <f t="shared" si="11"/>
        <v>49035</v>
      </c>
      <c r="F132" s="35">
        <f t="shared" si="12"/>
        <v>112</v>
      </c>
      <c r="G132" s="36">
        <f t="shared" si="8"/>
        <v>110.62682292345144</v>
      </c>
      <c r="H132" s="36">
        <f t="shared" si="9"/>
        <v>4289.3711533709475</v>
      </c>
      <c r="I132" s="747">
        <f t="shared" si="13"/>
        <v>34755.389878435526</v>
      </c>
      <c r="J132" s="747"/>
      <c r="K132" s="37">
        <f t="shared" si="10"/>
        <v>0</v>
      </c>
    </row>
    <row r="133" spans="5:11">
      <c r="E133" s="226">
        <f t="shared" si="11"/>
        <v>49065</v>
      </c>
      <c r="F133" s="35">
        <f t="shared" si="12"/>
        <v>113</v>
      </c>
      <c r="G133" s="36">
        <f t="shared" si="8"/>
        <v>98.473604655567058</v>
      </c>
      <c r="H133" s="36">
        <f t="shared" si="9"/>
        <v>4301.5243716388322</v>
      </c>
      <c r="I133" s="747">
        <f t="shared" si="13"/>
        <v>30453.865506796694</v>
      </c>
      <c r="J133" s="747"/>
      <c r="K133" s="37">
        <f t="shared" si="10"/>
        <v>0</v>
      </c>
    </row>
    <row r="134" spans="5:11">
      <c r="E134" s="226">
        <f t="shared" si="11"/>
        <v>49096</v>
      </c>
      <c r="F134" s="35">
        <f t="shared" si="12"/>
        <v>114</v>
      </c>
      <c r="G134" s="36">
        <f t="shared" si="8"/>
        <v>86.285952269257052</v>
      </c>
      <c r="H134" s="36">
        <f t="shared" si="9"/>
        <v>4313.7120240251425</v>
      </c>
      <c r="I134" s="747">
        <f t="shared" si="13"/>
        <v>26140.153482771551</v>
      </c>
      <c r="J134" s="747"/>
      <c r="K134" s="37">
        <f t="shared" si="10"/>
        <v>0</v>
      </c>
    </row>
    <row r="135" spans="5:11">
      <c r="E135" s="226">
        <f t="shared" si="11"/>
        <v>49126</v>
      </c>
      <c r="F135" s="35">
        <f t="shared" si="12"/>
        <v>115</v>
      </c>
      <c r="G135" s="36">
        <f t="shared" si="8"/>
        <v>74.063768201185809</v>
      </c>
      <c r="H135" s="36">
        <f t="shared" si="9"/>
        <v>4325.9342080932138</v>
      </c>
      <c r="I135" s="747">
        <f t="shared" si="13"/>
        <v>21814.219274678337</v>
      </c>
      <c r="J135" s="747"/>
      <c r="K135" s="37">
        <f t="shared" si="10"/>
        <v>0</v>
      </c>
    </row>
    <row r="136" spans="5:11">
      <c r="E136" s="226">
        <f t="shared" si="11"/>
        <v>49157</v>
      </c>
      <c r="F136" s="35">
        <f t="shared" si="12"/>
        <v>116</v>
      </c>
      <c r="G136" s="36">
        <f t="shared" si="8"/>
        <v>61.806954611588381</v>
      </c>
      <c r="H136" s="36">
        <f t="shared" si="9"/>
        <v>4338.191021682811</v>
      </c>
      <c r="I136" s="747">
        <f t="shared" si="13"/>
        <v>17476.028252995526</v>
      </c>
      <c r="J136" s="747"/>
      <c r="K136" s="37">
        <f t="shared" si="10"/>
        <v>0</v>
      </c>
    </row>
    <row r="137" spans="5:11">
      <c r="E137" s="226">
        <f t="shared" si="11"/>
        <v>49188</v>
      </c>
      <c r="F137" s="35">
        <f t="shared" si="12"/>
        <v>117</v>
      </c>
      <c r="G137" s="36">
        <f t="shared" si="8"/>
        <v>49.515413383487079</v>
      </c>
      <c r="H137" s="36">
        <f t="shared" si="9"/>
        <v>4350.4825629109127</v>
      </c>
      <c r="I137" s="747">
        <f t="shared" si="13"/>
        <v>13125.545690084613</v>
      </c>
      <c r="J137" s="747"/>
      <c r="K137" s="37">
        <f t="shared" si="10"/>
        <v>0</v>
      </c>
    </row>
    <row r="138" spans="5:11">
      <c r="E138" s="226">
        <f t="shared" si="11"/>
        <v>49218</v>
      </c>
      <c r="F138" s="35">
        <f t="shared" si="12"/>
        <v>118</v>
      </c>
      <c r="G138" s="36">
        <f t="shared" si="8"/>
        <v>37.189046121906159</v>
      </c>
      <c r="H138" s="36">
        <f t="shared" si="9"/>
        <v>4362.8089301724931</v>
      </c>
      <c r="I138" s="747">
        <f t="shared" si="13"/>
        <v>8762.7367599121208</v>
      </c>
      <c r="J138" s="747"/>
      <c r="K138" s="37">
        <f t="shared" si="10"/>
        <v>0</v>
      </c>
    </row>
    <row r="139" spans="5:11">
      <c r="E139" s="226">
        <f t="shared" si="11"/>
        <v>49249</v>
      </c>
      <c r="F139" s="35">
        <f t="shared" si="12"/>
        <v>119</v>
      </c>
      <c r="G139" s="36">
        <f t="shared" si="8"/>
        <v>24.827754153084097</v>
      </c>
      <c r="H139" s="36">
        <f t="shared" si="9"/>
        <v>4375.1702221413152</v>
      </c>
      <c r="I139" s="747">
        <f t="shared" si="13"/>
        <v>4387.5665377708056</v>
      </c>
      <c r="J139" s="747"/>
      <c r="K139" s="37">
        <f t="shared" si="10"/>
        <v>0</v>
      </c>
    </row>
    <row r="140" spans="5:11">
      <c r="E140" s="226">
        <f t="shared" si="11"/>
        <v>49279</v>
      </c>
      <c r="F140" s="35">
        <f t="shared" si="12"/>
        <v>120</v>
      </c>
      <c r="G140" s="36">
        <f t="shared" si="8"/>
        <v>12.431438523683696</v>
      </c>
      <c r="H140" s="36">
        <f t="shared" si="9"/>
        <v>4387.5665377707155</v>
      </c>
      <c r="I140" s="747">
        <f t="shared" si="13"/>
        <v>9.0039975475519896E-11</v>
      </c>
      <c r="J140" s="747"/>
      <c r="K140" s="37">
        <f t="shared" si="10"/>
        <v>0</v>
      </c>
    </row>
    <row r="141" spans="5:11">
      <c r="E141" s="226" t="str">
        <f t="shared" si="11"/>
        <v/>
      </c>
      <c r="F141" s="35" t="str">
        <f t="shared" si="12"/>
        <v/>
      </c>
      <c r="G141" s="36" t="str">
        <f t="shared" si="8"/>
        <v/>
      </c>
      <c r="H141" s="36" t="str">
        <f t="shared" si="9"/>
        <v/>
      </c>
      <c r="I141" s="747" t="str">
        <f t="shared" ref="I141:I165" si="14">IF(F141&lt;&gt;"",I140-H141,"")</f>
        <v/>
      </c>
      <c r="J141" s="747"/>
      <c r="K141" s="37" t="str">
        <f t="shared" si="10"/>
        <v/>
      </c>
    </row>
    <row r="142" spans="5:11">
      <c r="E142" s="226" t="str">
        <f t="shared" si="11"/>
        <v/>
      </c>
      <c r="F142" s="35" t="str">
        <f t="shared" si="12"/>
        <v/>
      </c>
      <c r="G142" s="36" t="str">
        <f t="shared" si="8"/>
        <v/>
      </c>
      <c r="H142" s="36" t="str">
        <f t="shared" si="9"/>
        <v/>
      </c>
      <c r="I142" s="747" t="str">
        <f t="shared" si="14"/>
        <v/>
      </c>
      <c r="J142" s="747"/>
      <c r="K142" s="37" t="str">
        <f t="shared" si="10"/>
        <v/>
      </c>
    </row>
    <row r="143" spans="5:11">
      <c r="E143" s="226" t="str">
        <f t="shared" si="11"/>
        <v/>
      </c>
      <c r="F143" s="35" t="str">
        <f t="shared" si="12"/>
        <v/>
      </c>
      <c r="G143" s="36" t="str">
        <f t="shared" si="8"/>
        <v/>
      </c>
      <c r="H143" s="36" t="str">
        <f t="shared" si="9"/>
        <v/>
      </c>
      <c r="I143" s="747" t="str">
        <f t="shared" si="14"/>
        <v/>
      </c>
      <c r="J143" s="747"/>
      <c r="K143" s="37" t="str">
        <f t="shared" si="10"/>
        <v/>
      </c>
    </row>
    <row r="144" spans="5:11">
      <c r="E144" s="226" t="str">
        <f t="shared" si="11"/>
        <v/>
      </c>
      <c r="F144" s="35" t="str">
        <f t="shared" si="12"/>
        <v/>
      </c>
      <c r="G144" s="36" t="str">
        <f t="shared" si="8"/>
        <v/>
      </c>
      <c r="H144" s="36" t="str">
        <f t="shared" si="9"/>
        <v/>
      </c>
      <c r="I144" s="747" t="str">
        <f t="shared" si="14"/>
        <v/>
      </c>
      <c r="J144" s="747"/>
      <c r="K144" s="37" t="str">
        <f t="shared" si="10"/>
        <v/>
      </c>
    </row>
    <row r="145" spans="5:11">
      <c r="E145" s="226" t="str">
        <f t="shared" si="11"/>
        <v/>
      </c>
      <c r="F145" s="35" t="str">
        <f t="shared" si="12"/>
        <v/>
      </c>
      <c r="G145" s="36" t="str">
        <f t="shared" si="8"/>
        <v/>
      </c>
      <c r="H145" s="36" t="str">
        <f t="shared" si="9"/>
        <v/>
      </c>
      <c r="I145" s="747" t="str">
        <f t="shared" si="14"/>
        <v/>
      </c>
      <c r="J145" s="747"/>
      <c r="K145" s="37" t="str">
        <f t="shared" si="10"/>
        <v/>
      </c>
    </row>
    <row r="146" spans="5:11">
      <c r="E146" s="226" t="str">
        <f t="shared" si="11"/>
        <v/>
      </c>
      <c r="F146" s="35" t="str">
        <f t="shared" si="12"/>
        <v/>
      </c>
      <c r="G146" s="36" t="str">
        <f t="shared" si="8"/>
        <v/>
      </c>
      <c r="H146" s="36" t="str">
        <f t="shared" si="9"/>
        <v/>
      </c>
      <c r="I146" s="747" t="str">
        <f t="shared" si="14"/>
        <v/>
      </c>
      <c r="J146" s="747"/>
      <c r="K146" s="37" t="str">
        <f t="shared" si="10"/>
        <v/>
      </c>
    </row>
    <row r="147" spans="5:11">
      <c r="E147" s="226" t="str">
        <f t="shared" si="11"/>
        <v/>
      </c>
      <c r="F147" s="35" t="str">
        <f t="shared" si="12"/>
        <v/>
      </c>
      <c r="G147" s="36" t="str">
        <f t="shared" si="8"/>
        <v/>
      </c>
      <c r="H147" s="36" t="str">
        <f t="shared" si="9"/>
        <v/>
      </c>
      <c r="I147" s="747" t="str">
        <f t="shared" si="14"/>
        <v/>
      </c>
      <c r="J147" s="747"/>
      <c r="K147" s="37" t="str">
        <f t="shared" si="10"/>
        <v/>
      </c>
    </row>
    <row r="148" spans="5:11">
      <c r="E148" s="226" t="str">
        <f t="shared" si="11"/>
        <v/>
      </c>
      <c r="F148" s="35" t="str">
        <f t="shared" si="12"/>
        <v/>
      </c>
      <c r="G148" s="36" t="str">
        <f t="shared" si="8"/>
        <v/>
      </c>
      <c r="H148" s="36" t="str">
        <f t="shared" si="9"/>
        <v/>
      </c>
      <c r="I148" s="747" t="str">
        <f t="shared" si="14"/>
        <v/>
      </c>
      <c r="J148" s="747"/>
      <c r="K148" s="37" t="str">
        <f t="shared" si="10"/>
        <v/>
      </c>
    </row>
    <row r="149" spans="5:11">
      <c r="E149" s="226" t="str">
        <f t="shared" si="11"/>
        <v/>
      </c>
      <c r="F149" s="35" t="str">
        <f t="shared" si="12"/>
        <v/>
      </c>
      <c r="G149" s="36" t="str">
        <f t="shared" si="8"/>
        <v/>
      </c>
      <c r="H149" s="36" t="str">
        <f t="shared" si="9"/>
        <v/>
      </c>
      <c r="I149" s="747" t="str">
        <f t="shared" si="14"/>
        <v/>
      </c>
      <c r="J149" s="747"/>
      <c r="K149" s="37" t="str">
        <f t="shared" si="10"/>
        <v/>
      </c>
    </row>
    <row r="150" spans="5:11">
      <c r="E150" s="226" t="str">
        <f t="shared" si="11"/>
        <v/>
      </c>
      <c r="F150" s="35" t="str">
        <f t="shared" si="12"/>
        <v/>
      </c>
      <c r="G150" s="36" t="str">
        <f t="shared" ref="G150:G213" si="15">IFERROR(IF(F150&lt;&gt;"",-IPMT($G$14/12,F150,$G$15,$G$13),""),0)</f>
        <v/>
      </c>
      <c r="H150" s="36" t="str">
        <f t="shared" ref="H150:H213" si="16">IFERROR(IF(F150&lt;&gt;"",-PPMT($G$14/12,F150,$G$15,$G$13),""),0)</f>
        <v/>
      </c>
      <c r="I150" s="747" t="str">
        <f t="shared" si="14"/>
        <v/>
      </c>
      <c r="J150" s="747"/>
      <c r="K150" s="37" t="str">
        <f t="shared" ref="K150:K213" si="17">IF(F150&lt;&gt;"",$G$13*($G$16/12),"")</f>
        <v/>
      </c>
    </row>
    <row r="151" spans="5:11">
      <c r="E151" s="226" t="str">
        <f t="shared" ref="E151:E172" si="18">IFERROR(IF($G$15&lt;=F150,"",DATE(YEAR(E150),MONTH(E150)+1,DAY(E150))),"")</f>
        <v/>
      </c>
      <c r="F151" s="35" t="str">
        <f t="shared" ref="F151:F214" si="19">IF(OR(F150="",F150=$G$15),"",IF(F150&lt;$G$15,F150+1,0))</f>
        <v/>
      </c>
      <c r="G151" s="36" t="str">
        <f t="shared" si="15"/>
        <v/>
      </c>
      <c r="H151" s="36" t="str">
        <f t="shared" si="16"/>
        <v/>
      </c>
      <c r="I151" s="747" t="str">
        <f t="shared" si="14"/>
        <v/>
      </c>
      <c r="J151" s="747"/>
      <c r="K151" s="37" t="str">
        <f t="shared" si="17"/>
        <v/>
      </c>
    </row>
    <row r="152" spans="5:11">
      <c r="E152" s="226" t="str">
        <f t="shared" si="18"/>
        <v/>
      </c>
      <c r="F152" s="35" t="str">
        <f t="shared" si="19"/>
        <v/>
      </c>
      <c r="G152" s="36" t="str">
        <f t="shared" si="15"/>
        <v/>
      </c>
      <c r="H152" s="36" t="str">
        <f t="shared" si="16"/>
        <v/>
      </c>
      <c r="I152" s="747" t="str">
        <f t="shared" si="14"/>
        <v/>
      </c>
      <c r="J152" s="747"/>
      <c r="K152" s="37" t="str">
        <f t="shared" si="17"/>
        <v/>
      </c>
    </row>
    <row r="153" spans="5:11">
      <c r="E153" s="226" t="str">
        <f t="shared" si="18"/>
        <v/>
      </c>
      <c r="F153" s="35" t="str">
        <f t="shared" si="19"/>
        <v/>
      </c>
      <c r="G153" s="36" t="str">
        <f t="shared" si="15"/>
        <v/>
      </c>
      <c r="H153" s="36" t="str">
        <f t="shared" si="16"/>
        <v/>
      </c>
      <c r="I153" s="747" t="str">
        <f t="shared" si="14"/>
        <v/>
      </c>
      <c r="J153" s="747"/>
      <c r="K153" s="37" t="str">
        <f t="shared" si="17"/>
        <v/>
      </c>
    </row>
    <row r="154" spans="5:11">
      <c r="E154" s="226" t="str">
        <f t="shared" si="18"/>
        <v/>
      </c>
      <c r="F154" s="35" t="str">
        <f t="shared" si="19"/>
        <v/>
      </c>
      <c r="G154" s="36" t="str">
        <f t="shared" si="15"/>
        <v/>
      </c>
      <c r="H154" s="36" t="str">
        <f t="shared" si="16"/>
        <v/>
      </c>
      <c r="I154" s="747" t="str">
        <f t="shared" si="14"/>
        <v/>
      </c>
      <c r="J154" s="747"/>
      <c r="K154" s="37" t="str">
        <f t="shared" si="17"/>
        <v/>
      </c>
    </row>
    <row r="155" spans="5:11">
      <c r="E155" s="226" t="str">
        <f t="shared" si="18"/>
        <v/>
      </c>
      <c r="F155" s="35" t="str">
        <f t="shared" si="19"/>
        <v/>
      </c>
      <c r="G155" s="36" t="str">
        <f t="shared" si="15"/>
        <v/>
      </c>
      <c r="H155" s="36" t="str">
        <f t="shared" si="16"/>
        <v/>
      </c>
      <c r="I155" s="747" t="str">
        <f t="shared" si="14"/>
        <v/>
      </c>
      <c r="J155" s="747"/>
      <c r="K155" s="37" t="str">
        <f t="shared" si="17"/>
        <v/>
      </c>
    </row>
    <row r="156" spans="5:11">
      <c r="E156" s="226" t="str">
        <f t="shared" si="18"/>
        <v/>
      </c>
      <c r="F156" s="35" t="str">
        <f t="shared" si="19"/>
        <v/>
      </c>
      <c r="G156" s="36" t="str">
        <f t="shared" si="15"/>
        <v/>
      </c>
      <c r="H156" s="36" t="str">
        <f t="shared" si="16"/>
        <v/>
      </c>
      <c r="I156" s="747" t="str">
        <f t="shared" si="14"/>
        <v/>
      </c>
      <c r="J156" s="747"/>
      <c r="K156" s="37" t="str">
        <f t="shared" si="17"/>
        <v/>
      </c>
    </row>
    <row r="157" spans="5:11">
      <c r="E157" s="226" t="str">
        <f t="shared" si="18"/>
        <v/>
      </c>
      <c r="F157" s="35" t="str">
        <f t="shared" si="19"/>
        <v/>
      </c>
      <c r="G157" s="36" t="str">
        <f t="shared" si="15"/>
        <v/>
      </c>
      <c r="H157" s="36" t="str">
        <f t="shared" si="16"/>
        <v/>
      </c>
      <c r="I157" s="747" t="str">
        <f t="shared" si="14"/>
        <v/>
      </c>
      <c r="J157" s="747"/>
      <c r="K157" s="37" t="str">
        <f t="shared" si="17"/>
        <v/>
      </c>
    </row>
    <row r="158" spans="5:11">
      <c r="E158" s="226" t="str">
        <f t="shared" si="18"/>
        <v/>
      </c>
      <c r="F158" s="35" t="str">
        <f t="shared" si="19"/>
        <v/>
      </c>
      <c r="G158" s="36" t="str">
        <f t="shared" si="15"/>
        <v/>
      </c>
      <c r="H158" s="36" t="str">
        <f t="shared" si="16"/>
        <v/>
      </c>
      <c r="I158" s="747" t="str">
        <f t="shared" si="14"/>
        <v/>
      </c>
      <c r="J158" s="747"/>
      <c r="K158" s="37" t="str">
        <f t="shared" si="17"/>
        <v/>
      </c>
    </row>
    <row r="159" spans="5:11">
      <c r="E159" s="226" t="str">
        <f t="shared" si="18"/>
        <v/>
      </c>
      <c r="F159" s="35" t="str">
        <f t="shared" si="19"/>
        <v/>
      </c>
      <c r="G159" s="36" t="str">
        <f t="shared" si="15"/>
        <v/>
      </c>
      <c r="H159" s="36" t="str">
        <f t="shared" si="16"/>
        <v/>
      </c>
      <c r="I159" s="747" t="str">
        <f t="shared" si="14"/>
        <v/>
      </c>
      <c r="J159" s="747"/>
      <c r="K159" s="37" t="str">
        <f t="shared" si="17"/>
        <v/>
      </c>
    </row>
    <row r="160" spans="5:11">
      <c r="E160" s="226" t="str">
        <f t="shared" si="18"/>
        <v/>
      </c>
      <c r="F160" s="35" t="str">
        <f t="shared" si="19"/>
        <v/>
      </c>
      <c r="G160" s="36" t="str">
        <f t="shared" si="15"/>
        <v/>
      </c>
      <c r="H160" s="36" t="str">
        <f t="shared" si="16"/>
        <v/>
      </c>
      <c r="I160" s="747" t="str">
        <f t="shared" si="14"/>
        <v/>
      </c>
      <c r="J160" s="747"/>
      <c r="K160" s="37" t="str">
        <f t="shared" si="17"/>
        <v/>
      </c>
    </row>
    <row r="161" spans="5:11">
      <c r="E161" s="226" t="str">
        <f t="shared" si="18"/>
        <v/>
      </c>
      <c r="F161" s="35" t="str">
        <f t="shared" si="19"/>
        <v/>
      </c>
      <c r="G161" s="36" t="str">
        <f t="shared" si="15"/>
        <v/>
      </c>
      <c r="H161" s="36" t="str">
        <f t="shared" si="16"/>
        <v/>
      </c>
      <c r="I161" s="747" t="str">
        <f t="shared" si="14"/>
        <v/>
      </c>
      <c r="J161" s="747"/>
      <c r="K161" s="37" t="str">
        <f t="shared" si="17"/>
        <v/>
      </c>
    </row>
    <row r="162" spans="5:11">
      <c r="E162" s="226" t="str">
        <f t="shared" si="18"/>
        <v/>
      </c>
      <c r="F162" s="35" t="str">
        <f t="shared" si="19"/>
        <v/>
      </c>
      <c r="G162" s="36" t="str">
        <f t="shared" si="15"/>
        <v/>
      </c>
      <c r="H162" s="36" t="str">
        <f t="shared" si="16"/>
        <v/>
      </c>
      <c r="I162" s="747" t="str">
        <f t="shared" si="14"/>
        <v/>
      </c>
      <c r="J162" s="747"/>
      <c r="K162" s="37" t="str">
        <f t="shared" si="17"/>
        <v/>
      </c>
    </row>
    <row r="163" spans="5:11">
      <c r="E163" s="226" t="str">
        <f t="shared" si="18"/>
        <v/>
      </c>
      <c r="F163" s="35" t="str">
        <f t="shared" si="19"/>
        <v/>
      </c>
      <c r="G163" s="36" t="str">
        <f t="shared" si="15"/>
        <v/>
      </c>
      <c r="H163" s="36" t="str">
        <f t="shared" si="16"/>
        <v/>
      </c>
      <c r="I163" s="747" t="str">
        <f t="shared" si="14"/>
        <v/>
      </c>
      <c r="J163" s="747"/>
      <c r="K163" s="37" t="str">
        <f t="shared" si="17"/>
        <v/>
      </c>
    </row>
    <row r="164" spans="5:11">
      <c r="E164" s="226" t="str">
        <f t="shared" si="18"/>
        <v/>
      </c>
      <c r="F164" s="35" t="str">
        <f t="shared" si="19"/>
        <v/>
      </c>
      <c r="G164" s="36" t="str">
        <f t="shared" si="15"/>
        <v/>
      </c>
      <c r="H164" s="36" t="str">
        <f t="shared" si="16"/>
        <v/>
      </c>
      <c r="I164" s="747" t="str">
        <f t="shared" si="14"/>
        <v/>
      </c>
      <c r="J164" s="747"/>
      <c r="K164" s="37" t="str">
        <f t="shared" si="17"/>
        <v/>
      </c>
    </row>
    <row r="165" spans="5:11">
      <c r="E165" s="226" t="str">
        <f t="shared" si="18"/>
        <v/>
      </c>
      <c r="F165" s="35" t="str">
        <f t="shared" si="19"/>
        <v/>
      </c>
      <c r="G165" s="36" t="str">
        <f t="shared" si="15"/>
        <v/>
      </c>
      <c r="H165" s="36" t="str">
        <f t="shared" si="16"/>
        <v/>
      </c>
      <c r="I165" s="747" t="str">
        <f t="shared" si="14"/>
        <v/>
      </c>
      <c r="J165" s="747"/>
      <c r="K165" s="37" t="str">
        <f t="shared" si="17"/>
        <v/>
      </c>
    </row>
    <row r="166" spans="5:11">
      <c r="E166" s="226" t="str">
        <f t="shared" si="18"/>
        <v/>
      </c>
      <c r="F166" s="35" t="str">
        <f t="shared" si="19"/>
        <v/>
      </c>
      <c r="G166" s="36" t="str">
        <f t="shared" si="15"/>
        <v/>
      </c>
      <c r="H166" s="36" t="str">
        <f t="shared" si="16"/>
        <v/>
      </c>
      <c r="I166" s="747" t="str">
        <f t="shared" ref="I166:I176" si="20">IF(F166&lt;&gt;"",I165-H166,"")</f>
        <v/>
      </c>
      <c r="J166" s="747"/>
      <c r="K166" s="37" t="str">
        <f t="shared" si="17"/>
        <v/>
      </c>
    </row>
    <row r="167" spans="5:11">
      <c r="E167" s="226" t="str">
        <f t="shared" si="18"/>
        <v/>
      </c>
      <c r="F167" s="35" t="str">
        <f t="shared" si="19"/>
        <v/>
      </c>
      <c r="G167" s="36" t="str">
        <f t="shared" si="15"/>
        <v/>
      </c>
      <c r="H167" s="36" t="str">
        <f t="shared" si="16"/>
        <v/>
      </c>
      <c r="I167" s="747" t="str">
        <f t="shared" si="20"/>
        <v/>
      </c>
      <c r="J167" s="747"/>
      <c r="K167" s="37" t="str">
        <f t="shared" si="17"/>
        <v/>
      </c>
    </row>
    <row r="168" spans="5:11">
      <c r="E168" s="226" t="str">
        <f t="shared" si="18"/>
        <v/>
      </c>
      <c r="F168" s="35" t="str">
        <f t="shared" si="19"/>
        <v/>
      </c>
      <c r="G168" s="36" t="str">
        <f t="shared" si="15"/>
        <v/>
      </c>
      <c r="H168" s="36" t="str">
        <f t="shared" si="16"/>
        <v/>
      </c>
      <c r="I168" s="747" t="str">
        <f t="shared" si="20"/>
        <v/>
      </c>
      <c r="J168" s="747"/>
      <c r="K168" s="37" t="str">
        <f t="shared" si="17"/>
        <v/>
      </c>
    </row>
    <row r="169" spans="5:11">
      <c r="E169" s="226" t="str">
        <f t="shared" si="18"/>
        <v/>
      </c>
      <c r="F169" s="35" t="str">
        <f t="shared" si="19"/>
        <v/>
      </c>
      <c r="G169" s="36" t="str">
        <f t="shared" si="15"/>
        <v/>
      </c>
      <c r="H169" s="36" t="str">
        <f t="shared" si="16"/>
        <v/>
      </c>
      <c r="I169" s="747" t="str">
        <f t="shared" si="20"/>
        <v/>
      </c>
      <c r="J169" s="747"/>
      <c r="K169" s="37" t="str">
        <f t="shared" si="17"/>
        <v/>
      </c>
    </row>
    <row r="170" spans="5:11">
      <c r="E170" s="226" t="str">
        <f t="shared" si="18"/>
        <v/>
      </c>
      <c r="F170" s="35" t="str">
        <f t="shared" si="19"/>
        <v/>
      </c>
      <c r="G170" s="36" t="str">
        <f t="shared" si="15"/>
        <v/>
      </c>
      <c r="H170" s="36" t="str">
        <f t="shared" si="16"/>
        <v/>
      </c>
      <c r="I170" s="747" t="str">
        <f t="shared" si="20"/>
        <v/>
      </c>
      <c r="J170" s="747"/>
      <c r="K170" s="37" t="str">
        <f t="shared" si="17"/>
        <v/>
      </c>
    </row>
    <row r="171" spans="5:11">
      <c r="E171" s="226" t="str">
        <f t="shared" si="18"/>
        <v/>
      </c>
      <c r="F171" s="35" t="str">
        <f t="shared" si="19"/>
        <v/>
      </c>
      <c r="G171" s="36" t="str">
        <f t="shared" si="15"/>
        <v/>
      </c>
      <c r="H171" s="36" t="str">
        <f t="shared" si="16"/>
        <v/>
      </c>
      <c r="I171" s="747" t="str">
        <f t="shared" si="20"/>
        <v/>
      </c>
      <c r="J171" s="747"/>
      <c r="K171" s="37" t="str">
        <f t="shared" si="17"/>
        <v/>
      </c>
    </row>
    <row r="172" spans="5:11">
      <c r="E172" s="226" t="str">
        <f t="shared" si="18"/>
        <v/>
      </c>
      <c r="F172" s="35" t="str">
        <f t="shared" si="19"/>
        <v/>
      </c>
      <c r="G172" s="36" t="str">
        <f t="shared" si="15"/>
        <v/>
      </c>
      <c r="H172" s="36" t="str">
        <f t="shared" si="16"/>
        <v/>
      </c>
      <c r="I172" s="747" t="str">
        <f t="shared" si="20"/>
        <v/>
      </c>
      <c r="J172" s="747"/>
      <c r="K172" s="37" t="str">
        <f t="shared" si="17"/>
        <v/>
      </c>
    </row>
    <row r="173" spans="5:11">
      <c r="E173" s="226" t="str">
        <f>IFERROR(IF($G$15&lt;=F172,"",DATE(YEAR(E172),MONTH(E172)+1,DAY(E172))),"")</f>
        <v/>
      </c>
      <c r="F173" s="35" t="str">
        <f t="shared" si="19"/>
        <v/>
      </c>
      <c r="G173" s="36" t="str">
        <f t="shared" si="15"/>
        <v/>
      </c>
      <c r="H173" s="36" t="str">
        <f t="shared" si="16"/>
        <v/>
      </c>
      <c r="I173" s="747" t="str">
        <f t="shared" si="20"/>
        <v/>
      </c>
      <c r="J173" s="747"/>
      <c r="K173" s="37" t="str">
        <f t="shared" si="17"/>
        <v/>
      </c>
    </row>
    <row r="174" spans="5:11">
      <c r="E174" s="226" t="str">
        <f t="shared" ref="E174:E237" si="21">IFERROR(IF($G$15&lt;=F173,"",DATE(YEAR(E173),MONTH(E173)+1,DAY(E173))),"")</f>
        <v/>
      </c>
      <c r="F174" s="35" t="str">
        <f t="shared" si="19"/>
        <v/>
      </c>
      <c r="G174" s="36" t="str">
        <f t="shared" si="15"/>
        <v/>
      </c>
      <c r="H174" s="36" t="str">
        <f t="shared" si="16"/>
        <v/>
      </c>
      <c r="I174" s="747" t="str">
        <f t="shared" si="20"/>
        <v/>
      </c>
      <c r="J174" s="747"/>
      <c r="K174" s="37" t="str">
        <f t="shared" si="17"/>
        <v/>
      </c>
    </row>
    <row r="175" spans="5:11">
      <c r="E175" s="226" t="str">
        <f t="shared" si="21"/>
        <v/>
      </c>
      <c r="F175" s="35" t="str">
        <f t="shared" si="19"/>
        <v/>
      </c>
      <c r="G175" s="36" t="str">
        <f t="shared" si="15"/>
        <v/>
      </c>
      <c r="H175" s="36" t="str">
        <f t="shared" si="16"/>
        <v/>
      </c>
      <c r="I175" s="747" t="str">
        <f t="shared" si="20"/>
        <v/>
      </c>
      <c r="J175" s="747"/>
      <c r="K175" s="37" t="str">
        <f t="shared" si="17"/>
        <v/>
      </c>
    </row>
    <row r="176" spans="5:11">
      <c r="E176" s="226" t="str">
        <f t="shared" si="21"/>
        <v/>
      </c>
      <c r="F176" s="35" t="str">
        <f t="shared" si="19"/>
        <v/>
      </c>
      <c r="G176" s="36" t="str">
        <f t="shared" si="15"/>
        <v/>
      </c>
      <c r="H176" s="36" t="str">
        <f t="shared" si="16"/>
        <v/>
      </c>
      <c r="I176" s="747" t="str">
        <f t="shared" si="20"/>
        <v/>
      </c>
      <c r="J176" s="747"/>
      <c r="K176" s="37" t="str">
        <f t="shared" si="17"/>
        <v/>
      </c>
    </row>
    <row r="177" spans="5:11">
      <c r="E177" s="226" t="str">
        <f t="shared" si="21"/>
        <v/>
      </c>
      <c r="F177" s="35" t="str">
        <f t="shared" si="19"/>
        <v/>
      </c>
      <c r="G177" s="36" t="str">
        <f t="shared" si="15"/>
        <v/>
      </c>
      <c r="H177" s="36" t="str">
        <f t="shared" si="16"/>
        <v/>
      </c>
      <c r="I177" s="747" t="str">
        <f t="shared" ref="I177:I190" si="22">IF(F177&lt;&gt;"",I176-H177,"")</f>
        <v/>
      </c>
      <c r="J177" s="747"/>
      <c r="K177" s="37" t="str">
        <f t="shared" si="17"/>
        <v/>
      </c>
    </row>
    <row r="178" spans="5:11">
      <c r="E178" s="226" t="str">
        <f t="shared" si="21"/>
        <v/>
      </c>
      <c r="F178" s="35" t="str">
        <f t="shared" si="19"/>
        <v/>
      </c>
      <c r="G178" s="36" t="str">
        <f t="shared" si="15"/>
        <v/>
      </c>
      <c r="H178" s="36" t="str">
        <f t="shared" si="16"/>
        <v/>
      </c>
      <c r="I178" s="747" t="str">
        <f t="shared" si="22"/>
        <v/>
      </c>
      <c r="J178" s="747"/>
      <c r="K178" s="37" t="str">
        <f t="shared" si="17"/>
        <v/>
      </c>
    </row>
    <row r="179" spans="5:11">
      <c r="E179" s="226" t="str">
        <f t="shared" si="21"/>
        <v/>
      </c>
      <c r="F179" s="35" t="str">
        <f t="shared" si="19"/>
        <v/>
      </c>
      <c r="G179" s="36" t="str">
        <f t="shared" si="15"/>
        <v/>
      </c>
      <c r="H179" s="36" t="str">
        <f t="shared" si="16"/>
        <v/>
      </c>
      <c r="I179" s="747" t="str">
        <f t="shared" si="22"/>
        <v/>
      </c>
      <c r="J179" s="747"/>
      <c r="K179" s="37" t="str">
        <f t="shared" si="17"/>
        <v/>
      </c>
    </row>
    <row r="180" spans="5:11">
      <c r="E180" s="226" t="str">
        <f t="shared" si="21"/>
        <v/>
      </c>
      <c r="F180" s="35" t="str">
        <f t="shared" si="19"/>
        <v/>
      </c>
      <c r="G180" s="36" t="str">
        <f t="shared" si="15"/>
        <v/>
      </c>
      <c r="H180" s="36" t="str">
        <f t="shared" si="16"/>
        <v/>
      </c>
      <c r="I180" s="747" t="str">
        <f t="shared" si="22"/>
        <v/>
      </c>
      <c r="J180" s="747"/>
      <c r="K180" s="37" t="str">
        <f t="shared" si="17"/>
        <v/>
      </c>
    </row>
    <row r="181" spans="5:11">
      <c r="E181" s="226" t="str">
        <f t="shared" si="21"/>
        <v/>
      </c>
      <c r="F181" s="35" t="str">
        <f t="shared" si="19"/>
        <v/>
      </c>
      <c r="G181" s="36" t="str">
        <f t="shared" si="15"/>
        <v/>
      </c>
      <c r="H181" s="36" t="str">
        <f t="shared" si="16"/>
        <v/>
      </c>
      <c r="I181" s="747" t="str">
        <f t="shared" si="22"/>
        <v/>
      </c>
      <c r="J181" s="747"/>
      <c r="K181" s="37" t="str">
        <f t="shared" si="17"/>
        <v/>
      </c>
    </row>
    <row r="182" spans="5:11">
      <c r="E182" s="226" t="str">
        <f t="shared" si="21"/>
        <v/>
      </c>
      <c r="F182" s="35" t="str">
        <f t="shared" si="19"/>
        <v/>
      </c>
      <c r="G182" s="36" t="str">
        <f t="shared" si="15"/>
        <v/>
      </c>
      <c r="H182" s="36" t="str">
        <f t="shared" si="16"/>
        <v/>
      </c>
      <c r="I182" s="747" t="str">
        <f t="shared" si="22"/>
        <v/>
      </c>
      <c r="J182" s="747"/>
      <c r="K182" s="37" t="str">
        <f t="shared" si="17"/>
        <v/>
      </c>
    </row>
    <row r="183" spans="5:11">
      <c r="E183" s="226" t="str">
        <f t="shared" si="21"/>
        <v/>
      </c>
      <c r="F183" s="35" t="str">
        <f t="shared" si="19"/>
        <v/>
      </c>
      <c r="G183" s="36" t="str">
        <f t="shared" si="15"/>
        <v/>
      </c>
      <c r="H183" s="36" t="str">
        <f t="shared" si="16"/>
        <v/>
      </c>
      <c r="I183" s="747" t="str">
        <f t="shared" si="22"/>
        <v/>
      </c>
      <c r="J183" s="747"/>
      <c r="K183" s="37" t="str">
        <f t="shared" si="17"/>
        <v/>
      </c>
    </row>
    <row r="184" spans="5:11">
      <c r="E184" s="226" t="str">
        <f t="shared" si="21"/>
        <v/>
      </c>
      <c r="F184" s="35" t="str">
        <f t="shared" si="19"/>
        <v/>
      </c>
      <c r="G184" s="36" t="str">
        <f t="shared" si="15"/>
        <v/>
      </c>
      <c r="H184" s="36" t="str">
        <f t="shared" si="16"/>
        <v/>
      </c>
      <c r="I184" s="747" t="str">
        <f t="shared" si="22"/>
        <v/>
      </c>
      <c r="J184" s="747"/>
      <c r="K184" s="37" t="str">
        <f t="shared" si="17"/>
        <v/>
      </c>
    </row>
    <row r="185" spans="5:11">
      <c r="E185" s="226" t="str">
        <f t="shared" si="21"/>
        <v/>
      </c>
      <c r="F185" s="35" t="str">
        <f t="shared" si="19"/>
        <v/>
      </c>
      <c r="G185" s="36" t="str">
        <f t="shared" si="15"/>
        <v/>
      </c>
      <c r="H185" s="36" t="str">
        <f t="shared" si="16"/>
        <v/>
      </c>
      <c r="I185" s="747" t="str">
        <f t="shared" si="22"/>
        <v/>
      </c>
      <c r="J185" s="747"/>
      <c r="K185" s="37" t="str">
        <f t="shared" si="17"/>
        <v/>
      </c>
    </row>
    <row r="186" spans="5:11">
      <c r="E186" s="226" t="str">
        <f t="shared" si="21"/>
        <v/>
      </c>
      <c r="F186" s="35" t="str">
        <f t="shared" si="19"/>
        <v/>
      </c>
      <c r="G186" s="36" t="str">
        <f t="shared" si="15"/>
        <v/>
      </c>
      <c r="H186" s="36" t="str">
        <f t="shared" si="16"/>
        <v/>
      </c>
      <c r="I186" s="747" t="str">
        <f t="shared" si="22"/>
        <v/>
      </c>
      <c r="J186" s="747"/>
      <c r="K186" s="37" t="str">
        <f t="shared" si="17"/>
        <v/>
      </c>
    </row>
    <row r="187" spans="5:11">
      <c r="E187" s="226" t="str">
        <f t="shared" si="21"/>
        <v/>
      </c>
      <c r="F187" s="35" t="str">
        <f t="shared" si="19"/>
        <v/>
      </c>
      <c r="G187" s="36" t="str">
        <f t="shared" si="15"/>
        <v/>
      </c>
      <c r="H187" s="36" t="str">
        <f t="shared" si="16"/>
        <v/>
      </c>
      <c r="I187" s="747" t="str">
        <f t="shared" si="22"/>
        <v/>
      </c>
      <c r="J187" s="747"/>
      <c r="K187" s="37" t="str">
        <f t="shared" si="17"/>
        <v/>
      </c>
    </row>
    <row r="188" spans="5:11">
      <c r="E188" s="226" t="str">
        <f t="shared" si="21"/>
        <v/>
      </c>
      <c r="F188" s="35" t="str">
        <f t="shared" si="19"/>
        <v/>
      </c>
      <c r="G188" s="36" t="str">
        <f t="shared" si="15"/>
        <v/>
      </c>
      <c r="H188" s="36" t="str">
        <f t="shared" si="16"/>
        <v/>
      </c>
      <c r="I188" s="747" t="str">
        <f t="shared" si="22"/>
        <v/>
      </c>
      <c r="J188" s="747"/>
      <c r="K188" s="37" t="str">
        <f t="shared" si="17"/>
        <v/>
      </c>
    </row>
    <row r="189" spans="5:11">
      <c r="E189" s="226" t="str">
        <f t="shared" si="21"/>
        <v/>
      </c>
      <c r="F189" s="35" t="str">
        <f t="shared" si="19"/>
        <v/>
      </c>
      <c r="G189" s="36" t="str">
        <f t="shared" si="15"/>
        <v/>
      </c>
      <c r="H189" s="36" t="str">
        <f t="shared" si="16"/>
        <v/>
      </c>
      <c r="I189" s="747" t="str">
        <f t="shared" si="22"/>
        <v/>
      </c>
      <c r="J189" s="747"/>
      <c r="K189" s="37" t="str">
        <f t="shared" si="17"/>
        <v/>
      </c>
    </row>
    <row r="190" spans="5:11">
      <c r="E190" s="226" t="str">
        <f t="shared" si="21"/>
        <v/>
      </c>
      <c r="F190" s="35" t="str">
        <f t="shared" si="19"/>
        <v/>
      </c>
      <c r="G190" s="36" t="str">
        <f t="shared" si="15"/>
        <v/>
      </c>
      <c r="H190" s="36" t="str">
        <f t="shared" si="16"/>
        <v/>
      </c>
      <c r="I190" s="747" t="str">
        <f t="shared" si="22"/>
        <v/>
      </c>
      <c r="J190" s="747"/>
      <c r="K190" s="37" t="str">
        <f t="shared" si="17"/>
        <v/>
      </c>
    </row>
    <row r="191" spans="5:11">
      <c r="E191" s="226" t="str">
        <f t="shared" si="21"/>
        <v/>
      </c>
      <c r="F191" s="35" t="str">
        <f t="shared" si="19"/>
        <v/>
      </c>
      <c r="G191" s="36" t="str">
        <f t="shared" si="15"/>
        <v/>
      </c>
      <c r="H191" s="36" t="str">
        <f t="shared" si="16"/>
        <v/>
      </c>
      <c r="I191" s="747" t="str">
        <f t="shared" ref="I191:I203" si="23">IF(F191&lt;&gt;"",I190-H191,"")</f>
        <v/>
      </c>
      <c r="J191" s="747"/>
      <c r="K191" s="37" t="str">
        <f t="shared" si="17"/>
        <v/>
      </c>
    </row>
    <row r="192" spans="5:11">
      <c r="E192" s="226" t="str">
        <f t="shared" si="21"/>
        <v/>
      </c>
      <c r="F192" s="35" t="str">
        <f t="shared" si="19"/>
        <v/>
      </c>
      <c r="G192" s="36" t="str">
        <f t="shared" si="15"/>
        <v/>
      </c>
      <c r="H192" s="36" t="str">
        <f t="shared" si="16"/>
        <v/>
      </c>
      <c r="I192" s="747" t="str">
        <f t="shared" si="23"/>
        <v/>
      </c>
      <c r="J192" s="747"/>
      <c r="K192" s="37" t="str">
        <f t="shared" si="17"/>
        <v/>
      </c>
    </row>
    <row r="193" spans="5:11">
      <c r="E193" s="226" t="str">
        <f t="shared" si="21"/>
        <v/>
      </c>
      <c r="F193" s="35" t="str">
        <f t="shared" si="19"/>
        <v/>
      </c>
      <c r="G193" s="36" t="str">
        <f t="shared" si="15"/>
        <v/>
      </c>
      <c r="H193" s="36" t="str">
        <f t="shared" si="16"/>
        <v/>
      </c>
      <c r="I193" s="747" t="str">
        <f t="shared" si="23"/>
        <v/>
      </c>
      <c r="J193" s="747"/>
      <c r="K193" s="37" t="str">
        <f t="shared" si="17"/>
        <v/>
      </c>
    </row>
    <row r="194" spans="5:11">
      <c r="E194" s="226" t="str">
        <f t="shared" si="21"/>
        <v/>
      </c>
      <c r="F194" s="35" t="str">
        <f t="shared" si="19"/>
        <v/>
      </c>
      <c r="G194" s="36" t="str">
        <f t="shared" si="15"/>
        <v/>
      </c>
      <c r="H194" s="36" t="str">
        <f t="shared" si="16"/>
        <v/>
      </c>
      <c r="I194" s="747" t="str">
        <f t="shared" si="23"/>
        <v/>
      </c>
      <c r="J194" s="747"/>
      <c r="K194" s="37" t="str">
        <f t="shared" si="17"/>
        <v/>
      </c>
    </row>
    <row r="195" spans="5:11">
      <c r="E195" s="226" t="str">
        <f t="shared" si="21"/>
        <v/>
      </c>
      <c r="F195" s="35" t="str">
        <f t="shared" si="19"/>
        <v/>
      </c>
      <c r="G195" s="36" t="str">
        <f t="shared" si="15"/>
        <v/>
      </c>
      <c r="H195" s="36" t="str">
        <f t="shared" si="16"/>
        <v/>
      </c>
      <c r="I195" s="747" t="str">
        <f t="shared" si="23"/>
        <v/>
      </c>
      <c r="J195" s="747"/>
      <c r="K195" s="37" t="str">
        <f t="shared" si="17"/>
        <v/>
      </c>
    </row>
    <row r="196" spans="5:11">
      <c r="E196" s="226" t="str">
        <f t="shared" si="21"/>
        <v/>
      </c>
      <c r="F196" s="35" t="str">
        <f t="shared" si="19"/>
        <v/>
      </c>
      <c r="G196" s="36" t="str">
        <f t="shared" si="15"/>
        <v/>
      </c>
      <c r="H196" s="36" t="str">
        <f t="shared" si="16"/>
        <v/>
      </c>
      <c r="I196" s="747" t="str">
        <f t="shared" si="23"/>
        <v/>
      </c>
      <c r="J196" s="747"/>
      <c r="K196" s="37" t="str">
        <f t="shared" si="17"/>
        <v/>
      </c>
    </row>
    <row r="197" spans="5:11">
      <c r="E197" s="226" t="str">
        <f t="shared" si="21"/>
        <v/>
      </c>
      <c r="F197" s="35" t="str">
        <f t="shared" si="19"/>
        <v/>
      </c>
      <c r="G197" s="36" t="str">
        <f t="shared" si="15"/>
        <v/>
      </c>
      <c r="H197" s="36" t="str">
        <f t="shared" si="16"/>
        <v/>
      </c>
      <c r="I197" s="747" t="str">
        <f t="shared" si="23"/>
        <v/>
      </c>
      <c r="J197" s="747"/>
      <c r="K197" s="37" t="str">
        <f t="shared" si="17"/>
        <v/>
      </c>
    </row>
    <row r="198" spans="5:11">
      <c r="E198" s="226" t="str">
        <f t="shared" si="21"/>
        <v/>
      </c>
      <c r="F198" s="35" t="str">
        <f t="shared" si="19"/>
        <v/>
      </c>
      <c r="G198" s="36" t="str">
        <f t="shared" si="15"/>
        <v/>
      </c>
      <c r="H198" s="36" t="str">
        <f t="shared" si="16"/>
        <v/>
      </c>
      <c r="I198" s="747" t="str">
        <f t="shared" si="23"/>
        <v/>
      </c>
      <c r="J198" s="747"/>
      <c r="K198" s="37" t="str">
        <f t="shared" si="17"/>
        <v/>
      </c>
    </row>
    <row r="199" spans="5:11">
      <c r="E199" s="226" t="str">
        <f t="shared" si="21"/>
        <v/>
      </c>
      <c r="F199" s="35" t="str">
        <f t="shared" si="19"/>
        <v/>
      </c>
      <c r="G199" s="36" t="str">
        <f t="shared" si="15"/>
        <v/>
      </c>
      <c r="H199" s="36" t="str">
        <f t="shared" si="16"/>
        <v/>
      </c>
      <c r="I199" s="747" t="str">
        <f t="shared" si="23"/>
        <v/>
      </c>
      <c r="J199" s="747"/>
      <c r="K199" s="37" t="str">
        <f t="shared" si="17"/>
        <v/>
      </c>
    </row>
    <row r="200" spans="5:11">
      <c r="E200" s="226" t="str">
        <f t="shared" si="21"/>
        <v/>
      </c>
      <c r="F200" s="35" t="str">
        <f t="shared" si="19"/>
        <v/>
      </c>
      <c r="G200" s="36" t="str">
        <f t="shared" si="15"/>
        <v/>
      </c>
      <c r="H200" s="36" t="str">
        <f t="shared" si="16"/>
        <v/>
      </c>
      <c r="I200" s="747" t="str">
        <f t="shared" si="23"/>
        <v/>
      </c>
      <c r="J200" s="747"/>
      <c r="K200" s="37" t="str">
        <f t="shared" si="17"/>
        <v/>
      </c>
    </row>
    <row r="201" spans="5:11">
      <c r="E201" s="226" t="str">
        <f t="shared" si="21"/>
        <v/>
      </c>
      <c r="F201" s="35" t="str">
        <f t="shared" si="19"/>
        <v/>
      </c>
      <c r="G201" s="36" t="str">
        <f t="shared" si="15"/>
        <v/>
      </c>
      <c r="H201" s="36" t="str">
        <f t="shared" si="16"/>
        <v/>
      </c>
      <c r="I201" s="747" t="str">
        <f t="shared" si="23"/>
        <v/>
      </c>
      <c r="J201" s="747"/>
      <c r="K201" s="37" t="str">
        <f t="shared" si="17"/>
        <v/>
      </c>
    </row>
    <row r="202" spans="5:11">
      <c r="E202" s="226" t="str">
        <f t="shared" si="21"/>
        <v/>
      </c>
      <c r="F202" s="35" t="str">
        <f t="shared" si="19"/>
        <v/>
      </c>
      <c r="G202" s="36" t="str">
        <f t="shared" si="15"/>
        <v/>
      </c>
      <c r="H202" s="36" t="str">
        <f t="shared" si="16"/>
        <v/>
      </c>
      <c r="I202" s="747" t="str">
        <f t="shared" si="23"/>
        <v/>
      </c>
      <c r="J202" s="747"/>
      <c r="K202" s="37" t="str">
        <f t="shared" si="17"/>
        <v/>
      </c>
    </row>
    <row r="203" spans="5:11">
      <c r="E203" s="226" t="str">
        <f t="shared" si="21"/>
        <v/>
      </c>
      <c r="F203" s="35" t="str">
        <f t="shared" si="19"/>
        <v/>
      </c>
      <c r="G203" s="36" t="str">
        <f t="shared" si="15"/>
        <v/>
      </c>
      <c r="H203" s="36" t="str">
        <f t="shared" si="16"/>
        <v/>
      </c>
      <c r="I203" s="747" t="str">
        <f t="shared" si="23"/>
        <v/>
      </c>
      <c r="J203" s="747"/>
      <c r="K203" s="37" t="str">
        <f t="shared" si="17"/>
        <v/>
      </c>
    </row>
    <row r="204" spans="5:11">
      <c r="E204" s="226" t="str">
        <f t="shared" si="21"/>
        <v/>
      </c>
      <c r="F204" s="35" t="str">
        <f t="shared" si="19"/>
        <v/>
      </c>
      <c r="G204" s="36" t="str">
        <f t="shared" si="15"/>
        <v/>
      </c>
      <c r="H204" s="36" t="str">
        <f t="shared" si="16"/>
        <v/>
      </c>
      <c r="I204" s="747" t="str">
        <f t="shared" ref="I204:I215" si="24">IF(F204&lt;&gt;"",I203-H204,"")</f>
        <v/>
      </c>
      <c r="J204" s="747"/>
      <c r="K204" s="37" t="str">
        <f t="shared" si="17"/>
        <v/>
      </c>
    </row>
    <row r="205" spans="5:11">
      <c r="E205" s="226" t="str">
        <f t="shared" si="21"/>
        <v/>
      </c>
      <c r="F205" s="35" t="str">
        <f t="shared" si="19"/>
        <v/>
      </c>
      <c r="G205" s="36" t="str">
        <f t="shared" si="15"/>
        <v/>
      </c>
      <c r="H205" s="36" t="str">
        <f t="shared" si="16"/>
        <v/>
      </c>
      <c r="I205" s="747" t="str">
        <f t="shared" si="24"/>
        <v/>
      </c>
      <c r="J205" s="747"/>
      <c r="K205" s="37" t="str">
        <f t="shared" si="17"/>
        <v/>
      </c>
    </row>
    <row r="206" spans="5:11">
      <c r="E206" s="226" t="str">
        <f t="shared" si="21"/>
        <v/>
      </c>
      <c r="F206" s="35" t="str">
        <f t="shared" si="19"/>
        <v/>
      </c>
      <c r="G206" s="36" t="str">
        <f t="shared" si="15"/>
        <v/>
      </c>
      <c r="H206" s="36" t="str">
        <f t="shared" si="16"/>
        <v/>
      </c>
      <c r="I206" s="747" t="str">
        <f t="shared" si="24"/>
        <v/>
      </c>
      <c r="J206" s="747"/>
      <c r="K206" s="37" t="str">
        <f t="shared" si="17"/>
        <v/>
      </c>
    </row>
    <row r="207" spans="5:11">
      <c r="E207" s="226" t="str">
        <f t="shared" si="21"/>
        <v/>
      </c>
      <c r="F207" s="35" t="str">
        <f t="shared" si="19"/>
        <v/>
      </c>
      <c r="G207" s="36" t="str">
        <f t="shared" si="15"/>
        <v/>
      </c>
      <c r="H207" s="36" t="str">
        <f t="shared" si="16"/>
        <v/>
      </c>
      <c r="I207" s="747" t="str">
        <f t="shared" si="24"/>
        <v/>
      </c>
      <c r="J207" s="747"/>
      <c r="K207" s="37" t="str">
        <f t="shared" si="17"/>
        <v/>
      </c>
    </row>
    <row r="208" spans="5:11">
      <c r="E208" s="226" t="str">
        <f t="shared" si="21"/>
        <v/>
      </c>
      <c r="F208" s="35" t="str">
        <f t="shared" si="19"/>
        <v/>
      </c>
      <c r="G208" s="36" t="str">
        <f t="shared" si="15"/>
        <v/>
      </c>
      <c r="H208" s="36" t="str">
        <f t="shared" si="16"/>
        <v/>
      </c>
      <c r="I208" s="747" t="str">
        <f t="shared" si="24"/>
        <v/>
      </c>
      <c r="J208" s="747"/>
      <c r="K208" s="37" t="str">
        <f t="shared" si="17"/>
        <v/>
      </c>
    </row>
    <row r="209" spans="5:11">
      <c r="E209" s="226" t="str">
        <f t="shared" si="21"/>
        <v/>
      </c>
      <c r="F209" s="35" t="str">
        <f t="shared" si="19"/>
        <v/>
      </c>
      <c r="G209" s="36" t="str">
        <f t="shared" si="15"/>
        <v/>
      </c>
      <c r="H209" s="36" t="str">
        <f t="shared" si="16"/>
        <v/>
      </c>
      <c r="I209" s="747" t="str">
        <f t="shared" si="24"/>
        <v/>
      </c>
      <c r="J209" s="747"/>
      <c r="K209" s="37" t="str">
        <f t="shared" si="17"/>
        <v/>
      </c>
    </row>
    <row r="210" spans="5:11">
      <c r="E210" s="226" t="str">
        <f t="shared" si="21"/>
        <v/>
      </c>
      <c r="F210" s="35" t="str">
        <f t="shared" si="19"/>
        <v/>
      </c>
      <c r="G210" s="36" t="str">
        <f t="shared" si="15"/>
        <v/>
      </c>
      <c r="H210" s="36" t="str">
        <f t="shared" si="16"/>
        <v/>
      </c>
      <c r="I210" s="747" t="str">
        <f t="shared" si="24"/>
        <v/>
      </c>
      <c r="J210" s="747"/>
      <c r="K210" s="37" t="str">
        <f t="shared" si="17"/>
        <v/>
      </c>
    </row>
    <row r="211" spans="5:11">
      <c r="E211" s="226" t="str">
        <f t="shared" si="21"/>
        <v/>
      </c>
      <c r="F211" s="35" t="str">
        <f t="shared" si="19"/>
        <v/>
      </c>
      <c r="G211" s="36" t="str">
        <f t="shared" si="15"/>
        <v/>
      </c>
      <c r="H211" s="36" t="str">
        <f t="shared" si="16"/>
        <v/>
      </c>
      <c r="I211" s="747" t="str">
        <f t="shared" si="24"/>
        <v/>
      </c>
      <c r="J211" s="747"/>
      <c r="K211" s="37" t="str">
        <f t="shared" si="17"/>
        <v/>
      </c>
    </row>
    <row r="212" spans="5:11">
      <c r="E212" s="226" t="str">
        <f t="shared" si="21"/>
        <v/>
      </c>
      <c r="F212" s="35" t="str">
        <f t="shared" si="19"/>
        <v/>
      </c>
      <c r="G212" s="36" t="str">
        <f t="shared" si="15"/>
        <v/>
      </c>
      <c r="H212" s="36" t="str">
        <f t="shared" si="16"/>
        <v/>
      </c>
      <c r="I212" s="747" t="str">
        <f t="shared" si="24"/>
        <v/>
      </c>
      <c r="J212" s="747"/>
      <c r="K212" s="37" t="str">
        <f t="shared" si="17"/>
        <v/>
      </c>
    </row>
    <row r="213" spans="5:11">
      <c r="E213" s="226" t="str">
        <f t="shared" si="21"/>
        <v/>
      </c>
      <c r="F213" s="35" t="str">
        <f t="shared" si="19"/>
        <v/>
      </c>
      <c r="G213" s="36" t="str">
        <f t="shared" si="15"/>
        <v/>
      </c>
      <c r="H213" s="36" t="str">
        <f t="shared" si="16"/>
        <v/>
      </c>
      <c r="I213" s="747" t="str">
        <f t="shared" si="24"/>
        <v/>
      </c>
      <c r="J213" s="747"/>
      <c r="K213" s="37" t="str">
        <f t="shared" si="17"/>
        <v/>
      </c>
    </row>
    <row r="214" spans="5:11">
      <c r="E214" s="226" t="str">
        <f t="shared" si="21"/>
        <v/>
      </c>
      <c r="F214" s="35" t="str">
        <f t="shared" si="19"/>
        <v/>
      </c>
      <c r="G214" s="36" t="str">
        <f t="shared" ref="G214:G277" si="25">IFERROR(IF(F214&lt;&gt;"",-IPMT($G$14/12,F214,$G$15,$G$13),""),0)</f>
        <v/>
      </c>
      <c r="H214" s="36" t="str">
        <f t="shared" ref="H214:H277" si="26">IFERROR(IF(F214&lt;&gt;"",-PPMT($G$14/12,F214,$G$15,$G$13),""),0)</f>
        <v/>
      </c>
      <c r="I214" s="747" t="str">
        <f t="shared" si="24"/>
        <v/>
      </c>
      <c r="J214" s="747"/>
      <c r="K214" s="37" t="str">
        <f t="shared" ref="K214:K277" si="27">IF(F214&lt;&gt;"",$G$13*($G$16/12),"")</f>
        <v/>
      </c>
    </row>
    <row r="215" spans="5:11">
      <c r="E215" s="226" t="str">
        <f t="shared" si="21"/>
        <v/>
      </c>
      <c r="F215" s="35" t="str">
        <f t="shared" ref="F215:F278" si="28">IF(OR(F214="",F214=$G$15),"",IF(F214&lt;$G$15,F214+1,0))</f>
        <v/>
      </c>
      <c r="G215" s="36" t="str">
        <f t="shared" si="25"/>
        <v/>
      </c>
      <c r="H215" s="36" t="str">
        <f t="shared" si="26"/>
        <v/>
      </c>
      <c r="I215" s="747" t="str">
        <f t="shared" si="24"/>
        <v/>
      </c>
      <c r="J215" s="747"/>
      <c r="K215" s="37" t="str">
        <f t="shared" si="27"/>
        <v/>
      </c>
    </row>
    <row r="216" spans="5:11">
      <c r="E216" s="226" t="str">
        <f t="shared" si="21"/>
        <v/>
      </c>
      <c r="F216" s="35" t="str">
        <f t="shared" si="28"/>
        <v/>
      </c>
      <c r="G216" s="36" t="str">
        <f t="shared" si="25"/>
        <v/>
      </c>
      <c r="H216" s="36" t="str">
        <f t="shared" si="26"/>
        <v/>
      </c>
      <c r="I216" s="747" t="str">
        <f t="shared" ref="I216:I235" si="29">IF(F216&lt;&gt;"",I215-H216,"")</f>
        <v/>
      </c>
      <c r="J216" s="747"/>
      <c r="K216" s="37" t="str">
        <f t="shared" si="27"/>
        <v/>
      </c>
    </row>
    <row r="217" spans="5:11">
      <c r="E217" s="226" t="str">
        <f t="shared" si="21"/>
        <v/>
      </c>
      <c r="F217" s="35" t="str">
        <f t="shared" si="28"/>
        <v/>
      </c>
      <c r="G217" s="36" t="str">
        <f t="shared" si="25"/>
        <v/>
      </c>
      <c r="H217" s="36" t="str">
        <f t="shared" si="26"/>
        <v/>
      </c>
      <c r="I217" s="747" t="str">
        <f t="shared" si="29"/>
        <v/>
      </c>
      <c r="J217" s="747"/>
      <c r="K217" s="37" t="str">
        <f t="shared" si="27"/>
        <v/>
      </c>
    </row>
    <row r="218" spans="5:11">
      <c r="E218" s="226" t="str">
        <f t="shared" si="21"/>
        <v/>
      </c>
      <c r="F218" s="35" t="str">
        <f t="shared" si="28"/>
        <v/>
      </c>
      <c r="G218" s="36" t="str">
        <f t="shared" si="25"/>
        <v/>
      </c>
      <c r="H218" s="36" t="str">
        <f t="shared" si="26"/>
        <v/>
      </c>
      <c r="I218" s="747" t="str">
        <f t="shared" si="29"/>
        <v/>
      </c>
      <c r="J218" s="747"/>
      <c r="K218" s="37" t="str">
        <f t="shared" si="27"/>
        <v/>
      </c>
    </row>
    <row r="219" spans="5:11">
      <c r="E219" s="226" t="str">
        <f t="shared" si="21"/>
        <v/>
      </c>
      <c r="F219" s="35" t="str">
        <f t="shared" si="28"/>
        <v/>
      </c>
      <c r="G219" s="36" t="str">
        <f t="shared" si="25"/>
        <v/>
      </c>
      <c r="H219" s="36" t="str">
        <f t="shared" si="26"/>
        <v/>
      </c>
      <c r="I219" s="747" t="str">
        <f t="shared" si="29"/>
        <v/>
      </c>
      <c r="J219" s="747"/>
      <c r="K219" s="37" t="str">
        <f t="shared" si="27"/>
        <v/>
      </c>
    </row>
    <row r="220" spans="5:11">
      <c r="E220" s="226" t="str">
        <f t="shared" si="21"/>
        <v/>
      </c>
      <c r="F220" s="35" t="str">
        <f t="shared" si="28"/>
        <v/>
      </c>
      <c r="G220" s="36" t="str">
        <f t="shared" si="25"/>
        <v/>
      </c>
      <c r="H220" s="36" t="str">
        <f t="shared" si="26"/>
        <v/>
      </c>
      <c r="I220" s="747" t="str">
        <f t="shared" si="29"/>
        <v/>
      </c>
      <c r="J220" s="747"/>
      <c r="K220" s="37" t="str">
        <f t="shared" si="27"/>
        <v/>
      </c>
    </row>
    <row r="221" spans="5:11">
      <c r="E221" s="226" t="str">
        <f t="shared" si="21"/>
        <v/>
      </c>
      <c r="F221" s="35" t="str">
        <f t="shared" si="28"/>
        <v/>
      </c>
      <c r="G221" s="36" t="str">
        <f t="shared" si="25"/>
        <v/>
      </c>
      <c r="H221" s="36" t="str">
        <f t="shared" si="26"/>
        <v/>
      </c>
      <c r="I221" s="747" t="str">
        <f t="shared" si="29"/>
        <v/>
      </c>
      <c r="J221" s="747"/>
      <c r="K221" s="37" t="str">
        <f t="shared" si="27"/>
        <v/>
      </c>
    </row>
    <row r="222" spans="5:11">
      <c r="E222" s="226" t="str">
        <f t="shared" si="21"/>
        <v/>
      </c>
      <c r="F222" s="35" t="str">
        <f t="shared" si="28"/>
        <v/>
      </c>
      <c r="G222" s="36" t="str">
        <f t="shared" si="25"/>
        <v/>
      </c>
      <c r="H222" s="36" t="str">
        <f t="shared" si="26"/>
        <v/>
      </c>
      <c r="I222" s="747" t="str">
        <f t="shared" si="29"/>
        <v/>
      </c>
      <c r="J222" s="747"/>
      <c r="K222" s="37" t="str">
        <f t="shared" si="27"/>
        <v/>
      </c>
    </row>
    <row r="223" spans="5:11">
      <c r="E223" s="226" t="str">
        <f t="shared" si="21"/>
        <v/>
      </c>
      <c r="F223" s="35" t="str">
        <f t="shared" si="28"/>
        <v/>
      </c>
      <c r="G223" s="36" t="str">
        <f t="shared" si="25"/>
        <v/>
      </c>
      <c r="H223" s="36" t="str">
        <f t="shared" si="26"/>
        <v/>
      </c>
      <c r="I223" s="747" t="str">
        <f t="shared" si="29"/>
        <v/>
      </c>
      <c r="J223" s="747"/>
      <c r="K223" s="37" t="str">
        <f t="shared" si="27"/>
        <v/>
      </c>
    </row>
    <row r="224" spans="5:11">
      <c r="E224" s="226" t="str">
        <f t="shared" si="21"/>
        <v/>
      </c>
      <c r="F224" s="35" t="str">
        <f t="shared" si="28"/>
        <v/>
      </c>
      <c r="G224" s="36" t="str">
        <f t="shared" si="25"/>
        <v/>
      </c>
      <c r="H224" s="36" t="str">
        <f t="shared" si="26"/>
        <v/>
      </c>
      <c r="I224" s="747" t="str">
        <f t="shared" si="29"/>
        <v/>
      </c>
      <c r="J224" s="747"/>
      <c r="K224" s="37" t="str">
        <f t="shared" si="27"/>
        <v/>
      </c>
    </row>
    <row r="225" spans="5:11">
      <c r="E225" s="226" t="str">
        <f t="shared" si="21"/>
        <v/>
      </c>
      <c r="F225" s="35" t="str">
        <f t="shared" si="28"/>
        <v/>
      </c>
      <c r="G225" s="36" t="str">
        <f t="shared" si="25"/>
        <v/>
      </c>
      <c r="H225" s="36" t="str">
        <f t="shared" si="26"/>
        <v/>
      </c>
      <c r="I225" s="747" t="str">
        <f t="shared" si="29"/>
        <v/>
      </c>
      <c r="J225" s="747"/>
      <c r="K225" s="37" t="str">
        <f t="shared" si="27"/>
        <v/>
      </c>
    </row>
    <row r="226" spans="5:11">
      <c r="E226" s="226" t="str">
        <f t="shared" si="21"/>
        <v/>
      </c>
      <c r="F226" s="35" t="str">
        <f t="shared" si="28"/>
        <v/>
      </c>
      <c r="G226" s="36" t="str">
        <f t="shared" si="25"/>
        <v/>
      </c>
      <c r="H226" s="36" t="str">
        <f t="shared" si="26"/>
        <v/>
      </c>
      <c r="I226" s="747" t="str">
        <f t="shared" si="29"/>
        <v/>
      </c>
      <c r="J226" s="747"/>
      <c r="K226" s="37" t="str">
        <f t="shared" si="27"/>
        <v/>
      </c>
    </row>
    <row r="227" spans="5:11">
      <c r="E227" s="226" t="str">
        <f t="shared" si="21"/>
        <v/>
      </c>
      <c r="F227" s="35" t="str">
        <f t="shared" si="28"/>
        <v/>
      </c>
      <c r="G227" s="36" t="str">
        <f t="shared" si="25"/>
        <v/>
      </c>
      <c r="H227" s="36" t="str">
        <f t="shared" si="26"/>
        <v/>
      </c>
      <c r="I227" s="747" t="str">
        <f t="shared" si="29"/>
        <v/>
      </c>
      <c r="J227" s="747"/>
      <c r="K227" s="37" t="str">
        <f t="shared" si="27"/>
        <v/>
      </c>
    </row>
    <row r="228" spans="5:11">
      <c r="E228" s="226" t="str">
        <f t="shared" si="21"/>
        <v/>
      </c>
      <c r="F228" s="35" t="str">
        <f t="shared" si="28"/>
        <v/>
      </c>
      <c r="G228" s="36" t="str">
        <f t="shared" si="25"/>
        <v/>
      </c>
      <c r="H228" s="36" t="str">
        <f t="shared" si="26"/>
        <v/>
      </c>
      <c r="I228" s="747" t="str">
        <f t="shared" si="29"/>
        <v/>
      </c>
      <c r="J228" s="747"/>
      <c r="K228" s="37" t="str">
        <f t="shared" si="27"/>
        <v/>
      </c>
    </row>
    <row r="229" spans="5:11">
      <c r="E229" s="226" t="str">
        <f t="shared" si="21"/>
        <v/>
      </c>
      <c r="F229" s="35" t="str">
        <f t="shared" si="28"/>
        <v/>
      </c>
      <c r="G229" s="36" t="str">
        <f t="shared" si="25"/>
        <v/>
      </c>
      <c r="H229" s="36" t="str">
        <f t="shared" si="26"/>
        <v/>
      </c>
      <c r="I229" s="747" t="str">
        <f t="shared" si="29"/>
        <v/>
      </c>
      <c r="J229" s="747"/>
      <c r="K229" s="37" t="str">
        <f t="shared" si="27"/>
        <v/>
      </c>
    </row>
    <row r="230" spans="5:11">
      <c r="E230" s="226" t="str">
        <f t="shared" si="21"/>
        <v/>
      </c>
      <c r="F230" s="35" t="str">
        <f t="shared" si="28"/>
        <v/>
      </c>
      <c r="G230" s="36" t="str">
        <f t="shared" si="25"/>
        <v/>
      </c>
      <c r="H230" s="36" t="str">
        <f t="shared" si="26"/>
        <v/>
      </c>
      <c r="I230" s="747" t="str">
        <f t="shared" si="29"/>
        <v/>
      </c>
      <c r="J230" s="747"/>
      <c r="K230" s="37" t="str">
        <f t="shared" si="27"/>
        <v/>
      </c>
    </row>
    <row r="231" spans="5:11">
      <c r="E231" s="226" t="str">
        <f t="shared" si="21"/>
        <v/>
      </c>
      <c r="F231" s="35" t="str">
        <f t="shared" si="28"/>
        <v/>
      </c>
      <c r="G231" s="36" t="str">
        <f t="shared" si="25"/>
        <v/>
      </c>
      <c r="H231" s="36" t="str">
        <f t="shared" si="26"/>
        <v/>
      </c>
      <c r="I231" s="747" t="str">
        <f t="shared" si="29"/>
        <v/>
      </c>
      <c r="J231" s="747"/>
      <c r="K231" s="37" t="str">
        <f t="shared" si="27"/>
        <v/>
      </c>
    </row>
    <row r="232" spans="5:11">
      <c r="E232" s="226" t="str">
        <f t="shared" si="21"/>
        <v/>
      </c>
      <c r="F232" s="35" t="str">
        <f t="shared" si="28"/>
        <v/>
      </c>
      <c r="G232" s="36" t="str">
        <f t="shared" si="25"/>
        <v/>
      </c>
      <c r="H232" s="36" t="str">
        <f t="shared" si="26"/>
        <v/>
      </c>
      <c r="I232" s="747" t="str">
        <f t="shared" si="29"/>
        <v/>
      </c>
      <c r="J232" s="747"/>
      <c r="K232" s="37" t="str">
        <f t="shared" si="27"/>
        <v/>
      </c>
    </row>
    <row r="233" spans="5:11">
      <c r="E233" s="226" t="str">
        <f t="shared" si="21"/>
        <v/>
      </c>
      <c r="F233" s="35" t="str">
        <f t="shared" si="28"/>
        <v/>
      </c>
      <c r="G233" s="36" t="str">
        <f t="shared" si="25"/>
        <v/>
      </c>
      <c r="H233" s="36" t="str">
        <f t="shared" si="26"/>
        <v/>
      </c>
      <c r="I233" s="747" t="str">
        <f t="shared" si="29"/>
        <v/>
      </c>
      <c r="J233" s="747"/>
      <c r="K233" s="37" t="str">
        <f t="shared" si="27"/>
        <v/>
      </c>
    </row>
    <row r="234" spans="5:11">
      <c r="E234" s="226" t="str">
        <f t="shared" si="21"/>
        <v/>
      </c>
      <c r="F234" s="35" t="str">
        <f t="shared" si="28"/>
        <v/>
      </c>
      <c r="G234" s="36" t="str">
        <f t="shared" si="25"/>
        <v/>
      </c>
      <c r="H234" s="36" t="str">
        <f t="shared" si="26"/>
        <v/>
      </c>
      <c r="I234" s="747" t="str">
        <f t="shared" si="29"/>
        <v/>
      </c>
      <c r="J234" s="747"/>
      <c r="K234" s="37" t="str">
        <f t="shared" si="27"/>
        <v/>
      </c>
    </row>
    <row r="235" spans="5:11">
      <c r="E235" s="226" t="str">
        <f t="shared" si="21"/>
        <v/>
      </c>
      <c r="F235" s="35" t="str">
        <f t="shared" si="28"/>
        <v/>
      </c>
      <c r="G235" s="36" t="str">
        <f t="shared" si="25"/>
        <v/>
      </c>
      <c r="H235" s="36" t="str">
        <f t="shared" si="26"/>
        <v/>
      </c>
      <c r="I235" s="747" t="str">
        <f t="shared" si="29"/>
        <v/>
      </c>
      <c r="J235" s="747"/>
      <c r="K235" s="37" t="str">
        <f t="shared" si="27"/>
        <v/>
      </c>
    </row>
    <row r="236" spans="5:11">
      <c r="E236" s="226" t="str">
        <f t="shared" si="21"/>
        <v/>
      </c>
      <c r="F236" s="35" t="str">
        <f t="shared" si="28"/>
        <v/>
      </c>
      <c r="G236" s="36" t="str">
        <f t="shared" si="25"/>
        <v/>
      </c>
      <c r="H236" s="36" t="str">
        <f t="shared" si="26"/>
        <v/>
      </c>
      <c r="I236" s="747" t="str">
        <f t="shared" ref="I236:I299" si="30">IF(F236&lt;&gt;"",I235-H236,"")</f>
        <v/>
      </c>
      <c r="J236" s="747"/>
      <c r="K236" s="37" t="str">
        <f t="shared" si="27"/>
        <v/>
      </c>
    </row>
    <row r="237" spans="5:11">
      <c r="E237" s="226" t="str">
        <f t="shared" si="21"/>
        <v/>
      </c>
      <c r="F237" s="35" t="str">
        <f t="shared" si="28"/>
        <v/>
      </c>
      <c r="G237" s="36" t="str">
        <f t="shared" si="25"/>
        <v/>
      </c>
      <c r="H237" s="36" t="str">
        <f t="shared" si="26"/>
        <v/>
      </c>
      <c r="I237" s="747" t="str">
        <f t="shared" si="30"/>
        <v/>
      </c>
      <c r="J237" s="747"/>
      <c r="K237" s="37" t="str">
        <f t="shared" si="27"/>
        <v/>
      </c>
    </row>
    <row r="238" spans="5:11">
      <c r="E238" s="226" t="str">
        <f t="shared" ref="E238:E301" si="31">IFERROR(IF($G$15&lt;=F237,"",DATE(YEAR(E237),MONTH(E237)+1,DAY(E237))),"")</f>
        <v/>
      </c>
      <c r="F238" s="35" t="str">
        <f t="shared" si="28"/>
        <v/>
      </c>
      <c r="G238" s="36" t="str">
        <f t="shared" si="25"/>
        <v/>
      </c>
      <c r="H238" s="36" t="str">
        <f t="shared" si="26"/>
        <v/>
      </c>
      <c r="I238" s="747" t="str">
        <f t="shared" si="30"/>
        <v/>
      </c>
      <c r="J238" s="747"/>
      <c r="K238" s="37" t="str">
        <f t="shared" si="27"/>
        <v/>
      </c>
    </row>
    <row r="239" spans="5:11">
      <c r="E239" s="226" t="str">
        <f t="shared" si="31"/>
        <v/>
      </c>
      <c r="F239" s="35" t="str">
        <f t="shared" si="28"/>
        <v/>
      </c>
      <c r="G239" s="36" t="str">
        <f t="shared" si="25"/>
        <v/>
      </c>
      <c r="H239" s="36" t="str">
        <f t="shared" si="26"/>
        <v/>
      </c>
      <c r="I239" s="747" t="str">
        <f t="shared" si="30"/>
        <v/>
      </c>
      <c r="J239" s="747"/>
      <c r="K239" s="37" t="str">
        <f t="shared" si="27"/>
        <v/>
      </c>
    </row>
    <row r="240" spans="5:11">
      <c r="E240" s="226" t="str">
        <f t="shared" si="31"/>
        <v/>
      </c>
      <c r="F240" s="35" t="str">
        <f t="shared" si="28"/>
        <v/>
      </c>
      <c r="G240" s="36" t="str">
        <f t="shared" si="25"/>
        <v/>
      </c>
      <c r="H240" s="36" t="str">
        <f t="shared" si="26"/>
        <v/>
      </c>
      <c r="I240" s="747" t="str">
        <f t="shared" si="30"/>
        <v/>
      </c>
      <c r="J240" s="747"/>
      <c r="K240" s="37" t="str">
        <f t="shared" si="27"/>
        <v/>
      </c>
    </row>
    <row r="241" spans="5:11">
      <c r="E241" s="226" t="str">
        <f t="shared" si="31"/>
        <v/>
      </c>
      <c r="F241" s="35" t="str">
        <f t="shared" si="28"/>
        <v/>
      </c>
      <c r="G241" s="36" t="str">
        <f t="shared" si="25"/>
        <v/>
      </c>
      <c r="H241" s="36" t="str">
        <f t="shared" si="26"/>
        <v/>
      </c>
      <c r="I241" s="747" t="str">
        <f t="shared" si="30"/>
        <v/>
      </c>
      <c r="J241" s="747"/>
      <c r="K241" s="37" t="str">
        <f t="shared" si="27"/>
        <v/>
      </c>
    </row>
    <row r="242" spans="5:11">
      <c r="E242" s="226" t="str">
        <f t="shared" si="31"/>
        <v/>
      </c>
      <c r="F242" s="35" t="str">
        <f t="shared" si="28"/>
        <v/>
      </c>
      <c r="G242" s="36" t="str">
        <f t="shared" si="25"/>
        <v/>
      </c>
      <c r="H242" s="36" t="str">
        <f t="shared" si="26"/>
        <v/>
      </c>
      <c r="I242" s="747" t="str">
        <f t="shared" si="30"/>
        <v/>
      </c>
      <c r="J242" s="747"/>
      <c r="K242" s="37" t="str">
        <f t="shared" si="27"/>
        <v/>
      </c>
    </row>
    <row r="243" spans="5:11">
      <c r="E243" s="226" t="str">
        <f t="shared" si="31"/>
        <v/>
      </c>
      <c r="F243" s="35" t="str">
        <f t="shared" si="28"/>
        <v/>
      </c>
      <c r="G243" s="36" t="str">
        <f t="shared" si="25"/>
        <v/>
      </c>
      <c r="H243" s="36" t="str">
        <f t="shared" si="26"/>
        <v/>
      </c>
      <c r="I243" s="747" t="str">
        <f t="shared" si="30"/>
        <v/>
      </c>
      <c r="J243" s="747"/>
      <c r="K243" s="37" t="str">
        <f t="shared" si="27"/>
        <v/>
      </c>
    </row>
    <row r="244" spans="5:11">
      <c r="E244" s="226" t="str">
        <f t="shared" si="31"/>
        <v/>
      </c>
      <c r="F244" s="35" t="str">
        <f t="shared" si="28"/>
        <v/>
      </c>
      <c r="G244" s="36" t="str">
        <f t="shared" si="25"/>
        <v/>
      </c>
      <c r="H244" s="36" t="str">
        <f t="shared" si="26"/>
        <v/>
      </c>
      <c r="I244" s="747" t="str">
        <f t="shared" si="30"/>
        <v/>
      </c>
      <c r="J244" s="747"/>
      <c r="K244" s="37" t="str">
        <f t="shared" si="27"/>
        <v/>
      </c>
    </row>
    <row r="245" spans="5:11">
      <c r="E245" s="226" t="str">
        <f t="shared" si="31"/>
        <v/>
      </c>
      <c r="F245" s="35" t="str">
        <f t="shared" si="28"/>
        <v/>
      </c>
      <c r="G245" s="36" t="str">
        <f t="shared" si="25"/>
        <v/>
      </c>
      <c r="H245" s="36" t="str">
        <f t="shared" si="26"/>
        <v/>
      </c>
      <c r="I245" s="747" t="str">
        <f t="shared" si="30"/>
        <v/>
      </c>
      <c r="J245" s="747"/>
      <c r="K245" s="37" t="str">
        <f t="shared" si="27"/>
        <v/>
      </c>
    </row>
    <row r="246" spans="5:11">
      <c r="E246" s="226" t="str">
        <f t="shared" si="31"/>
        <v/>
      </c>
      <c r="F246" s="35" t="str">
        <f t="shared" si="28"/>
        <v/>
      </c>
      <c r="G246" s="36" t="str">
        <f t="shared" si="25"/>
        <v/>
      </c>
      <c r="H246" s="36" t="str">
        <f t="shared" si="26"/>
        <v/>
      </c>
      <c r="I246" s="747" t="str">
        <f t="shared" si="30"/>
        <v/>
      </c>
      <c r="J246" s="747"/>
      <c r="K246" s="37" t="str">
        <f t="shared" si="27"/>
        <v/>
      </c>
    </row>
    <row r="247" spans="5:11">
      <c r="E247" s="226" t="str">
        <f t="shared" si="31"/>
        <v/>
      </c>
      <c r="F247" s="35" t="str">
        <f t="shared" si="28"/>
        <v/>
      </c>
      <c r="G247" s="36" t="str">
        <f t="shared" si="25"/>
        <v/>
      </c>
      <c r="H247" s="36" t="str">
        <f t="shared" si="26"/>
        <v/>
      </c>
      <c r="I247" s="747" t="str">
        <f t="shared" si="30"/>
        <v/>
      </c>
      <c r="J247" s="747"/>
      <c r="K247" s="37" t="str">
        <f t="shared" si="27"/>
        <v/>
      </c>
    </row>
    <row r="248" spans="5:11">
      <c r="E248" s="226" t="str">
        <f t="shared" si="31"/>
        <v/>
      </c>
      <c r="F248" s="35" t="str">
        <f t="shared" si="28"/>
        <v/>
      </c>
      <c r="G248" s="36" t="str">
        <f t="shared" si="25"/>
        <v/>
      </c>
      <c r="H248" s="36" t="str">
        <f t="shared" si="26"/>
        <v/>
      </c>
      <c r="I248" s="747" t="str">
        <f t="shared" si="30"/>
        <v/>
      </c>
      <c r="J248" s="747"/>
      <c r="K248" s="37" t="str">
        <f t="shared" si="27"/>
        <v/>
      </c>
    </row>
    <row r="249" spans="5:11">
      <c r="E249" s="226" t="str">
        <f t="shared" si="31"/>
        <v/>
      </c>
      <c r="F249" s="35" t="str">
        <f t="shared" si="28"/>
        <v/>
      </c>
      <c r="G249" s="36" t="str">
        <f t="shared" si="25"/>
        <v/>
      </c>
      <c r="H249" s="36" t="str">
        <f t="shared" si="26"/>
        <v/>
      </c>
      <c r="I249" s="747" t="str">
        <f t="shared" si="30"/>
        <v/>
      </c>
      <c r="J249" s="747"/>
      <c r="K249" s="37" t="str">
        <f t="shared" si="27"/>
        <v/>
      </c>
    </row>
    <row r="250" spans="5:11">
      <c r="E250" s="226" t="str">
        <f t="shared" si="31"/>
        <v/>
      </c>
      <c r="F250" s="35" t="str">
        <f t="shared" si="28"/>
        <v/>
      </c>
      <c r="G250" s="36" t="str">
        <f t="shared" si="25"/>
        <v/>
      </c>
      <c r="H250" s="36" t="str">
        <f t="shared" si="26"/>
        <v/>
      </c>
      <c r="I250" s="747" t="str">
        <f t="shared" si="30"/>
        <v/>
      </c>
      <c r="J250" s="747"/>
      <c r="K250" s="37" t="str">
        <f t="shared" si="27"/>
        <v/>
      </c>
    </row>
    <row r="251" spans="5:11">
      <c r="E251" s="226" t="str">
        <f t="shared" si="31"/>
        <v/>
      </c>
      <c r="F251" s="35" t="str">
        <f t="shared" si="28"/>
        <v/>
      </c>
      <c r="G251" s="36" t="str">
        <f t="shared" si="25"/>
        <v/>
      </c>
      <c r="H251" s="36" t="str">
        <f t="shared" si="26"/>
        <v/>
      </c>
      <c r="I251" s="747" t="str">
        <f t="shared" si="30"/>
        <v/>
      </c>
      <c r="J251" s="747"/>
      <c r="K251" s="37" t="str">
        <f t="shared" si="27"/>
        <v/>
      </c>
    </row>
    <row r="252" spans="5:11">
      <c r="E252" s="226" t="str">
        <f t="shared" si="31"/>
        <v/>
      </c>
      <c r="F252" s="35" t="str">
        <f t="shared" si="28"/>
        <v/>
      </c>
      <c r="G252" s="36" t="str">
        <f t="shared" si="25"/>
        <v/>
      </c>
      <c r="H252" s="36" t="str">
        <f t="shared" si="26"/>
        <v/>
      </c>
      <c r="I252" s="747" t="str">
        <f t="shared" si="30"/>
        <v/>
      </c>
      <c r="J252" s="747"/>
      <c r="K252" s="37" t="str">
        <f t="shared" si="27"/>
        <v/>
      </c>
    </row>
    <row r="253" spans="5:11">
      <c r="E253" s="226" t="str">
        <f t="shared" si="31"/>
        <v/>
      </c>
      <c r="F253" s="35" t="str">
        <f t="shared" si="28"/>
        <v/>
      </c>
      <c r="G253" s="36" t="str">
        <f t="shared" si="25"/>
        <v/>
      </c>
      <c r="H253" s="36" t="str">
        <f t="shared" si="26"/>
        <v/>
      </c>
      <c r="I253" s="747" t="str">
        <f t="shared" si="30"/>
        <v/>
      </c>
      <c r="J253" s="747"/>
      <c r="K253" s="37" t="str">
        <f t="shared" si="27"/>
        <v/>
      </c>
    </row>
    <row r="254" spans="5:11">
      <c r="E254" s="226" t="str">
        <f t="shared" si="31"/>
        <v/>
      </c>
      <c r="F254" s="35" t="str">
        <f t="shared" si="28"/>
        <v/>
      </c>
      <c r="G254" s="36" t="str">
        <f t="shared" si="25"/>
        <v/>
      </c>
      <c r="H254" s="36" t="str">
        <f t="shared" si="26"/>
        <v/>
      </c>
      <c r="I254" s="747" t="str">
        <f t="shared" si="30"/>
        <v/>
      </c>
      <c r="J254" s="747"/>
      <c r="K254" s="37" t="str">
        <f t="shared" si="27"/>
        <v/>
      </c>
    </row>
    <row r="255" spans="5:11">
      <c r="E255" s="226" t="str">
        <f t="shared" si="31"/>
        <v/>
      </c>
      <c r="F255" s="35" t="str">
        <f t="shared" si="28"/>
        <v/>
      </c>
      <c r="G255" s="36" t="str">
        <f t="shared" si="25"/>
        <v/>
      </c>
      <c r="H255" s="36" t="str">
        <f t="shared" si="26"/>
        <v/>
      </c>
      <c r="I255" s="747" t="str">
        <f t="shared" si="30"/>
        <v/>
      </c>
      <c r="J255" s="747"/>
      <c r="K255" s="37" t="str">
        <f t="shared" si="27"/>
        <v/>
      </c>
    </row>
    <row r="256" spans="5:11">
      <c r="E256" s="226" t="str">
        <f t="shared" si="31"/>
        <v/>
      </c>
      <c r="F256" s="35" t="str">
        <f t="shared" si="28"/>
        <v/>
      </c>
      <c r="G256" s="36" t="str">
        <f t="shared" si="25"/>
        <v/>
      </c>
      <c r="H256" s="36" t="str">
        <f t="shared" si="26"/>
        <v/>
      </c>
      <c r="I256" s="747" t="str">
        <f t="shared" si="30"/>
        <v/>
      </c>
      <c r="J256" s="747"/>
      <c r="K256" s="37" t="str">
        <f t="shared" si="27"/>
        <v/>
      </c>
    </row>
    <row r="257" spans="5:11">
      <c r="E257" s="226" t="str">
        <f t="shared" si="31"/>
        <v/>
      </c>
      <c r="F257" s="35" t="str">
        <f t="shared" si="28"/>
        <v/>
      </c>
      <c r="G257" s="36" t="str">
        <f t="shared" si="25"/>
        <v/>
      </c>
      <c r="H257" s="36" t="str">
        <f t="shared" si="26"/>
        <v/>
      </c>
      <c r="I257" s="747" t="str">
        <f t="shared" si="30"/>
        <v/>
      </c>
      <c r="J257" s="747"/>
      <c r="K257" s="37" t="str">
        <f t="shared" si="27"/>
        <v/>
      </c>
    </row>
    <row r="258" spans="5:11">
      <c r="E258" s="226" t="str">
        <f t="shared" si="31"/>
        <v/>
      </c>
      <c r="F258" s="35" t="str">
        <f t="shared" si="28"/>
        <v/>
      </c>
      <c r="G258" s="36" t="str">
        <f t="shared" si="25"/>
        <v/>
      </c>
      <c r="H258" s="36" t="str">
        <f t="shared" si="26"/>
        <v/>
      </c>
      <c r="I258" s="747" t="str">
        <f t="shared" si="30"/>
        <v/>
      </c>
      <c r="J258" s="747"/>
      <c r="K258" s="37" t="str">
        <f t="shared" si="27"/>
        <v/>
      </c>
    </row>
    <row r="259" spans="5:11">
      <c r="E259" s="226" t="str">
        <f t="shared" si="31"/>
        <v/>
      </c>
      <c r="F259" s="35" t="str">
        <f t="shared" si="28"/>
        <v/>
      </c>
      <c r="G259" s="36" t="str">
        <f t="shared" si="25"/>
        <v/>
      </c>
      <c r="H259" s="36" t="str">
        <f t="shared" si="26"/>
        <v/>
      </c>
      <c r="I259" s="747" t="str">
        <f t="shared" si="30"/>
        <v/>
      </c>
      <c r="J259" s="747"/>
      <c r="K259" s="37" t="str">
        <f t="shared" si="27"/>
        <v/>
      </c>
    </row>
    <row r="260" spans="5:11">
      <c r="E260" s="226" t="str">
        <f t="shared" si="31"/>
        <v/>
      </c>
      <c r="F260" s="35" t="str">
        <f t="shared" si="28"/>
        <v/>
      </c>
      <c r="G260" s="36" t="str">
        <f t="shared" si="25"/>
        <v/>
      </c>
      <c r="H260" s="36" t="str">
        <f t="shared" si="26"/>
        <v/>
      </c>
      <c r="I260" s="747" t="str">
        <f t="shared" si="30"/>
        <v/>
      </c>
      <c r="J260" s="747"/>
      <c r="K260" s="37" t="str">
        <f t="shared" si="27"/>
        <v/>
      </c>
    </row>
    <row r="261" spans="5:11">
      <c r="E261" s="226" t="str">
        <f t="shared" si="31"/>
        <v/>
      </c>
      <c r="F261" s="35" t="str">
        <f t="shared" si="28"/>
        <v/>
      </c>
      <c r="G261" s="36" t="str">
        <f t="shared" si="25"/>
        <v/>
      </c>
      <c r="H261" s="36" t="str">
        <f t="shared" si="26"/>
        <v/>
      </c>
      <c r="I261" s="747" t="str">
        <f t="shared" si="30"/>
        <v/>
      </c>
      <c r="J261" s="747"/>
      <c r="K261" s="37" t="str">
        <f t="shared" si="27"/>
        <v/>
      </c>
    </row>
    <row r="262" spans="5:11">
      <c r="E262" s="226" t="str">
        <f t="shared" si="31"/>
        <v/>
      </c>
      <c r="F262" s="35" t="str">
        <f t="shared" si="28"/>
        <v/>
      </c>
      <c r="G262" s="36" t="str">
        <f t="shared" si="25"/>
        <v/>
      </c>
      <c r="H262" s="36" t="str">
        <f t="shared" si="26"/>
        <v/>
      </c>
      <c r="I262" s="747" t="str">
        <f t="shared" si="30"/>
        <v/>
      </c>
      <c r="J262" s="747"/>
      <c r="K262" s="37" t="str">
        <f t="shared" si="27"/>
        <v/>
      </c>
    </row>
    <row r="263" spans="5:11">
      <c r="E263" s="226" t="str">
        <f t="shared" si="31"/>
        <v/>
      </c>
      <c r="F263" s="35" t="str">
        <f t="shared" si="28"/>
        <v/>
      </c>
      <c r="G263" s="36" t="str">
        <f t="shared" si="25"/>
        <v/>
      </c>
      <c r="H263" s="36" t="str">
        <f t="shared" si="26"/>
        <v/>
      </c>
      <c r="I263" s="747" t="str">
        <f t="shared" si="30"/>
        <v/>
      </c>
      <c r="J263" s="747"/>
      <c r="K263" s="37" t="str">
        <f t="shared" si="27"/>
        <v/>
      </c>
    </row>
    <row r="264" spans="5:11">
      <c r="E264" s="226" t="str">
        <f t="shared" si="31"/>
        <v/>
      </c>
      <c r="F264" s="35" t="str">
        <f t="shared" si="28"/>
        <v/>
      </c>
      <c r="G264" s="36" t="str">
        <f t="shared" si="25"/>
        <v/>
      </c>
      <c r="H264" s="36" t="str">
        <f t="shared" si="26"/>
        <v/>
      </c>
      <c r="I264" s="747" t="str">
        <f t="shared" si="30"/>
        <v/>
      </c>
      <c r="J264" s="747"/>
      <c r="K264" s="37" t="str">
        <f t="shared" si="27"/>
        <v/>
      </c>
    </row>
    <row r="265" spans="5:11">
      <c r="E265" s="226" t="str">
        <f t="shared" si="31"/>
        <v/>
      </c>
      <c r="F265" s="35" t="str">
        <f t="shared" si="28"/>
        <v/>
      </c>
      <c r="G265" s="36" t="str">
        <f t="shared" si="25"/>
        <v/>
      </c>
      <c r="H265" s="36" t="str">
        <f t="shared" si="26"/>
        <v/>
      </c>
      <c r="I265" s="747" t="str">
        <f t="shared" si="30"/>
        <v/>
      </c>
      <c r="J265" s="747"/>
      <c r="K265" s="37" t="str">
        <f t="shared" si="27"/>
        <v/>
      </c>
    </row>
    <row r="266" spans="5:11">
      <c r="E266" s="226" t="str">
        <f t="shared" si="31"/>
        <v/>
      </c>
      <c r="F266" s="35" t="str">
        <f t="shared" si="28"/>
        <v/>
      </c>
      <c r="G266" s="36" t="str">
        <f t="shared" si="25"/>
        <v/>
      </c>
      <c r="H266" s="36" t="str">
        <f t="shared" si="26"/>
        <v/>
      </c>
      <c r="I266" s="747" t="str">
        <f t="shared" si="30"/>
        <v/>
      </c>
      <c r="J266" s="747"/>
      <c r="K266" s="37" t="str">
        <f t="shared" si="27"/>
        <v/>
      </c>
    </row>
    <row r="267" spans="5:11">
      <c r="E267" s="226" t="str">
        <f t="shared" si="31"/>
        <v/>
      </c>
      <c r="F267" s="35" t="str">
        <f t="shared" si="28"/>
        <v/>
      </c>
      <c r="G267" s="36" t="str">
        <f t="shared" si="25"/>
        <v/>
      </c>
      <c r="H267" s="36" t="str">
        <f t="shared" si="26"/>
        <v/>
      </c>
      <c r="I267" s="747" t="str">
        <f t="shared" si="30"/>
        <v/>
      </c>
      <c r="J267" s="747"/>
      <c r="K267" s="37" t="str">
        <f t="shared" si="27"/>
        <v/>
      </c>
    </row>
    <row r="268" spans="5:11">
      <c r="E268" s="226" t="str">
        <f t="shared" si="31"/>
        <v/>
      </c>
      <c r="F268" s="35" t="str">
        <f t="shared" si="28"/>
        <v/>
      </c>
      <c r="G268" s="36" t="str">
        <f t="shared" si="25"/>
        <v/>
      </c>
      <c r="H268" s="36" t="str">
        <f t="shared" si="26"/>
        <v/>
      </c>
      <c r="I268" s="747" t="str">
        <f t="shared" si="30"/>
        <v/>
      </c>
      <c r="J268" s="747"/>
      <c r="K268" s="37" t="str">
        <f t="shared" si="27"/>
        <v/>
      </c>
    </row>
    <row r="269" spans="5:11">
      <c r="E269" s="226" t="str">
        <f t="shared" si="31"/>
        <v/>
      </c>
      <c r="F269" s="35" t="str">
        <f t="shared" si="28"/>
        <v/>
      </c>
      <c r="G269" s="36" t="str">
        <f t="shared" si="25"/>
        <v/>
      </c>
      <c r="H269" s="36" t="str">
        <f t="shared" si="26"/>
        <v/>
      </c>
      <c r="I269" s="747" t="str">
        <f t="shared" si="30"/>
        <v/>
      </c>
      <c r="J269" s="747"/>
      <c r="K269" s="37" t="str">
        <f t="shared" si="27"/>
        <v/>
      </c>
    </row>
    <row r="270" spans="5:11">
      <c r="E270" s="226" t="str">
        <f t="shared" si="31"/>
        <v/>
      </c>
      <c r="F270" s="35" t="str">
        <f t="shared" si="28"/>
        <v/>
      </c>
      <c r="G270" s="36" t="str">
        <f t="shared" si="25"/>
        <v/>
      </c>
      <c r="H270" s="36" t="str">
        <f t="shared" si="26"/>
        <v/>
      </c>
      <c r="I270" s="747" t="str">
        <f t="shared" si="30"/>
        <v/>
      </c>
      <c r="J270" s="747"/>
      <c r="K270" s="37" t="str">
        <f t="shared" si="27"/>
        <v/>
      </c>
    </row>
    <row r="271" spans="5:11">
      <c r="E271" s="226" t="str">
        <f t="shared" si="31"/>
        <v/>
      </c>
      <c r="F271" s="35" t="str">
        <f t="shared" si="28"/>
        <v/>
      </c>
      <c r="G271" s="36" t="str">
        <f t="shared" si="25"/>
        <v/>
      </c>
      <c r="H271" s="36" t="str">
        <f t="shared" si="26"/>
        <v/>
      </c>
      <c r="I271" s="747" t="str">
        <f t="shared" si="30"/>
        <v/>
      </c>
      <c r="J271" s="747"/>
      <c r="K271" s="37" t="str">
        <f t="shared" si="27"/>
        <v/>
      </c>
    </row>
    <row r="272" spans="5:11">
      <c r="E272" s="226" t="str">
        <f t="shared" si="31"/>
        <v/>
      </c>
      <c r="F272" s="35" t="str">
        <f t="shared" si="28"/>
        <v/>
      </c>
      <c r="G272" s="36" t="str">
        <f t="shared" si="25"/>
        <v/>
      </c>
      <c r="H272" s="36" t="str">
        <f t="shared" si="26"/>
        <v/>
      </c>
      <c r="I272" s="747" t="str">
        <f t="shared" si="30"/>
        <v/>
      </c>
      <c r="J272" s="747"/>
      <c r="K272" s="37" t="str">
        <f t="shared" si="27"/>
        <v/>
      </c>
    </row>
    <row r="273" spans="5:11">
      <c r="E273" s="226" t="str">
        <f t="shared" si="31"/>
        <v/>
      </c>
      <c r="F273" s="35" t="str">
        <f t="shared" si="28"/>
        <v/>
      </c>
      <c r="G273" s="36" t="str">
        <f t="shared" si="25"/>
        <v/>
      </c>
      <c r="H273" s="36" t="str">
        <f t="shared" si="26"/>
        <v/>
      </c>
      <c r="I273" s="747" t="str">
        <f t="shared" si="30"/>
        <v/>
      </c>
      <c r="J273" s="747"/>
      <c r="K273" s="37" t="str">
        <f t="shared" si="27"/>
        <v/>
      </c>
    </row>
    <row r="274" spans="5:11">
      <c r="E274" s="226" t="str">
        <f t="shared" si="31"/>
        <v/>
      </c>
      <c r="F274" s="35" t="str">
        <f t="shared" si="28"/>
        <v/>
      </c>
      <c r="G274" s="36" t="str">
        <f t="shared" si="25"/>
        <v/>
      </c>
      <c r="H274" s="36" t="str">
        <f t="shared" si="26"/>
        <v/>
      </c>
      <c r="I274" s="747" t="str">
        <f t="shared" si="30"/>
        <v/>
      </c>
      <c r="J274" s="747"/>
      <c r="K274" s="37" t="str">
        <f t="shared" si="27"/>
        <v/>
      </c>
    </row>
    <row r="275" spans="5:11">
      <c r="E275" s="226" t="str">
        <f t="shared" si="31"/>
        <v/>
      </c>
      <c r="F275" s="35" t="str">
        <f t="shared" si="28"/>
        <v/>
      </c>
      <c r="G275" s="36" t="str">
        <f t="shared" si="25"/>
        <v/>
      </c>
      <c r="H275" s="36" t="str">
        <f t="shared" si="26"/>
        <v/>
      </c>
      <c r="I275" s="747" t="str">
        <f t="shared" si="30"/>
        <v/>
      </c>
      <c r="J275" s="747"/>
      <c r="K275" s="37" t="str">
        <f t="shared" si="27"/>
        <v/>
      </c>
    </row>
    <row r="276" spans="5:11">
      <c r="E276" s="226" t="str">
        <f t="shared" si="31"/>
        <v/>
      </c>
      <c r="F276" s="35" t="str">
        <f t="shared" si="28"/>
        <v/>
      </c>
      <c r="G276" s="36" t="str">
        <f t="shared" si="25"/>
        <v/>
      </c>
      <c r="H276" s="36" t="str">
        <f t="shared" si="26"/>
        <v/>
      </c>
      <c r="I276" s="747" t="str">
        <f t="shared" si="30"/>
        <v/>
      </c>
      <c r="J276" s="747"/>
      <c r="K276" s="37" t="str">
        <f t="shared" si="27"/>
        <v/>
      </c>
    </row>
    <row r="277" spans="5:11">
      <c r="E277" s="226" t="str">
        <f t="shared" si="31"/>
        <v/>
      </c>
      <c r="F277" s="35" t="str">
        <f t="shared" si="28"/>
        <v/>
      </c>
      <c r="G277" s="36" t="str">
        <f t="shared" si="25"/>
        <v/>
      </c>
      <c r="H277" s="36" t="str">
        <f t="shared" si="26"/>
        <v/>
      </c>
      <c r="I277" s="747" t="str">
        <f t="shared" si="30"/>
        <v/>
      </c>
      <c r="J277" s="747"/>
      <c r="K277" s="37" t="str">
        <f t="shared" si="27"/>
        <v/>
      </c>
    </row>
    <row r="278" spans="5:11">
      <c r="E278" s="226" t="str">
        <f t="shared" si="31"/>
        <v/>
      </c>
      <c r="F278" s="35" t="str">
        <f t="shared" si="28"/>
        <v/>
      </c>
      <c r="G278" s="36" t="str">
        <f t="shared" ref="G278:G341" si="32">IFERROR(IF(F278&lt;&gt;"",-IPMT($G$14/12,F278,$G$15,$G$13),""),0)</f>
        <v/>
      </c>
      <c r="H278" s="36" t="str">
        <f t="shared" ref="H278:H341" si="33">IFERROR(IF(F278&lt;&gt;"",-PPMT($G$14/12,F278,$G$15,$G$13),""),0)</f>
        <v/>
      </c>
      <c r="I278" s="747" t="str">
        <f t="shared" si="30"/>
        <v/>
      </c>
      <c r="J278" s="747"/>
      <c r="K278" s="37" t="str">
        <f t="shared" ref="K278:K341" si="34">IF(F278&lt;&gt;"",$G$13*($G$16/12),"")</f>
        <v/>
      </c>
    </row>
    <row r="279" spans="5:11">
      <c r="E279" s="226" t="str">
        <f t="shared" si="31"/>
        <v/>
      </c>
      <c r="F279" s="35" t="str">
        <f t="shared" ref="F279:F342" si="35">IF(OR(F278="",F278=$G$15),"",IF(F278&lt;$G$15,F278+1,0))</f>
        <v/>
      </c>
      <c r="G279" s="36" t="str">
        <f t="shared" si="32"/>
        <v/>
      </c>
      <c r="H279" s="36" t="str">
        <f t="shared" si="33"/>
        <v/>
      </c>
      <c r="I279" s="747" t="str">
        <f t="shared" si="30"/>
        <v/>
      </c>
      <c r="J279" s="747"/>
      <c r="K279" s="37" t="str">
        <f t="shared" si="34"/>
        <v/>
      </c>
    </row>
    <row r="280" spans="5:11">
      <c r="E280" s="226" t="str">
        <f t="shared" si="31"/>
        <v/>
      </c>
      <c r="F280" s="35" t="str">
        <f t="shared" si="35"/>
        <v/>
      </c>
      <c r="G280" s="36" t="str">
        <f t="shared" si="32"/>
        <v/>
      </c>
      <c r="H280" s="36" t="str">
        <f t="shared" si="33"/>
        <v/>
      </c>
      <c r="I280" s="747" t="str">
        <f t="shared" si="30"/>
        <v/>
      </c>
      <c r="J280" s="747"/>
      <c r="K280" s="37" t="str">
        <f t="shared" si="34"/>
        <v/>
      </c>
    </row>
    <row r="281" spans="5:11">
      <c r="E281" s="226" t="str">
        <f t="shared" si="31"/>
        <v/>
      </c>
      <c r="F281" s="35" t="str">
        <f t="shared" si="35"/>
        <v/>
      </c>
      <c r="G281" s="36" t="str">
        <f t="shared" si="32"/>
        <v/>
      </c>
      <c r="H281" s="36" t="str">
        <f t="shared" si="33"/>
        <v/>
      </c>
      <c r="I281" s="747" t="str">
        <f t="shared" si="30"/>
        <v/>
      </c>
      <c r="J281" s="747"/>
      <c r="K281" s="37" t="str">
        <f t="shared" si="34"/>
        <v/>
      </c>
    </row>
    <row r="282" spans="5:11">
      <c r="E282" s="226" t="str">
        <f t="shared" si="31"/>
        <v/>
      </c>
      <c r="F282" s="35" t="str">
        <f t="shared" si="35"/>
        <v/>
      </c>
      <c r="G282" s="36" t="str">
        <f t="shared" si="32"/>
        <v/>
      </c>
      <c r="H282" s="36" t="str">
        <f t="shared" si="33"/>
        <v/>
      </c>
      <c r="I282" s="747" t="str">
        <f t="shared" si="30"/>
        <v/>
      </c>
      <c r="J282" s="747"/>
      <c r="K282" s="37" t="str">
        <f t="shared" si="34"/>
        <v/>
      </c>
    </row>
    <row r="283" spans="5:11">
      <c r="E283" s="226" t="str">
        <f t="shared" si="31"/>
        <v/>
      </c>
      <c r="F283" s="35" t="str">
        <f t="shared" si="35"/>
        <v/>
      </c>
      <c r="G283" s="36" t="str">
        <f t="shared" si="32"/>
        <v/>
      </c>
      <c r="H283" s="36" t="str">
        <f t="shared" si="33"/>
        <v/>
      </c>
      <c r="I283" s="747" t="str">
        <f t="shared" si="30"/>
        <v/>
      </c>
      <c r="J283" s="747"/>
      <c r="K283" s="37" t="str">
        <f t="shared" si="34"/>
        <v/>
      </c>
    </row>
    <row r="284" spans="5:11">
      <c r="E284" s="226" t="str">
        <f t="shared" si="31"/>
        <v/>
      </c>
      <c r="F284" s="35" t="str">
        <f t="shared" si="35"/>
        <v/>
      </c>
      <c r="G284" s="36" t="str">
        <f t="shared" si="32"/>
        <v/>
      </c>
      <c r="H284" s="36" t="str">
        <f t="shared" si="33"/>
        <v/>
      </c>
      <c r="I284" s="747" t="str">
        <f t="shared" si="30"/>
        <v/>
      </c>
      <c r="J284" s="747"/>
      <c r="K284" s="37" t="str">
        <f t="shared" si="34"/>
        <v/>
      </c>
    </row>
    <row r="285" spans="5:11">
      <c r="E285" s="226" t="str">
        <f t="shared" si="31"/>
        <v/>
      </c>
      <c r="F285" s="35" t="str">
        <f t="shared" si="35"/>
        <v/>
      </c>
      <c r="G285" s="36" t="str">
        <f t="shared" si="32"/>
        <v/>
      </c>
      <c r="H285" s="36" t="str">
        <f t="shared" si="33"/>
        <v/>
      </c>
      <c r="I285" s="747" t="str">
        <f t="shared" si="30"/>
        <v/>
      </c>
      <c r="J285" s="747"/>
      <c r="K285" s="37" t="str">
        <f t="shared" si="34"/>
        <v/>
      </c>
    </row>
    <row r="286" spans="5:11">
      <c r="E286" s="226" t="str">
        <f t="shared" si="31"/>
        <v/>
      </c>
      <c r="F286" s="35" t="str">
        <f t="shared" si="35"/>
        <v/>
      </c>
      <c r="G286" s="36" t="str">
        <f t="shared" si="32"/>
        <v/>
      </c>
      <c r="H286" s="36" t="str">
        <f t="shared" si="33"/>
        <v/>
      </c>
      <c r="I286" s="747" t="str">
        <f t="shared" si="30"/>
        <v/>
      </c>
      <c r="J286" s="747"/>
      <c r="K286" s="37" t="str">
        <f t="shared" si="34"/>
        <v/>
      </c>
    </row>
    <row r="287" spans="5:11">
      <c r="E287" s="226" t="str">
        <f t="shared" si="31"/>
        <v/>
      </c>
      <c r="F287" s="35" t="str">
        <f t="shared" si="35"/>
        <v/>
      </c>
      <c r="G287" s="36" t="str">
        <f t="shared" si="32"/>
        <v/>
      </c>
      <c r="H287" s="36" t="str">
        <f t="shared" si="33"/>
        <v/>
      </c>
      <c r="I287" s="747" t="str">
        <f t="shared" si="30"/>
        <v/>
      </c>
      <c r="J287" s="747"/>
      <c r="K287" s="37" t="str">
        <f t="shared" si="34"/>
        <v/>
      </c>
    </row>
    <row r="288" spans="5:11">
      <c r="E288" s="226" t="str">
        <f t="shared" si="31"/>
        <v/>
      </c>
      <c r="F288" s="35" t="str">
        <f t="shared" si="35"/>
        <v/>
      </c>
      <c r="G288" s="36" t="str">
        <f t="shared" si="32"/>
        <v/>
      </c>
      <c r="H288" s="36" t="str">
        <f t="shared" si="33"/>
        <v/>
      </c>
      <c r="I288" s="747" t="str">
        <f t="shared" si="30"/>
        <v/>
      </c>
      <c r="J288" s="747"/>
      <c r="K288" s="37" t="str">
        <f t="shared" si="34"/>
        <v/>
      </c>
    </row>
    <row r="289" spans="5:11">
      <c r="E289" s="226" t="str">
        <f t="shared" si="31"/>
        <v/>
      </c>
      <c r="F289" s="35" t="str">
        <f t="shared" si="35"/>
        <v/>
      </c>
      <c r="G289" s="36" t="str">
        <f t="shared" si="32"/>
        <v/>
      </c>
      <c r="H289" s="36" t="str">
        <f t="shared" si="33"/>
        <v/>
      </c>
      <c r="I289" s="747" t="str">
        <f t="shared" si="30"/>
        <v/>
      </c>
      <c r="J289" s="747"/>
      <c r="K289" s="37" t="str">
        <f t="shared" si="34"/>
        <v/>
      </c>
    </row>
    <row r="290" spans="5:11">
      <c r="E290" s="226" t="str">
        <f t="shared" si="31"/>
        <v/>
      </c>
      <c r="F290" s="35" t="str">
        <f t="shared" si="35"/>
        <v/>
      </c>
      <c r="G290" s="36" t="str">
        <f t="shared" si="32"/>
        <v/>
      </c>
      <c r="H290" s="36" t="str">
        <f t="shared" si="33"/>
        <v/>
      </c>
      <c r="I290" s="747" t="str">
        <f t="shared" si="30"/>
        <v/>
      </c>
      <c r="J290" s="747"/>
      <c r="K290" s="37" t="str">
        <f t="shared" si="34"/>
        <v/>
      </c>
    </row>
    <row r="291" spans="5:11">
      <c r="E291" s="226" t="str">
        <f t="shared" si="31"/>
        <v/>
      </c>
      <c r="F291" s="35" t="str">
        <f t="shared" si="35"/>
        <v/>
      </c>
      <c r="G291" s="36" t="str">
        <f t="shared" si="32"/>
        <v/>
      </c>
      <c r="H291" s="36" t="str">
        <f t="shared" si="33"/>
        <v/>
      </c>
      <c r="I291" s="747" t="str">
        <f t="shared" si="30"/>
        <v/>
      </c>
      <c r="J291" s="747"/>
      <c r="K291" s="37" t="str">
        <f t="shared" si="34"/>
        <v/>
      </c>
    </row>
    <row r="292" spans="5:11">
      <c r="E292" s="226" t="str">
        <f t="shared" si="31"/>
        <v/>
      </c>
      <c r="F292" s="35" t="str">
        <f t="shared" si="35"/>
        <v/>
      </c>
      <c r="G292" s="36" t="str">
        <f t="shared" si="32"/>
        <v/>
      </c>
      <c r="H292" s="36" t="str">
        <f t="shared" si="33"/>
        <v/>
      </c>
      <c r="I292" s="747" t="str">
        <f t="shared" si="30"/>
        <v/>
      </c>
      <c r="J292" s="747"/>
      <c r="K292" s="37" t="str">
        <f t="shared" si="34"/>
        <v/>
      </c>
    </row>
    <row r="293" spans="5:11">
      <c r="E293" s="226" t="str">
        <f t="shared" si="31"/>
        <v/>
      </c>
      <c r="F293" s="35" t="str">
        <f t="shared" si="35"/>
        <v/>
      </c>
      <c r="G293" s="36" t="str">
        <f t="shared" si="32"/>
        <v/>
      </c>
      <c r="H293" s="36" t="str">
        <f t="shared" si="33"/>
        <v/>
      </c>
      <c r="I293" s="747" t="str">
        <f t="shared" si="30"/>
        <v/>
      </c>
      <c r="J293" s="747"/>
      <c r="K293" s="37" t="str">
        <f t="shared" si="34"/>
        <v/>
      </c>
    </row>
    <row r="294" spans="5:11">
      <c r="E294" s="226" t="str">
        <f t="shared" si="31"/>
        <v/>
      </c>
      <c r="F294" s="35" t="str">
        <f t="shared" si="35"/>
        <v/>
      </c>
      <c r="G294" s="36" t="str">
        <f t="shared" si="32"/>
        <v/>
      </c>
      <c r="H294" s="36" t="str">
        <f t="shared" si="33"/>
        <v/>
      </c>
      <c r="I294" s="747" t="str">
        <f t="shared" si="30"/>
        <v/>
      </c>
      <c r="J294" s="747"/>
      <c r="K294" s="37" t="str">
        <f t="shared" si="34"/>
        <v/>
      </c>
    </row>
    <row r="295" spans="5:11">
      <c r="E295" s="226" t="str">
        <f t="shared" si="31"/>
        <v/>
      </c>
      <c r="F295" s="35" t="str">
        <f t="shared" si="35"/>
        <v/>
      </c>
      <c r="G295" s="36" t="str">
        <f t="shared" si="32"/>
        <v/>
      </c>
      <c r="H295" s="36" t="str">
        <f t="shared" si="33"/>
        <v/>
      </c>
      <c r="I295" s="747" t="str">
        <f t="shared" si="30"/>
        <v/>
      </c>
      <c r="J295" s="747"/>
      <c r="K295" s="37" t="str">
        <f t="shared" si="34"/>
        <v/>
      </c>
    </row>
    <row r="296" spans="5:11">
      <c r="E296" s="226" t="str">
        <f t="shared" si="31"/>
        <v/>
      </c>
      <c r="F296" s="35" t="str">
        <f t="shared" si="35"/>
        <v/>
      </c>
      <c r="G296" s="36" t="str">
        <f t="shared" si="32"/>
        <v/>
      </c>
      <c r="H296" s="36" t="str">
        <f t="shared" si="33"/>
        <v/>
      </c>
      <c r="I296" s="747" t="str">
        <f t="shared" si="30"/>
        <v/>
      </c>
      <c r="J296" s="747"/>
      <c r="K296" s="37" t="str">
        <f t="shared" si="34"/>
        <v/>
      </c>
    </row>
    <row r="297" spans="5:11">
      <c r="E297" s="226" t="str">
        <f t="shared" si="31"/>
        <v/>
      </c>
      <c r="F297" s="35" t="str">
        <f t="shared" si="35"/>
        <v/>
      </c>
      <c r="G297" s="36" t="str">
        <f t="shared" si="32"/>
        <v/>
      </c>
      <c r="H297" s="36" t="str">
        <f t="shared" si="33"/>
        <v/>
      </c>
      <c r="I297" s="747" t="str">
        <f t="shared" si="30"/>
        <v/>
      </c>
      <c r="J297" s="747"/>
      <c r="K297" s="37" t="str">
        <f t="shared" si="34"/>
        <v/>
      </c>
    </row>
    <row r="298" spans="5:11">
      <c r="E298" s="226" t="str">
        <f t="shared" si="31"/>
        <v/>
      </c>
      <c r="F298" s="35" t="str">
        <f t="shared" si="35"/>
        <v/>
      </c>
      <c r="G298" s="36" t="str">
        <f t="shared" si="32"/>
        <v/>
      </c>
      <c r="H298" s="36" t="str">
        <f t="shared" si="33"/>
        <v/>
      </c>
      <c r="I298" s="747" t="str">
        <f t="shared" si="30"/>
        <v/>
      </c>
      <c r="J298" s="747"/>
      <c r="K298" s="37" t="str">
        <f t="shared" si="34"/>
        <v/>
      </c>
    </row>
    <row r="299" spans="5:11">
      <c r="E299" s="226" t="str">
        <f t="shared" si="31"/>
        <v/>
      </c>
      <c r="F299" s="35" t="str">
        <f t="shared" si="35"/>
        <v/>
      </c>
      <c r="G299" s="36" t="str">
        <f t="shared" si="32"/>
        <v/>
      </c>
      <c r="H299" s="36" t="str">
        <f t="shared" si="33"/>
        <v/>
      </c>
      <c r="I299" s="747" t="str">
        <f t="shared" si="30"/>
        <v/>
      </c>
      <c r="J299" s="747"/>
      <c r="K299" s="37" t="str">
        <f t="shared" si="34"/>
        <v/>
      </c>
    </row>
    <row r="300" spans="5:11">
      <c r="E300" s="226" t="str">
        <f t="shared" si="31"/>
        <v/>
      </c>
      <c r="F300" s="35" t="str">
        <f t="shared" si="35"/>
        <v/>
      </c>
      <c r="G300" s="36" t="str">
        <f t="shared" si="32"/>
        <v/>
      </c>
      <c r="H300" s="36" t="str">
        <f t="shared" si="33"/>
        <v/>
      </c>
      <c r="I300" s="747" t="str">
        <f t="shared" ref="I300:I363" si="36">IF(F300&lt;&gt;"",I299-H300,"")</f>
        <v/>
      </c>
      <c r="J300" s="747"/>
      <c r="K300" s="37" t="str">
        <f t="shared" si="34"/>
        <v/>
      </c>
    </row>
    <row r="301" spans="5:11">
      <c r="E301" s="226" t="str">
        <f t="shared" si="31"/>
        <v/>
      </c>
      <c r="F301" s="35" t="str">
        <f t="shared" si="35"/>
        <v/>
      </c>
      <c r="G301" s="36" t="str">
        <f t="shared" si="32"/>
        <v/>
      </c>
      <c r="H301" s="36" t="str">
        <f t="shared" si="33"/>
        <v/>
      </c>
      <c r="I301" s="747" t="str">
        <f t="shared" si="36"/>
        <v/>
      </c>
      <c r="J301" s="747"/>
      <c r="K301" s="37" t="str">
        <f t="shared" si="34"/>
        <v/>
      </c>
    </row>
    <row r="302" spans="5:11">
      <c r="E302" s="226" t="str">
        <f t="shared" ref="E302:E365" si="37">IFERROR(IF($G$15&lt;=F301,"",DATE(YEAR(E301),MONTH(E301)+1,DAY(E301))),"")</f>
        <v/>
      </c>
      <c r="F302" s="35" t="str">
        <f t="shared" si="35"/>
        <v/>
      </c>
      <c r="G302" s="36" t="str">
        <f t="shared" si="32"/>
        <v/>
      </c>
      <c r="H302" s="36" t="str">
        <f t="shared" si="33"/>
        <v/>
      </c>
      <c r="I302" s="747" t="str">
        <f t="shared" si="36"/>
        <v/>
      </c>
      <c r="J302" s="747"/>
      <c r="K302" s="37" t="str">
        <f t="shared" si="34"/>
        <v/>
      </c>
    </row>
    <row r="303" spans="5:11">
      <c r="E303" s="226" t="str">
        <f t="shared" si="37"/>
        <v/>
      </c>
      <c r="F303" s="35" t="str">
        <f t="shared" si="35"/>
        <v/>
      </c>
      <c r="G303" s="36" t="str">
        <f t="shared" si="32"/>
        <v/>
      </c>
      <c r="H303" s="36" t="str">
        <f t="shared" si="33"/>
        <v/>
      </c>
      <c r="I303" s="747" t="str">
        <f t="shared" si="36"/>
        <v/>
      </c>
      <c r="J303" s="747"/>
      <c r="K303" s="37" t="str">
        <f t="shared" si="34"/>
        <v/>
      </c>
    </row>
    <row r="304" spans="5:11">
      <c r="E304" s="226" t="str">
        <f t="shared" si="37"/>
        <v/>
      </c>
      <c r="F304" s="35" t="str">
        <f t="shared" si="35"/>
        <v/>
      </c>
      <c r="G304" s="36" t="str">
        <f t="shared" si="32"/>
        <v/>
      </c>
      <c r="H304" s="36" t="str">
        <f t="shared" si="33"/>
        <v/>
      </c>
      <c r="I304" s="747" t="str">
        <f t="shared" si="36"/>
        <v/>
      </c>
      <c r="J304" s="747"/>
      <c r="K304" s="37" t="str">
        <f t="shared" si="34"/>
        <v/>
      </c>
    </row>
    <row r="305" spans="5:11">
      <c r="E305" s="226" t="str">
        <f t="shared" si="37"/>
        <v/>
      </c>
      <c r="F305" s="35" t="str">
        <f t="shared" si="35"/>
        <v/>
      </c>
      <c r="G305" s="36" t="str">
        <f t="shared" si="32"/>
        <v/>
      </c>
      <c r="H305" s="36" t="str">
        <f t="shared" si="33"/>
        <v/>
      </c>
      <c r="I305" s="747" t="str">
        <f t="shared" si="36"/>
        <v/>
      </c>
      <c r="J305" s="747"/>
      <c r="K305" s="37" t="str">
        <f t="shared" si="34"/>
        <v/>
      </c>
    </row>
    <row r="306" spans="5:11">
      <c r="E306" s="226" t="str">
        <f t="shared" si="37"/>
        <v/>
      </c>
      <c r="F306" s="35" t="str">
        <f t="shared" si="35"/>
        <v/>
      </c>
      <c r="G306" s="36" t="str">
        <f t="shared" si="32"/>
        <v/>
      </c>
      <c r="H306" s="36" t="str">
        <f t="shared" si="33"/>
        <v/>
      </c>
      <c r="I306" s="747" t="str">
        <f t="shared" si="36"/>
        <v/>
      </c>
      <c r="J306" s="747"/>
      <c r="K306" s="37" t="str">
        <f t="shared" si="34"/>
        <v/>
      </c>
    </row>
    <row r="307" spans="5:11">
      <c r="E307" s="226" t="str">
        <f t="shared" si="37"/>
        <v/>
      </c>
      <c r="F307" s="35" t="str">
        <f t="shared" si="35"/>
        <v/>
      </c>
      <c r="G307" s="36" t="str">
        <f t="shared" si="32"/>
        <v/>
      </c>
      <c r="H307" s="36" t="str">
        <f t="shared" si="33"/>
        <v/>
      </c>
      <c r="I307" s="747" t="str">
        <f t="shared" si="36"/>
        <v/>
      </c>
      <c r="J307" s="747"/>
      <c r="K307" s="37" t="str">
        <f t="shared" si="34"/>
        <v/>
      </c>
    </row>
    <row r="308" spans="5:11">
      <c r="E308" s="226" t="str">
        <f t="shared" si="37"/>
        <v/>
      </c>
      <c r="F308" s="35" t="str">
        <f t="shared" si="35"/>
        <v/>
      </c>
      <c r="G308" s="36" t="str">
        <f t="shared" si="32"/>
        <v/>
      </c>
      <c r="H308" s="36" t="str">
        <f t="shared" si="33"/>
        <v/>
      </c>
      <c r="I308" s="747" t="str">
        <f t="shared" si="36"/>
        <v/>
      </c>
      <c r="J308" s="747"/>
      <c r="K308" s="37" t="str">
        <f t="shared" si="34"/>
        <v/>
      </c>
    </row>
    <row r="309" spans="5:11">
      <c r="E309" s="226" t="str">
        <f t="shared" si="37"/>
        <v/>
      </c>
      <c r="F309" s="35" t="str">
        <f t="shared" si="35"/>
        <v/>
      </c>
      <c r="G309" s="36" t="str">
        <f t="shared" si="32"/>
        <v/>
      </c>
      <c r="H309" s="36" t="str">
        <f t="shared" si="33"/>
        <v/>
      </c>
      <c r="I309" s="747" t="str">
        <f t="shared" si="36"/>
        <v/>
      </c>
      <c r="J309" s="747"/>
      <c r="K309" s="37" t="str">
        <f t="shared" si="34"/>
        <v/>
      </c>
    </row>
    <row r="310" spans="5:11">
      <c r="E310" s="226" t="str">
        <f t="shared" si="37"/>
        <v/>
      </c>
      <c r="F310" s="35" t="str">
        <f t="shared" si="35"/>
        <v/>
      </c>
      <c r="G310" s="36" t="str">
        <f t="shared" si="32"/>
        <v/>
      </c>
      <c r="H310" s="36" t="str">
        <f t="shared" si="33"/>
        <v/>
      </c>
      <c r="I310" s="747" t="str">
        <f t="shared" si="36"/>
        <v/>
      </c>
      <c r="J310" s="747"/>
      <c r="K310" s="37" t="str">
        <f t="shared" si="34"/>
        <v/>
      </c>
    </row>
    <row r="311" spans="5:11">
      <c r="E311" s="226" t="str">
        <f t="shared" si="37"/>
        <v/>
      </c>
      <c r="F311" s="35" t="str">
        <f t="shared" si="35"/>
        <v/>
      </c>
      <c r="G311" s="36" t="str">
        <f t="shared" si="32"/>
        <v/>
      </c>
      <c r="H311" s="36" t="str">
        <f t="shared" si="33"/>
        <v/>
      </c>
      <c r="I311" s="747" t="str">
        <f t="shared" si="36"/>
        <v/>
      </c>
      <c r="J311" s="747"/>
      <c r="K311" s="37" t="str">
        <f t="shared" si="34"/>
        <v/>
      </c>
    </row>
    <row r="312" spans="5:11">
      <c r="E312" s="226" t="str">
        <f t="shared" si="37"/>
        <v/>
      </c>
      <c r="F312" s="35" t="str">
        <f t="shared" si="35"/>
        <v/>
      </c>
      <c r="G312" s="36" t="str">
        <f t="shared" si="32"/>
        <v/>
      </c>
      <c r="H312" s="36" t="str">
        <f t="shared" si="33"/>
        <v/>
      </c>
      <c r="I312" s="747" t="str">
        <f t="shared" si="36"/>
        <v/>
      </c>
      <c r="J312" s="747"/>
      <c r="K312" s="37" t="str">
        <f t="shared" si="34"/>
        <v/>
      </c>
    </row>
    <row r="313" spans="5:11">
      <c r="E313" s="226" t="str">
        <f t="shared" si="37"/>
        <v/>
      </c>
      <c r="F313" s="35" t="str">
        <f t="shared" si="35"/>
        <v/>
      </c>
      <c r="G313" s="36" t="str">
        <f t="shared" si="32"/>
        <v/>
      </c>
      <c r="H313" s="36" t="str">
        <f t="shared" si="33"/>
        <v/>
      </c>
      <c r="I313" s="747" t="str">
        <f t="shared" si="36"/>
        <v/>
      </c>
      <c r="J313" s="747"/>
      <c r="K313" s="37" t="str">
        <f t="shared" si="34"/>
        <v/>
      </c>
    </row>
    <row r="314" spans="5:11">
      <c r="E314" s="226" t="str">
        <f t="shared" si="37"/>
        <v/>
      </c>
      <c r="F314" s="35" t="str">
        <f t="shared" si="35"/>
        <v/>
      </c>
      <c r="G314" s="36" t="str">
        <f t="shared" si="32"/>
        <v/>
      </c>
      <c r="H314" s="36" t="str">
        <f t="shared" si="33"/>
        <v/>
      </c>
      <c r="I314" s="747" t="str">
        <f t="shared" si="36"/>
        <v/>
      </c>
      <c r="J314" s="747"/>
      <c r="K314" s="37" t="str">
        <f t="shared" si="34"/>
        <v/>
      </c>
    </row>
    <row r="315" spans="5:11">
      <c r="E315" s="226" t="str">
        <f t="shared" si="37"/>
        <v/>
      </c>
      <c r="F315" s="35" t="str">
        <f t="shared" si="35"/>
        <v/>
      </c>
      <c r="G315" s="36" t="str">
        <f t="shared" si="32"/>
        <v/>
      </c>
      <c r="H315" s="36" t="str">
        <f t="shared" si="33"/>
        <v/>
      </c>
      <c r="I315" s="747" t="str">
        <f t="shared" si="36"/>
        <v/>
      </c>
      <c r="J315" s="747"/>
      <c r="K315" s="37" t="str">
        <f t="shared" si="34"/>
        <v/>
      </c>
    </row>
    <row r="316" spans="5:11">
      <c r="E316" s="226" t="str">
        <f t="shared" si="37"/>
        <v/>
      </c>
      <c r="F316" s="35" t="str">
        <f t="shared" si="35"/>
        <v/>
      </c>
      <c r="G316" s="36" t="str">
        <f t="shared" si="32"/>
        <v/>
      </c>
      <c r="H316" s="36" t="str">
        <f t="shared" si="33"/>
        <v/>
      </c>
      <c r="I316" s="747" t="str">
        <f t="shared" si="36"/>
        <v/>
      </c>
      <c r="J316" s="747"/>
      <c r="K316" s="37" t="str">
        <f t="shared" si="34"/>
        <v/>
      </c>
    </row>
    <row r="317" spans="5:11">
      <c r="E317" s="226" t="str">
        <f t="shared" si="37"/>
        <v/>
      </c>
      <c r="F317" s="35" t="str">
        <f t="shared" si="35"/>
        <v/>
      </c>
      <c r="G317" s="36" t="str">
        <f t="shared" si="32"/>
        <v/>
      </c>
      <c r="H317" s="36" t="str">
        <f t="shared" si="33"/>
        <v/>
      </c>
      <c r="I317" s="747" t="str">
        <f t="shared" si="36"/>
        <v/>
      </c>
      <c r="J317" s="747"/>
      <c r="K317" s="37" t="str">
        <f t="shared" si="34"/>
        <v/>
      </c>
    </row>
    <row r="318" spans="5:11">
      <c r="E318" s="226" t="str">
        <f t="shared" si="37"/>
        <v/>
      </c>
      <c r="F318" s="35" t="str">
        <f t="shared" si="35"/>
        <v/>
      </c>
      <c r="G318" s="36" t="str">
        <f t="shared" si="32"/>
        <v/>
      </c>
      <c r="H318" s="36" t="str">
        <f t="shared" si="33"/>
        <v/>
      </c>
      <c r="I318" s="747" t="str">
        <f t="shared" si="36"/>
        <v/>
      </c>
      <c r="J318" s="747"/>
      <c r="K318" s="37" t="str">
        <f t="shared" si="34"/>
        <v/>
      </c>
    </row>
    <row r="319" spans="5:11">
      <c r="E319" s="226" t="str">
        <f t="shared" si="37"/>
        <v/>
      </c>
      <c r="F319" s="35" t="str">
        <f t="shared" si="35"/>
        <v/>
      </c>
      <c r="G319" s="36" t="str">
        <f t="shared" si="32"/>
        <v/>
      </c>
      <c r="H319" s="36" t="str">
        <f t="shared" si="33"/>
        <v/>
      </c>
      <c r="I319" s="747" t="str">
        <f t="shared" si="36"/>
        <v/>
      </c>
      <c r="J319" s="747"/>
      <c r="K319" s="37" t="str">
        <f t="shared" si="34"/>
        <v/>
      </c>
    </row>
    <row r="320" spans="5:11">
      <c r="E320" s="226" t="str">
        <f t="shared" si="37"/>
        <v/>
      </c>
      <c r="F320" s="35" t="str">
        <f t="shared" si="35"/>
        <v/>
      </c>
      <c r="G320" s="36" t="str">
        <f t="shared" si="32"/>
        <v/>
      </c>
      <c r="H320" s="36" t="str">
        <f t="shared" si="33"/>
        <v/>
      </c>
      <c r="I320" s="747" t="str">
        <f t="shared" si="36"/>
        <v/>
      </c>
      <c r="J320" s="747"/>
      <c r="K320" s="37" t="str">
        <f t="shared" si="34"/>
        <v/>
      </c>
    </row>
    <row r="321" spans="5:11">
      <c r="E321" s="226" t="str">
        <f t="shared" si="37"/>
        <v/>
      </c>
      <c r="F321" s="35" t="str">
        <f t="shared" si="35"/>
        <v/>
      </c>
      <c r="G321" s="36" t="str">
        <f t="shared" si="32"/>
        <v/>
      </c>
      <c r="H321" s="36" t="str">
        <f t="shared" si="33"/>
        <v/>
      </c>
      <c r="I321" s="747" t="str">
        <f t="shared" si="36"/>
        <v/>
      </c>
      <c r="J321" s="747"/>
      <c r="K321" s="37" t="str">
        <f t="shared" si="34"/>
        <v/>
      </c>
    </row>
    <row r="322" spans="5:11">
      <c r="E322" s="226" t="str">
        <f t="shared" si="37"/>
        <v/>
      </c>
      <c r="F322" s="35" t="str">
        <f t="shared" si="35"/>
        <v/>
      </c>
      <c r="G322" s="36" t="str">
        <f t="shared" si="32"/>
        <v/>
      </c>
      <c r="H322" s="36" t="str">
        <f t="shared" si="33"/>
        <v/>
      </c>
      <c r="I322" s="747" t="str">
        <f t="shared" si="36"/>
        <v/>
      </c>
      <c r="J322" s="747"/>
      <c r="K322" s="37" t="str">
        <f t="shared" si="34"/>
        <v/>
      </c>
    </row>
    <row r="323" spans="5:11">
      <c r="E323" s="226" t="str">
        <f t="shared" si="37"/>
        <v/>
      </c>
      <c r="F323" s="35" t="str">
        <f t="shared" si="35"/>
        <v/>
      </c>
      <c r="G323" s="36" t="str">
        <f t="shared" si="32"/>
        <v/>
      </c>
      <c r="H323" s="36" t="str">
        <f t="shared" si="33"/>
        <v/>
      </c>
      <c r="I323" s="747" t="str">
        <f t="shared" si="36"/>
        <v/>
      </c>
      <c r="J323" s="747"/>
      <c r="K323" s="37" t="str">
        <f t="shared" si="34"/>
        <v/>
      </c>
    </row>
    <row r="324" spans="5:11">
      <c r="E324" s="226" t="str">
        <f t="shared" si="37"/>
        <v/>
      </c>
      <c r="F324" s="35" t="str">
        <f t="shared" si="35"/>
        <v/>
      </c>
      <c r="G324" s="36" t="str">
        <f t="shared" si="32"/>
        <v/>
      </c>
      <c r="H324" s="36" t="str">
        <f t="shared" si="33"/>
        <v/>
      </c>
      <c r="I324" s="747" t="str">
        <f t="shared" si="36"/>
        <v/>
      </c>
      <c r="J324" s="747"/>
      <c r="K324" s="37" t="str">
        <f t="shared" si="34"/>
        <v/>
      </c>
    </row>
    <row r="325" spans="5:11">
      <c r="E325" s="226" t="str">
        <f t="shared" si="37"/>
        <v/>
      </c>
      <c r="F325" s="35" t="str">
        <f t="shared" si="35"/>
        <v/>
      </c>
      <c r="G325" s="36" t="str">
        <f t="shared" si="32"/>
        <v/>
      </c>
      <c r="H325" s="36" t="str">
        <f t="shared" si="33"/>
        <v/>
      </c>
      <c r="I325" s="747" t="str">
        <f t="shared" si="36"/>
        <v/>
      </c>
      <c r="J325" s="747"/>
      <c r="K325" s="37" t="str">
        <f t="shared" si="34"/>
        <v/>
      </c>
    </row>
    <row r="326" spans="5:11">
      <c r="E326" s="226" t="str">
        <f t="shared" si="37"/>
        <v/>
      </c>
      <c r="F326" s="35" t="str">
        <f t="shared" si="35"/>
        <v/>
      </c>
      <c r="G326" s="36" t="str">
        <f t="shared" si="32"/>
        <v/>
      </c>
      <c r="H326" s="36" t="str">
        <f t="shared" si="33"/>
        <v/>
      </c>
      <c r="I326" s="747" t="str">
        <f t="shared" si="36"/>
        <v/>
      </c>
      <c r="J326" s="747"/>
      <c r="K326" s="37" t="str">
        <f t="shared" si="34"/>
        <v/>
      </c>
    </row>
    <row r="327" spans="5:11">
      <c r="E327" s="226" t="str">
        <f t="shared" si="37"/>
        <v/>
      </c>
      <c r="F327" s="35" t="str">
        <f t="shared" si="35"/>
        <v/>
      </c>
      <c r="G327" s="36" t="str">
        <f t="shared" si="32"/>
        <v/>
      </c>
      <c r="H327" s="36" t="str">
        <f t="shared" si="33"/>
        <v/>
      </c>
      <c r="I327" s="747" t="str">
        <f t="shared" si="36"/>
        <v/>
      </c>
      <c r="J327" s="747"/>
      <c r="K327" s="37" t="str">
        <f t="shared" si="34"/>
        <v/>
      </c>
    </row>
    <row r="328" spans="5:11">
      <c r="E328" s="226" t="str">
        <f t="shared" si="37"/>
        <v/>
      </c>
      <c r="F328" s="35" t="str">
        <f t="shared" si="35"/>
        <v/>
      </c>
      <c r="G328" s="36" t="str">
        <f t="shared" si="32"/>
        <v/>
      </c>
      <c r="H328" s="36" t="str">
        <f t="shared" si="33"/>
        <v/>
      </c>
      <c r="I328" s="747" t="str">
        <f t="shared" si="36"/>
        <v/>
      </c>
      <c r="J328" s="747"/>
      <c r="K328" s="37" t="str">
        <f t="shared" si="34"/>
        <v/>
      </c>
    </row>
    <row r="329" spans="5:11">
      <c r="E329" s="226" t="str">
        <f t="shared" si="37"/>
        <v/>
      </c>
      <c r="F329" s="35" t="str">
        <f t="shared" si="35"/>
        <v/>
      </c>
      <c r="G329" s="36" t="str">
        <f t="shared" si="32"/>
        <v/>
      </c>
      <c r="H329" s="36" t="str">
        <f t="shared" si="33"/>
        <v/>
      </c>
      <c r="I329" s="747" t="str">
        <f t="shared" si="36"/>
        <v/>
      </c>
      <c r="J329" s="747"/>
      <c r="K329" s="37" t="str">
        <f t="shared" si="34"/>
        <v/>
      </c>
    </row>
    <row r="330" spans="5:11">
      <c r="E330" s="226" t="str">
        <f t="shared" si="37"/>
        <v/>
      </c>
      <c r="F330" s="35" t="str">
        <f t="shared" si="35"/>
        <v/>
      </c>
      <c r="G330" s="36" t="str">
        <f t="shared" si="32"/>
        <v/>
      </c>
      <c r="H330" s="36" t="str">
        <f t="shared" si="33"/>
        <v/>
      </c>
      <c r="I330" s="747" t="str">
        <f t="shared" si="36"/>
        <v/>
      </c>
      <c r="J330" s="747"/>
      <c r="K330" s="37" t="str">
        <f t="shared" si="34"/>
        <v/>
      </c>
    </row>
    <row r="331" spans="5:11">
      <c r="E331" s="226" t="str">
        <f t="shared" si="37"/>
        <v/>
      </c>
      <c r="F331" s="35" t="str">
        <f t="shared" si="35"/>
        <v/>
      </c>
      <c r="G331" s="36" t="str">
        <f t="shared" si="32"/>
        <v/>
      </c>
      <c r="H331" s="36" t="str">
        <f t="shared" si="33"/>
        <v/>
      </c>
      <c r="I331" s="747" t="str">
        <f t="shared" si="36"/>
        <v/>
      </c>
      <c r="J331" s="747"/>
      <c r="K331" s="37" t="str">
        <f t="shared" si="34"/>
        <v/>
      </c>
    </row>
    <row r="332" spans="5:11">
      <c r="E332" s="226" t="str">
        <f t="shared" si="37"/>
        <v/>
      </c>
      <c r="F332" s="35" t="str">
        <f t="shared" si="35"/>
        <v/>
      </c>
      <c r="G332" s="36" t="str">
        <f t="shared" si="32"/>
        <v/>
      </c>
      <c r="H332" s="36" t="str">
        <f t="shared" si="33"/>
        <v/>
      </c>
      <c r="I332" s="747" t="str">
        <f t="shared" si="36"/>
        <v/>
      </c>
      <c r="J332" s="747"/>
      <c r="K332" s="37" t="str">
        <f t="shared" si="34"/>
        <v/>
      </c>
    </row>
    <row r="333" spans="5:11">
      <c r="E333" s="226" t="str">
        <f t="shared" si="37"/>
        <v/>
      </c>
      <c r="F333" s="35" t="str">
        <f t="shared" si="35"/>
        <v/>
      </c>
      <c r="G333" s="36" t="str">
        <f t="shared" si="32"/>
        <v/>
      </c>
      <c r="H333" s="36" t="str">
        <f t="shared" si="33"/>
        <v/>
      </c>
      <c r="I333" s="747" t="str">
        <f t="shared" si="36"/>
        <v/>
      </c>
      <c r="J333" s="747"/>
      <c r="K333" s="37" t="str">
        <f t="shared" si="34"/>
        <v/>
      </c>
    </row>
    <row r="334" spans="5:11">
      <c r="E334" s="226" t="str">
        <f t="shared" si="37"/>
        <v/>
      </c>
      <c r="F334" s="35" t="str">
        <f t="shared" si="35"/>
        <v/>
      </c>
      <c r="G334" s="36" t="str">
        <f t="shared" si="32"/>
        <v/>
      </c>
      <c r="H334" s="36" t="str">
        <f t="shared" si="33"/>
        <v/>
      </c>
      <c r="I334" s="747" t="str">
        <f t="shared" si="36"/>
        <v/>
      </c>
      <c r="J334" s="747"/>
      <c r="K334" s="37" t="str">
        <f t="shared" si="34"/>
        <v/>
      </c>
    </row>
    <row r="335" spans="5:11">
      <c r="E335" s="226" t="str">
        <f t="shared" si="37"/>
        <v/>
      </c>
      <c r="F335" s="35" t="str">
        <f t="shared" si="35"/>
        <v/>
      </c>
      <c r="G335" s="36" t="str">
        <f t="shared" si="32"/>
        <v/>
      </c>
      <c r="H335" s="36" t="str">
        <f t="shared" si="33"/>
        <v/>
      </c>
      <c r="I335" s="747" t="str">
        <f t="shared" si="36"/>
        <v/>
      </c>
      <c r="J335" s="747"/>
      <c r="K335" s="37" t="str">
        <f t="shared" si="34"/>
        <v/>
      </c>
    </row>
    <row r="336" spans="5:11">
      <c r="E336" s="226" t="str">
        <f t="shared" si="37"/>
        <v/>
      </c>
      <c r="F336" s="35" t="str">
        <f t="shared" si="35"/>
        <v/>
      </c>
      <c r="G336" s="36" t="str">
        <f t="shared" si="32"/>
        <v/>
      </c>
      <c r="H336" s="36" t="str">
        <f t="shared" si="33"/>
        <v/>
      </c>
      <c r="I336" s="747" t="str">
        <f t="shared" si="36"/>
        <v/>
      </c>
      <c r="J336" s="747"/>
      <c r="K336" s="37" t="str">
        <f t="shared" si="34"/>
        <v/>
      </c>
    </row>
    <row r="337" spans="5:11">
      <c r="E337" s="226" t="str">
        <f t="shared" si="37"/>
        <v/>
      </c>
      <c r="F337" s="35" t="str">
        <f t="shared" si="35"/>
        <v/>
      </c>
      <c r="G337" s="36" t="str">
        <f t="shared" si="32"/>
        <v/>
      </c>
      <c r="H337" s="36" t="str">
        <f t="shared" si="33"/>
        <v/>
      </c>
      <c r="I337" s="747" t="str">
        <f t="shared" si="36"/>
        <v/>
      </c>
      <c r="J337" s="747"/>
      <c r="K337" s="37" t="str">
        <f t="shared" si="34"/>
        <v/>
      </c>
    </row>
    <row r="338" spans="5:11">
      <c r="E338" s="226" t="str">
        <f t="shared" si="37"/>
        <v/>
      </c>
      <c r="F338" s="35" t="str">
        <f t="shared" si="35"/>
        <v/>
      </c>
      <c r="G338" s="36" t="str">
        <f t="shared" si="32"/>
        <v/>
      </c>
      <c r="H338" s="36" t="str">
        <f t="shared" si="33"/>
        <v/>
      </c>
      <c r="I338" s="747" t="str">
        <f t="shared" si="36"/>
        <v/>
      </c>
      <c r="J338" s="747"/>
      <c r="K338" s="37" t="str">
        <f t="shared" si="34"/>
        <v/>
      </c>
    </row>
    <row r="339" spans="5:11">
      <c r="E339" s="226" t="str">
        <f t="shared" si="37"/>
        <v/>
      </c>
      <c r="F339" s="35" t="str">
        <f t="shared" si="35"/>
        <v/>
      </c>
      <c r="G339" s="36" t="str">
        <f t="shared" si="32"/>
        <v/>
      </c>
      <c r="H339" s="36" t="str">
        <f t="shared" si="33"/>
        <v/>
      </c>
      <c r="I339" s="747" t="str">
        <f t="shared" si="36"/>
        <v/>
      </c>
      <c r="J339" s="747"/>
      <c r="K339" s="37" t="str">
        <f t="shared" si="34"/>
        <v/>
      </c>
    </row>
    <row r="340" spans="5:11">
      <c r="E340" s="226" t="str">
        <f t="shared" si="37"/>
        <v/>
      </c>
      <c r="F340" s="35" t="str">
        <f t="shared" si="35"/>
        <v/>
      </c>
      <c r="G340" s="36" t="str">
        <f t="shared" si="32"/>
        <v/>
      </c>
      <c r="H340" s="36" t="str">
        <f t="shared" si="33"/>
        <v/>
      </c>
      <c r="I340" s="747" t="str">
        <f t="shared" si="36"/>
        <v/>
      </c>
      <c r="J340" s="747"/>
      <c r="K340" s="37" t="str">
        <f t="shared" si="34"/>
        <v/>
      </c>
    </row>
    <row r="341" spans="5:11">
      <c r="E341" s="226" t="str">
        <f t="shared" si="37"/>
        <v/>
      </c>
      <c r="F341" s="35" t="str">
        <f t="shared" si="35"/>
        <v/>
      </c>
      <c r="G341" s="36" t="str">
        <f t="shared" si="32"/>
        <v/>
      </c>
      <c r="H341" s="36" t="str">
        <f t="shared" si="33"/>
        <v/>
      </c>
      <c r="I341" s="747" t="str">
        <f t="shared" si="36"/>
        <v/>
      </c>
      <c r="J341" s="747"/>
      <c r="K341" s="37" t="str">
        <f t="shared" si="34"/>
        <v/>
      </c>
    </row>
    <row r="342" spans="5:11">
      <c r="E342" s="226" t="str">
        <f t="shared" si="37"/>
        <v/>
      </c>
      <c r="F342" s="35" t="str">
        <f t="shared" si="35"/>
        <v/>
      </c>
      <c r="G342" s="36" t="str">
        <f t="shared" ref="G342:G381" si="38">IFERROR(IF(F342&lt;&gt;"",-IPMT($G$14/12,F342,$G$15,$G$13),""),0)</f>
        <v/>
      </c>
      <c r="H342" s="36" t="str">
        <f t="shared" ref="H342:H381" si="39">IFERROR(IF(F342&lt;&gt;"",-PPMT($G$14/12,F342,$G$15,$G$13),""),0)</f>
        <v/>
      </c>
      <c r="I342" s="747" t="str">
        <f t="shared" si="36"/>
        <v/>
      </c>
      <c r="J342" s="747"/>
      <c r="K342" s="37" t="str">
        <f t="shared" ref="K342:K381" si="40">IF(F342&lt;&gt;"",$G$13*($G$16/12),"")</f>
        <v/>
      </c>
    </row>
    <row r="343" spans="5:11">
      <c r="E343" s="226" t="str">
        <f t="shared" si="37"/>
        <v/>
      </c>
      <c r="F343" s="35" t="str">
        <f t="shared" ref="F343:F381" si="41">IF(OR(F342="",F342=$G$15),"",IF(F342&lt;$G$15,F342+1,0))</f>
        <v/>
      </c>
      <c r="G343" s="36" t="str">
        <f t="shared" si="38"/>
        <v/>
      </c>
      <c r="H343" s="36" t="str">
        <f t="shared" si="39"/>
        <v/>
      </c>
      <c r="I343" s="747" t="str">
        <f t="shared" si="36"/>
        <v/>
      </c>
      <c r="J343" s="747"/>
      <c r="K343" s="37" t="str">
        <f t="shared" si="40"/>
        <v/>
      </c>
    </row>
    <row r="344" spans="5:11">
      <c r="E344" s="226" t="str">
        <f t="shared" si="37"/>
        <v/>
      </c>
      <c r="F344" s="35" t="str">
        <f t="shared" si="41"/>
        <v/>
      </c>
      <c r="G344" s="36" t="str">
        <f t="shared" si="38"/>
        <v/>
      </c>
      <c r="H344" s="36" t="str">
        <f t="shared" si="39"/>
        <v/>
      </c>
      <c r="I344" s="747" t="str">
        <f t="shared" si="36"/>
        <v/>
      </c>
      <c r="J344" s="747"/>
      <c r="K344" s="37" t="str">
        <f t="shared" si="40"/>
        <v/>
      </c>
    </row>
    <row r="345" spans="5:11">
      <c r="E345" s="226" t="str">
        <f t="shared" si="37"/>
        <v/>
      </c>
      <c r="F345" s="35" t="str">
        <f t="shared" si="41"/>
        <v/>
      </c>
      <c r="G345" s="36" t="str">
        <f t="shared" si="38"/>
        <v/>
      </c>
      <c r="H345" s="36" t="str">
        <f t="shared" si="39"/>
        <v/>
      </c>
      <c r="I345" s="747" t="str">
        <f t="shared" si="36"/>
        <v/>
      </c>
      <c r="J345" s="747"/>
      <c r="K345" s="37" t="str">
        <f t="shared" si="40"/>
        <v/>
      </c>
    </row>
    <row r="346" spans="5:11">
      <c r="E346" s="226" t="str">
        <f t="shared" si="37"/>
        <v/>
      </c>
      <c r="F346" s="35" t="str">
        <f t="shared" si="41"/>
        <v/>
      </c>
      <c r="G346" s="36" t="str">
        <f t="shared" si="38"/>
        <v/>
      </c>
      <c r="H346" s="36" t="str">
        <f t="shared" si="39"/>
        <v/>
      </c>
      <c r="I346" s="747" t="str">
        <f t="shared" si="36"/>
        <v/>
      </c>
      <c r="J346" s="747"/>
      <c r="K346" s="37" t="str">
        <f t="shared" si="40"/>
        <v/>
      </c>
    </row>
    <row r="347" spans="5:11">
      <c r="E347" s="226" t="str">
        <f t="shared" si="37"/>
        <v/>
      </c>
      <c r="F347" s="35" t="str">
        <f t="shared" si="41"/>
        <v/>
      </c>
      <c r="G347" s="36" t="str">
        <f t="shared" si="38"/>
        <v/>
      </c>
      <c r="H347" s="36" t="str">
        <f t="shared" si="39"/>
        <v/>
      </c>
      <c r="I347" s="747" t="str">
        <f t="shared" si="36"/>
        <v/>
      </c>
      <c r="J347" s="747"/>
      <c r="K347" s="37" t="str">
        <f t="shared" si="40"/>
        <v/>
      </c>
    </row>
    <row r="348" spans="5:11">
      <c r="E348" s="226" t="str">
        <f t="shared" si="37"/>
        <v/>
      </c>
      <c r="F348" s="35" t="str">
        <f t="shared" si="41"/>
        <v/>
      </c>
      <c r="G348" s="36" t="str">
        <f t="shared" si="38"/>
        <v/>
      </c>
      <c r="H348" s="36" t="str">
        <f t="shared" si="39"/>
        <v/>
      </c>
      <c r="I348" s="747" t="str">
        <f t="shared" si="36"/>
        <v/>
      </c>
      <c r="J348" s="747"/>
      <c r="K348" s="37" t="str">
        <f t="shared" si="40"/>
        <v/>
      </c>
    </row>
    <row r="349" spans="5:11">
      <c r="E349" s="226" t="str">
        <f t="shared" si="37"/>
        <v/>
      </c>
      <c r="F349" s="35" t="str">
        <f t="shared" si="41"/>
        <v/>
      </c>
      <c r="G349" s="36" t="str">
        <f t="shared" si="38"/>
        <v/>
      </c>
      <c r="H349" s="36" t="str">
        <f t="shared" si="39"/>
        <v/>
      </c>
      <c r="I349" s="747" t="str">
        <f t="shared" si="36"/>
        <v/>
      </c>
      <c r="J349" s="747"/>
      <c r="K349" s="37" t="str">
        <f t="shared" si="40"/>
        <v/>
      </c>
    </row>
    <row r="350" spans="5:11">
      <c r="E350" s="226" t="str">
        <f t="shared" si="37"/>
        <v/>
      </c>
      <c r="F350" s="35" t="str">
        <f t="shared" si="41"/>
        <v/>
      </c>
      <c r="G350" s="36" t="str">
        <f t="shared" si="38"/>
        <v/>
      </c>
      <c r="H350" s="36" t="str">
        <f t="shared" si="39"/>
        <v/>
      </c>
      <c r="I350" s="747" t="str">
        <f t="shared" si="36"/>
        <v/>
      </c>
      <c r="J350" s="747"/>
      <c r="K350" s="37" t="str">
        <f t="shared" si="40"/>
        <v/>
      </c>
    </row>
    <row r="351" spans="5:11">
      <c r="E351" s="226" t="str">
        <f t="shared" si="37"/>
        <v/>
      </c>
      <c r="F351" s="35" t="str">
        <f t="shared" si="41"/>
        <v/>
      </c>
      <c r="G351" s="36" t="str">
        <f t="shared" si="38"/>
        <v/>
      </c>
      <c r="H351" s="36" t="str">
        <f t="shared" si="39"/>
        <v/>
      </c>
      <c r="I351" s="747" t="str">
        <f t="shared" si="36"/>
        <v/>
      </c>
      <c r="J351" s="747"/>
      <c r="K351" s="37" t="str">
        <f t="shared" si="40"/>
        <v/>
      </c>
    </row>
    <row r="352" spans="5:11">
      <c r="E352" s="226" t="str">
        <f t="shared" si="37"/>
        <v/>
      </c>
      <c r="F352" s="35" t="str">
        <f t="shared" si="41"/>
        <v/>
      </c>
      <c r="G352" s="36" t="str">
        <f t="shared" si="38"/>
        <v/>
      </c>
      <c r="H352" s="36" t="str">
        <f t="shared" si="39"/>
        <v/>
      </c>
      <c r="I352" s="747" t="str">
        <f t="shared" si="36"/>
        <v/>
      </c>
      <c r="J352" s="747"/>
      <c r="K352" s="37" t="str">
        <f t="shared" si="40"/>
        <v/>
      </c>
    </row>
    <row r="353" spans="5:11">
      <c r="E353" s="226" t="str">
        <f t="shared" si="37"/>
        <v/>
      </c>
      <c r="F353" s="35" t="str">
        <f t="shared" si="41"/>
        <v/>
      </c>
      <c r="G353" s="36" t="str">
        <f t="shared" si="38"/>
        <v/>
      </c>
      <c r="H353" s="36" t="str">
        <f t="shared" si="39"/>
        <v/>
      </c>
      <c r="I353" s="747" t="str">
        <f t="shared" si="36"/>
        <v/>
      </c>
      <c r="J353" s="747"/>
      <c r="K353" s="37" t="str">
        <f t="shared" si="40"/>
        <v/>
      </c>
    </row>
    <row r="354" spans="5:11">
      <c r="E354" s="226" t="str">
        <f t="shared" si="37"/>
        <v/>
      </c>
      <c r="F354" s="35" t="str">
        <f t="shared" si="41"/>
        <v/>
      </c>
      <c r="G354" s="36" t="str">
        <f t="shared" si="38"/>
        <v/>
      </c>
      <c r="H354" s="36" t="str">
        <f t="shared" si="39"/>
        <v/>
      </c>
      <c r="I354" s="747" t="str">
        <f t="shared" si="36"/>
        <v/>
      </c>
      <c r="J354" s="747"/>
      <c r="K354" s="37" t="str">
        <f t="shared" si="40"/>
        <v/>
      </c>
    </row>
    <row r="355" spans="5:11">
      <c r="E355" s="226" t="str">
        <f t="shared" si="37"/>
        <v/>
      </c>
      <c r="F355" s="35" t="str">
        <f t="shared" si="41"/>
        <v/>
      </c>
      <c r="G355" s="36" t="str">
        <f t="shared" si="38"/>
        <v/>
      </c>
      <c r="H355" s="36" t="str">
        <f t="shared" si="39"/>
        <v/>
      </c>
      <c r="I355" s="747" t="str">
        <f t="shared" si="36"/>
        <v/>
      </c>
      <c r="J355" s="747"/>
      <c r="K355" s="37" t="str">
        <f t="shared" si="40"/>
        <v/>
      </c>
    </row>
    <row r="356" spans="5:11">
      <c r="E356" s="226" t="str">
        <f t="shared" si="37"/>
        <v/>
      </c>
      <c r="F356" s="35" t="str">
        <f t="shared" si="41"/>
        <v/>
      </c>
      <c r="G356" s="36" t="str">
        <f t="shared" si="38"/>
        <v/>
      </c>
      <c r="H356" s="36" t="str">
        <f t="shared" si="39"/>
        <v/>
      </c>
      <c r="I356" s="747" t="str">
        <f t="shared" si="36"/>
        <v/>
      </c>
      <c r="J356" s="747"/>
      <c r="K356" s="37" t="str">
        <f t="shared" si="40"/>
        <v/>
      </c>
    </row>
    <row r="357" spans="5:11">
      <c r="E357" s="226" t="str">
        <f t="shared" si="37"/>
        <v/>
      </c>
      <c r="F357" s="35" t="str">
        <f t="shared" si="41"/>
        <v/>
      </c>
      <c r="G357" s="36" t="str">
        <f t="shared" si="38"/>
        <v/>
      </c>
      <c r="H357" s="36" t="str">
        <f t="shared" si="39"/>
        <v/>
      </c>
      <c r="I357" s="747" t="str">
        <f t="shared" si="36"/>
        <v/>
      </c>
      <c r="J357" s="747"/>
      <c r="K357" s="37" t="str">
        <f t="shared" si="40"/>
        <v/>
      </c>
    </row>
    <row r="358" spans="5:11">
      <c r="E358" s="226" t="str">
        <f t="shared" si="37"/>
        <v/>
      </c>
      <c r="F358" s="35" t="str">
        <f t="shared" si="41"/>
        <v/>
      </c>
      <c r="G358" s="36" t="str">
        <f t="shared" si="38"/>
        <v/>
      </c>
      <c r="H358" s="36" t="str">
        <f t="shared" si="39"/>
        <v/>
      </c>
      <c r="I358" s="747" t="str">
        <f t="shared" si="36"/>
        <v/>
      </c>
      <c r="J358" s="747"/>
      <c r="K358" s="37" t="str">
        <f t="shared" si="40"/>
        <v/>
      </c>
    </row>
    <row r="359" spans="5:11">
      <c r="E359" s="226" t="str">
        <f t="shared" si="37"/>
        <v/>
      </c>
      <c r="F359" s="35" t="str">
        <f t="shared" si="41"/>
        <v/>
      </c>
      <c r="G359" s="36" t="str">
        <f t="shared" si="38"/>
        <v/>
      </c>
      <c r="H359" s="36" t="str">
        <f t="shared" si="39"/>
        <v/>
      </c>
      <c r="I359" s="747" t="str">
        <f t="shared" si="36"/>
        <v/>
      </c>
      <c r="J359" s="747"/>
      <c r="K359" s="37" t="str">
        <f t="shared" si="40"/>
        <v/>
      </c>
    </row>
    <row r="360" spans="5:11">
      <c r="E360" s="226" t="str">
        <f t="shared" si="37"/>
        <v/>
      </c>
      <c r="F360" s="35" t="str">
        <f t="shared" si="41"/>
        <v/>
      </c>
      <c r="G360" s="36" t="str">
        <f t="shared" si="38"/>
        <v/>
      </c>
      <c r="H360" s="36" t="str">
        <f t="shared" si="39"/>
        <v/>
      </c>
      <c r="I360" s="747" t="str">
        <f t="shared" si="36"/>
        <v/>
      </c>
      <c r="J360" s="747"/>
      <c r="K360" s="37" t="str">
        <f t="shared" si="40"/>
        <v/>
      </c>
    </row>
    <row r="361" spans="5:11">
      <c r="E361" s="226" t="str">
        <f t="shared" si="37"/>
        <v/>
      </c>
      <c r="F361" s="35" t="str">
        <f t="shared" si="41"/>
        <v/>
      </c>
      <c r="G361" s="36" t="str">
        <f t="shared" si="38"/>
        <v/>
      </c>
      <c r="H361" s="36" t="str">
        <f t="shared" si="39"/>
        <v/>
      </c>
      <c r="I361" s="747" t="str">
        <f t="shared" si="36"/>
        <v/>
      </c>
      <c r="J361" s="747"/>
      <c r="K361" s="37" t="str">
        <f t="shared" si="40"/>
        <v/>
      </c>
    </row>
    <row r="362" spans="5:11">
      <c r="E362" s="226" t="str">
        <f t="shared" si="37"/>
        <v/>
      </c>
      <c r="F362" s="35" t="str">
        <f t="shared" si="41"/>
        <v/>
      </c>
      <c r="G362" s="36" t="str">
        <f t="shared" si="38"/>
        <v/>
      </c>
      <c r="H362" s="36" t="str">
        <f t="shared" si="39"/>
        <v/>
      </c>
      <c r="I362" s="747" t="str">
        <f t="shared" si="36"/>
        <v/>
      </c>
      <c r="J362" s="747"/>
      <c r="K362" s="37" t="str">
        <f t="shared" si="40"/>
        <v/>
      </c>
    </row>
    <row r="363" spans="5:11">
      <c r="E363" s="226" t="str">
        <f t="shared" si="37"/>
        <v/>
      </c>
      <c r="F363" s="35" t="str">
        <f t="shared" si="41"/>
        <v/>
      </c>
      <c r="G363" s="36" t="str">
        <f t="shared" si="38"/>
        <v/>
      </c>
      <c r="H363" s="36" t="str">
        <f t="shared" si="39"/>
        <v/>
      </c>
      <c r="I363" s="747" t="str">
        <f t="shared" si="36"/>
        <v/>
      </c>
      <c r="J363" s="747"/>
      <c r="K363" s="37" t="str">
        <f t="shared" si="40"/>
        <v/>
      </c>
    </row>
    <row r="364" spans="5:11">
      <c r="E364" s="226" t="str">
        <f t="shared" si="37"/>
        <v/>
      </c>
      <c r="F364" s="35" t="str">
        <f t="shared" si="41"/>
        <v/>
      </c>
      <c r="G364" s="36" t="str">
        <f t="shared" si="38"/>
        <v/>
      </c>
      <c r="H364" s="36" t="str">
        <f t="shared" si="39"/>
        <v/>
      </c>
      <c r="I364" s="747" t="str">
        <f t="shared" ref="I364:I381" si="42">IF(F364&lt;&gt;"",I363-H364,"")</f>
        <v/>
      </c>
      <c r="J364" s="747"/>
      <c r="K364" s="37" t="str">
        <f t="shared" si="40"/>
        <v/>
      </c>
    </row>
    <row r="365" spans="5:11">
      <c r="E365" s="226" t="str">
        <f t="shared" si="37"/>
        <v/>
      </c>
      <c r="F365" s="35" t="str">
        <f t="shared" si="41"/>
        <v/>
      </c>
      <c r="G365" s="36" t="str">
        <f t="shared" si="38"/>
        <v/>
      </c>
      <c r="H365" s="36" t="str">
        <f t="shared" si="39"/>
        <v/>
      </c>
      <c r="I365" s="747" t="str">
        <f t="shared" si="42"/>
        <v/>
      </c>
      <c r="J365" s="747"/>
      <c r="K365" s="37" t="str">
        <f t="shared" si="40"/>
        <v/>
      </c>
    </row>
    <row r="366" spans="5:11">
      <c r="E366" s="226" t="str">
        <f t="shared" ref="E366:E381" si="43">IFERROR(IF($G$15&lt;=F365,"",DATE(YEAR(E365),MONTH(E365)+1,DAY(E365))),"")</f>
        <v/>
      </c>
      <c r="F366" s="35" t="str">
        <f t="shared" si="41"/>
        <v/>
      </c>
      <c r="G366" s="36" t="str">
        <f t="shared" si="38"/>
        <v/>
      </c>
      <c r="H366" s="36" t="str">
        <f t="shared" si="39"/>
        <v/>
      </c>
      <c r="I366" s="747" t="str">
        <f t="shared" si="42"/>
        <v/>
      </c>
      <c r="J366" s="747"/>
      <c r="K366" s="37" t="str">
        <f t="shared" si="40"/>
        <v/>
      </c>
    </row>
    <row r="367" spans="5:11">
      <c r="E367" s="226" t="str">
        <f t="shared" si="43"/>
        <v/>
      </c>
      <c r="F367" s="35" t="str">
        <f t="shared" si="41"/>
        <v/>
      </c>
      <c r="G367" s="36" t="str">
        <f t="shared" si="38"/>
        <v/>
      </c>
      <c r="H367" s="36" t="str">
        <f t="shared" si="39"/>
        <v/>
      </c>
      <c r="I367" s="747" t="str">
        <f t="shared" si="42"/>
        <v/>
      </c>
      <c r="J367" s="747"/>
      <c r="K367" s="37" t="str">
        <f t="shared" si="40"/>
        <v/>
      </c>
    </row>
    <row r="368" spans="5:11">
      <c r="E368" s="226" t="str">
        <f t="shared" si="43"/>
        <v/>
      </c>
      <c r="F368" s="35" t="str">
        <f t="shared" si="41"/>
        <v/>
      </c>
      <c r="G368" s="36" t="str">
        <f t="shared" si="38"/>
        <v/>
      </c>
      <c r="H368" s="36" t="str">
        <f t="shared" si="39"/>
        <v/>
      </c>
      <c r="I368" s="747" t="str">
        <f t="shared" si="42"/>
        <v/>
      </c>
      <c r="J368" s="747"/>
      <c r="K368" s="37" t="str">
        <f t="shared" si="40"/>
        <v/>
      </c>
    </row>
    <row r="369" spans="5:11">
      <c r="E369" s="226" t="str">
        <f t="shared" si="43"/>
        <v/>
      </c>
      <c r="F369" s="35" t="str">
        <f t="shared" si="41"/>
        <v/>
      </c>
      <c r="G369" s="36" t="str">
        <f t="shared" si="38"/>
        <v/>
      </c>
      <c r="H369" s="36" t="str">
        <f t="shared" si="39"/>
        <v/>
      </c>
      <c r="I369" s="747" t="str">
        <f t="shared" si="42"/>
        <v/>
      </c>
      <c r="J369" s="747"/>
      <c r="K369" s="37" t="str">
        <f t="shared" si="40"/>
        <v/>
      </c>
    </row>
    <row r="370" spans="5:11">
      <c r="E370" s="226" t="str">
        <f t="shared" si="43"/>
        <v/>
      </c>
      <c r="F370" s="35" t="str">
        <f t="shared" si="41"/>
        <v/>
      </c>
      <c r="G370" s="36" t="str">
        <f t="shared" si="38"/>
        <v/>
      </c>
      <c r="H370" s="36" t="str">
        <f t="shared" si="39"/>
        <v/>
      </c>
      <c r="I370" s="747" t="str">
        <f t="shared" si="42"/>
        <v/>
      </c>
      <c r="J370" s="747"/>
      <c r="K370" s="37" t="str">
        <f t="shared" si="40"/>
        <v/>
      </c>
    </row>
    <row r="371" spans="5:11">
      <c r="E371" s="226" t="str">
        <f t="shared" si="43"/>
        <v/>
      </c>
      <c r="F371" s="35" t="str">
        <f t="shared" si="41"/>
        <v/>
      </c>
      <c r="G371" s="36" t="str">
        <f t="shared" si="38"/>
        <v/>
      </c>
      <c r="H371" s="36" t="str">
        <f t="shared" si="39"/>
        <v/>
      </c>
      <c r="I371" s="747" t="str">
        <f t="shared" si="42"/>
        <v/>
      </c>
      <c r="J371" s="747"/>
      <c r="K371" s="37" t="str">
        <f t="shared" si="40"/>
        <v/>
      </c>
    </row>
    <row r="372" spans="5:11">
      <c r="E372" s="226" t="str">
        <f t="shared" si="43"/>
        <v/>
      </c>
      <c r="F372" s="35" t="str">
        <f t="shared" si="41"/>
        <v/>
      </c>
      <c r="G372" s="36" t="str">
        <f t="shared" si="38"/>
        <v/>
      </c>
      <c r="H372" s="36" t="str">
        <f t="shared" si="39"/>
        <v/>
      </c>
      <c r="I372" s="747" t="str">
        <f t="shared" si="42"/>
        <v/>
      </c>
      <c r="J372" s="747"/>
      <c r="K372" s="37" t="str">
        <f t="shared" si="40"/>
        <v/>
      </c>
    </row>
    <row r="373" spans="5:11">
      <c r="E373" s="226" t="str">
        <f t="shared" si="43"/>
        <v/>
      </c>
      <c r="F373" s="35" t="str">
        <f t="shared" si="41"/>
        <v/>
      </c>
      <c r="G373" s="36" t="str">
        <f t="shared" si="38"/>
        <v/>
      </c>
      <c r="H373" s="36" t="str">
        <f t="shared" si="39"/>
        <v/>
      </c>
      <c r="I373" s="747" t="str">
        <f t="shared" si="42"/>
        <v/>
      </c>
      <c r="J373" s="747"/>
      <c r="K373" s="37" t="str">
        <f t="shared" si="40"/>
        <v/>
      </c>
    </row>
    <row r="374" spans="5:11">
      <c r="E374" s="226" t="str">
        <f t="shared" si="43"/>
        <v/>
      </c>
      <c r="F374" s="35" t="str">
        <f t="shared" si="41"/>
        <v/>
      </c>
      <c r="G374" s="36" t="str">
        <f t="shared" si="38"/>
        <v/>
      </c>
      <c r="H374" s="36" t="str">
        <f t="shared" si="39"/>
        <v/>
      </c>
      <c r="I374" s="747" t="str">
        <f t="shared" si="42"/>
        <v/>
      </c>
      <c r="J374" s="747"/>
      <c r="K374" s="37" t="str">
        <f t="shared" si="40"/>
        <v/>
      </c>
    </row>
    <row r="375" spans="5:11">
      <c r="E375" s="226" t="str">
        <f t="shared" si="43"/>
        <v/>
      </c>
      <c r="F375" s="35" t="str">
        <f t="shared" si="41"/>
        <v/>
      </c>
      <c r="G375" s="36" t="str">
        <f t="shared" si="38"/>
        <v/>
      </c>
      <c r="H375" s="36" t="str">
        <f t="shared" si="39"/>
        <v/>
      </c>
      <c r="I375" s="747" t="str">
        <f t="shared" si="42"/>
        <v/>
      </c>
      <c r="J375" s="747"/>
      <c r="K375" s="37" t="str">
        <f t="shared" si="40"/>
        <v/>
      </c>
    </row>
    <row r="376" spans="5:11">
      <c r="E376" s="226" t="str">
        <f t="shared" si="43"/>
        <v/>
      </c>
      <c r="F376" s="35" t="str">
        <f t="shared" si="41"/>
        <v/>
      </c>
      <c r="G376" s="36" t="str">
        <f t="shared" si="38"/>
        <v/>
      </c>
      <c r="H376" s="36" t="str">
        <f t="shared" si="39"/>
        <v/>
      </c>
      <c r="I376" s="747" t="str">
        <f t="shared" si="42"/>
        <v/>
      </c>
      <c r="J376" s="747"/>
      <c r="K376" s="37" t="str">
        <f t="shared" si="40"/>
        <v/>
      </c>
    </row>
    <row r="377" spans="5:11">
      <c r="E377" s="226" t="str">
        <f t="shared" si="43"/>
        <v/>
      </c>
      <c r="F377" s="35" t="str">
        <f t="shared" si="41"/>
        <v/>
      </c>
      <c r="G377" s="36" t="str">
        <f t="shared" si="38"/>
        <v/>
      </c>
      <c r="H377" s="36" t="str">
        <f t="shared" si="39"/>
        <v/>
      </c>
      <c r="I377" s="747" t="str">
        <f t="shared" si="42"/>
        <v/>
      </c>
      <c r="J377" s="747"/>
      <c r="K377" s="37" t="str">
        <f t="shared" si="40"/>
        <v/>
      </c>
    </row>
    <row r="378" spans="5:11">
      <c r="E378" s="226" t="str">
        <f t="shared" si="43"/>
        <v/>
      </c>
      <c r="F378" s="35" t="str">
        <f t="shared" si="41"/>
        <v/>
      </c>
      <c r="G378" s="36" t="str">
        <f t="shared" si="38"/>
        <v/>
      </c>
      <c r="H378" s="36" t="str">
        <f t="shared" si="39"/>
        <v/>
      </c>
      <c r="I378" s="747" t="str">
        <f t="shared" si="42"/>
        <v/>
      </c>
      <c r="J378" s="747"/>
      <c r="K378" s="37" t="str">
        <f t="shared" si="40"/>
        <v/>
      </c>
    </row>
    <row r="379" spans="5:11">
      <c r="E379" s="226" t="str">
        <f t="shared" si="43"/>
        <v/>
      </c>
      <c r="F379" s="35" t="str">
        <f t="shared" si="41"/>
        <v/>
      </c>
      <c r="G379" s="36" t="str">
        <f t="shared" si="38"/>
        <v/>
      </c>
      <c r="H379" s="36" t="str">
        <f t="shared" si="39"/>
        <v/>
      </c>
      <c r="I379" s="747" t="str">
        <f t="shared" si="42"/>
        <v/>
      </c>
      <c r="J379" s="747"/>
      <c r="K379" s="37" t="str">
        <f t="shared" si="40"/>
        <v/>
      </c>
    </row>
    <row r="380" spans="5:11">
      <c r="E380" s="226" t="str">
        <f t="shared" si="43"/>
        <v/>
      </c>
      <c r="F380" s="35" t="str">
        <f t="shared" si="41"/>
        <v/>
      </c>
      <c r="G380" s="36" t="str">
        <f t="shared" si="38"/>
        <v/>
      </c>
      <c r="H380" s="36" t="str">
        <f t="shared" si="39"/>
        <v/>
      </c>
      <c r="I380" s="747" t="str">
        <f t="shared" si="42"/>
        <v/>
      </c>
      <c r="J380" s="747"/>
      <c r="K380" s="37" t="str">
        <f t="shared" si="40"/>
        <v/>
      </c>
    </row>
    <row r="381" spans="5:11">
      <c r="E381" s="226" t="str">
        <f t="shared" si="43"/>
        <v/>
      </c>
      <c r="F381" s="35" t="str">
        <f t="shared" si="41"/>
        <v/>
      </c>
      <c r="G381" s="36" t="str">
        <f t="shared" si="38"/>
        <v/>
      </c>
      <c r="H381" s="36" t="str">
        <f t="shared" si="39"/>
        <v/>
      </c>
      <c r="I381" s="747" t="str">
        <f t="shared" si="42"/>
        <v/>
      </c>
      <c r="J381" s="747"/>
      <c r="K381" s="37" t="str">
        <f t="shared" si="40"/>
        <v/>
      </c>
    </row>
    <row r="382" spans="5:11">
      <c r="E382" s="226"/>
    </row>
    <row r="383" spans="5:11">
      <c r="E383" s="226"/>
    </row>
    <row r="384" spans="5:11">
      <c r="E384" s="226"/>
    </row>
    <row r="385" spans="5:5">
      <c r="E385" s="226"/>
    </row>
    <row r="386" spans="5:5">
      <c r="E386" s="226"/>
    </row>
    <row r="387" spans="5:5">
      <c r="E387" s="226"/>
    </row>
    <row r="388" spans="5:5">
      <c r="E388" s="226"/>
    </row>
    <row r="389" spans="5:5">
      <c r="E389" s="226"/>
    </row>
    <row r="390" spans="5:5">
      <c r="E390" s="226"/>
    </row>
  </sheetData>
  <sheetProtection selectLockedCells="1"/>
  <mergeCells count="368">
    <mergeCell ref="I21:J21"/>
    <mergeCell ref="I22:J22"/>
    <mergeCell ref="I23:J23"/>
    <mergeCell ref="I13:J13"/>
    <mergeCell ref="I14:J14"/>
    <mergeCell ref="I15:J15"/>
    <mergeCell ref="I16:J16"/>
    <mergeCell ref="I20:J20"/>
    <mergeCell ref="I17:J17"/>
    <mergeCell ref="I18:J18"/>
    <mergeCell ref="I36:J36"/>
    <mergeCell ref="I37:J37"/>
    <mergeCell ref="I38:J38"/>
    <mergeCell ref="I39:J39"/>
    <mergeCell ref="I40:J40"/>
    <mergeCell ref="I35:J35"/>
    <mergeCell ref="I24:J24"/>
    <mergeCell ref="I25:J25"/>
    <mergeCell ref="I26:J26"/>
    <mergeCell ref="I27:J27"/>
    <mergeCell ref="I28:J28"/>
    <mergeCell ref="I29:J29"/>
    <mergeCell ref="I30:J30"/>
    <mergeCell ref="I31:J31"/>
    <mergeCell ref="I32:J32"/>
    <mergeCell ref="I33:J33"/>
    <mergeCell ref="I34:J34"/>
    <mergeCell ref="I46:J46"/>
    <mergeCell ref="I47:J47"/>
    <mergeCell ref="I48:J48"/>
    <mergeCell ref="I49:J49"/>
    <mergeCell ref="I50:J50"/>
    <mergeCell ref="I41:J41"/>
    <mergeCell ref="I42:J42"/>
    <mergeCell ref="I43:J43"/>
    <mergeCell ref="I44:J44"/>
    <mergeCell ref="I45:J45"/>
    <mergeCell ref="I56:J56"/>
    <mergeCell ref="I57:J57"/>
    <mergeCell ref="I58:J58"/>
    <mergeCell ref="I59:J59"/>
    <mergeCell ref="I60:J60"/>
    <mergeCell ref="I51:J51"/>
    <mergeCell ref="I52:J52"/>
    <mergeCell ref="I53:J53"/>
    <mergeCell ref="I54:J54"/>
    <mergeCell ref="I55:J55"/>
    <mergeCell ref="I66:J66"/>
    <mergeCell ref="I67:J67"/>
    <mergeCell ref="I68:J68"/>
    <mergeCell ref="I69:J69"/>
    <mergeCell ref="I70:J70"/>
    <mergeCell ref="I61:J61"/>
    <mergeCell ref="I62:J62"/>
    <mergeCell ref="I63:J63"/>
    <mergeCell ref="I64:J64"/>
    <mergeCell ref="I65:J65"/>
    <mergeCell ref="I76:J76"/>
    <mergeCell ref="I77:J77"/>
    <mergeCell ref="I78:J78"/>
    <mergeCell ref="I79:J79"/>
    <mergeCell ref="I80:J80"/>
    <mergeCell ref="I71:J71"/>
    <mergeCell ref="I72:J72"/>
    <mergeCell ref="I73:J73"/>
    <mergeCell ref="I74:J74"/>
    <mergeCell ref="I75:J75"/>
    <mergeCell ref="I86:J86"/>
    <mergeCell ref="I87:J87"/>
    <mergeCell ref="I88:J88"/>
    <mergeCell ref="I89:J89"/>
    <mergeCell ref="I90:J90"/>
    <mergeCell ref="I81:J81"/>
    <mergeCell ref="I82:J82"/>
    <mergeCell ref="I83:J83"/>
    <mergeCell ref="I84:J84"/>
    <mergeCell ref="I85:J85"/>
    <mergeCell ref="I96:J96"/>
    <mergeCell ref="I97:J97"/>
    <mergeCell ref="I98:J98"/>
    <mergeCell ref="I99:J99"/>
    <mergeCell ref="I100:J100"/>
    <mergeCell ref="I91:J91"/>
    <mergeCell ref="I92:J92"/>
    <mergeCell ref="I93:J93"/>
    <mergeCell ref="I94:J94"/>
    <mergeCell ref="I95:J95"/>
    <mergeCell ref="I106:J106"/>
    <mergeCell ref="I107:J107"/>
    <mergeCell ref="I108:J108"/>
    <mergeCell ref="I109:J109"/>
    <mergeCell ref="I110:J110"/>
    <mergeCell ref="I101:J101"/>
    <mergeCell ref="I102:J102"/>
    <mergeCell ref="I103:J103"/>
    <mergeCell ref="I104:J104"/>
    <mergeCell ref="I105:J105"/>
    <mergeCell ref="I116:J116"/>
    <mergeCell ref="I117:J117"/>
    <mergeCell ref="I118:J118"/>
    <mergeCell ref="I119:J119"/>
    <mergeCell ref="I120:J120"/>
    <mergeCell ref="I111:J111"/>
    <mergeCell ref="I112:J112"/>
    <mergeCell ref="I113:J113"/>
    <mergeCell ref="I114:J114"/>
    <mergeCell ref="I115:J115"/>
    <mergeCell ref="I126:J126"/>
    <mergeCell ref="I127:J127"/>
    <mergeCell ref="I128:J128"/>
    <mergeCell ref="I129:J129"/>
    <mergeCell ref="I130:J130"/>
    <mergeCell ref="I121:J121"/>
    <mergeCell ref="I122:J122"/>
    <mergeCell ref="I123:J123"/>
    <mergeCell ref="I124:J124"/>
    <mergeCell ref="I125:J125"/>
    <mergeCell ref="I136:J136"/>
    <mergeCell ref="I137:J137"/>
    <mergeCell ref="I138:J138"/>
    <mergeCell ref="I139:J139"/>
    <mergeCell ref="I140:J140"/>
    <mergeCell ref="I131:J131"/>
    <mergeCell ref="I132:J132"/>
    <mergeCell ref="I133:J133"/>
    <mergeCell ref="I134:J134"/>
    <mergeCell ref="I135:J135"/>
    <mergeCell ref="I146:J146"/>
    <mergeCell ref="I147:J147"/>
    <mergeCell ref="I148:J148"/>
    <mergeCell ref="I149:J149"/>
    <mergeCell ref="I150:J150"/>
    <mergeCell ref="I141:J141"/>
    <mergeCell ref="I142:J142"/>
    <mergeCell ref="I143:J143"/>
    <mergeCell ref="I144:J144"/>
    <mergeCell ref="I145:J145"/>
    <mergeCell ref="I156:J156"/>
    <mergeCell ref="I157:J157"/>
    <mergeCell ref="I158:J158"/>
    <mergeCell ref="I159:J159"/>
    <mergeCell ref="I160:J160"/>
    <mergeCell ref="I151:J151"/>
    <mergeCell ref="I152:J152"/>
    <mergeCell ref="I153:J153"/>
    <mergeCell ref="I154:J154"/>
    <mergeCell ref="I155:J155"/>
    <mergeCell ref="I166:J166"/>
    <mergeCell ref="I167:J167"/>
    <mergeCell ref="I168:J168"/>
    <mergeCell ref="I169:J169"/>
    <mergeCell ref="I170:J170"/>
    <mergeCell ref="I161:J161"/>
    <mergeCell ref="I162:J162"/>
    <mergeCell ref="I163:J163"/>
    <mergeCell ref="I164:J164"/>
    <mergeCell ref="I165:J165"/>
    <mergeCell ref="I176:J176"/>
    <mergeCell ref="I177:J177"/>
    <mergeCell ref="I178:J178"/>
    <mergeCell ref="I179:J179"/>
    <mergeCell ref="I180:J180"/>
    <mergeCell ref="I171:J171"/>
    <mergeCell ref="I172:J172"/>
    <mergeCell ref="I173:J173"/>
    <mergeCell ref="I174:J174"/>
    <mergeCell ref="I175:J175"/>
    <mergeCell ref="I186:J186"/>
    <mergeCell ref="I187:J187"/>
    <mergeCell ref="I188:J188"/>
    <mergeCell ref="I189:J189"/>
    <mergeCell ref="I190:J190"/>
    <mergeCell ref="I181:J181"/>
    <mergeCell ref="I182:J182"/>
    <mergeCell ref="I183:J183"/>
    <mergeCell ref="I184:J184"/>
    <mergeCell ref="I185:J185"/>
    <mergeCell ref="I196:J196"/>
    <mergeCell ref="I197:J197"/>
    <mergeCell ref="I198:J198"/>
    <mergeCell ref="I199:J199"/>
    <mergeCell ref="I200:J200"/>
    <mergeCell ref="I191:J191"/>
    <mergeCell ref="I192:J192"/>
    <mergeCell ref="I193:J193"/>
    <mergeCell ref="I194:J194"/>
    <mergeCell ref="I195:J195"/>
    <mergeCell ref="I206:J206"/>
    <mergeCell ref="I207:J207"/>
    <mergeCell ref="I208:J208"/>
    <mergeCell ref="I209:J209"/>
    <mergeCell ref="I210:J210"/>
    <mergeCell ref="I201:J201"/>
    <mergeCell ref="I202:J202"/>
    <mergeCell ref="I203:J203"/>
    <mergeCell ref="I204:J204"/>
    <mergeCell ref="I205:J205"/>
    <mergeCell ref="I216:J216"/>
    <mergeCell ref="I217:J217"/>
    <mergeCell ref="I218:J218"/>
    <mergeCell ref="I219:J219"/>
    <mergeCell ref="I220:J220"/>
    <mergeCell ref="I211:J211"/>
    <mergeCell ref="I212:J212"/>
    <mergeCell ref="I213:J213"/>
    <mergeCell ref="I214:J214"/>
    <mergeCell ref="I215:J215"/>
    <mergeCell ref="I226:J226"/>
    <mergeCell ref="I227:J227"/>
    <mergeCell ref="I228:J228"/>
    <mergeCell ref="I229:J229"/>
    <mergeCell ref="I230:J230"/>
    <mergeCell ref="I221:J221"/>
    <mergeCell ref="I222:J222"/>
    <mergeCell ref="I223:J223"/>
    <mergeCell ref="I224:J224"/>
    <mergeCell ref="I225:J225"/>
    <mergeCell ref="I236:J236"/>
    <mergeCell ref="I237:J237"/>
    <mergeCell ref="I238:J238"/>
    <mergeCell ref="I239:J239"/>
    <mergeCell ref="I240:J240"/>
    <mergeCell ref="I231:J231"/>
    <mergeCell ref="I232:J232"/>
    <mergeCell ref="I233:J233"/>
    <mergeCell ref="I234:J234"/>
    <mergeCell ref="I235:J235"/>
    <mergeCell ref="I246:J246"/>
    <mergeCell ref="I247:J247"/>
    <mergeCell ref="I248:J248"/>
    <mergeCell ref="I249:J249"/>
    <mergeCell ref="I250:J250"/>
    <mergeCell ref="I241:J241"/>
    <mergeCell ref="I242:J242"/>
    <mergeCell ref="I243:J243"/>
    <mergeCell ref="I244:J244"/>
    <mergeCell ref="I245:J245"/>
    <mergeCell ref="I256:J256"/>
    <mergeCell ref="I257:J257"/>
    <mergeCell ref="I258:J258"/>
    <mergeCell ref="I259:J259"/>
    <mergeCell ref="I260:J260"/>
    <mergeCell ref="I251:J251"/>
    <mergeCell ref="I252:J252"/>
    <mergeCell ref="I253:J253"/>
    <mergeCell ref="I254:J254"/>
    <mergeCell ref="I255:J255"/>
    <mergeCell ref="I266:J266"/>
    <mergeCell ref="I267:J267"/>
    <mergeCell ref="I268:J268"/>
    <mergeCell ref="I269:J269"/>
    <mergeCell ref="I270:J270"/>
    <mergeCell ref="I261:J261"/>
    <mergeCell ref="I262:J262"/>
    <mergeCell ref="I263:J263"/>
    <mergeCell ref="I264:J264"/>
    <mergeCell ref="I265:J265"/>
    <mergeCell ref="I276:J276"/>
    <mergeCell ref="I277:J277"/>
    <mergeCell ref="I278:J278"/>
    <mergeCell ref="I279:J279"/>
    <mergeCell ref="I280:J280"/>
    <mergeCell ref="I271:J271"/>
    <mergeCell ref="I272:J272"/>
    <mergeCell ref="I273:J273"/>
    <mergeCell ref="I274:J274"/>
    <mergeCell ref="I275:J275"/>
    <mergeCell ref="I286:J286"/>
    <mergeCell ref="I287:J287"/>
    <mergeCell ref="I288:J288"/>
    <mergeCell ref="I289:J289"/>
    <mergeCell ref="I290:J290"/>
    <mergeCell ref="I281:J281"/>
    <mergeCell ref="I282:J282"/>
    <mergeCell ref="I283:J283"/>
    <mergeCell ref="I284:J284"/>
    <mergeCell ref="I285:J285"/>
    <mergeCell ref="I296:J296"/>
    <mergeCell ref="I297:J297"/>
    <mergeCell ref="I298:J298"/>
    <mergeCell ref="I299:J299"/>
    <mergeCell ref="I300:J300"/>
    <mergeCell ref="I291:J291"/>
    <mergeCell ref="I292:J292"/>
    <mergeCell ref="I293:J293"/>
    <mergeCell ref="I294:J294"/>
    <mergeCell ref="I295:J295"/>
    <mergeCell ref="I306:J306"/>
    <mergeCell ref="I307:J307"/>
    <mergeCell ref="I308:J308"/>
    <mergeCell ref="I309:J309"/>
    <mergeCell ref="I310:J310"/>
    <mergeCell ref="I301:J301"/>
    <mergeCell ref="I302:J302"/>
    <mergeCell ref="I303:J303"/>
    <mergeCell ref="I304:J304"/>
    <mergeCell ref="I305:J305"/>
    <mergeCell ref="I316:J316"/>
    <mergeCell ref="I317:J317"/>
    <mergeCell ref="I318:J318"/>
    <mergeCell ref="I319:J319"/>
    <mergeCell ref="I320:J320"/>
    <mergeCell ref="I311:J311"/>
    <mergeCell ref="I312:J312"/>
    <mergeCell ref="I313:J313"/>
    <mergeCell ref="I314:J314"/>
    <mergeCell ref="I315:J315"/>
    <mergeCell ref="I326:J326"/>
    <mergeCell ref="I327:J327"/>
    <mergeCell ref="I328:J328"/>
    <mergeCell ref="I329:J329"/>
    <mergeCell ref="I330:J330"/>
    <mergeCell ref="I321:J321"/>
    <mergeCell ref="I322:J322"/>
    <mergeCell ref="I323:J323"/>
    <mergeCell ref="I324:J324"/>
    <mergeCell ref="I325:J325"/>
    <mergeCell ref="I336:J336"/>
    <mergeCell ref="I337:J337"/>
    <mergeCell ref="I338:J338"/>
    <mergeCell ref="I339:J339"/>
    <mergeCell ref="I340:J340"/>
    <mergeCell ref="I331:J331"/>
    <mergeCell ref="I332:J332"/>
    <mergeCell ref="I333:J333"/>
    <mergeCell ref="I334:J334"/>
    <mergeCell ref="I335:J335"/>
    <mergeCell ref="I346:J346"/>
    <mergeCell ref="I347:J347"/>
    <mergeCell ref="I348:J348"/>
    <mergeCell ref="I349:J349"/>
    <mergeCell ref="I350:J350"/>
    <mergeCell ref="I341:J341"/>
    <mergeCell ref="I342:J342"/>
    <mergeCell ref="I343:J343"/>
    <mergeCell ref="I344:J344"/>
    <mergeCell ref="I345:J345"/>
    <mergeCell ref="I356:J356"/>
    <mergeCell ref="I357:J357"/>
    <mergeCell ref="I358:J358"/>
    <mergeCell ref="I359:J359"/>
    <mergeCell ref="I360:J360"/>
    <mergeCell ref="I351:J351"/>
    <mergeCell ref="I352:J352"/>
    <mergeCell ref="I353:J353"/>
    <mergeCell ref="I354:J354"/>
    <mergeCell ref="I355:J355"/>
    <mergeCell ref="I366:J366"/>
    <mergeCell ref="I367:J367"/>
    <mergeCell ref="I368:J368"/>
    <mergeCell ref="I369:J369"/>
    <mergeCell ref="I370:J370"/>
    <mergeCell ref="I361:J361"/>
    <mergeCell ref="I362:J362"/>
    <mergeCell ref="I363:J363"/>
    <mergeCell ref="I364:J364"/>
    <mergeCell ref="I365:J365"/>
    <mergeCell ref="I381:J381"/>
    <mergeCell ref="I376:J376"/>
    <mergeCell ref="I377:J377"/>
    <mergeCell ref="I378:J378"/>
    <mergeCell ref="I379:J379"/>
    <mergeCell ref="I380:J380"/>
    <mergeCell ref="I371:J371"/>
    <mergeCell ref="I372:J372"/>
    <mergeCell ref="I373:J373"/>
    <mergeCell ref="I374:J374"/>
    <mergeCell ref="I375:J375"/>
  </mergeCells>
  <conditionalFormatting sqref="R4">
    <cfRule type="expression" dxfId="224" priority="1">
      <formula>$B$5-$R$4&gt;7</formula>
    </cfRule>
  </conditionalFormatting>
  <dataValidations disablePrompts="1" count="1">
    <dataValidation type="date" allowBlank="1" showInputMessage="1" showErrorMessage="1" sqref="G17" xr:uid="{68494C88-F807-479A-A8BC-B2103FC6ED71}">
      <formula1>32874</formula1>
      <formula2>54789</formula2>
    </dataValidation>
  </dataValidations>
  <pageMargins left="0.7" right="0.7" top="0.75" bottom="0.75" header="0.3" footer="0.3"/>
  <pageSetup paperSize="9" orientation="portrait" verticalDpi="0" r:id="rId1"/>
  <ignoredErrors>
    <ignoredError sqref="K15" formula="1"/>
  </ignoredError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CA7A1-DB0E-4107-93C6-C00B1D5CDDF9}">
  <sheetPr codeName="Feuil22">
    <tabColor theme="9" tint="0.79998168889431442"/>
  </sheetPr>
  <dimension ref="A4:Y40"/>
  <sheetViews>
    <sheetView showGridLines="0" showRowColHeaders="0" topLeftCell="A10" zoomScale="123" zoomScaleNormal="123" workbookViewId="0">
      <selection activeCell="K27" sqref="K27:O27"/>
    </sheetView>
  </sheetViews>
  <sheetFormatPr baseColWidth="10" defaultRowHeight="14.4"/>
  <cols>
    <col min="2" max="2" width="9.33203125" customWidth="1"/>
    <col min="3" max="3" width="6.6640625" customWidth="1"/>
    <col min="4" max="4" width="16.5546875" bestFit="1" customWidth="1"/>
    <col min="5" max="6" width="1.44140625" customWidth="1"/>
    <col min="7" max="7" width="23.33203125" bestFit="1" customWidth="1"/>
    <col min="8" max="8" width="5" customWidth="1"/>
    <col min="9" max="10" width="10.109375" customWidth="1"/>
    <col min="11" max="12" width="5" customWidth="1"/>
    <col min="13" max="13" width="5.6640625" customWidth="1"/>
    <col min="14" max="14" width="5" customWidth="1"/>
    <col min="15" max="15" width="5.33203125" customWidth="1"/>
    <col min="16" max="16" width="4" customWidth="1"/>
    <col min="17" max="17" width="5.6640625" hidden="1" customWidth="1"/>
    <col min="18" max="20" width="11.5546875" hidden="1" customWidth="1"/>
    <col min="21" max="21" width="9.88671875" hidden="1" customWidth="1"/>
    <col min="22" max="22" width="11.44140625" hidden="1" customWidth="1"/>
    <col min="23" max="24" width="11.6640625" hidden="1" customWidth="1"/>
  </cols>
  <sheetData>
    <row r="4" spans="1:20">
      <c r="R4" s="2"/>
      <c r="S4" s="3"/>
      <c r="T4" s="4"/>
    </row>
    <row r="5" spans="1:20">
      <c r="B5" s="1">
        <f ca="1">TODAY()</f>
        <v>46023</v>
      </c>
    </row>
    <row r="7" spans="1:20">
      <c r="A7" s="11" t="s">
        <v>88</v>
      </c>
      <c r="B7" s="45">
        <f ca="1">Données!F4</f>
        <v>2026</v>
      </c>
    </row>
    <row r="8" spans="1:20">
      <c r="A8" s="11" t="s">
        <v>121</v>
      </c>
      <c r="B8" s="45">
        <f ca="1">B7-1</f>
        <v>2025</v>
      </c>
    </row>
    <row r="11" spans="1:20" ht="15" customHeight="1">
      <c r="A11" s="199"/>
      <c r="B11" s="199"/>
    </row>
    <row r="12" spans="1:20">
      <c r="A12" s="199"/>
      <c r="B12" s="199"/>
    </row>
    <row r="13" spans="1:20" ht="15" thickBot="1">
      <c r="A13" s="199"/>
      <c r="B13" s="199"/>
      <c r="D13" s="41" t="s">
        <v>42</v>
      </c>
      <c r="E13" s="42"/>
      <c r="F13" s="201"/>
      <c r="G13" s="43" t="s">
        <v>36</v>
      </c>
      <c r="J13" s="776" t="s">
        <v>112</v>
      </c>
      <c r="K13" s="776"/>
      <c r="L13" s="776"/>
      <c r="M13" s="776"/>
      <c r="N13" s="776"/>
      <c r="O13" s="776"/>
    </row>
    <row r="14" spans="1:20">
      <c r="A14" s="199"/>
      <c r="B14" s="199"/>
      <c r="J14" s="51" t="s">
        <v>114</v>
      </c>
      <c r="K14" s="124">
        <f>U25</f>
        <v>0</v>
      </c>
      <c r="L14" s="125">
        <f>U26</f>
        <v>0.11</v>
      </c>
      <c r="M14" s="125">
        <f>U27</f>
        <v>0.3</v>
      </c>
      <c r="N14" s="125">
        <f>U28</f>
        <v>0.41</v>
      </c>
      <c r="O14" s="126">
        <f>U29</f>
        <v>0.45</v>
      </c>
    </row>
    <row r="15" spans="1:20">
      <c r="A15" s="199"/>
      <c r="B15" s="199"/>
      <c r="D15" s="41" t="s">
        <v>87</v>
      </c>
      <c r="E15" s="42"/>
      <c r="F15" s="201"/>
      <c r="G15" s="203">
        <f>IF(G13="",0,IF(G13="Célibataire/veuf/divorcé",1,2)+(I15*0.25))</f>
        <v>2</v>
      </c>
      <c r="I15" s="232">
        <v>0</v>
      </c>
      <c r="J15" s="52" t="s">
        <v>116</v>
      </c>
      <c r="K15" s="774">
        <f>S34</f>
        <v>8830.74</v>
      </c>
      <c r="L15" s="774"/>
      <c r="M15" s="774"/>
      <c r="N15" s="774"/>
      <c r="O15" s="775"/>
    </row>
    <row r="16" spans="1:20">
      <c r="A16" s="199"/>
      <c r="B16" s="199"/>
      <c r="D16" s="44" t="s">
        <v>184</v>
      </c>
      <c r="F16" s="202"/>
      <c r="G16" s="200"/>
      <c r="J16" s="757" t="s">
        <v>185</v>
      </c>
      <c r="K16" s="758"/>
      <c r="L16" s="758"/>
      <c r="M16" s="758"/>
      <c r="N16" s="759">
        <f>IF(W34&lt;0,0,W34)</f>
        <v>16370.000000000007</v>
      </c>
      <c r="O16" s="760"/>
    </row>
    <row r="17" spans="1:25">
      <c r="A17" s="199"/>
      <c r="B17" s="199"/>
      <c r="J17" s="784" t="str">
        <f>"+CEHR"</f>
        <v>+CEHR</v>
      </c>
      <c r="K17" s="785"/>
      <c r="L17" s="785"/>
      <c r="M17" s="785"/>
      <c r="N17" s="759">
        <f>IF(IR!G13=Données!L51,IF(IR!R22&lt;Données!N13,0,IF(IR!R22&lt;Données!N14,(IR!R22-Données!N13)*Données!P14,((IR!R22-Données!N14)*Données!P15)+((Données!N14-Données!N13)*Données!P14))),IF(IR!R22&lt;Données!N14,0,IF(IR!R22&lt;Données!N15,(IR!R22-Données!N14)*Données!Q15,((IR!R22-Données!N15)*Données!Q16+((Données!N15-Données!N14)*Données!Q15)))))</f>
        <v>0</v>
      </c>
      <c r="O17" s="760"/>
    </row>
    <row r="19" spans="1:25">
      <c r="T19" s="247"/>
    </row>
    <row r="21" spans="1:25" ht="15" thickBot="1">
      <c r="H21" s="779" t="s">
        <v>89</v>
      </c>
      <c r="I21" s="779"/>
      <c r="J21" s="780"/>
      <c r="K21" s="779" t="s">
        <v>90</v>
      </c>
      <c r="L21" s="779"/>
      <c r="M21" s="779"/>
      <c r="N21" s="779"/>
      <c r="O21" s="779"/>
      <c r="Q21" s="128"/>
      <c r="R21" s="128"/>
      <c r="S21" s="129"/>
      <c r="T21" s="130" t="s">
        <v>104</v>
      </c>
      <c r="U21" s="777">
        <f ca="1">B7</f>
        <v>2026</v>
      </c>
      <c r="V21" s="777"/>
      <c r="W21" s="131"/>
      <c r="X21" s="131"/>
    </row>
    <row r="22" spans="1:25" ht="15" thickTop="1">
      <c r="D22" s="47"/>
      <c r="E22" s="47"/>
      <c r="F22" s="47"/>
      <c r="G22" s="47"/>
      <c r="H22" s="47"/>
      <c r="I22" s="47"/>
      <c r="J22" s="47"/>
      <c r="K22" s="47"/>
      <c r="L22" s="47"/>
      <c r="M22" s="47"/>
      <c r="N22" s="47"/>
      <c r="O22" s="47"/>
      <c r="Q22" s="131" t="s">
        <v>105</v>
      </c>
      <c r="R22" s="132">
        <f>IF(G13=Données!L51,IR!H35,H35+K35)</f>
        <v>75000</v>
      </c>
      <c r="S22" s="133">
        <f>G15</f>
        <v>2</v>
      </c>
      <c r="T22" s="778" t="s">
        <v>106</v>
      </c>
      <c r="U22" s="778"/>
      <c r="V22" s="778"/>
      <c r="W22" s="792" t="s">
        <v>107</v>
      </c>
      <c r="X22" s="792"/>
    </row>
    <row r="23" spans="1:25">
      <c r="D23" s="791" t="s">
        <v>91</v>
      </c>
      <c r="E23" s="791"/>
      <c r="F23" s="791"/>
      <c r="G23" s="791"/>
      <c r="H23" s="781">
        <v>50000</v>
      </c>
      <c r="I23" s="781"/>
      <c r="J23" s="782"/>
      <c r="K23" s="783"/>
      <c r="L23" s="781"/>
      <c r="M23" s="781"/>
      <c r="N23" s="781"/>
      <c r="O23" s="781"/>
      <c r="Q23" s="131"/>
      <c r="R23" s="205">
        <f>IFERROR(R22/S22,0)</f>
        <v>37500</v>
      </c>
      <c r="S23" s="205">
        <f>R22/IF(T23=Données!$L$51,1,2)</f>
        <v>37500</v>
      </c>
      <c r="T23" s="793" t="str">
        <f>G13</f>
        <v>Marié/pacsé</v>
      </c>
      <c r="U23" s="794"/>
      <c r="V23" s="794"/>
      <c r="W23" s="795">
        <f>IF(OR(G16="Non",G16=""),(S22-(IF(T23="Célibataire/veuf/divorcé",1,2)))*(Données!$F$18*2),IF(T23="Célibataire/veuf/divorcé",IF(S22&lt;=2,(S22-1)*Données!$G$18,Données!$G$18+((S22-2)*Données!$F$18*2)),(S22-(IF(T23="Célibataire/veuf/divorcé",1,2)))*(Données!$F$18*2)))</f>
        <v>0</v>
      </c>
      <c r="X23" s="796"/>
    </row>
    <row r="24" spans="1:25" ht="15" thickBot="1">
      <c r="D24" s="791" t="s">
        <v>92</v>
      </c>
      <c r="E24" s="791"/>
      <c r="F24" s="791"/>
      <c r="G24" s="791"/>
      <c r="H24" s="781"/>
      <c r="I24" s="781"/>
      <c r="J24" s="782"/>
      <c r="K24" s="783"/>
      <c r="L24" s="781"/>
      <c r="M24" s="781"/>
      <c r="N24" s="781"/>
      <c r="O24" s="781"/>
      <c r="Q24" s="131"/>
      <c r="R24" s="215" t="s">
        <v>108</v>
      </c>
      <c r="S24" s="215" t="s">
        <v>109</v>
      </c>
      <c r="T24" s="135" t="s">
        <v>110</v>
      </c>
      <c r="U24" s="135" t="s">
        <v>111</v>
      </c>
      <c r="V24" s="135" t="s">
        <v>1</v>
      </c>
      <c r="W24" s="204" t="s">
        <v>186</v>
      </c>
      <c r="X24" s="204" t="s">
        <v>187</v>
      </c>
    </row>
    <row r="25" spans="1:25">
      <c r="D25" s="786" t="s">
        <v>93</v>
      </c>
      <c r="E25" s="786"/>
      <c r="F25" s="786"/>
      <c r="G25" s="786"/>
      <c r="H25" s="46" t="s">
        <v>94</v>
      </c>
      <c r="I25" s="798"/>
      <c r="J25" s="799"/>
      <c r="K25" s="46" t="s">
        <v>94</v>
      </c>
      <c r="L25" s="798"/>
      <c r="M25" s="798"/>
      <c r="N25" s="798"/>
      <c r="O25" s="798"/>
      <c r="Q25" s="131"/>
      <c r="R25" s="216">
        <f>IF(R23&lt;=T25,R23,0)</f>
        <v>0</v>
      </c>
      <c r="S25" s="216">
        <f>IF(S23&lt;=T25,S23,0)</f>
        <v>0</v>
      </c>
      <c r="T25" s="206">
        <f>Données!$E$13</f>
        <v>11498</v>
      </c>
      <c r="U25" s="207">
        <f>Données!$F$13</f>
        <v>0</v>
      </c>
      <c r="V25" s="206"/>
      <c r="W25" s="208"/>
      <c r="X25" s="209"/>
    </row>
    <row r="26" spans="1:25" ht="15" thickBot="1">
      <c r="D26" s="786" t="s">
        <v>95</v>
      </c>
      <c r="E26" s="786"/>
      <c r="F26" s="786"/>
      <c r="G26" s="786"/>
      <c r="H26" s="787">
        <f>IF(H25="Oui",I25,IF((H23+H24)&lt;Données!$G$24,(H23+H24),IF(((H23+H24)*10%)&lt;Données!$G$24,Données!$G$24,IF(((H23+H24)*10%)&lt;Données!$F$24,(H23+H24)*10%,Données!$F$24))))</f>
        <v>5000</v>
      </c>
      <c r="I26" s="787"/>
      <c r="J26" s="788"/>
      <c r="K26" s="787">
        <f>IF(K25="Oui",L25,IF((K23+K24)&lt;Données!$G$24,(K23+K24),IF(((K23+K24)*10%)&lt;Données!$G$24,Données!$G$24,IF(((K23+K24)*10%)&lt;Données!$F$24,(K23+K24)*10%,Données!$F$24))))</f>
        <v>0</v>
      </c>
      <c r="L26" s="787"/>
      <c r="M26" s="787"/>
      <c r="N26" s="787"/>
      <c r="O26" s="787"/>
      <c r="Q26" s="131"/>
      <c r="R26" s="216">
        <f>IF(AND(R23&lt;=T26,R23&gt;T25),R23,0)</f>
        <v>0</v>
      </c>
      <c r="S26" s="216">
        <f>IF(AND(S23&lt;=T26,S23&gt;T25),S23,0)</f>
        <v>0</v>
      </c>
      <c r="T26" s="206">
        <f>Données!$E$14</f>
        <v>29315</v>
      </c>
      <c r="U26" s="207">
        <f>Données!$F$14</f>
        <v>0.11</v>
      </c>
      <c r="V26" s="206">
        <f>T25*U26</f>
        <v>1264.78</v>
      </c>
      <c r="W26" s="210">
        <f>IF(R26&gt;0,(R22*U26)-(V26*S22),0)</f>
        <v>0</v>
      </c>
      <c r="X26" s="211">
        <f>IF(S26&gt;0,(R22*U26)-(V26*(IF(T23="Célibataire/veuf/divorcé",1,2)))-W23,0)</f>
        <v>0</v>
      </c>
    </row>
    <row r="27" spans="1:25" ht="15" thickTop="1">
      <c r="D27" s="789" t="s">
        <v>96</v>
      </c>
      <c r="E27" s="789"/>
      <c r="F27" s="789"/>
      <c r="G27" s="789"/>
      <c r="H27" s="771"/>
      <c r="I27" s="771"/>
      <c r="J27" s="772"/>
      <c r="K27" s="773">
        <v>20000</v>
      </c>
      <c r="L27" s="771"/>
      <c r="M27" s="771"/>
      <c r="N27" s="771"/>
      <c r="O27" s="771"/>
      <c r="Q27" s="131"/>
      <c r="R27" s="216">
        <f>IF(AND(R23&lt;=T27,R23&gt;T26),R23,0)</f>
        <v>37500</v>
      </c>
      <c r="S27" s="216">
        <f>IF(AND(S23&lt;=T27,S23&gt;T26),S23,0)</f>
        <v>37500</v>
      </c>
      <c r="T27" s="206">
        <f>Données!$E$15</f>
        <v>83823</v>
      </c>
      <c r="U27" s="207">
        <f>Données!$F$15</f>
        <v>0.3</v>
      </c>
      <c r="V27" s="206">
        <f>(T25-S25)*U27+(T26-T25)*(U27-U26)</f>
        <v>6834.63</v>
      </c>
      <c r="W27" s="210">
        <f>IF(R27&gt;0,(R22*U27)-(V27*S22),0)</f>
        <v>8830.74</v>
      </c>
      <c r="X27" s="211">
        <f>IF(S27&gt;0,(R22*U27)-(V27*(IF(T23="Célibataire/veuf/divorcé",1,2)))-W23,0)</f>
        <v>8830.74</v>
      </c>
      <c r="Y27" s="219"/>
    </row>
    <row r="28" spans="1:25" ht="15" thickBot="1">
      <c r="D28" s="786" t="s">
        <v>97</v>
      </c>
      <c r="E28" s="786"/>
      <c r="F28" s="786"/>
      <c r="G28" s="786"/>
      <c r="H28" s="800">
        <f>IF((H27+K27)&lt;Données!$G$25,(H27+K27),IF(((H27+K27)*10%)&lt;Données!$G$25,Données!$G$25,IF(((H27+K27)*10%)&lt;Données!$F$25,(H27+K27)*10%,Données!$F$25)))</f>
        <v>2000</v>
      </c>
      <c r="I28" s="800"/>
      <c r="J28" s="800"/>
      <c r="K28" s="168"/>
      <c r="L28" s="168"/>
      <c r="M28" s="168"/>
      <c r="N28" s="168"/>
      <c r="O28" s="168"/>
      <c r="Q28" s="131"/>
      <c r="R28" s="216">
        <f>IF(AND(R23&lt;=T28,R23&gt;T27),R23,0)</f>
        <v>0</v>
      </c>
      <c r="S28" s="216">
        <f>IF(AND(S23&lt;=T28,S23&gt;T27),S23,0)</f>
        <v>0</v>
      </c>
      <c r="T28" s="206">
        <f>Données!$E$16</f>
        <v>180294</v>
      </c>
      <c r="U28" s="207">
        <f>Données!$F$16</f>
        <v>0.41</v>
      </c>
      <c r="V28" s="206">
        <f>(T25-S25)*U28+(T26-T25)*(U28-U26)+(T27-T26)*(U28-U27)</f>
        <v>16055.159999999998</v>
      </c>
      <c r="W28" s="210">
        <f>IF(R28&gt;0,(R22*U28)-(V28*S22),0)</f>
        <v>0</v>
      </c>
      <c r="X28" s="211">
        <f>IF(S28&gt;0,(R22*U28)-(V28*(IF(T23="Célibataire/veuf/divorcé",1,2)))-W23,0)</f>
        <v>0</v>
      </c>
      <c r="Y28" s="219"/>
    </row>
    <row r="29" spans="1:25" ht="15.6" thickTop="1" thickBot="1">
      <c r="D29" s="790" t="s">
        <v>98</v>
      </c>
      <c r="E29" s="790"/>
      <c r="F29" s="790"/>
      <c r="G29" s="790"/>
      <c r="H29" s="771"/>
      <c r="I29" s="771"/>
      <c r="J29" s="772"/>
      <c r="K29" s="773"/>
      <c r="L29" s="771"/>
      <c r="M29" s="771"/>
      <c r="N29" s="771"/>
      <c r="O29" s="771"/>
      <c r="Q29" s="134"/>
      <c r="R29" s="216">
        <f>IF(R23&gt;T28,R23,0)</f>
        <v>0</v>
      </c>
      <c r="S29" s="216">
        <f>IF(S23&gt;T28,S23,0)</f>
        <v>0</v>
      </c>
      <c r="T29" s="206">
        <f>Données!$E$17</f>
        <v>0</v>
      </c>
      <c r="U29" s="207">
        <f>Données!$F$17</f>
        <v>0.45</v>
      </c>
      <c r="V29" s="206">
        <f>(T25-S25)*U29+(T26-T25)*(U29-U26)+(T27-T26)*(U29-U27)+(T28-T27)*(U29-U28)</f>
        <v>23266.920000000006</v>
      </c>
      <c r="W29" s="210">
        <f>IF(R29&gt;0,(R22*U29)-(V29*S22),0)</f>
        <v>0</v>
      </c>
      <c r="X29" s="211">
        <f>IF(S29&gt;0,(R22*U29)-(V29*(IF(T23="Célibataire/veuf/divorcé",1,2)))-W23,0)</f>
        <v>0</v>
      </c>
    </row>
    <row r="30" spans="1:25" ht="15.6" thickTop="1" thickBot="1">
      <c r="D30" s="791" t="s">
        <v>99</v>
      </c>
      <c r="E30" s="791"/>
      <c r="F30" s="791"/>
      <c r="G30" s="791"/>
      <c r="H30" s="771">
        <v>12000</v>
      </c>
      <c r="I30" s="771"/>
      <c r="J30" s="772"/>
      <c r="K30" s="773"/>
      <c r="L30" s="771"/>
      <c r="M30" s="771"/>
      <c r="N30" s="771"/>
      <c r="O30" s="771"/>
      <c r="Q30" s="53"/>
      <c r="R30" s="217"/>
      <c r="S30" s="218"/>
      <c r="T30" s="212"/>
      <c r="U30" s="212"/>
      <c r="V30" s="212"/>
      <c r="W30" s="213">
        <f>SUM(W26:W29)</f>
        <v>8830.74</v>
      </c>
      <c r="X30" s="214">
        <f>SUM(X26:X29)</f>
        <v>8830.74</v>
      </c>
    </row>
    <row r="31" spans="1:25" ht="15" thickTop="1">
      <c r="D31" s="804" t="s">
        <v>100</v>
      </c>
      <c r="E31" s="804"/>
      <c r="F31" s="804"/>
      <c r="G31" s="804"/>
      <c r="H31" s="771"/>
      <c r="I31" s="771"/>
      <c r="J31" s="772"/>
      <c r="K31" s="773"/>
      <c r="L31" s="771"/>
      <c r="M31" s="771"/>
      <c r="N31" s="771"/>
      <c r="O31" s="771"/>
      <c r="Q31" s="765" t="s">
        <v>113</v>
      </c>
      <c r="R31" s="765"/>
      <c r="S31" s="765">
        <f>IF(W30&lt;=X30,X30,W30)</f>
        <v>8830.74</v>
      </c>
      <c r="T31" s="765"/>
      <c r="U31" s="127"/>
      <c r="V31" s="127" t="s">
        <v>111</v>
      </c>
      <c r="W31" s="797">
        <f>IF(W30&lt;=X30,IF(X26&gt;0,U26,IF(X27&gt;0,U27,IF(X28&gt;0,U28,IF(X29&gt;0,U29,0)))),IF(W26&gt;0,U26,IF(W27&gt;0,U27,IF(W28&gt;0,U28,IF(W29&gt;0,U29,0)))))</f>
        <v>0.3</v>
      </c>
      <c r="X31" s="797"/>
    </row>
    <row r="32" spans="1:25" ht="15" thickBot="1">
      <c r="D32" s="786" t="s">
        <v>101</v>
      </c>
      <c r="E32" s="786"/>
      <c r="F32" s="786"/>
      <c r="G32" s="786"/>
      <c r="H32" s="781"/>
      <c r="I32" s="781"/>
      <c r="J32" s="782"/>
      <c r="K32" s="783"/>
      <c r="L32" s="781"/>
      <c r="M32" s="781"/>
      <c r="N32" s="781"/>
      <c r="O32" s="781"/>
      <c r="Q32" s="765" t="s">
        <v>115</v>
      </c>
      <c r="R32" s="765"/>
      <c r="S32" s="766">
        <f>IF(S31=0,0,IF(AND(S31&lt;Données!$F$19,T23="Célibataire/veuf/divorcé"),Données!$F$20-(S31*Données!$F$21),IF(AND(S31&lt;Données!$G$19,T23="Marié/pacsé"),Données!$G$20-(S31*Données!$F$21),0)))</f>
        <v>0</v>
      </c>
      <c r="T32" s="766"/>
      <c r="U32" s="220" t="s">
        <v>188</v>
      </c>
      <c r="V32" s="220" t="s">
        <v>189</v>
      </c>
      <c r="W32" s="221" t="s">
        <v>190</v>
      </c>
      <c r="X32" s="221" t="s">
        <v>191</v>
      </c>
    </row>
    <row r="33" spans="4:24">
      <c r="D33" s="786" t="s">
        <v>102</v>
      </c>
      <c r="E33" s="786"/>
      <c r="F33" s="786"/>
      <c r="G33" s="786"/>
      <c r="H33" s="781"/>
      <c r="I33" s="781"/>
      <c r="J33" s="782"/>
      <c r="K33" s="783"/>
      <c r="L33" s="781"/>
      <c r="M33" s="781"/>
      <c r="N33" s="781"/>
      <c r="O33" s="781"/>
      <c r="Q33" s="767" t="s">
        <v>117</v>
      </c>
      <c r="R33" s="768"/>
      <c r="S33" s="769">
        <f>IF(S31-S32&lt;0,0,S31-S32)</f>
        <v>8830.74</v>
      </c>
      <c r="T33" s="770"/>
      <c r="U33" s="221">
        <f>IF(W26&gt;0,($R$23-$T$25)*$S$22,IF(W27&gt;0,($R$23-T26)*$S$22,IF(W28&gt;0,($R$23-T27)*$S$22,($R$23-T28)*$S$22)))</f>
        <v>16370</v>
      </c>
      <c r="V33" s="221">
        <f>IF(X26&gt;0,R22-(T25*IF($T$23=Données!$L$50,2,1)),IF(X27&gt;0,R22-(T26*IF($T$23=Données!$L$50,2,1)),IF(X28&gt;0,R22-(T27*IF($T$23=Données!$L$50,2,1)),R22-(T28*IF($T$23=Données!$L$50,2,1)))))</f>
        <v>16370</v>
      </c>
      <c r="W33" s="221">
        <f>(-(V26*S22)/(U27-U26))+((W23+(IF($T$23="Célibataire/veuf/divorcé",1,2)*V27))/(U27-U26))</f>
        <v>58629.999999999993</v>
      </c>
      <c r="X33" s="221">
        <f>(IF(T23=Données!$L$51,Données!$F$20,Données!$G$20)/(1+Données!$F$21)+(V26*S22))/U26</f>
        <v>32196.438116100766</v>
      </c>
    </row>
    <row r="34" spans="4:24" ht="15" thickBot="1">
      <c r="D34" s="48"/>
      <c r="E34" s="48"/>
      <c r="F34" s="48"/>
      <c r="G34" s="48"/>
      <c r="H34" s="49"/>
      <c r="I34" s="49"/>
      <c r="J34" s="50"/>
      <c r="K34" s="49"/>
      <c r="L34" s="49"/>
      <c r="M34" s="49"/>
      <c r="N34" s="49"/>
      <c r="O34" s="49"/>
      <c r="Q34" s="761" t="s">
        <v>118</v>
      </c>
      <c r="R34" s="762"/>
      <c r="S34" s="763">
        <f>S33-H33-K33</f>
        <v>8830.74</v>
      </c>
      <c r="T34" s="764"/>
      <c r="U34" s="755" t="s">
        <v>192</v>
      </c>
      <c r="V34" s="756"/>
      <c r="W34" s="221">
        <f>IF(W31=U26,R22-X33,IF(W30&gt;X30,U33,IF(W31=U27,R22-W33,V33)))</f>
        <v>16370.000000000007</v>
      </c>
      <c r="X34" s="221"/>
    </row>
    <row r="35" spans="4:24">
      <c r="D35" s="801" t="s">
        <v>103</v>
      </c>
      <c r="E35" s="801"/>
      <c r="F35" s="801"/>
      <c r="G35" s="801"/>
      <c r="H35" s="802">
        <f>H23+H24-H26+H27-H28+H29+H30+H31-H32</f>
        <v>55000</v>
      </c>
      <c r="I35" s="802"/>
      <c r="J35" s="803"/>
      <c r="K35" s="802">
        <f>K23+K24-K26+K27+K29+K30+K31-K32</f>
        <v>20000</v>
      </c>
      <c r="L35" s="802"/>
      <c r="M35" s="802"/>
      <c r="N35" s="802"/>
      <c r="O35" s="802"/>
    </row>
    <row r="39" spans="4:24">
      <c r="S39" s="219"/>
      <c r="W39" s="219"/>
    </row>
    <row r="40" spans="4:24">
      <c r="W40" s="219"/>
    </row>
  </sheetData>
  <sheetProtection selectLockedCells="1"/>
  <mergeCells count="58">
    <mergeCell ref="D35:G35"/>
    <mergeCell ref="H35:J35"/>
    <mergeCell ref="K35:O35"/>
    <mergeCell ref="D31:G31"/>
    <mergeCell ref="H31:J31"/>
    <mergeCell ref="K31:O31"/>
    <mergeCell ref="D32:G32"/>
    <mergeCell ref="H32:J32"/>
    <mergeCell ref="K32:O32"/>
    <mergeCell ref="D33:G33"/>
    <mergeCell ref="H33:J33"/>
    <mergeCell ref="K33:O33"/>
    <mergeCell ref="D30:G30"/>
    <mergeCell ref="W22:X22"/>
    <mergeCell ref="T23:V23"/>
    <mergeCell ref="W23:X23"/>
    <mergeCell ref="Q31:R31"/>
    <mergeCell ref="S31:T31"/>
    <mergeCell ref="W31:X31"/>
    <mergeCell ref="D25:G25"/>
    <mergeCell ref="I25:J25"/>
    <mergeCell ref="L25:O25"/>
    <mergeCell ref="D28:G28"/>
    <mergeCell ref="H28:J28"/>
    <mergeCell ref="D23:G23"/>
    <mergeCell ref="H23:J23"/>
    <mergeCell ref="K23:O23"/>
    <mergeCell ref="D24:G24"/>
    <mergeCell ref="D26:G26"/>
    <mergeCell ref="H26:J26"/>
    <mergeCell ref="K26:O26"/>
    <mergeCell ref="D27:G27"/>
    <mergeCell ref="D29:G29"/>
    <mergeCell ref="H29:J29"/>
    <mergeCell ref="K29:O29"/>
    <mergeCell ref="K15:O15"/>
    <mergeCell ref="J13:O13"/>
    <mergeCell ref="U21:V21"/>
    <mergeCell ref="T22:V22"/>
    <mergeCell ref="H27:J27"/>
    <mergeCell ref="K27:O27"/>
    <mergeCell ref="H21:J21"/>
    <mergeCell ref="K21:O21"/>
    <mergeCell ref="H24:J24"/>
    <mergeCell ref="K24:O24"/>
    <mergeCell ref="N17:O17"/>
    <mergeCell ref="J17:M17"/>
    <mergeCell ref="U34:V34"/>
    <mergeCell ref="J16:M16"/>
    <mergeCell ref="N16:O16"/>
    <mergeCell ref="Q34:R34"/>
    <mergeCell ref="S34:T34"/>
    <mergeCell ref="Q32:R32"/>
    <mergeCell ref="S32:T32"/>
    <mergeCell ref="Q33:R33"/>
    <mergeCell ref="S33:T33"/>
    <mergeCell ref="H30:J30"/>
    <mergeCell ref="K30:O30"/>
  </mergeCells>
  <conditionalFormatting sqref="G13">
    <cfRule type="expression" dxfId="222" priority="40">
      <formula>$G$13=""</formula>
    </cfRule>
  </conditionalFormatting>
  <conditionalFormatting sqref="H23:O24">
    <cfRule type="cellIs" dxfId="221" priority="12" operator="equal">
      <formula>$H$22</formula>
    </cfRule>
  </conditionalFormatting>
  <conditionalFormatting sqref="H27:O27">
    <cfRule type="cellIs" dxfId="220" priority="11" operator="equal">
      <formula>$H$22</formula>
    </cfRule>
  </conditionalFormatting>
  <conditionalFormatting sqref="H29:O33">
    <cfRule type="cellIs" dxfId="219" priority="10" operator="equal">
      <formula>$H$22</formula>
    </cfRule>
  </conditionalFormatting>
  <conditionalFormatting sqref="I25:J25">
    <cfRule type="expression" dxfId="218" priority="9">
      <formula>$H$25="Non"</formula>
    </cfRule>
  </conditionalFormatting>
  <conditionalFormatting sqref="J17:O17">
    <cfRule type="expression" dxfId="217" priority="1">
      <formula>$N$17=0</formula>
    </cfRule>
  </conditionalFormatting>
  <conditionalFormatting sqref="K14:O14">
    <cfRule type="cellIs" dxfId="216" priority="7" operator="equal">
      <formula>$W$31</formula>
    </cfRule>
  </conditionalFormatting>
  <conditionalFormatting sqref="L25:O25">
    <cfRule type="expression" dxfId="214" priority="8">
      <formula>$K$25="Non"</formula>
    </cfRule>
  </conditionalFormatting>
  <conditionalFormatting sqref="T4">
    <cfRule type="expression" dxfId="213" priority="41">
      <formula>$B$5-$T$4&gt;7</formula>
    </cfRule>
  </conditionalFormatting>
  <conditionalFormatting sqref="W30">
    <cfRule type="expression" dxfId="212" priority="4">
      <formula>$W$30&gt;=$X$30</formula>
    </cfRule>
  </conditionalFormatting>
  <conditionalFormatting sqref="X30">
    <cfRule type="expression" dxfId="211" priority="3">
      <formula>$X$30&gt;$W$30</formula>
    </cfRule>
  </conditionalFormatting>
  <dataValidations count="1">
    <dataValidation type="list" allowBlank="1" showInputMessage="1" showErrorMessage="1" sqref="K25 H25 G16" xr:uid="{B8AEB36A-A7F3-4E47-8344-880A9A0EACA6}">
      <formula1>"Oui,Non"</formula1>
    </dataValidation>
  </dataValidation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Spinner 1">
              <controlPr locked="0" defaultSize="0" autoPict="0">
                <anchor moveWithCells="1" sizeWithCells="1">
                  <from>
                    <xdr:col>7</xdr:col>
                    <xdr:colOff>45720</xdr:colOff>
                    <xdr:row>14</xdr:row>
                    <xdr:rowOff>0</xdr:rowOff>
                  </from>
                  <to>
                    <xdr:col>7</xdr:col>
                    <xdr:colOff>259080</xdr:colOff>
                    <xdr:row>15</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6" id="{65462AAD-E7CF-475C-8A9E-0D4CE6C1D705}">
            <xm:f>$G$13&lt;&gt;Données!$L$51</xm:f>
            <x14:dxf>
              <font>
                <color theme="0"/>
              </font>
              <fill>
                <patternFill>
                  <bgColor theme="0"/>
                </patternFill>
              </fill>
              <border>
                <left/>
                <right/>
                <bottom/>
                <vertical/>
                <horizontal/>
              </border>
            </x14:dxf>
          </x14:cfRule>
          <xm:sqref>D16:G16</xm:sqref>
        </x14:conditionalFormatting>
        <x14:conditionalFormatting xmlns:xm="http://schemas.microsoft.com/office/excel/2006/main">
          <x14:cfRule type="expression" priority="2" id="{19DCD9BB-7769-4AE9-BDDB-F614D626CF3B}">
            <xm:f>$G$13&lt;&gt;Données!$L$50</xm:f>
            <x14:dxf>
              <font>
                <color theme="0"/>
              </font>
              <fill>
                <patternFill>
                  <bgColor theme="0"/>
                </patternFill>
              </fill>
              <border>
                <right/>
                <top/>
                <bottom/>
                <vertical/>
                <horizontal/>
              </border>
            </x14:dxf>
          </x14:cfRule>
          <xm:sqref>K21:O35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8556A5B-6B86-42BD-B00E-D9465E2DE642}">
          <x14:formula1>
            <xm:f>Données!$L$50:$L$51</xm:f>
          </x14:formula1>
          <xm:sqref>G13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53ADA-4FB7-446E-B48C-117ABFB970FB}">
  <sheetPr codeName="Feuil1"/>
  <dimension ref="A1:Z161"/>
  <sheetViews>
    <sheetView showGridLines="0" topLeftCell="A79" workbookViewId="0">
      <selection activeCell="B93" sqref="B93:O98"/>
    </sheetView>
  </sheetViews>
  <sheetFormatPr baseColWidth="10" defaultRowHeight="14.4"/>
  <cols>
    <col min="1" max="16" width="11.44140625" customWidth="1"/>
  </cols>
  <sheetData>
    <row r="1" spans="1:26">
      <c r="A1" s="823" t="s">
        <v>201</v>
      </c>
      <c r="B1" s="823"/>
      <c r="C1" s="823"/>
      <c r="D1" s="823"/>
      <c r="E1" s="823"/>
      <c r="F1" s="823"/>
      <c r="G1" s="823"/>
      <c r="H1" s="823"/>
      <c r="I1" s="823"/>
      <c r="J1" s="823"/>
      <c r="K1" s="823"/>
      <c r="L1" s="823"/>
      <c r="M1" s="823"/>
      <c r="N1" s="823"/>
      <c r="O1" s="823"/>
      <c r="P1" s="823"/>
      <c r="R1" s="245"/>
      <c r="S1" s="245"/>
      <c r="T1" s="245"/>
      <c r="U1" s="245"/>
      <c r="W1" s="823" t="s">
        <v>207</v>
      </c>
      <c r="X1" s="823"/>
      <c r="Y1" s="823"/>
      <c r="Z1" s="823"/>
    </row>
    <row r="2" spans="1:26" s="136" customFormat="1" ht="14.25" customHeight="1">
      <c r="A2" s="235"/>
      <c r="B2" s="235"/>
      <c r="C2" s="235"/>
      <c r="D2" s="235"/>
      <c r="E2" s="235"/>
      <c r="F2" s="235"/>
      <c r="G2" s="235"/>
      <c r="H2" s="235"/>
      <c r="I2" s="235"/>
      <c r="J2" s="235"/>
      <c r="K2" s="235"/>
      <c r="L2" s="235"/>
      <c r="M2" s="235"/>
      <c r="N2" s="235"/>
      <c r="O2" s="235"/>
      <c r="P2" s="235"/>
      <c r="R2" s="246"/>
      <c r="S2" s="246"/>
      <c r="T2" s="246"/>
      <c r="U2" s="246"/>
      <c r="V2" s="136" t="s">
        <v>211</v>
      </c>
      <c r="W2" s="240" t="s">
        <v>208</v>
      </c>
      <c r="Z2" s="241" t="s">
        <v>220</v>
      </c>
    </row>
    <row r="3" spans="1:26" s="136" customFormat="1" ht="14.25" customHeight="1">
      <c r="A3" s="235"/>
      <c r="B3" s="235"/>
      <c r="C3" s="235"/>
      <c r="D3" s="235"/>
      <c r="E3" s="235"/>
      <c r="F3" s="235"/>
      <c r="G3" s="235"/>
      <c r="H3" s="235"/>
      <c r="I3" s="235"/>
      <c r="J3" s="235"/>
      <c r="K3" s="235"/>
      <c r="L3" s="235"/>
      <c r="M3" s="235"/>
      <c r="N3" s="235"/>
      <c r="O3" s="235"/>
      <c r="P3" s="235"/>
      <c r="R3" s="246"/>
      <c r="S3" s="246"/>
      <c r="T3" s="246"/>
      <c r="U3" s="246"/>
      <c r="V3" s="136" t="s">
        <v>212</v>
      </c>
      <c r="W3" s="136" t="s">
        <v>210</v>
      </c>
    </row>
    <row r="4" spans="1:26" s="136" customFormat="1" ht="14.25" customHeight="1">
      <c r="A4" s="235"/>
      <c r="B4" s="235"/>
      <c r="C4" s="235"/>
      <c r="D4" s="235"/>
      <c r="E4" s="235"/>
      <c r="F4" s="235"/>
      <c r="G4" s="235"/>
      <c r="H4" s="235"/>
      <c r="I4" s="235"/>
      <c r="J4" s="235"/>
      <c r="K4" s="235"/>
      <c r="L4" s="235"/>
      <c r="M4" s="235"/>
      <c r="N4" s="235"/>
      <c r="O4" s="235"/>
      <c r="P4" s="235"/>
      <c r="R4" s="246"/>
      <c r="S4" s="246"/>
      <c r="T4" s="246"/>
      <c r="U4" s="246"/>
    </row>
    <row r="5" spans="1:26" s="136" customFormat="1" ht="14.25" customHeight="1">
      <c r="A5" s="235"/>
      <c r="B5" s="235"/>
      <c r="C5" s="235"/>
      <c r="D5" s="235"/>
      <c r="E5" s="235"/>
      <c r="F5" s="235"/>
      <c r="G5" s="235"/>
      <c r="H5" s="235"/>
      <c r="I5" s="235"/>
      <c r="J5" s="235"/>
      <c r="K5" s="235"/>
      <c r="L5" s="235"/>
      <c r="M5" s="235"/>
      <c r="N5" s="235"/>
      <c r="O5" s="235"/>
      <c r="P5" s="235"/>
      <c r="R5" s="246"/>
      <c r="S5" s="246"/>
      <c r="T5" s="246"/>
      <c r="U5" s="246"/>
    </row>
    <row r="6" spans="1:26" s="136" customFormat="1" ht="14.25" customHeight="1">
      <c r="A6" s="235"/>
      <c r="B6" s="235"/>
      <c r="C6" s="235"/>
      <c r="D6" s="235"/>
      <c r="E6" s="235"/>
      <c r="F6" s="235"/>
      <c r="G6" s="235"/>
      <c r="H6" s="235"/>
      <c r="I6" s="235"/>
      <c r="J6" s="235"/>
      <c r="K6" s="235"/>
      <c r="L6" s="235"/>
      <c r="M6" s="235"/>
      <c r="N6" s="235"/>
      <c r="O6" s="235"/>
      <c r="P6" s="235"/>
      <c r="R6" s="246"/>
      <c r="S6" s="246"/>
      <c r="T6" s="246"/>
      <c r="U6" s="246"/>
    </row>
    <row r="7" spans="1:26" s="136" customFormat="1" ht="14.25" customHeight="1">
      <c r="A7" s="235"/>
      <c r="B7" s="235"/>
      <c r="C7" s="235"/>
      <c r="D7" s="235"/>
      <c r="E7" s="235"/>
      <c r="F7" s="235"/>
      <c r="G7" s="235"/>
      <c r="H7" s="235"/>
      <c r="I7" s="235"/>
      <c r="J7" s="235"/>
      <c r="K7" s="235"/>
      <c r="L7" s="235"/>
      <c r="M7" s="235"/>
      <c r="N7" s="235"/>
      <c r="O7" s="235"/>
      <c r="P7" s="235"/>
    </row>
    <row r="8" spans="1:26" s="136" customFormat="1" ht="14.25" customHeight="1">
      <c r="A8" s="235"/>
      <c r="B8" s="235"/>
      <c r="C8" s="235"/>
      <c r="D8" s="235"/>
      <c r="E8" s="235"/>
      <c r="F8" s="235"/>
      <c r="G8" s="235"/>
      <c r="H8" s="235"/>
      <c r="I8" s="235"/>
      <c r="J8" s="235"/>
      <c r="K8" s="235"/>
      <c r="L8" s="235"/>
      <c r="M8" s="235"/>
      <c r="N8" s="235"/>
      <c r="O8" s="235"/>
      <c r="P8" s="235"/>
    </row>
    <row r="9" spans="1:26" s="136" customFormat="1" ht="14.25" customHeight="1">
      <c r="A9" s="235"/>
      <c r="B9" s="235"/>
      <c r="C9" s="235"/>
      <c r="D9" s="235"/>
      <c r="E9" s="235"/>
      <c r="F9" s="235"/>
      <c r="G9" s="235"/>
      <c r="H9" s="235"/>
      <c r="I9" s="235"/>
      <c r="J9" s="235"/>
      <c r="K9" s="235"/>
      <c r="L9" s="235"/>
      <c r="M9" s="235"/>
      <c r="N9" s="235"/>
      <c r="O9" s="235"/>
      <c r="P9" s="235"/>
      <c r="R9" s="242"/>
      <c r="S9" s="242"/>
    </row>
    <row r="10" spans="1:26" s="136" customFormat="1" ht="14.25" customHeight="1">
      <c r="A10" s="235"/>
      <c r="B10" s="235"/>
      <c r="C10" s="235"/>
      <c r="D10" s="235"/>
      <c r="E10" s="235"/>
      <c r="F10" s="235"/>
      <c r="G10" s="235"/>
      <c r="H10" s="235"/>
      <c r="I10" s="235"/>
      <c r="J10" s="235"/>
      <c r="K10" s="235"/>
      <c r="L10" s="235"/>
      <c r="M10" s="235"/>
      <c r="N10" s="235"/>
      <c r="O10" s="235"/>
      <c r="P10" s="235"/>
    </row>
    <row r="11" spans="1:26" s="136" customFormat="1" ht="14.25" customHeight="1">
      <c r="A11" s="235"/>
      <c r="B11" s="235"/>
      <c r="C11" s="235"/>
      <c r="D11" s="235"/>
      <c r="E11" s="235"/>
      <c r="F11" s="235"/>
      <c r="G11" s="235"/>
      <c r="H11" s="235"/>
      <c r="I11" s="235"/>
      <c r="J11" s="235"/>
      <c r="K11" s="235"/>
      <c r="L11" s="235"/>
      <c r="M11" s="235"/>
      <c r="N11" s="235"/>
      <c r="O11" s="235"/>
      <c r="P11" s="235"/>
    </row>
    <row r="12" spans="1:26" s="136" customFormat="1" ht="14.25" customHeight="1">
      <c r="A12" s="235"/>
      <c r="B12" s="235"/>
      <c r="C12" s="235"/>
      <c r="D12" s="235"/>
      <c r="E12" s="235"/>
      <c r="F12" s="235"/>
      <c r="G12" s="235"/>
      <c r="H12" s="235"/>
      <c r="I12" s="235"/>
      <c r="J12" s="235"/>
      <c r="K12" s="235"/>
      <c r="L12" s="235"/>
      <c r="M12" s="235"/>
      <c r="N12" s="235"/>
      <c r="O12" s="235"/>
      <c r="P12" s="235"/>
    </row>
    <row r="13" spans="1:26" s="136" customFormat="1" ht="14.25" customHeight="1">
      <c r="A13" s="235"/>
      <c r="B13" s="235"/>
      <c r="C13" s="235"/>
      <c r="D13" s="235"/>
      <c r="E13" s="235"/>
      <c r="F13" s="235"/>
      <c r="G13" s="235"/>
      <c r="H13" s="235"/>
      <c r="I13" s="235"/>
      <c r="J13" s="235"/>
      <c r="K13" s="235"/>
      <c r="L13" s="235"/>
      <c r="M13" s="235"/>
      <c r="N13" s="235"/>
      <c r="O13" s="235"/>
      <c r="P13" s="235"/>
    </row>
    <row r="14" spans="1:26" s="136" customFormat="1" ht="14.25" customHeight="1">
      <c r="A14" s="235"/>
      <c r="B14" s="235"/>
      <c r="C14" s="235"/>
      <c r="D14" s="235"/>
      <c r="E14" s="235"/>
      <c r="F14" s="235"/>
      <c r="G14" s="235"/>
      <c r="H14" s="235"/>
      <c r="I14" s="235"/>
      <c r="J14" s="235"/>
      <c r="K14" s="235"/>
      <c r="L14" s="235"/>
      <c r="M14" s="235"/>
      <c r="N14" s="235"/>
      <c r="O14" s="235"/>
      <c r="P14" s="235"/>
    </row>
    <row r="15" spans="1:26" s="136" customFormat="1" ht="14.25" customHeight="1">
      <c r="A15" s="235"/>
      <c r="B15" s="235"/>
      <c r="C15" s="235"/>
      <c r="D15" s="235"/>
      <c r="E15" s="235"/>
      <c r="F15" s="235"/>
      <c r="G15" s="235"/>
      <c r="H15" s="235"/>
      <c r="I15" s="235"/>
      <c r="J15" s="235"/>
      <c r="K15" s="235"/>
      <c r="L15" s="235"/>
      <c r="M15" s="235"/>
      <c r="N15" s="235"/>
      <c r="O15" s="235"/>
      <c r="P15" s="235"/>
    </row>
    <row r="16" spans="1:26" s="136" customFormat="1" ht="14.25" customHeight="1">
      <c r="A16" s="235"/>
      <c r="B16" s="235"/>
      <c r="C16" s="235"/>
      <c r="D16" s="235"/>
      <c r="E16" s="235"/>
      <c r="F16" s="235"/>
      <c r="G16" s="235"/>
      <c r="H16" s="235"/>
      <c r="I16" s="235"/>
      <c r="J16" s="235"/>
      <c r="K16" s="235"/>
      <c r="L16" s="235"/>
      <c r="M16" s="235"/>
      <c r="N16" s="235"/>
      <c r="O16" s="235"/>
      <c r="P16" s="235"/>
    </row>
    <row r="17" spans="1:16" s="136" customFormat="1" ht="14.25" customHeight="1">
      <c r="A17" s="235"/>
      <c r="B17" s="235"/>
      <c r="C17" s="235"/>
      <c r="D17" s="235"/>
      <c r="E17" s="235"/>
      <c r="F17" s="235"/>
      <c r="G17" s="235"/>
      <c r="H17" s="235"/>
      <c r="I17" s="235"/>
      <c r="J17" s="235"/>
      <c r="K17" s="235"/>
      <c r="L17" s="235"/>
      <c r="M17" s="235"/>
      <c r="N17" s="235"/>
      <c r="O17" s="235"/>
      <c r="P17" s="235"/>
    </row>
    <row r="18" spans="1:16" s="136" customFormat="1" ht="14.25" customHeight="1">
      <c r="A18" s="235"/>
      <c r="B18" s="235"/>
      <c r="C18" s="235"/>
      <c r="D18" s="235"/>
      <c r="E18" s="235"/>
      <c r="F18" s="235"/>
      <c r="G18" s="235"/>
      <c r="H18" s="235"/>
      <c r="I18" s="235"/>
      <c r="J18" s="235"/>
      <c r="K18" s="235"/>
      <c r="L18" s="235"/>
      <c r="M18" s="235"/>
      <c r="N18" s="235"/>
      <c r="O18" s="235"/>
      <c r="P18" s="235"/>
    </row>
    <row r="19" spans="1:16" s="136" customFormat="1" ht="14.25" customHeight="1">
      <c r="A19" s="235"/>
      <c r="B19" s="235"/>
      <c r="C19" s="235"/>
      <c r="D19" s="235"/>
      <c r="E19" s="235"/>
      <c r="F19" s="235"/>
      <c r="G19" s="235"/>
      <c r="H19" s="235"/>
      <c r="I19" s="235"/>
      <c r="J19" s="235"/>
      <c r="K19" s="235"/>
      <c r="L19" s="235"/>
      <c r="M19" s="235"/>
      <c r="N19" s="235"/>
      <c r="O19" s="235"/>
      <c r="P19" s="235"/>
    </row>
    <row r="20" spans="1:16" s="136" customFormat="1" ht="14.25" customHeight="1">
      <c r="A20" s="235"/>
      <c r="B20" s="235"/>
      <c r="C20" s="235"/>
      <c r="D20" s="235"/>
      <c r="E20" s="235"/>
      <c r="F20" s="235"/>
      <c r="G20" s="235"/>
      <c r="H20" s="235"/>
      <c r="I20" s="235"/>
      <c r="J20" s="235"/>
      <c r="K20" s="235"/>
      <c r="L20" s="235"/>
      <c r="M20" s="235"/>
      <c r="N20" s="235"/>
      <c r="O20" s="235"/>
      <c r="P20" s="235"/>
    </row>
    <row r="21" spans="1:16" s="136" customFormat="1" ht="14.25" customHeight="1">
      <c r="A21" s="235"/>
      <c r="B21" s="235"/>
      <c r="C21" s="235"/>
      <c r="D21" s="235"/>
      <c r="E21" s="235"/>
      <c r="F21" s="235"/>
      <c r="G21" s="235"/>
      <c r="H21" s="235"/>
      <c r="I21" s="235"/>
      <c r="J21" s="235"/>
      <c r="K21" s="235"/>
      <c r="L21" s="235"/>
      <c r="M21" s="235"/>
      <c r="N21" s="235"/>
      <c r="O21" s="235"/>
      <c r="P21" s="235"/>
    </row>
    <row r="22" spans="1:16" s="136" customFormat="1" ht="14.25" customHeight="1">
      <c r="A22" s="235"/>
      <c r="B22" s="235"/>
      <c r="C22" s="235"/>
      <c r="D22" s="235"/>
      <c r="E22" s="235"/>
      <c r="F22" s="235"/>
      <c r="G22" s="235"/>
      <c r="H22" s="235"/>
      <c r="I22" s="235"/>
      <c r="J22" s="235"/>
      <c r="K22" s="235"/>
      <c r="L22" s="235"/>
      <c r="M22" s="235"/>
      <c r="N22" s="235"/>
      <c r="O22" s="235"/>
      <c r="P22" s="235"/>
    </row>
    <row r="23" spans="1:16" s="136" customFormat="1" ht="14.25" customHeight="1">
      <c r="A23" s="235"/>
      <c r="B23" s="235"/>
      <c r="C23" s="235"/>
      <c r="D23" s="235"/>
      <c r="E23" s="235"/>
      <c r="F23" s="235"/>
      <c r="G23" s="235"/>
      <c r="H23" s="235"/>
      <c r="I23" s="235"/>
      <c r="J23" s="235"/>
      <c r="K23" s="235"/>
      <c r="L23" s="235"/>
      <c r="M23" s="235"/>
      <c r="N23" s="235"/>
      <c r="O23" s="235"/>
      <c r="P23" s="235"/>
    </row>
    <row r="24" spans="1:16" s="136" customFormat="1" ht="14.25" customHeight="1">
      <c r="A24" s="235"/>
      <c r="B24" s="235"/>
      <c r="C24" s="235"/>
      <c r="D24" s="235"/>
      <c r="E24" s="235"/>
      <c r="F24" s="235"/>
      <c r="G24" s="235"/>
      <c r="H24" s="235"/>
      <c r="I24" s="235"/>
      <c r="J24" s="235"/>
      <c r="K24" s="235"/>
      <c r="L24" s="235"/>
      <c r="M24" s="235"/>
      <c r="N24" s="235"/>
      <c r="O24" s="235"/>
      <c r="P24" s="235"/>
    </row>
    <row r="25" spans="1:16" s="136" customFormat="1" ht="14.25" customHeight="1">
      <c r="A25" s="235"/>
      <c r="B25" s="235"/>
      <c r="C25" s="235"/>
      <c r="D25" s="235"/>
      <c r="E25" s="235"/>
      <c r="F25" s="235"/>
      <c r="G25" s="235"/>
      <c r="H25" s="235"/>
      <c r="I25" s="235"/>
      <c r="J25" s="235"/>
      <c r="K25" s="235"/>
      <c r="L25" s="235"/>
      <c r="M25" s="235"/>
      <c r="N25" s="235"/>
      <c r="O25" s="235"/>
      <c r="P25" s="235"/>
    </row>
    <row r="26" spans="1:16" s="136" customFormat="1" ht="14.25" customHeight="1">
      <c r="A26" s="235"/>
      <c r="B26" s="235"/>
      <c r="C26" s="236"/>
      <c r="D26" s="236"/>
      <c r="E26" s="236"/>
      <c r="F26" s="236"/>
      <c r="G26" s="236"/>
      <c r="H26" s="236"/>
      <c r="I26" s="236"/>
      <c r="J26" s="236"/>
      <c r="K26" s="236"/>
      <c r="L26" s="236"/>
      <c r="M26" s="236"/>
      <c r="N26" s="236"/>
      <c r="O26" s="235"/>
      <c r="P26" s="235"/>
    </row>
    <row r="27" spans="1:16" s="136" customFormat="1" ht="14.25" customHeight="1">
      <c r="A27" s="235"/>
      <c r="B27" s="235"/>
      <c r="C27" s="236"/>
      <c r="D27" s="236"/>
      <c r="E27" s="236"/>
      <c r="F27" s="236"/>
      <c r="G27" s="236"/>
      <c r="H27" s="236"/>
      <c r="I27" s="236"/>
      <c r="J27" s="236"/>
      <c r="K27" s="236"/>
      <c r="L27" s="236"/>
      <c r="M27" s="236"/>
      <c r="N27" s="236"/>
      <c r="O27" s="235"/>
      <c r="P27" s="235"/>
    </row>
    <row r="28" spans="1:16" s="136" customFormat="1" ht="14.25" customHeight="1">
      <c r="A28" s="235"/>
      <c r="B28" s="235"/>
      <c r="C28" s="236"/>
      <c r="D28" s="236"/>
      <c r="E28" s="236"/>
      <c r="F28" s="236"/>
      <c r="G28" s="236"/>
      <c r="H28" s="236"/>
      <c r="I28" s="236"/>
      <c r="J28" s="236"/>
      <c r="K28" s="236"/>
      <c r="L28" s="236"/>
      <c r="M28" s="236"/>
      <c r="N28" s="236"/>
      <c r="O28" s="235"/>
      <c r="P28" s="235"/>
    </row>
    <row r="29" spans="1:16" s="136" customFormat="1" ht="14.25" customHeight="1">
      <c r="A29" s="235"/>
      <c r="B29" s="235"/>
      <c r="C29" s="236"/>
      <c r="D29" s="236"/>
      <c r="E29" s="236"/>
      <c r="F29" s="236"/>
      <c r="G29" s="236"/>
      <c r="H29" s="236"/>
      <c r="I29" s="236"/>
      <c r="J29" s="236"/>
      <c r="K29" s="236"/>
      <c r="L29" s="236"/>
      <c r="M29" s="236"/>
      <c r="N29" s="236"/>
      <c r="O29" s="235"/>
      <c r="P29" s="235"/>
    </row>
    <row r="30" spans="1:16" s="136" customFormat="1" ht="14.25" customHeight="1">
      <c r="A30" s="235"/>
      <c r="B30" s="235"/>
      <c r="C30" s="236"/>
      <c r="D30" s="236"/>
      <c r="E30" s="236"/>
      <c r="F30" s="236"/>
      <c r="G30" s="236"/>
      <c r="H30" s="236"/>
      <c r="I30" s="236"/>
      <c r="J30" s="236"/>
      <c r="K30" s="236"/>
      <c r="L30" s="236"/>
      <c r="M30" s="236"/>
      <c r="N30" s="236"/>
      <c r="O30" s="235"/>
      <c r="P30" s="235"/>
    </row>
    <row r="31" spans="1:16" s="136" customFormat="1" ht="14.25" customHeight="1" thickBot="1">
      <c r="A31" s="235"/>
      <c r="B31" s="235"/>
      <c r="C31" s="826" t="s">
        <v>204</v>
      </c>
      <c r="D31" s="826"/>
      <c r="E31" s="826"/>
      <c r="F31" s="826"/>
      <c r="G31" s="826"/>
      <c r="H31" s="826"/>
      <c r="I31" s="826"/>
      <c r="J31" s="826"/>
      <c r="K31" s="826"/>
      <c r="L31" s="826"/>
      <c r="M31" s="826"/>
      <c r="N31" s="826"/>
      <c r="O31" s="235"/>
      <c r="P31" s="235"/>
    </row>
    <row r="32" spans="1:16" s="136" customFormat="1" ht="14.25" customHeight="1">
      <c r="A32" s="235"/>
      <c r="B32" s="235"/>
      <c r="C32" s="236"/>
      <c r="D32" s="236"/>
      <c r="E32" s="825" t="s">
        <v>205</v>
      </c>
      <c r="F32" s="825"/>
      <c r="G32" s="825"/>
      <c r="H32" s="825"/>
      <c r="I32" s="825"/>
      <c r="J32" s="825"/>
      <c r="K32" s="825"/>
      <c r="L32" s="825"/>
      <c r="M32" s="236"/>
      <c r="N32" s="236"/>
      <c r="O32" s="235"/>
      <c r="P32" s="235"/>
    </row>
    <row r="33" spans="1:16" s="136" customFormat="1" ht="14.25" customHeight="1">
      <c r="A33" s="235"/>
      <c r="B33" s="235"/>
      <c r="C33" s="237"/>
      <c r="D33" s="237"/>
      <c r="E33" s="237"/>
      <c r="F33" s="236"/>
      <c r="G33" s="236"/>
      <c r="H33" s="236"/>
      <c r="I33" s="236"/>
      <c r="J33" s="236"/>
      <c r="K33" s="236"/>
      <c r="L33" s="237"/>
      <c r="M33" s="237"/>
      <c r="N33" s="237"/>
      <c r="O33" s="235"/>
      <c r="P33" s="235"/>
    </row>
    <row r="34" spans="1:16" s="136" customFormat="1" ht="14.25" customHeight="1">
      <c r="A34" s="235"/>
      <c r="B34" s="235"/>
      <c r="C34" s="237"/>
      <c r="D34" s="237"/>
      <c r="E34" s="237"/>
      <c r="F34" s="237"/>
      <c r="G34" s="827">
        <f ca="1">TODAY()</f>
        <v>46023</v>
      </c>
      <c r="H34" s="827"/>
      <c r="I34" s="827"/>
      <c r="J34" s="827"/>
      <c r="K34" s="237"/>
      <c r="L34" s="237"/>
      <c r="M34" s="237"/>
      <c r="N34" s="237"/>
      <c r="O34" s="235"/>
      <c r="P34" s="235"/>
    </row>
    <row r="35" spans="1:16" s="136" customFormat="1" ht="14.25" customHeight="1">
      <c r="A35" s="235"/>
      <c r="B35" s="235"/>
      <c r="C35" s="238"/>
      <c r="D35" s="238"/>
      <c r="E35" s="238"/>
      <c r="F35" s="238"/>
      <c r="G35" s="238"/>
      <c r="H35" s="238"/>
      <c r="I35" s="238"/>
      <c r="J35" s="238"/>
      <c r="K35" s="238"/>
      <c r="L35" s="238"/>
      <c r="M35" s="238"/>
      <c r="N35" s="238"/>
      <c r="O35" s="235"/>
      <c r="P35" s="235"/>
    </row>
    <row r="36" spans="1:16" s="136" customFormat="1" ht="14.25" customHeight="1">
      <c r="A36" s="235"/>
      <c r="B36" s="235"/>
      <c r="C36" s="828" t="s">
        <v>219</v>
      </c>
      <c r="D36" s="828"/>
      <c r="E36" s="828"/>
      <c r="F36" s="828"/>
      <c r="G36" s="828"/>
      <c r="H36" s="828"/>
      <c r="I36" s="828"/>
      <c r="J36" s="828"/>
      <c r="K36" s="828"/>
      <c r="L36" s="828"/>
      <c r="M36" s="828"/>
      <c r="N36" s="828"/>
      <c r="O36" s="235"/>
      <c r="P36" s="235"/>
    </row>
    <row r="37" spans="1:16" s="136" customFormat="1" ht="14.25" customHeight="1">
      <c r="A37" s="235"/>
      <c r="B37" s="235"/>
      <c r="C37" s="829" t="s">
        <v>206</v>
      </c>
      <c r="D37" s="829"/>
      <c r="E37" s="829"/>
      <c r="F37" s="829"/>
      <c r="G37" s="829"/>
      <c r="H37" s="829"/>
      <c r="I37" s="829"/>
      <c r="J37" s="829"/>
      <c r="K37" s="829"/>
      <c r="L37" s="829"/>
      <c r="M37" s="829"/>
      <c r="N37" s="829"/>
      <c r="O37" s="235"/>
      <c r="P37" s="235"/>
    </row>
    <row r="38" spans="1:16" s="136" customFormat="1" ht="14.25" customHeight="1">
      <c r="A38" s="235"/>
      <c r="B38" s="235"/>
      <c r="C38" s="239"/>
      <c r="D38" s="239"/>
      <c r="E38" s="239"/>
      <c r="F38" s="239"/>
      <c r="G38" s="239"/>
      <c r="H38" s="239"/>
      <c r="I38" s="239"/>
      <c r="J38" s="239"/>
      <c r="K38" s="239"/>
      <c r="L38" s="239"/>
      <c r="M38" s="239"/>
      <c r="N38" s="239"/>
      <c r="O38" s="235"/>
      <c r="P38" s="235"/>
    </row>
    <row r="39" spans="1:16" s="136" customFormat="1" ht="14.25" customHeight="1">
      <c r="A39" s="235"/>
      <c r="B39" s="235"/>
      <c r="C39" s="235"/>
      <c r="D39" s="235"/>
      <c r="E39" s="235"/>
      <c r="F39" s="235"/>
      <c r="G39" s="235"/>
      <c r="H39" s="235"/>
      <c r="I39" s="235"/>
      <c r="J39" s="235"/>
      <c r="K39" s="235"/>
      <c r="L39" s="235"/>
      <c r="M39" s="235"/>
      <c r="N39" s="235"/>
      <c r="O39" s="235"/>
      <c r="P39" s="235"/>
    </row>
    <row r="41" spans="1:16">
      <c r="A41" s="823" t="s">
        <v>202</v>
      </c>
      <c r="B41" s="823"/>
      <c r="C41" s="823"/>
      <c r="D41" s="823"/>
      <c r="E41" s="823"/>
      <c r="F41" s="823"/>
      <c r="G41" s="823"/>
      <c r="H41" s="823"/>
      <c r="I41" s="823"/>
      <c r="J41" s="823"/>
      <c r="K41" s="823"/>
      <c r="L41" s="823"/>
      <c r="M41" s="823"/>
      <c r="N41" s="823"/>
      <c r="O41" s="823"/>
      <c r="P41" s="823"/>
    </row>
    <row r="42" spans="1:16" ht="14.25" customHeight="1"/>
    <row r="43" spans="1:16" ht="14.25" customHeight="1"/>
    <row r="44" spans="1:16" ht="14.25" customHeight="1"/>
    <row r="45" spans="1:16" ht="14.25" customHeight="1"/>
    <row r="46" spans="1:16" ht="14.25" customHeight="1"/>
    <row r="47" spans="1:16" ht="14.25" customHeight="1"/>
    <row r="48" spans="1: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spans="2:15" ht="14.25" customHeight="1"/>
    <row r="66" spans="2:15" ht="14.25" customHeight="1"/>
    <row r="67" spans="2:15" ht="14.25" customHeight="1"/>
    <row r="68" spans="2:15" ht="14.25" customHeight="1"/>
    <row r="69" spans="2:15" ht="14.25" customHeight="1"/>
    <row r="70" spans="2:15" ht="14.25" customHeight="1"/>
    <row r="71" spans="2:15" ht="14.25" customHeight="1"/>
    <row r="72" spans="2:15" ht="14.25" customHeight="1"/>
    <row r="73" spans="2:15" ht="14.25" customHeight="1"/>
    <row r="74" spans="2:15" ht="14.25" customHeight="1"/>
    <row r="75" spans="2:15" ht="14.25" customHeight="1"/>
    <row r="76" spans="2:15" ht="14.25" customHeight="1"/>
    <row r="77" spans="2:15" ht="14.25" customHeight="1"/>
    <row r="78" spans="2:15" ht="14.25" customHeight="1">
      <c r="B78" s="234">
        <f ca="1">(TODAY())</f>
        <v>46023</v>
      </c>
      <c r="E78" s="812" t="s">
        <v>203</v>
      </c>
      <c r="F78" s="812"/>
      <c r="G78" s="812"/>
      <c r="H78" s="812"/>
      <c r="I78" s="812"/>
      <c r="J78" s="812"/>
      <c r="K78" s="812"/>
      <c r="L78" s="812"/>
      <c r="O78" s="233">
        <v>2</v>
      </c>
    </row>
    <row r="79" spans="2:15" ht="14.25" customHeight="1"/>
    <row r="80" spans="2:15" ht="14.25" customHeight="1"/>
    <row r="81" spans="1:16" ht="15" customHeight="1">
      <c r="A81" s="823" t="s">
        <v>209</v>
      </c>
      <c r="B81" s="823"/>
      <c r="C81" s="823"/>
      <c r="D81" s="823"/>
      <c r="E81" s="823"/>
      <c r="F81" s="823"/>
      <c r="G81" s="823"/>
      <c r="H81" s="823"/>
      <c r="I81" s="823"/>
      <c r="J81" s="823"/>
      <c r="K81" s="823"/>
      <c r="L81" s="823"/>
      <c r="M81" s="823"/>
      <c r="N81" s="823"/>
      <c r="O81" s="823"/>
      <c r="P81" s="823"/>
    </row>
    <row r="82" spans="1:16" ht="15" customHeight="1">
      <c r="A82" s="243"/>
      <c r="B82" s="243"/>
      <c r="C82" s="243"/>
      <c r="D82" s="243"/>
      <c r="E82" s="243"/>
      <c r="F82" s="243"/>
      <c r="G82" s="243"/>
      <c r="H82" s="243"/>
      <c r="I82" s="243"/>
      <c r="J82" s="243"/>
      <c r="K82" s="243"/>
      <c r="L82" s="243"/>
      <c r="M82" s="243"/>
      <c r="N82" s="243"/>
      <c r="O82" s="243"/>
      <c r="P82" s="243"/>
    </row>
    <row r="83" spans="1:16">
      <c r="A83" s="243"/>
      <c r="B83" s="243"/>
      <c r="C83" s="243"/>
      <c r="D83" s="243"/>
      <c r="E83" s="243"/>
      <c r="F83" s="243"/>
      <c r="G83" s="243"/>
      <c r="H83" s="243"/>
      <c r="I83" s="243"/>
      <c r="J83" s="243"/>
      <c r="K83" s="243"/>
      <c r="L83" s="243"/>
      <c r="M83" s="243"/>
      <c r="N83" s="243"/>
      <c r="O83" s="243"/>
      <c r="P83" s="243"/>
    </row>
    <row r="84" spans="1:16">
      <c r="A84" s="243"/>
      <c r="B84" s="243"/>
      <c r="C84" s="243"/>
      <c r="D84" s="243"/>
      <c r="E84" s="243"/>
      <c r="F84" s="243"/>
      <c r="G84" s="243"/>
      <c r="H84" s="243"/>
      <c r="I84" s="243"/>
      <c r="J84" s="243"/>
      <c r="K84" s="243"/>
      <c r="L84" s="243"/>
      <c r="M84" s="243"/>
      <c r="N84" s="243"/>
      <c r="O84" s="243"/>
      <c r="P84" s="243"/>
    </row>
    <row r="85" spans="1:16">
      <c r="A85" s="243"/>
      <c r="B85" s="243"/>
      <c r="C85" s="243"/>
      <c r="D85" s="243"/>
      <c r="E85" s="243"/>
      <c r="F85" s="243"/>
      <c r="G85" s="243"/>
      <c r="H85" s="243"/>
      <c r="I85" s="243"/>
      <c r="J85" s="243"/>
      <c r="K85" s="243"/>
      <c r="L85" s="243"/>
      <c r="M85" s="243"/>
      <c r="N85" s="243"/>
      <c r="O85" s="243"/>
      <c r="P85" s="243"/>
    </row>
    <row r="86" spans="1:16">
      <c r="A86" s="243"/>
      <c r="B86" s="243"/>
      <c r="C86" s="243"/>
      <c r="D86" s="243"/>
      <c r="E86" s="243"/>
      <c r="F86" s="243"/>
      <c r="G86" s="243"/>
      <c r="H86" s="243"/>
      <c r="I86" s="243"/>
      <c r="J86" s="243"/>
      <c r="K86" s="243"/>
      <c r="L86" s="243"/>
      <c r="M86" s="243"/>
      <c r="N86" s="243"/>
      <c r="O86" s="243"/>
      <c r="P86" s="243"/>
    </row>
    <row r="87" spans="1:16">
      <c r="A87" s="243"/>
      <c r="B87" s="243"/>
      <c r="C87" s="243"/>
      <c r="D87" s="243"/>
      <c r="E87" s="243"/>
      <c r="F87" s="243"/>
      <c r="G87" s="243"/>
      <c r="H87" s="243"/>
      <c r="I87" s="243"/>
      <c r="J87" s="243"/>
      <c r="K87" s="243"/>
      <c r="L87" s="243"/>
      <c r="M87" s="243"/>
      <c r="N87" s="243"/>
      <c r="O87" s="243"/>
      <c r="P87" s="243"/>
    </row>
    <row r="88" spans="1:16">
      <c r="A88" s="243"/>
      <c r="B88" s="243"/>
      <c r="C88" s="243"/>
      <c r="D88" s="243"/>
      <c r="E88" s="243"/>
      <c r="F88" s="243"/>
      <c r="G88" s="243"/>
      <c r="H88" s="243"/>
      <c r="I88" s="243"/>
      <c r="J88" s="243"/>
      <c r="K88" s="243"/>
      <c r="L88" s="243"/>
      <c r="M88" s="243"/>
      <c r="N88" s="243"/>
      <c r="O88" s="243"/>
      <c r="P88" s="243"/>
    </row>
    <row r="89" spans="1:16">
      <c r="A89" s="243"/>
      <c r="B89" s="243"/>
      <c r="C89" s="243"/>
      <c r="D89" s="243"/>
      <c r="E89" s="243"/>
      <c r="F89" s="243"/>
      <c r="G89" s="243"/>
      <c r="H89" s="243"/>
      <c r="I89" s="243"/>
      <c r="J89" s="243"/>
      <c r="K89" s="243"/>
      <c r="L89" s="243"/>
      <c r="M89" s="243"/>
      <c r="N89" s="243"/>
      <c r="O89" s="243"/>
      <c r="P89" s="243"/>
    </row>
    <row r="90" spans="1:16">
      <c r="A90" s="243"/>
      <c r="B90" s="243"/>
      <c r="C90" s="243"/>
      <c r="D90" s="243"/>
      <c r="E90" s="243"/>
      <c r="F90" s="243"/>
      <c r="G90" s="243"/>
      <c r="H90" s="243"/>
      <c r="I90" s="243"/>
      <c r="J90" s="243"/>
      <c r="K90" s="243"/>
      <c r="L90" s="243"/>
      <c r="M90" s="243"/>
      <c r="N90" s="243"/>
      <c r="O90" s="243"/>
      <c r="P90" s="243"/>
    </row>
    <row r="91" spans="1:16">
      <c r="A91" s="243"/>
      <c r="B91" s="243"/>
      <c r="C91" s="243"/>
      <c r="D91" s="243"/>
      <c r="E91" s="243"/>
      <c r="F91" s="243"/>
      <c r="G91" s="243"/>
      <c r="H91" s="243"/>
      <c r="I91" s="243"/>
      <c r="J91" s="243"/>
      <c r="K91" s="243"/>
      <c r="L91" s="243"/>
      <c r="M91" s="243"/>
      <c r="N91" s="243"/>
      <c r="O91" s="243"/>
      <c r="P91" s="243"/>
    </row>
    <row r="92" spans="1:16">
      <c r="A92" s="243"/>
      <c r="B92" s="243"/>
      <c r="C92" s="243"/>
      <c r="D92" s="243"/>
      <c r="E92" s="243"/>
      <c r="F92" s="243"/>
      <c r="G92" s="243"/>
      <c r="H92" s="243"/>
      <c r="I92" s="243"/>
      <c r="J92" s="243"/>
      <c r="K92" s="243"/>
      <c r="L92" s="243"/>
      <c r="M92" s="243"/>
      <c r="N92" s="243"/>
      <c r="O92" s="243"/>
      <c r="P92" s="243"/>
    </row>
    <row r="93" spans="1:16">
      <c r="A93" s="243"/>
      <c r="B93" s="243"/>
      <c r="C93" s="243"/>
      <c r="D93" s="243"/>
      <c r="E93" s="243"/>
      <c r="F93" s="243"/>
      <c r="G93" s="243"/>
      <c r="H93" s="243"/>
      <c r="I93" s="243"/>
      <c r="J93" s="243"/>
      <c r="K93" s="243"/>
      <c r="L93" s="243"/>
      <c r="M93" s="243"/>
      <c r="N93" s="243"/>
      <c r="O93" s="243"/>
      <c r="P93" s="243"/>
    </row>
    <row r="94" spans="1:16">
      <c r="A94" s="243"/>
      <c r="B94" s="243"/>
      <c r="C94" s="243"/>
      <c r="D94" s="243"/>
      <c r="E94" s="243"/>
      <c r="F94" s="243"/>
      <c r="G94" s="243"/>
      <c r="H94" s="243"/>
      <c r="I94" s="243"/>
      <c r="J94" s="243"/>
      <c r="K94" s="243"/>
      <c r="L94" s="243"/>
      <c r="M94" s="243"/>
      <c r="N94" s="243"/>
      <c r="O94" s="243"/>
      <c r="P94" s="243"/>
    </row>
    <row r="95" spans="1:16">
      <c r="A95" s="243"/>
      <c r="B95" s="243"/>
      <c r="C95" s="243"/>
      <c r="D95" s="243"/>
      <c r="E95" s="243"/>
      <c r="F95" s="243"/>
      <c r="G95" s="243"/>
      <c r="H95" s="243"/>
      <c r="I95" s="243"/>
      <c r="J95" s="243"/>
      <c r="K95" s="243"/>
      <c r="L95" s="243"/>
      <c r="M95" s="243"/>
      <c r="N95" s="243"/>
      <c r="O95" s="243"/>
      <c r="P95" s="243"/>
    </row>
    <row r="96" spans="1:16">
      <c r="A96" s="243"/>
      <c r="B96" s="243"/>
      <c r="C96" s="243"/>
      <c r="D96" s="243"/>
      <c r="E96" s="243"/>
      <c r="F96" s="243"/>
      <c r="G96" s="243"/>
      <c r="H96" s="243"/>
      <c r="I96" s="243"/>
      <c r="J96" s="243"/>
      <c r="K96" s="243"/>
      <c r="L96" s="243"/>
      <c r="M96" s="243"/>
      <c r="N96" s="243"/>
      <c r="O96" s="243"/>
      <c r="P96" s="243"/>
    </row>
    <row r="97" spans="1:16">
      <c r="A97" s="243"/>
      <c r="B97" s="243"/>
      <c r="C97" s="243"/>
      <c r="D97" s="243"/>
      <c r="E97" s="243"/>
      <c r="F97" s="243"/>
      <c r="G97" s="243"/>
      <c r="H97" s="243"/>
      <c r="I97" s="243"/>
      <c r="J97" s="243"/>
      <c r="K97" s="243"/>
      <c r="L97" s="243"/>
      <c r="M97" s="243"/>
      <c r="N97" s="243"/>
      <c r="O97" s="243"/>
      <c r="P97" s="243"/>
    </row>
    <row r="98" spans="1:16">
      <c r="A98" s="243"/>
      <c r="B98" s="243"/>
      <c r="C98" s="243"/>
      <c r="D98" s="243"/>
      <c r="E98" s="243"/>
      <c r="F98" s="243"/>
      <c r="G98" s="243"/>
      <c r="H98" s="243"/>
      <c r="I98" s="243"/>
      <c r="J98" s="243"/>
      <c r="K98" s="243"/>
      <c r="L98" s="243"/>
      <c r="M98" s="243"/>
      <c r="N98" s="243"/>
      <c r="O98" s="243"/>
      <c r="P98" s="243"/>
    </row>
    <row r="99" spans="1:16">
      <c r="A99" s="243"/>
      <c r="B99" s="243"/>
      <c r="C99" s="243"/>
      <c r="D99" s="243"/>
      <c r="E99" s="243"/>
      <c r="F99" s="243"/>
      <c r="G99" s="243"/>
      <c r="H99" s="243"/>
      <c r="I99" s="243"/>
      <c r="J99" s="243"/>
      <c r="K99" s="243"/>
      <c r="L99" s="243"/>
      <c r="M99" s="243"/>
      <c r="N99" s="243"/>
      <c r="O99" s="243"/>
      <c r="P99" s="243"/>
    </row>
    <row r="100" spans="1:16">
      <c r="A100" s="243"/>
      <c r="B100" s="243"/>
      <c r="C100" s="243"/>
      <c r="D100" s="243"/>
      <c r="E100" s="243"/>
      <c r="F100" s="243"/>
      <c r="G100" s="243"/>
      <c r="H100" s="243"/>
      <c r="I100" s="243"/>
      <c r="J100" s="243"/>
      <c r="K100" s="243"/>
      <c r="L100" s="243"/>
      <c r="M100" s="243"/>
      <c r="N100" s="243"/>
      <c r="O100" s="243"/>
      <c r="P100" s="243"/>
    </row>
    <row r="101" spans="1:16">
      <c r="A101" s="243"/>
      <c r="B101" s="815" t="s">
        <v>214</v>
      </c>
      <c r="C101" s="815"/>
      <c r="D101" s="815"/>
      <c r="E101" s="243"/>
      <c r="F101" s="815" t="s">
        <v>215</v>
      </c>
      <c r="G101" s="815"/>
      <c r="H101" s="815"/>
      <c r="I101" s="243"/>
      <c r="J101" s="815" t="s">
        <v>216</v>
      </c>
      <c r="K101" s="815"/>
      <c r="L101" s="815"/>
      <c r="M101" s="243"/>
      <c r="N101" s="815" t="s">
        <v>111</v>
      </c>
      <c r="O101" s="815"/>
      <c r="P101" s="243"/>
    </row>
    <row r="102" spans="1:16">
      <c r="A102" s="243"/>
      <c r="B102" s="244"/>
      <c r="C102" s="244"/>
      <c r="D102" s="244"/>
      <c r="E102" s="243"/>
      <c r="F102" s="244"/>
      <c r="G102" s="244"/>
      <c r="H102" s="244"/>
      <c r="I102" s="243"/>
      <c r="J102" s="243"/>
      <c r="K102" s="243"/>
      <c r="L102" s="243"/>
      <c r="M102" s="243"/>
      <c r="N102" s="243"/>
      <c r="O102" s="243"/>
      <c r="P102" s="243"/>
    </row>
    <row r="103" spans="1:16">
      <c r="A103" s="243"/>
      <c r="B103" s="243" t="s">
        <v>89</v>
      </c>
      <c r="C103" s="817">
        <f>IR!H23+IR!H24+IR!H27+IR!H29</f>
        <v>50000</v>
      </c>
      <c r="D103" s="817"/>
      <c r="E103" s="243"/>
      <c r="F103" s="817">
        <f>IR!R22</f>
        <v>75000</v>
      </c>
      <c r="G103" s="817"/>
      <c r="H103" s="817"/>
      <c r="I103" s="243"/>
      <c r="J103" s="820">
        <f>IR!S22</f>
        <v>2</v>
      </c>
      <c r="K103" s="815"/>
      <c r="L103" s="815"/>
      <c r="M103" s="243"/>
      <c r="N103" s="816">
        <f>IR!W31</f>
        <v>0.3</v>
      </c>
      <c r="O103" s="816"/>
      <c r="P103" s="243"/>
    </row>
    <row r="104" spans="1:16">
      <c r="A104" s="243"/>
      <c r="B104" s="243" t="s">
        <v>90</v>
      </c>
      <c r="C104" s="817">
        <f>IR!K23+IR!K24+IR!K27+IR!K29</f>
        <v>20000</v>
      </c>
      <c r="D104" s="817"/>
      <c r="E104" s="243"/>
      <c r="F104" s="243"/>
      <c r="G104" s="243"/>
      <c r="H104" s="243"/>
      <c r="I104" s="243"/>
      <c r="J104" s="243"/>
      <c r="K104" s="243"/>
      <c r="L104" s="243"/>
      <c r="M104" s="243"/>
      <c r="N104" s="243"/>
      <c r="O104" s="243"/>
      <c r="P104" s="243"/>
    </row>
    <row r="105" spans="1:16">
      <c r="A105" s="243"/>
      <c r="B105" s="243"/>
      <c r="C105" s="243"/>
      <c r="D105" s="243"/>
      <c r="E105" s="243"/>
      <c r="F105" s="243"/>
      <c r="G105" s="243"/>
      <c r="H105" s="243"/>
      <c r="I105" s="243"/>
      <c r="J105" s="243"/>
      <c r="K105" s="243"/>
      <c r="L105" s="243"/>
      <c r="M105" s="243"/>
      <c r="N105" s="243"/>
      <c r="O105" s="243"/>
      <c r="P105" s="243"/>
    </row>
    <row r="106" spans="1:16">
      <c r="A106" s="243"/>
      <c r="B106" s="243"/>
      <c r="C106" s="243"/>
      <c r="D106" s="243"/>
      <c r="E106" s="243"/>
      <c r="F106" s="243"/>
      <c r="G106" s="243"/>
      <c r="H106" s="243"/>
      <c r="I106" s="243"/>
      <c r="J106" s="243"/>
      <c r="K106" s="243"/>
      <c r="L106" s="243"/>
      <c r="M106" s="243"/>
      <c r="N106" s="243"/>
      <c r="O106" s="243"/>
      <c r="P106" s="243"/>
    </row>
    <row r="107" spans="1:16">
      <c r="A107" s="243"/>
      <c r="B107" s="243"/>
      <c r="C107" s="243"/>
      <c r="D107" s="243"/>
      <c r="E107" s="243"/>
      <c r="F107" s="243"/>
      <c r="G107" s="243"/>
      <c r="H107" s="243"/>
      <c r="I107" s="243"/>
      <c r="J107" s="243"/>
      <c r="K107" s="243"/>
      <c r="L107" s="243"/>
      <c r="M107" s="243"/>
      <c r="N107" s="243"/>
      <c r="O107" s="243"/>
      <c r="P107" s="243"/>
    </row>
    <row r="108" spans="1:16">
      <c r="A108" s="243"/>
      <c r="B108" s="243"/>
      <c r="C108" s="243"/>
      <c r="D108" s="243"/>
      <c r="E108" s="243"/>
      <c r="F108" s="243"/>
      <c r="G108" s="243"/>
      <c r="H108" s="243"/>
      <c r="I108" s="243"/>
      <c r="J108" s="243"/>
      <c r="K108" s="243"/>
      <c r="L108" s="243"/>
      <c r="M108" s="243"/>
      <c r="N108" s="243"/>
      <c r="O108" s="243"/>
      <c r="P108" s="243"/>
    </row>
    <row r="109" spans="1:16">
      <c r="A109" s="243"/>
      <c r="B109" s="243"/>
      <c r="C109" s="243"/>
      <c r="D109" s="243"/>
      <c r="E109" s="243"/>
      <c r="F109" s="243"/>
      <c r="G109" s="243"/>
      <c r="H109" s="243"/>
      <c r="I109" s="243"/>
      <c r="J109" s="243"/>
      <c r="K109" s="243"/>
      <c r="L109" s="243"/>
      <c r="M109" s="243"/>
      <c r="N109" s="243"/>
      <c r="O109" s="243"/>
      <c r="P109" s="243"/>
    </row>
    <row r="110" spans="1:16">
      <c r="A110" s="243"/>
      <c r="B110" s="805">
        <v>0</v>
      </c>
      <c r="C110" s="807">
        <v>0.11</v>
      </c>
      <c r="D110" s="808"/>
      <c r="E110" s="809">
        <v>0.3</v>
      </c>
      <c r="F110" s="810"/>
      <c r="G110" s="810"/>
      <c r="H110" s="811">
        <v>0.41</v>
      </c>
      <c r="I110" s="811"/>
      <c r="J110" s="811"/>
      <c r="K110" s="811"/>
      <c r="L110" s="813">
        <v>0.45</v>
      </c>
      <c r="M110" s="814"/>
      <c r="N110" s="814"/>
      <c r="O110" s="814"/>
      <c r="P110" s="243"/>
    </row>
    <row r="111" spans="1:16">
      <c r="A111" s="243"/>
      <c r="B111" s="806"/>
      <c r="C111" s="808"/>
      <c r="D111" s="808"/>
      <c r="E111" s="810"/>
      <c r="F111" s="810"/>
      <c r="G111" s="810"/>
      <c r="H111" s="811"/>
      <c r="I111" s="811"/>
      <c r="J111" s="811"/>
      <c r="K111" s="811"/>
      <c r="L111" s="814"/>
      <c r="M111" s="814"/>
      <c r="N111" s="814"/>
      <c r="O111" s="814"/>
      <c r="P111" s="243"/>
    </row>
    <row r="112" spans="1:16">
      <c r="A112" s="243"/>
      <c r="B112" s="243"/>
      <c r="C112" s="252"/>
      <c r="D112" s="251"/>
      <c r="E112" s="249"/>
      <c r="F112" s="250"/>
      <c r="G112" s="243"/>
      <c r="H112" s="249"/>
      <c r="I112" s="250"/>
      <c r="J112" s="243"/>
      <c r="K112" s="243"/>
      <c r="L112" s="249"/>
      <c r="M112" s="250"/>
      <c r="N112" s="243"/>
      <c r="O112" s="243"/>
      <c r="P112" s="243"/>
    </row>
    <row r="113" spans="1:16">
      <c r="A113" s="243"/>
      <c r="B113" s="243"/>
      <c r="C113" s="248" t="str">
        <f>IF(N103=11%,IR!N16,"")</f>
        <v/>
      </c>
      <c r="D113" s="251"/>
      <c r="E113" s="819">
        <f>IF(N103=30%,IR!N16,"")</f>
        <v>16370.000000000007</v>
      </c>
      <c r="F113" s="819"/>
      <c r="G113" s="243"/>
      <c r="H113" s="818" t="str">
        <f>IF(N103=41%,IR!N16,"")</f>
        <v/>
      </c>
      <c r="I113" s="818"/>
      <c r="J113" s="243"/>
      <c r="K113" s="243"/>
      <c r="L113" s="819" t="str">
        <f>IF(N103=45%,IR!N16,"")</f>
        <v/>
      </c>
      <c r="M113" s="819"/>
      <c r="N113" s="243"/>
      <c r="O113" s="243"/>
      <c r="P113" s="243"/>
    </row>
    <row r="114" spans="1:16">
      <c r="A114" s="243"/>
      <c r="B114" s="243"/>
      <c r="C114" s="243"/>
      <c r="D114" s="243"/>
      <c r="E114" s="243"/>
      <c r="F114" s="243"/>
      <c r="G114" s="243"/>
      <c r="H114" s="243"/>
      <c r="I114" s="243"/>
      <c r="J114" s="243"/>
      <c r="K114" s="243"/>
      <c r="L114" s="243"/>
      <c r="M114" s="243"/>
      <c r="N114" s="243"/>
      <c r="O114" s="243"/>
      <c r="P114" s="243"/>
    </row>
    <row r="115" spans="1:16">
      <c r="A115" s="243"/>
      <c r="B115" s="243"/>
      <c r="C115" s="243"/>
      <c r="D115" s="243"/>
      <c r="E115" s="243"/>
      <c r="F115" s="243"/>
      <c r="G115" s="243"/>
      <c r="H115" s="243"/>
      <c r="I115" s="243"/>
      <c r="J115" s="243"/>
      <c r="K115" s="243"/>
      <c r="L115" s="243"/>
      <c r="M115" s="243"/>
      <c r="N115" s="243"/>
      <c r="O115" s="243"/>
      <c r="P115" s="243"/>
    </row>
    <row r="116" spans="1:16" ht="15" thickBot="1">
      <c r="A116" s="243"/>
      <c r="B116" s="243"/>
      <c r="C116" s="243"/>
      <c r="D116" s="824" t="s">
        <v>218</v>
      </c>
      <c r="E116" s="824"/>
      <c r="F116" s="824"/>
      <c r="G116" s="824"/>
      <c r="H116" s="824"/>
      <c r="I116" s="822">
        <f>IR!K15</f>
        <v>8830.74</v>
      </c>
      <c r="J116" s="822"/>
      <c r="K116" s="822"/>
      <c r="L116" s="253"/>
      <c r="M116" s="243"/>
      <c r="N116" s="243"/>
      <c r="O116" s="243"/>
      <c r="P116" s="243"/>
    </row>
    <row r="117" spans="1:16">
      <c r="A117" s="243"/>
      <c r="B117" s="243"/>
      <c r="C117" s="243"/>
      <c r="D117" s="243"/>
      <c r="E117" s="243"/>
      <c r="F117" s="243"/>
      <c r="G117" s="255" t="s">
        <v>226</v>
      </c>
      <c r="H117" s="243" t="s">
        <v>225</v>
      </c>
      <c r="I117" s="821">
        <f>IF(IR!G13=Données!L51,IF(IR!R22&lt;Données!N13,0,IF(IR!R22&lt;Données!N14,(IR!R22-Données!N13)*Données!P14,((IR!R22-Données!N14)*Données!P15)+((Données!N14-Données!N13)*Données!P14))),IF(IR!R22&lt;Données!N14,0,IF(IR!R22&lt;Données!N15,(IR!R22-Données!N14)*Données!Q15,((IR!R22-Données!N15)*Données!Q16+((Données!N15-Données!N14)*Données!Q15)))))</f>
        <v>0</v>
      </c>
      <c r="J117" s="821"/>
      <c r="K117" s="821"/>
      <c r="L117" s="243"/>
      <c r="M117" s="243"/>
      <c r="N117" s="243"/>
      <c r="O117" s="243"/>
      <c r="P117" s="243"/>
    </row>
    <row r="118" spans="1:16">
      <c r="A118" s="243"/>
      <c r="B118" s="243"/>
      <c r="C118" s="243"/>
      <c r="D118" s="243"/>
      <c r="E118" s="243"/>
      <c r="F118" s="243"/>
      <c r="G118" s="243"/>
      <c r="H118" s="243"/>
      <c r="I118" s="243"/>
      <c r="J118" s="243"/>
      <c r="K118" s="243"/>
      <c r="L118" s="243"/>
      <c r="M118" s="243"/>
      <c r="N118" s="243"/>
      <c r="O118" s="243"/>
      <c r="P118" s="243"/>
    </row>
    <row r="119" spans="1:16">
      <c r="A119" s="243"/>
      <c r="B119" s="243"/>
      <c r="C119" s="243"/>
      <c r="D119" s="243"/>
      <c r="E119" s="243"/>
      <c r="F119" s="243"/>
      <c r="G119" s="243"/>
      <c r="H119" s="243"/>
      <c r="I119" s="243"/>
      <c r="J119" s="243"/>
      <c r="K119" s="243"/>
      <c r="L119" s="243"/>
      <c r="M119" s="243"/>
      <c r="N119" s="243"/>
      <c r="O119" s="243"/>
      <c r="P119" s="243"/>
    </row>
    <row r="120" spans="1:16">
      <c r="A120" s="243"/>
      <c r="B120" s="243"/>
      <c r="C120" s="243"/>
      <c r="D120" s="243"/>
      <c r="E120" s="243"/>
      <c r="F120" s="243"/>
      <c r="G120" s="243"/>
      <c r="H120" s="243"/>
      <c r="I120" s="243"/>
      <c r="J120" s="243"/>
      <c r="K120" s="243"/>
      <c r="L120" s="243"/>
      <c r="M120" s="243"/>
      <c r="N120" s="243"/>
      <c r="O120" s="243"/>
      <c r="P120" s="243"/>
    </row>
    <row r="121" spans="1:16">
      <c r="A121" s="823" t="s">
        <v>213</v>
      </c>
      <c r="B121" s="823"/>
      <c r="C121" s="823"/>
      <c r="D121" s="823"/>
      <c r="E121" s="823"/>
      <c r="F121" s="823"/>
      <c r="G121" s="823"/>
      <c r="H121" s="823"/>
      <c r="I121" s="823"/>
      <c r="J121" s="823"/>
      <c r="K121" s="823"/>
      <c r="L121" s="823"/>
      <c r="M121" s="823"/>
      <c r="N121" s="823"/>
      <c r="O121" s="823"/>
      <c r="P121" s="823"/>
    </row>
    <row r="161" spans="1:16">
      <c r="A161" s="823" t="s">
        <v>217</v>
      </c>
      <c r="B161" s="823"/>
      <c r="C161" s="823"/>
      <c r="D161" s="823"/>
      <c r="E161" s="823"/>
      <c r="F161" s="823"/>
      <c r="G161" s="823"/>
      <c r="H161" s="823"/>
      <c r="I161" s="823"/>
      <c r="J161" s="823"/>
      <c r="K161" s="823"/>
      <c r="L161" s="823"/>
      <c r="M161" s="823"/>
      <c r="N161" s="823"/>
      <c r="O161" s="823"/>
      <c r="P161" s="823"/>
    </row>
  </sheetData>
  <mergeCells count="32">
    <mergeCell ref="I117:K117"/>
    <mergeCell ref="I116:K116"/>
    <mergeCell ref="A161:P161"/>
    <mergeCell ref="D116:H116"/>
    <mergeCell ref="W1:Z1"/>
    <mergeCell ref="A121:P121"/>
    <mergeCell ref="A41:P41"/>
    <mergeCell ref="E32:L32"/>
    <mergeCell ref="C31:N31"/>
    <mergeCell ref="G34:J34"/>
    <mergeCell ref="A81:P81"/>
    <mergeCell ref="C36:N36"/>
    <mergeCell ref="C37:N37"/>
    <mergeCell ref="A1:P1"/>
    <mergeCell ref="B101:D101"/>
    <mergeCell ref="C103:D103"/>
    <mergeCell ref="H113:I113"/>
    <mergeCell ref="L113:M113"/>
    <mergeCell ref="E113:F113"/>
    <mergeCell ref="F101:H101"/>
    <mergeCell ref="F103:H103"/>
    <mergeCell ref="J101:L101"/>
    <mergeCell ref="J103:L103"/>
    <mergeCell ref="B110:B111"/>
    <mergeCell ref="C110:D111"/>
    <mergeCell ref="E110:G111"/>
    <mergeCell ref="H110:K111"/>
    <mergeCell ref="E78:L78"/>
    <mergeCell ref="L110:O111"/>
    <mergeCell ref="N101:O101"/>
    <mergeCell ref="N103:O103"/>
    <mergeCell ref="C104:D104"/>
  </mergeCells>
  <conditionalFormatting sqref="C112">
    <cfRule type="expression" dxfId="209" priority="6">
      <formula>$C$113=""</formula>
    </cfRule>
  </conditionalFormatting>
  <conditionalFormatting sqref="E112:F112">
    <cfRule type="expression" dxfId="208" priority="5">
      <formula>$E$113=""</formula>
    </cfRule>
  </conditionalFormatting>
  <conditionalFormatting sqref="G117:K117">
    <cfRule type="expression" dxfId="207" priority="1">
      <formula>$I$117=0</formula>
    </cfRule>
  </conditionalFormatting>
  <conditionalFormatting sqref="H112:I112">
    <cfRule type="expression" dxfId="206" priority="4">
      <formula>$H$113=""</formula>
    </cfRule>
  </conditionalFormatting>
  <conditionalFormatting sqref="L112:M112">
    <cfRule type="expression" dxfId="205" priority="3">
      <formula>$L$113=""</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2" id="{6A267E9B-37E8-43A2-91E7-7B04762FA5DB}">
            <xm:f>IR!$G$13=Données!$L$51</xm:f>
            <x14:dxf>
              <font>
                <color theme="0"/>
              </font>
            </x14:dxf>
          </x14:cfRule>
          <xm:sqref>B104:D104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6591D-15EE-4C45-BC9D-14504CC6E17D}">
  <sheetPr codeName="Feuil23">
    <tabColor theme="9" tint="0.59999389629810485"/>
  </sheetPr>
  <dimension ref="B4:R45"/>
  <sheetViews>
    <sheetView showGridLines="0" showRowColHeaders="0" zoomScale="123" zoomScaleNormal="123" workbookViewId="0">
      <selection activeCell="G13" sqref="G13:I13"/>
    </sheetView>
  </sheetViews>
  <sheetFormatPr baseColWidth="10" defaultRowHeight="14.4"/>
  <cols>
    <col min="2" max="2" width="12.33203125" customWidth="1"/>
    <col min="3" max="3" width="4" customWidth="1"/>
    <col min="4" max="4" width="16.5546875" customWidth="1"/>
    <col min="5" max="6" width="1.44140625" customWidth="1"/>
    <col min="7" max="7" width="28.6640625" customWidth="1"/>
    <col min="8" max="10" width="15.6640625" customWidth="1"/>
    <col min="15" max="16" width="11.44140625" customWidth="1"/>
    <col min="17" max="17" width="11.5546875" customWidth="1"/>
    <col min="18" max="18" width="16.33203125" customWidth="1"/>
  </cols>
  <sheetData>
    <row r="4" spans="2:18">
      <c r="P4" s="2"/>
      <c r="Q4" s="3"/>
      <c r="R4" s="4"/>
    </row>
    <row r="5" spans="2:18">
      <c r="B5" s="1">
        <f ca="1">TODAY()</f>
        <v>46023</v>
      </c>
    </row>
    <row r="13" spans="2:18" ht="15.75" customHeight="1">
      <c r="D13" s="41" t="s">
        <v>119</v>
      </c>
      <c r="E13" s="161"/>
      <c r="F13" s="42"/>
      <c r="G13" s="830"/>
      <c r="H13" s="830"/>
      <c r="I13" s="830"/>
      <c r="J13" s="293" t="str">
        <f>IF(G13="","Faux",IF(AND(G13="Réaliser un versement N (et vérifier si le potentiel le permet)",G15=""),"Faux",IF(AND(G15="Avis IR délivré en",H15=""),"Faux","OK")))</f>
        <v>Faux</v>
      </c>
    </row>
    <row r="14" spans="2:18" ht="7.5" customHeight="1">
      <c r="D14" s="41"/>
      <c r="E14" s="41"/>
      <c r="F14" s="41"/>
      <c r="G14" s="41"/>
      <c r="H14" s="41"/>
    </row>
    <row r="15" spans="2:18" ht="15.75" customHeight="1">
      <c r="D15" s="41" t="s">
        <v>120</v>
      </c>
      <c r="E15" s="162"/>
      <c r="G15" s="43"/>
      <c r="H15" s="333"/>
    </row>
    <row r="16" spans="2:18" ht="7.5" customHeight="1"/>
    <row r="18" spans="6:6">
      <c r="F18" s="42"/>
    </row>
    <row r="41" spans="6:11">
      <c r="F41" s="35"/>
      <c r="G41" s="36"/>
      <c r="H41" s="36"/>
      <c r="K41" s="37"/>
    </row>
    <row r="42" spans="6:11">
      <c r="F42" s="35"/>
      <c r="G42" s="36"/>
      <c r="H42" s="36"/>
      <c r="K42" s="37"/>
    </row>
    <row r="43" spans="6:11">
      <c r="F43" s="35"/>
      <c r="G43" s="36"/>
      <c r="H43" s="36"/>
      <c r="K43" s="37"/>
    </row>
    <row r="44" spans="6:11">
      <c r="F44" s="35"/>
      <c r="G44" s="36"/>
      <c r="H44" s="36"/>
      <c r="K44" s="37"/>
    </row>
    <row r="45" spans="6:11">
      <c r="K45" s="37"/>
    </row>
  </sheetData>
  <sheetProtection selectLockedCells="1"/>
  <mergeCells count="1">
    <mergeCell ref="G13:I13"/>
  </mergeCells>
  <conditionalFormatting sqref="D15:E15 G15:H15 F18">
    <cfRule type="expression" dxfId="204" priority="2">
      <formula>$G$13="Déclarer dans la 2042 les montants versés en N-1"</formula>
    </cfRule>
  </conditionalFormatting>
  <conditionalFormatting sqref="G13">
    <cfRule type="expression" dxfId="203" priority="4">
      <formula>$G$13=""</formula>
    </cfRule>
  </conditionalFormatting>
  <conditionalFormatting sqref="G15">
    <cfRule type="expression" dxfId="202" priority="5">
      <formula>$G$15=""</formula>
    </cfRule>
  </conditionalFormatting>
  <conditionalFormatting sqref="H15">
    <cfRule type="expression" dxfId="201" priority="1">
      <formula>$G$15="Dernière déclaration de revenus"</formula>
    </cfRule>
    <cfRule type="expression" dxfId="200" priority="3">
      <formula>$H$15=""</formula>
    </cfRule>
  </conditionalFormatting>
  <conditionalFormatting sqref="R4">
    <cfRule type="expression" dxfId="199" priority="8">
      <formula>$B$5-$R$4&gt;7</formula>
    </cfRule>
  </conditionalFormatting>
  <dataValidations count="2">
    <dataValidation type="list" allowBlank="1" showInputMessage="1" showErrorMessage="1" sqref="G13" xr:uid="{FA4A4C6F-180F-44D6-B7B7-22BF37793CE4}">
      <formula1>"Réaliser un versement N (et vérifier si le potentiel le permet),Déclarer dans la 2042 les montants versés en N-1"</formula1>
    </dataValidation>
    <dataValidation type="list" allowBlank="1" showInputMessage="1" showErrorMessage="1" sqref="G15" xr:uid="{5371534C-8E66-4EAD-97F5-77A8B382E632}">
      <formula1>"Avis IR délivré en,Dernière déclaration de revenus"</formula1>
    </dataValidation>
  </dataValidations>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4242D21-76FC-44DA-BE37-3E37C2365436}">
          <x14:formula1>
            <xm:f>Données!$F$4:$F$5</xm:f>
          </x14:formula1>
          <xm:sqref>H15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8A43-F9F8-4EDC-9C14-615D4B3EACE5}">
  <sheetPr codeName="Feuil26">
    <tabColor theme="9" tint="0.59999389629810485"/>
  </sheetPr>
  <dimension ref="B4:Y38"/>
  <sheetViews>
    <sheetView showGridLines="0" showRowColHeaders="0" zoomScale="123" zoomScaleNormal="123" workbookViewId="0">
      <selection activeCell="L23" sqref="L23"/>
    </sheetView>
  </sheetViews>
  <sheetFormatPr baseColWidth="10" defaultRowHeight="14.4"/>
  <cols>
    <col min="2" max="2" width="12.33203125" customWidth="1"/>
    <col min="3" max="3" width="4" customWidth="1"/>
    <col min="4" max="4" width="7.5546875" customWidth="1"/>
    <col min="5" max="5" width="6" customWidth="1"/>
    <col min="6" max="6" width="5.109375" customWidth="1"/>
    <col min="7" max="7" width="5" customWidth="1"/>
    <col min="8" max="8" width="7.6640625" customWidth="1"/>
    <col min="9" max="9" width="5.109375" customWidth="1"/>
    <col min="10" max="10" width="7.6640625" customWidth="1"/>
    <col min="11" max="13" width="12.88671875" customWidth="1"/>
    <col min="14" max="14" width="5.109375" customWidth="1"/>
    <col min="15" max="15" width="3" customWidth="1"/>
    <col min="16" max="16" width="7" customWidth="1"/>
    <col min="17" max="17" width="9.5546875" customWidth="1"/>
    <col min="18" max="18" width="9.33203125" customWidth="1"/>
    <col min="20" max="20" width="4.5546875" customWidth="1"/>
    <col min="22" max="22" width="7.5546875" customWidth="1"/>
    <col min="23" max="23" width="4.88671875" customWidth="1"/>
    <col min="24" max="24" width="7.6640625" customWidth="1"/>
  </cols>
  <sheetData>
    <row r="4" spans="2:25">
      <c r="P4" s="2"/>
      <c r="Q4" s="3"/>
      <c r="R4" s="4"/>
    </row>
    <row r="5" spans="2:25">
      <c r="B5" s="1">
        <f ca="1">TODAY()</f>
        <v>46023</v>
      </c>
    </row>
    <row r="12" spans="2:25" ht="15" thickBot="1">
      <c r="D12" s="833" t="s">
        <v>125</v>
      </c>
      <c r="E12" s="833"/>
      <c r="F12" s="833"/>
      <c r="G12" s="833"/>
      <c r="H12" s="833"/>
      <c r="I12" s="833"/>
      <c r="J12" s="833"/>
      <c r="K12" s="833"/>
      <c r="L12" s="163">
        <f ca="1">IF('Pot ER Mode'!G13="Réaliser un versement N (et vérifier si le potentiel le permet)",IF('Pot ER Mode'!G15="Dernière déclaration de revenus",Données!F5,'Pot ER Mode'!H15),Données!F5)</f>
        <v>2025</v>
      </c>
      <c r="M12" s="164" t="s">
        <v>126</v>
      </c>
      <c r="N12" s="165">
        <f ca="1">L12-1</f>
        <v>2024</v>
      </c>
      <c r="O12" s="166"/>
      <c r="Q12" s="136"/>
      <c r="R12" s="136"/>
      <c r="S12" s="136"/>
      <c r="T12" s="136"/>
      <c r="U12" s="136"/>
      <c r="V12" s="136"/>
      <c r="W12" s="136"/>
      <c r="X12" s="136"/>
      <c r="Y12" s="136"/>
    </row>
    <row r="13" spans="2:25" ht="15" thickTop="1">
      <c r="D13" s="137"/>
      <c r="E13" s="137"/>
      <c r="F13" s="137"/>
      <c r="G13" s="137"/>
      <c r="H13" s="137"/>
      <c r="I13" s="137"/>
      <c r="J13" s="137"/>
      <c r="K13" s="137"/>
      <c r="L13" s="137"/>
      <c r="M13" s="137"/>
      <c r="N13" s="137"/>
      <c r="O13" s="137"/>
      <c r="Q13" s="136"/>
      <c r="R13" s="136"/>
      <c r="S13" s="136"/>
      <c r="T13" s="136"/>
      <c r="U13" s="136"/>
      <c r="V13" s="136"/>
      <c r="W13" s="136"/>
      <c r="X13" s="136"/>
      <c r="Y13" s="136"/>
    </row>
    <row r="14" spans="2:25">
      <c r="D14" s="137"/>
      <c r="E14" s="137"/>
      <c r="F14" s="137"/>
      <c r="G14" s="137"/>
      <c r="H14" s="137"/>
      <c r="I14" s="137"/>
      <c r="J14" s="137"/>
      <c r="K14" s="137"/>
      <c r="L14" s="137"/>
      <c r="M14" s="137"/>
      <c r="N14" s="137"/>
      <c r="O14" s="137"/>
      <c r="P14" s="137"/>
      <c r="Q14" s="136"/>
      <c r="R14" s="136"/>
      <c r="S14" s="136"/>
      <c r="T14" s="136"/>
      <c r="U14" s="136"/>
      <c r="V14" s="136"/>
      <c r="W14" s="136"/>
      <c r="X14" s="136"/>
      <c r="Y14" s="136"/>
    </row>
    <row r="15" spans="2:25">
      <c r="D15" s="138"/>
      <c r="E15" s="138"/>
      <c r="F15" s="138"/>
      <c r="G15" s="138"/>
      <c r="H15" s="138"/>
      <c r="I15" s="138"/>
      <c r="J15" s="138"/>
      <c r="K15" s="139"/>
      <c r="L15" s="138"/>
      <c r="M15" s="139"/>
      <c r="N15" s="138"/>
      <c r="O15" s="138"/>
      <c r="P15" s="137"/>
      <c r="Q15" s="136"/>
      <c r="R15" s="136"/>
      <c r="S15" s="136"/>
      <c r="T15" s="136"/>
      <c r="U15" s="136"/>
      <c r="V15" s="136"/>
      <c r="W15" s="136"/>
      <c r="X15" s="136"/>
      <c r="Y15" s="136"/>
    </row>
    <row r="16" spans="2:25" ht="15" thickBot="1">
      <c r="D16" s="137" t="s">
        <v>127</v>
      </c>
      <c r="E16" s="137"/>
      <c r="F16" s="137"/>
      <c r="G16" s="137"/>
      <c r="H16" s="137"/>
      <c r="I16" s="137"/>
      <c r="J16" s="137"/>
      <c r="K16" s="140"/>
      <c r="L16" s="137"/>
      <c r="M16" s="140"/>
      <c r="N16" s="137"/>
      <c r="O16" s="137"/>
      <c r="P16" s="137"/>
      <c r="Q16" s="136"/>
      <c r="R16" s="136"/>
      <c r="S16" s="136"/>
      <c r="T16" s="136"/>
      <c r="U16" s="136"/>
      <c r="V16" s="136"/>
      <c r="W16" s="136"/>
      <c r="X16" s="136"/>
      <c r="Y16" s="136"/>
    </row>
    <row r="17" spans="4:25">
      <c r="D17" s="831" t="s">
        <v>128</v>
      </c>
      <c r="E17" s="831"/>
      <c r="F17" s="831"/>
      <c r="G17" s="831"/>
      <c r="H17" s="831"/>
      <c r="I17" s="831"/>
      <c r="J17" s="831"/>
      <c r="K17" s="140"/>
      <c r="L17" s="137"/>
      <c r="M17" s="140"/>
      <c r="N17" s="137"/>
      <c r="O17" s="137"/>
      <c r="P17" s="137"/>
      <c r="Q17" s="141"/>
      <c r="R17" s="142"/>
      <c r="S17" s="142"/>
      <c r="T17" s="142"/>
      <c r="U17" s="142"/>
      <c r="V17" s="142"/>
      <c r="W17" s="142"/>
      <c r="X17" s="142"/>
      <c r="Y17" s="143"/>
    </row>
    <row r="18" spans="4:25">
      <c r="D18" s="831" t="s">
        <v>129</v>
      </c>
      <c r="E18" s="831"/>
      <c r="F18" s="831"/>
      <c r="G18" s="144">
        <f ca="1">L12</f>
        <v>2025</v>
      </c>
      <c r="H18" s="831" t="s">
        <v>130</v>
      </c>
      <c r="I18" s="831"/>
      <c r="J18" s="137"/>
      <c r="K18" s="140"/>
      <c r="L18" s="137"/>
      <c r="M18" s="140"/>
      <c r="N18" s="137"/>
      <c r="O18" s="137"/>
      <c r="P18" s="137"/>
      <c r="Q18" s="145"/>
      <c r="R18" s="136"/>
      <c r="S18" s="146" t="s">
        <v>131</v>
      </c>
      <c r="T18" s="136"/>
      <c r="U18" s="136"/>
      <c r="V18" s="136"/>
      <c r="W18" s="136"/>
      <c r="X18" s="136"/>
      <c r="Y18" s="147"/>
    </row>
    <row r="19" spans="4:25">
      <c r="D19" s="831" t="s">
        <v>132</v>
      </c>
      <c r="E19" s="831"/>
      <c r="F19" s="831"/>
      <c r="G19" s="831"/>
      <c r="H19" s="831"/>
      <c r="I19" s="148">
        <f ca="1">G18+1</f>
        <v>2026</v>
      </c>
      <c r="J19" s="137" t="s">
        <v>133</v>
      </c>
      <c r="K19" s="140"/>
      <c r="L19" s="137"/>
      <c r="M19" s="140"/>
      <c r="N19" s="137"/>
      <c r="O19" s="137"/>
      <c r="P19" s="137"/>
      <c r="Q19" s="145"/>
      <c r="R19" s="136"/>
      <c r="S19" s="149" t="s">
        <v>134</v>
      </c>
      <c r="T19" s="149"/>
      <c r="U19" s="150">
        <f ca="1">L12-1</f>
        <v>2024</v>
      </c>
      <c r="W19" s="136"/>
      <c r="X19" s="136"/>
      <c r="Y19" s="147"/>
    </row>
    <row r="20" spans="4:25">
      <c r="D20" s="137"/>
      <c r="E20" s="137"/>
      <c r="F20" s="137"/>
      <c r="G20" s="137"/>
      <c r="H20" s="137"/>
      <c r="I20" s="137"/>
      <c r="J20" s="137"/>
      <c r="K20" s="140"/>
      <c r="L20" s="151" t="s">
        <v>135</v>
      </c>
      <c r="M20" s="152" t="s">
        <v>136</v>
      </c>
      <c r="N20" s="137"/>
      <c r="O20" s="137"/>
      <c r="P20" s="137"/>
      <c r="Q20" s="145"/>
      <c r="R20" s="136"/>
      <c r="S20" s="146" t="s">
        <v>137</v>
      </c>
      <c r="T20" s="146"/>
      <c r="U20" s="153">
        <f ca="1">L12</f>
        <v>2025</v>
      </c>
      <c r="V20" s="146"/>
      <c r="W20" s="136"/>
      <c r="X20" s="136"/>
      <c r="Y20" s="147"/>
    </row>
    <row r="21" spans="4:25">
      <c r="D21" s="832" t="s">
        <v>138</v>
      </c>
      <c r="E21" s="832"/>
      <c r="F21" s="148">
        <f ca="1">G18-2</f>
        <v>2023</v>
      </c>
      <c r="G21" s="832" t="s">
        <v>139</v>
      </c>
      <c r="H21" s="832"/>
      <c r="I21" s="832"/>
      <c r="J21" s="832"/>
      <c r="K21" s="140"/>
      <c r="L21" s="154"/>
      <c r="M21" s="155"/>
      <c r="N21" s="137"/>
      <c r="O21" s="137"/>
      <c r="P21" s="137"/>
      <c r="Q21" s="145"/>
      <c r="R21" s="136"/>
      <c r="S21" s="136"/>
      <c r="T21" s="136"/>
      <c r="U21" s="136"/>
      <c r="V21" s="136"/>
      <c r="W21" s="136"/>
      <c r="X21" s="136"/>
      <c r="Y21" s="147"/>
    </row>
    <row r="22" spans="4:25">
      <c r="D22" s="137"/>
      <c r="E22" s="137"/>
      <c r="F22" s="137"/>
      <c r="G22" s="137"/>
      <c r="H22" s="137"/>
      <c r="I22" s="137"/>
      <c r="J22" s="137"/>
      <c r="K22" s="140"/>
      <c r="L22" s="154"/>
      <c r="M22" s="155"/>
      <c r="N22" s="137"/>
      <c r="O22" s="137"/>
      <c r="P22" s="137"/>
      <c r="Q22" s="145"/>
      <c r="R22" s="136"/>
      <c r="S22" s="136"/>
      <c r="T22" s="136"/>
      <c r="U22" s="136"/>
      <c r="V22" s="136"/>
      <c r="W22" s="136"/>
      <c r="X22" s="136"/>
      <c r="Y22" s="147"/>
    </row>
    <row r="23" spans="4:25">
      <c r="D23" s="831" t="s">
        <v>140</v>
      </c>
      <c r="E23" s="831"/>
      <c r="F23" s="831"/>
      <c r="G23" s="831"/>
      <c r="H23" s="831"/>
      <c r="I23" s="137">
        <f ca="1">F21-1</f>
        <v>2022</v>
      </c>
      <c r="J23" s="137" t="s">
        <v>141</v>
      </c>
      <c r="K23" s="140"/>
      <c r="L23" s="156"/>
      <c r="M23" s="157"/>
      <c r="N23" s="137"/>
      <c r="O23" s="137"/>
      <c r="P23" s="137"/>
      <c r="Q23" s="145"/>
      <c r="R23" s="136"/>
      <c r="S23" s="136"/>
      <c r="T23" s="136"/>
      <c r="U23" s="136"/>
      <c r="V23" s="136"/>
      <c r="W23" s="136"/>
      <c r="X23" s="136"/>
      <c r="Y23" s="147"/>
    </row>
    <row r="24" spans="4:25">
      <c r="D24" s="831" t="s">
        <v>140</v>
      </c>
      <c r="E24" s="831"/>
      <c r="F24" s="831"/>
      <c r="G24" s="831"/>
      <c r="H24" s="831"/>
      <c r="I24" s="137">
        <f ca="1">I23+1</f>
        <v>2023</v>
      </c>
      <c r="J24" s="137" t="s">
        <v>141</v>
      </c>
      <c r="K24" s="155" t="str">
        <f>"+"</f>
        <v>+</v>
      </c>
      <c r="L24" s="156"/>
      <c r="M24" s="157"/>
      <c r="N24" s="137"/>
      <c r="O24" s="137"/>
      <c r="P24" s="137"/>
      <c r="Q24" s="145"/>
      <c r="R24" s="136"/>
      <c r="S24" s="136"/>
      <c r="T24" s="136"/>
      <c r="U24" s="136"/>
      <c r="V24" s="136"/>
      <c r="W24" s="136"/>
      <c r="X24" s="136"/>
      <c r="Y24" s="147"/>
    </row>
    <row r="25" spans="4:25">
      <c r="D25" s="831" t="s">
        <v>140</v>
      </c>
      <c r="E25" s="831"/>
      <c r="F25" s="831"/>
      <c r="G25" s="831"/>
      <c r="H25" s="831"/>
      <c r="I25" s="137">
        <f ca="1">I24+1</f>
        <v>2024</v>
      </c>
      <c r="J25" s="137" t="s">
        <v>141</v>
      </c>
      <c r="K25" s="155" t="str">
        <f>"+"</f>
        <v>+</v>
      </c>
      <c r="L25" s="156"/>
      <c r="M25" s="157"/>
      <c r="N25" s="137"/>
      <c r="O25" s="137"/>
      <c r="P25" s="137"/>
      <c r="Q25" s="145"/>
      <c r="R25" s="136"/>
      <c r="S25" s="136"/>
      <c r="T25" s="136"/>
      <c r="U25" s="136"/>
      <c r="V25" s="136"/>
      <c r="W25" s="136"/>
      <c r="X25" s="136"/>
      <c r="Y25" s="147"/>
    </row>
    <row r="26" spans="4:25">
      <c r="D26" s="831" t="s">
        <v>142</v>
      </c>
      <c r="E26" s="831"/>
      <c r="F26" s="831"/>
      <c r="G26" s="831"/>
      <c r="H26" s="831"/>
      <c r="I26" s="137">
        <f ca="1">I25</f>
        <v>2024</v>
      </c>
      <c r="J26" s="137" t="s">
        <v>141</v>
      </c>
      <c r="K26" s="155" t="str">
        <f>"+"</f>
        <v>+</v>
      </c>
      <c r="L26" s="156"/>
      <c r="M26" s="157"/>
      <c r="N26" s="137"/>
      <c r="O26" s="137"/>
      <c r="P26" s="137"/>
      <c r="Q26" s="145"/>
      <c r="R26" s="136"/>
      <c r="S26" s="136"/>
      <c r="T26" s="136"/>
      <c r="U26" s="136"/>
      <c r="V26" s="136"/>
      <c r="W26" s="136"/>
      <c r="X26" s="136"/>
      <c r="Y26" s="147"/>
    </row>
    <row r="27" spans="4:25">
      <c r="D27" s="831"/>
      <c r="E27" s="831"/>
      <c r="F27" s="831"/>
      <c r="G27" s="831"/>
      <c r="H27" s="831"/>
      <c r="I27" s="137"/>
      <c r="J27" s="137"/>
      <c r="K27" s="140"/>
      <c r="L27" s="154"/>
      <c r="M27" s="155"/>
      <c r="N27" s="137"/>
      <c r="O27" s="137"/>
      <c r="P27" s="137"/>
      <c r="Q27" s="145"/>
      <c r="R27" s="136"/>
      <c r="S27" s="136"/>
      <c r="T27" s="136"/>
      <c r="U27" s="136"/>
      <c r="V27" s="136"/>
      <c r="W27" s="136"/>
      <c r="X27" s="136"/>
      <c r="Y27" s="147"/>
    </row>
    <row r="28" spans="4:25">
      <c r="D28" s="137" t="s">
        <v>143</v>
      </c>
      <c r="E28" s="137"/>
      <c r="F28" s="137"/>
      <c r="G28" s="137"/>
      <c r="H28" s="137"/>
      <c r="I28" s="137">
        <f ca="1">I25+1</f>
        <v>2025</v>
      </c>
      <c r="J28" s="137" t="s">
        <v>141</v>
      </c>
      <c r="K28" s="152" t="str">
        <f>"="</f>
        <v>=</v>
      </c>
      <c r="L28" s="151">
        <f>SUM(L23:L27)</f>
        <v>0</v>
      </c>
      <c r="M28" s="152">
        <f>SUM(M23:M27)</f>
        <v>0</v>
      </c>
      <c r="N28" s="137"/>
      <c r="O28" s="137"/>
      <c r="P28" s="137"/>
      <c r="Q28" s="145"/>
      <c r="R28" s="136"/>
      <c r="S28" s="136"/>
      <c r="T28" s="136"/>
      <c r="U28" s="136"/>
      <c r="V28" s="136"/>
      <c r="W28" s="136"/>
      <c r="X28" s="136"/>
      <c r="Y28" s="147"/>
    </row>
    <row r="29" spans="4:25">
      <c r="D29" s="137"/>
      <c r="E29" s="137"/>
      <c r="F29" s="137"/>
      <c r="G29" s="137"/>
      <c r="H29" s="137"/>
      <c r="I29" s="137"/>
      <c r="J29" s="137"/>
      <c r="K29" s="137"/>
      <c r="L29" s="154"/>
      <c r="M29" s="154"/>
      <c r="N29" s="137"/>
      <c r="O29" s="137"/>
      <c r="P29" s="137"/>
      <c r="Q29" s="145"/>
      <c r="R29" s="136"/>
      <c r="S29" s="136"/>
      <c r="T29" s="136"/>
      <c r="U29" s="136"/>
      <c r="V29" s="136"/>
      <c r="W29" s="136"/>
      <c r="X29" s="136"/>
      <c r="Y29" s="147"/>
    </row>
    <row r="30" spans="4:25">
      <c r="D30" s="136"/>
      <c r="E30" s="136"/>
      <c r="F30" s="136"/>
      <c r="G30" s="136"/>
      <c r="H30" s="136"/>
      <c r="I30" s="136"/>
      <c r="J30" s="136"/>
      <c r="K30" s="136"/>
      <c r="L30" s="136"/>
      <c r="M30" s="136"/>
      <c r="N30" s="136"/>
      <c r="O30" s="136"/>
      <c r="P30" s="136"/>
      <c r="Q30" s="145"/>
      <c r="R30" s="136"/>
      <c r="S30" s="136"/>
      <c r="T30" s="136"/>
      <c r="U30" s="136"/>
      <c r="V30" s="136"/>
      <c r="W30" s="136"/>
      <c r="X30" s="136"/>
      <c r="Y30" s="147"/>
    </row>
    <row r="31" spans="4:25">
      <c r="D31" s="136"/>
      <c r="E31" s="136"/>
      <c r="F31" s="136"/>
      <c r="G31" s="136"/>
      <c r="H31" s="136"/>
      <c r="I31" s="136"/>
      <c r="J31" s="136"/>
      <c r="K31" s="136"/>
      <c r="L31" s="136"/>
      <c r="M31" s="136"/>
      <c r="N31" s="136"/>
      <c r="O31" s="136"/>
      <c r="P31" s="136"/>
      <c r="Q31" s="145"/>
      <c r="R31" s="136"/>
      <c r="S31" s="136"/>
      <c r="T31" s="136"/>
      <c r="U31" s="136"/>
      <c r="V31" s="136"/>
      <c r="W31" s="136"/>
      <c r="X31" s="136"/>
      <c r="Y31" s="147"/>
    </row>
    <row r="32" spans="4:25">
      <c r="D32" s="136"/>
      <c r="E32" s="136"/>
      <c r="F32" s="136"/>
      <c r="G32" s="136"/>
      <c r="H32" s="136"/>
      <c r="I32" s="136"/>
      <c r="J32" s="136"/>
      <c r="K32" s="136"/>
      <c r="L32" s="136"/>
      <c r="M32" s="136"/>
      <c r="N32" s="136"/>
      <c r="O32" s="136"/>
      <c r="P32" s="136"/>
      <c r="Q32" s="145"/>
      <c r="R32" s="136"/>
      <c r="S32" s="136"/>
      <c r="T32" s="136"/>
      <c r="U32" s="136"/>
      <c r="V32" s="136"/>
      <c r="W32" s="136"/>
      <c r="X32" s="136"/>
      <c r="Y32" s="147"/>
    </row>
    <row r="33" spans="4:25">
      <c r="D33" s="136"/>
      <c r="E33" s="136"/>
      <c r="F33" s="136"/>
      <c r="G33" s="136"/>
      <c r="H33" s="136"/>
      <c r="I33" s="136"/>
      <c r="J33" s="136"/>
      <c r="K33" s="136"/>
      <c r="L33" s="136"/>
      <c r="M33" s="136"/>
      <c r="N33" s="136"/>
      <c r="O33" s="136"/>
      <c r="P33" s="136"/>
      <c r="Q33" s="145"/>
      <c r="R33" s="136"/>
      <c r="S33" s="136"/>
      <c r="T33" s="136"/>
      <c r="U33" s="136"/>
      <c r="V33" s="136"/>
      <c r="W33" s="136"/>
      <c r="X33" s="136"/>
      <c r="Y33" s="147"/>
    </row>
    <row r="34" spans="4:25">
      <c r="D34" s="136"/>
      <c r="E34" s="136"/>
      <c r="F34" s="136"/>
      <c r="G34" s="136"/>
      <c r="H34" s="136"/>
      <c r="I34" s="136"/>
      <c r="J34" s="136"/>
      <c r="K34" s="136"/>
      <c r="L34" s="136"/>
      <c r="M34" s="136"/>
      <c r="N34" s="136"/>
      <c r="O34" s="136"/>
      <c r="P34" s="136"/>
      <c r="Q34" s="145"/>
      <c r="R34" s="136"/>
      <c r="S34" s="136"/>
      <c r="T34" s="136"/>
      <c r="U34" s="136"/>
      <c r="V34" s="136"/>
      <c r="W34" s="136"/>
      <c r="X34" s="136"/>
      <c r="Y34" s="147"/>
    </row>
    <row r="35" spans="4:25" ht="15" thickBot="1">
      <c r="D35" s="136"/>
      <c r="E35" s="136"/>
      <c r="F35" s="136"/>
      <c r="G35" s="136"/>
      <c r="H35" s="136"/>
      <c r="I35" s="136"/>
      <c r="J35" s="136"/>
      <c r="K35" s="136"/>
      <c r="L35" s="136"/>
      <c r="M35" s="136"/>
      <c r="N35" s="136"/>
      <c r="O35" s="136"/>
      <c r="P35" s="136"/>
      <c r="Q35" s="158"/>
      <c r="R35" s="159"/>
      <c r="S35" s="159"/>
      <c r="T35" s="159"/>
      <c r="U35" s="159"/>
      <c r="V35" s="159"/>
      <c r="W35" s="159"/>
      <c r="X35" s="159"/>
      <c r="Y35" s="160"/>
    </row>
    <row r="36" spans="4:25">
      <c r="D36" s="48"/>
      <c r="E36" s="48"/>
      <c r="F36" s="48"/>
      <c r="G36" s="48"/>
      <c r="H36" s="48"/>
      <c r="I36" s="48"/>
      <c r="J36" s="48"/>
      <c r="K36" s="48"/>
      <c r="L36" s="48"/>
      <c r="M36" s="48"/>
      <c r="N36" s="48"/>
      <c r="O36" s="48"/>
      <c r="P36" s="48"/>
      <c r="Q36" s="48"/>
      <c r="R36" s="48"/>
      <c r="S36" s="48"/>
      <c r="T36" s="48"/>
      <c r="U36" s="48"/>
      <c r="V36" s="48"/>
      <c r="W36" s="48"/>
      <c r="X36" s="48"/>
      <c r="Y36" s="48"/>
    </row>
    <row r="37" spans="4:25">
      <c r="F37" s="35"/>
      <c r="G37" s="36"/>
      <c r="H37" s="36"/>
      <c r="K37" s="37"/>
    </row>
    <row r="38" spans="4:25">
      <c r="K38" s="37"/>
    </row>
  </sheetData>
  <sheetProtection selectLockedCells="1"/>
  <mergeCells count="12">
    <mergeCell ref="D21:E21"/>
    <mergeCell ref="G21:J21"/>
    <mergeCell ref="D12:K12"/>
    <mergeCell ref="D17:J17"/>
    <mergeCell ref="D18:F18"/>
    <mergeCell ref="H18:I18"/>
    <mergeCell ref="D19:H19"/>
    <mergeCell ref="D23:H23"/>
    <mergeCell ref="D24:H24"/>
    <mergeCell ref="D25:H25"/>
    <mergeCell ref="D26:H26"/>
    <mergeCell ref="D27:H27"/>
  </mergeCells>
  <conditionalFormatting sqref="L23:M26">
    <cfRule type="cellIs" dxfId="198" priority="1" operator="equal">
      <formula>""</formula>
    </cfRule>
  </conditionalFormatting>
  <conditionalFormatting sqref="R4">
    <cfRule type="expression" dxfId="197" priority="2">
      <formula>$B$5-$R$4&gt;7</formula>
    </cfRule>
  </conditionalFormatting>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A276E-78FF-48BD-95FC-221DFC0F056D}">
  <sheetPr codeName="Feuil27">
    <tabColor theme="9" tint="0.59999389629810485"/>
  </sheetPr>
  <dimension ref="A4:AB41"/>
  <sheetViews>
    <sheetView showGridLines="0" showRowColHeaders="0" zoomScale="123" zoomScaleNormal="123" workbookViewId="0">
      <selection activeCell="U14" sqref="U14:W14"/>
    </sheetView>
  </sheetViews>
  <sheetFormatPr baseColWidth="10" defaultRowHeight="14.4"/>
  <cols>
    <col min="2" max="2" width="9.33203125" customWidth="1"/>
    <col min="3" max="3" width="6.6640625" customWidth="1"/>
    <col min="4" max="4" width="16.5546875" bestFit="1" customWidth="1"/>
    <col min="5" max="6" width="1.44140625" customWidth="1"/>
    <col min="7" max="7" width="23.33203125" bestFit="1" customWidth="1"/>
    <col min="8" max="8" width="5" customWidth="1"/>
    <col min="9" max="10" width="10.109375" customWidth="1"/>
    <col min="11" max="12" width="5" customWidth="1"/>
    <col min="13" max="13" width="5.33203125" customWidth="1"/>
    <col min="14" max="14" width="5" customWidth="1"/>
    <col min="15" max="15" width="5.33203125" customWidth="1"/>
    <col min="16" max="16" width="4" customWidth="1"/>
    <col min="17" max="17" width="11.33203125" customWidth="1"/>
    <col min="18" max="20" width="11.5546875" customWidth="1"/>
    <col min="21" max="23" width="5.6640625" customWidth="1"/>
    <col min="24" max="28" width="3.44140625" customWidth="1"/>
  </cols>
  <sheetData>
    <row r="4" spans="1:28">
      <c r="R4" s="2"/>
      <c r="S4" s="3"/>
      <c r="T4" s="4"/>
      <c r="Z4" s="44" t="s">
        <v>88</v>
      </c>
      <c r="AA4" s="850">
        <f ca="1">Données!F4</f>
        <v>2026</v>
      </c>
      <c r="AB4" s="850"/>
    </row>
    <row r="5" spans="1:28">
      <c r="B5" s="1">
        <f ca="1">TODAY()</f>
        <v>46023</v>
      </c>
      <c r="X5" s="849" t="s">
        <v>121</v>
      </c>
      <c r="Y5" s="849"/>
      <c r="Z5" s="849"/>
      <c r="AA5" s="850">
        <f ca="1">AA4-1</f>
        <v>2025</v>
      </c>
      <c r="AB5" s="850"/>
    </row>
    <row r="10" spans="1:28" ht="15" thickBot="1">
      <c r="Q10" s="848" t="s">
        <v>228</v>
      </c>
      <c r="R10" s="848"/>
      <c r="S10" s="848"/>
      <c r="T10" s="256"/>
      <c r="U10" s="256"/>
      <c r="V10" s="256"/>
      <c r="W10" s="256"/>
      <c r="X10" s="256"/>
    </row>
    <row r="11" spans="1:28" ht="15" customHeight="1" thickBot="1">
      <c r="A11" s="199"/>
      <c r="B11" s="199"/>
      <c r="U11" s="851" t="s">
        <v>89</v>
      </c>
      <c r="V11" s="851"/>
      <c r="W11" s="852"/>
      <c r="X11" s="851" t="s">
        <v>90</v>
      </c>
      <c r="Y11" s="851"/>
      <c r="Z11" s="851"/>
      <c r="AA11" s="851"/>
      <c r="AB11" s="851"/>
    </row>
    <row r="12" spans="1:28" ht="15" thickTop="1">
      <c r="A12" s="199"/>
      <c r="B12" s="199"/>
    </row>
    <row r="13" spans="1:28" ht="15" thickBot="1">
      <c r="A13" s="199"/>
      <c r="B13" s="199"/>
      <c r="D13" s="41" t="s">
        <v>42</v>
      </c>
      <c r="E13" s="42"/>
      <c r="F13" s="201"/>
      <c r="G13" s="43"/>
      <c r="J13" s="776" t="s">
        <v>112</v>
      </c>
      <c r="K13" s="776"/>
      <c r="L13" s="776"/>
      <c r="M13" s="776"/>
      <c r="N13" s="776"/>
      <c r="O13" s="776"/>
      <c r="Q13" s="834" t="s">
        <v>144</v>
      </c>
      <c r="R13" s="834"/>
      <c r="S13" s="834"/>
      <c r="T13" s="834"/>
      <c r="U13" s="835"/>
      <c r="V13" s="835"/>
      <c r="W13" s="836"/>
      <c r="X13" s="837"/>
      <c r="Y13" s="835"/>
      <c r="Z13" s="835"/>
      <c r="AA13" s="835"/>
      <c r="AB13" s="835"/>
    </row>
    <row r="14" spans="1:28" ht="15" thickBot="1">
      <c r="A14" s="199"/>
      <c r="B14" s="199"/>
      <c r="J14" s="51" t="s">
        <v>114</v>
      </c>
      <c r="K14" s="124">
        <f>U26</f>
        <v>0</v>
      </c>
      <c r="L14" s="125">
        <f>U27</f>
        <v>0.11</v>
      </c>
      <c r="M14" s="125">
        <f>U28</f>
        <v>0.3</v>
      </c>
      <c r="N14" s="125">
        <f>U29</f>
        <v>0.41</v>
      </c>
      <c r="O14" s="126">
        <f>U30</f>
        <v>0.45</v>
      </c>
      <c r="Q14" s="834" t="s">
        <v>145</v>
      </c>
      <c r="R14" s="834"/>
      <c r="S14" s="834"/>
      <c r="T14" s="834"/>
      <c r="U14" s="835"/>
      <c r="V14" s="835"/>
      <c r="W14" s="836"/>
      <c r="X14" s="837"/>
      <c r="Y14" s="835"/>
      <c r="Z14" s="835"/>
      <c r="AA14" s="835"/>
      <c r="AB14" s="835"/>
    </row>
    <row r="15" spans="1:28" ht="15" thickBot="1">
      <c r="A15" s="199"/>
      <c r="B15" s="199"/>
      <c r="D15" s="41" t="s">
        <v>87</v>
      </c>
      <c r="E15" s="42"/>
      <c r="F15" s="201"/>
      <c r="G15" s="203">
        <f>IF(G13="",0,IF(G13="Célibataire/veuf/divorcé",1,2)+(I15*0.25))</f>
        <v>0</v>
      </c>
      <c r="I15" s="232"/>
      <c r="J15" s="52" t="s">
        <v>116</v>
      </c>
      <c r="K15" s="774">
        <f>S35</f>
        <v>0</v>
      </c>
      <c r="L15" s="774"/>
      <c r="M15" s="774"/>
      <c r="N15" s="774"/>
      <c r="O15" s="775"/>
      <c r="Q15" s="838" t="s">
        <v>240</v>
      </c>
      <c r="R15" s="838"/>
      <c r="S15" s="838"/>
      <c r="T15" s="838"/>
      <c r="U15" s="835"/>
      <c r="V15" s="835"/>
      <c r="W15" s="836"/>
      <c r="X15" s="837"/>
      <c r="Y15" s="835"/>
      <c r="Z15" s="835"/>
      <c r="AA15" s="835"/>
      <c r="AB15" s="835"/>
    </row>
    <row r="16" spans="1:28" ht="15" thickBot="1">
      <c r="A16" s="199"/>
      <c r="B16" s="199"/>
      <c r="D16" s="44" t="s">
        <v>184</v>
      </c>
      <c r="F16" s="202"/>
      <c r="G16" s="200"/>
      <c r="J16" s="757" t="s">
        <v>185</v>
      </c>
      <c r="K16" s="758"/>
      <c r="L16" s="758"/>
      <c r="M16" s="758"/>
      <c r="N16" s="759">
        <f>IF(W35&lt;0,0,W35)</f>
        <v>0</v>
      </c>
      <c r="O16" s="760"/>
      <c r="Q16" s="838" t="s">
        <v>239</v>
      </c>
      <c r="R16" s="838"/>
      <c r="S16" s="838"/>
      <c r="T16" s="838"/>
      <c r="U16" s="835"/>
      <c r="V16" s="835"/>
      <c r="W16" s="836"/>
      <c r="X16" s="837"/>
      <c r="Y16" s="835"/>
      <c r="Z16" s="835"/>
      <c r="AA16" s="835"/>
      <c r="AB16" s="835"/>
    </row>
    <row r="17" spans="1:28">
      <c r="A17" s="199"/>
      <c r="B17" s="199"/>
      <c r="J17" s="784" t="str">
        <f>"+CEHR"</f>
        <v>+CEHR</v>
      </c>
      <c r="K17" s="785"/>
      <c r="L17" s="785"/>
      <c r="M17" s="785"/>
      <c r="N17" s="759">
        <f>IF('Décla N-1'!G13=Données!L51,IF('Décla N-1'!R23&lt;Données!N13,0,IF('Décla N-1'!R23&lt;Données!N14,('Décla N-1'!R23-Données!N13)*Données!P14,(('Décla N-1'!R23-Données!N14)*Données!P15)+((Données!N14-Données!N13)*Données!P14))),IF('Décla N-1'!R23&lt;Données!N14,0,IF('Décla N-1'!R23&lt;Données!N15,('Décla N-1'!R23-Données!N14)*Données!Q15,(('Décla N-1'!R23-Données!N15)*Données!Q16+((Données!N15-Données!N14)*Données!Q15)))))</f>
        <v>0</v>
      </c>
      <c r="O17" s="760"/>
      <c r="Q17" s="834" t="s">
        <v>146</v>
      </c>
      <c r="R17" s="834"/>
      <c r="S17" s="834"/>
      <c r="T17" s="834"/>
      <c r="U17" s="835"/>
      <c r="V17" s="835"/>
      <c r="W17" s="836"/>
      <c r="X17" s="837"/>
      <c r="Y17" s="835"/>
      <c r="Z17" s="835"/>
      <c r="AA17" s="835"/>
      <c r="AB17" s="835"/>
    </row>
    <row r="18" spans="1:28" ht="15" thickBot="1">
      <c r="Q18" s="834" t="s">
        <v>147</v>
      </c>
      <c r="R18" s="834"/>
      <c r="S18" s="834"/>
      <c r="T18" s="834"/>
      <c r="U18" s="835"/>
      <c r="V18" s="835"/>
      <c r="W18" s="836"/>
      <c r="X18" s="837"/>
      <c r="Y18" s="835"/>
      <c r="Z18" s="835"/>
      <c r="AA18" s="835"/>
      <c r="AB18" s="835"/>
    </row>
    <row r="19" spans="1:28" ht="15" thickBot="1">
      <c r="Q19" s="841" t="s">
        <v>148</v>
      </c>
      <c r="R19" s="841"/>
      <c r="S19" s="841"/>
      <c r="T19" s="841"/>
      <c r="U19" s="835"/>
      <c r="V19" s="835"/>
      <c r="W19" s="836"/>
      <c r="X19" s="837"/>
      <c r="Y19" s="835"/>
      <c r="Z19" s="835"/>
      <c r="AA19" s="835"/>
      <c r="AB19" s="835"/>
    </row>
    <row r="20" spans="1:28" ht="15" customHeight="1">
      <c r="T20" s="247"/>
      <c r="U20" s="843" t="str">
        <f>IF(U19&gt;0,"",IF(H24+H29&gt;0,"Attention, la cotisation prévoyance entre dans le calcul du potentiel",""))</f>
        <v/>
      </c>
      <c r="V20" s="843"/>
      <c r="W20" s="843"/>
      <c r="X20" s="843" t="str">
        <f>IF(G13=Données!L51,"",IF(X19&gt;0,"",IF(K24+K29&gt;0,"Attention, la cotisation prévoyance entre dans le calcul du potentiel","")))</f>
        <v/>
      </c>
      <c r="Y20" s="843"/>
      <c r="Z20" s="843"/>
      <c r="AA20" s="843"/>
      <c r="AB20" s="843"/>
    </row>
    <row r="21" spans="1:28" ht="15" thickBot="1">
      <c r="H21" s="779" t="s">
        <v>89</v>
      </c>
      <c r="I21" s="779"/>
      <c r="J21" s="780"/>
      <c r="K21" s="779" t="s">
        <v>90</v>
      </c>
      <c r="L21" s="779"/>
      <c r="M21" s="779"/>
      <c r="N21" s="779"/>
      <c r="O21" s="779"/>
      <c r="Q21" s="42"/>
      <c r="R21" s="42"/>
      <c r="S21" s="42"/>
      <c r="T21" s="42"/>
      <c r="U21" s="844"/>
      <c r="V21" s="844"/>
      <c r="W21" s="844"/>
      <c r="X21" s="844"/>
      <c r="Y21" s="844"/>
      <c r="Z21" s="844"/>
      <c r="AA21" s="844"/>
      <c r="AB21" s="844"/>
    </row>
    <row r="22" spans="1:28" ht="15" thickTop="1">
      <c r="D22" s="47"/>
      <c r="E22" s="47"/>
      <c r="F22" s="47"/>
      <c r="G22" s="47"/>
      <c r="H22" s="47"/>
      <c r="I22" s="47"/>
      <c r="J22" s="47"/>
      <c r="K22" s="47"/>
      <c r="L22" s="47"/>
      <c r="M22" s="47"/>
      <c r="N22" s="47"/>
      <c r="O22" s="47"/>
      <c r="Q22" s="292"/>
      <c r="R22" s="212"/>
      <c r="S22" s="294"/>
      <c r="T22" s="295" t="s">
        <v>104</v>
      </c>
      <c r="U22" s="845">
        <f ca="1">AA4</f>
        <v>2026</v>
      </c>
      <c r="V22" s="845"/>
      <c r="W22" s="212"/>
      <c r="X22" s="842"/>
      <c r="Y22" s="842"/>
      <c r="Z22" s="842"/>
      <c r="AA22" s="842"/>
      <c r="AB22" s="842"/>
    </row>
    <row r="23" spans="1:28">
      <c r="D23" s="791" t="s">
        <v>91</v>
      </c>
      <c r="E23" s="791"/>
      <c r="F23" s="791"/>
      <c r="G23" s="791"/>
      <c r="H23" s="781"/>
      <c r="I23" s="781"/>
      <c r="J23" s="782"/>
      <c r="K23" s="783"/>
      <c r="L23" s="781"/>
      <c r="M23" s="781"/>
      <c r="N23" s="781"/>
      <c r="O23" s="781"/>
      <c r="Q23" s="131" t="s">
        <v>105</v>
      </c>
      <c r="R23" s="261">
        <f>IF(G13=Données!L51,'Décla N-1'!H35,H35+K35)</f>
        <v>0</v>
      </c>
      <c r="S23" s="262">
        <f>G15</f>
        <v>0</v>
      </c>
      <c r="T23" s="778" t="s">
        <v>106</v>
      </c>
      <c r="U23" s="778"/>
      <c r="V23" s="778"/>
      <c r="W23" s="792" t="s">
        <v>107</v>
      </c>
      <c r="X23" s="792"/>
      <c r="Y23" s="267"/>
      <c r="Z23" s="42"/>
      <c r="AA23" s="42"/>
      <c r="AB23" s="42"/>
    </row>
    <row r="24" spans="1:28">
      <c r="D24" s="791" t="s">
        <v>92</v>
      </c>
      <c r="E24" s="791"/>
      <c r="F24" s="791"/>
      <c r="G24" s="791"/>
      <c r="H24" s="781"/>
      <c r="I24" s="781"/>
      <c r="J24" s="782"/>
      <c r="K24" s="783"/>
      <c r="L24" s="781"/>
      <c r="M24" s="781"/>
      <c r="N24" s="781"/>
      <c r="O24" s="781"/>
      <c r="Q24" s="131"/>
      <c r="R24" s="263">
        <f>IFERROR(R23/S23,0)</f>
        <v>0</v>
      </c>
      <c r="S24" s="263">
        <f>R23/IF(T24=Données!$L$51,1,2)</f>
        <v>0</v>
      </c>
      <c r="T24" s="778">
        <f>G13</f>
        <v>0</v>
      </c>
      <c r="U24" s="778"/>
      <c r="V24" s="778"/>
      <c r="W24" s="846">
        <f>IF(OR(G16="Non",G16=""),(S23-(IF(T24="Célibataire/veuf/divorcé",1,2)))*(Données!F18*2),IF(T24="Célibataire/veuf/divorcé",IF(S23&lt;=2,(S23-1)*Données!G18,Données!G18+((S23-2)*Données!F18*2)),(S23-(IF(T24="Célibataire/veuf/divorcé",1,2)))*(Données!F18*2)))</f>
        <v>-7164</v>
      </c>
      <c r="X24" s="846"/>
      <c r="Y24" s="267"/>
      <c r="Z24" s="42"/>
      <c r="AA24" s="42"/>
      <c r="AB24" s="42"/>
    </row>
    <row r="25" spans="1:28">
      <c r="D25" s="786" t="s">
        <v>93</v>
      </c>
      <c r="E25" s="786"/>
      <c r="F25" s="786"/>
      <c r="G25" s="786"/>
      <c r="H25" s="46" t="s">
        <v>94</v>
      </c>
      <c r="I25" s="798"/>
      <c r="J25" s="799"/>
      <c r="K25" s="46" t="s">
        <v>94</v>
      </c>
      <c r="L25" s="798"/>
      <c r="M25" s="798"/>
      <c r="N25" s="798"/>
      <c r="O25" s="798"/>
      <c r="Q25" s="131"/>
      <c r="R25" s="131" t="s">
        <v>108</v>
      </c>
      <c r="S25" s="131" t="s">
        <v>109</v>
      </c>
      <c r="T25" s="131" t="s">
        <v>110</v>
      </c>
      <c r="U25" s="131" t="s">
        <v>111</v>
      </c>
      <c r="V25" s="131" t="s">
        <v>1</v>
      </c>
      <c r="W25" s="131" t="s">
        <v>186</v>
      </c>
      <c r="X25" s="131" t="s">
        <v>187</v>
      </c>
      <c r="Y25" s="267"/>
      <c r="Z25" s="42"/>
      <c r="AA25" s="42"/>
      <c r="AB25" s="42"/>
    </row>
    <row r="26" spans="1:28" ht="15" thickBot="1">
      <c r="D26" s="786" t="s">
        <v>95</v>
      </c>
      <c r="E26" s="786"/>
      <c r="F26" s="786"/>
      <c r="G26" s="786"/>
      <c r="H26" s="787">
        <f>IF(H25="Oui",I25,IF((H23+H24)&lt;Données!$G$24,(H23+H24),IF(((H23+H24)*10%)&lt;Données!$G$24,Données!$G$24,IF(((H23+H24)*10%)&lt;Données!$F$24,(H23+H24)*10%,Données!$F$24))))</f>
        <v>0</v>
      </c>
      <c r="I26" s="787"/>
      <c r="J26" s="788"/>
      <c r="K26" s="787">
        <f>IF(K25="Oui",L25,IF((K23+K24)&lt;Données!$G$24,(K23+K24),IF(((K23+K24)*10%)&lt;Données!$G$24,Données!$G$24,IF(((K23+K24)*10%)&lt;Données!$F$24,(K23+K24)*10%,Données!$F$24))))</f>
        <v>0</v>
      </c>
      <c r="L26" s="787"/>
      <c r="M26" s="787"/>
      <c r="N26" s="787"/>
      <c r="O26" s="787"/>
      <c r="Q26" s="131"/>
      <c r="R26" s="263">
        <f>IF(R24&lt;=T26,R24,0)</f>
        <v>0</v>
      </c>
      <c r="S26" s="263">
        <f>IF(S24&lt;=T26,S24,0)</f>
        <v>0</v>
      </c>
      <c r="T26" s="263">
        <f>Données!E13</f>
        <v>11498</v>
      </c>
      <c r="U26" s="264">
        <f>Données!F13</f>
        <v>0</v>
      </c>
      <c r="V26" s="263"/>
      <c r="W26" s="263"/>
      <c r="X26" s="259"/>
      <c r="Y26" s="42"/>
      <c r="Z26" s="42"/>
      <c r="AA26" s="42"/>
      <c r="AB26" s="42"/>
    </row>
    <row r="27" spans="1:28" ht="15" thickTop="1">
      <c r="D27" s="789" t="s">
        <v>96</v>
      </c>
      <c r="E27" s="789"/>
      <c r="F27" s="789"/>
      <c r="G27" s="789"/>
      <c r="H27" s="771"/>
      <c r="I27" s="771"/>
      <c r="J27" s="772"/>
      <c r="K27" s="773"/>
      <c r="L27" s="771"/>
      <c r="M27" s="771"/>
      <c r="N27" s="771"/>
      <c r="O27" s="771"/>
      <c r="Q27" s="131"/>
      <c r="R27" s="263">
        <f>IF(AND(R24&lt;=T27,R24&gt;T26),R24,0)</f>
        <v>0</v>
      </c>
      <c r="S27" s="263">
        <f>IF(AND(S24&lt;=T27,S24&gt;T26),S24,0)</f>
        <v>0</v>
      </c>
      <c r="T27" s="263">
        <f>Données!E14</f>
        <v>29315</v>
      </c>
      <c r="U27" s="264">
        <f>Données!F14</f>
        <v>0.11</v>
      </c>
      <c r="V27" s="263">
        <f>T26*U27</f>
        <v>1264.78</v>
      </c>
      <c r="W27" s="263">
        <f>IF(R27&gt;0,(R23*U27)-(V27*S23),0)</f>
        <v>0</v>
      </c>
      <c r="X27" s="263">
        <f>IF(S27&gt;0,(R23*U27)-(V27*(IF(T24="Célibataire/veuf/divorcé",1,2)))-W24,0)</f>
        <v>0</v>
      </c>
      <c r="Y27" s="265"/>
      <c r="Z27" s="42"/>
      <c r="AA27" s="42"/>
      <c r="AB27" s="42"/>
    </row>
    <row r="28" spans="1:28" ht="15" thickBot="1">
      <c r="D28" s="786" t="s">
        <v>97</v>
      </c>
      <c r="E28" s="786"/>
      <c r="F28" s="786"/>
      <c r="G28" s="786"/>
      <c r="H28" s="800">
        <f>IF((H27+K27)&lt;Données!$G$25,(H27+K27),IF(((H27+K27)*10%)&lt;Données!$G$25,Données!$G$25,IF(((H27+K27)*10%)&lt;Données!$F$25,(H27+K27)*10%,Données!$F$25)))</f>
        <v>0</v>
      </c>
      <c r="I28" s="800"/>
      <c r="J28" s="800"/>
      <c r="K28" s="168"/>
      <c r="L28" s="168"/>
      <c r="M28" s="168"/>
      <c r="N28" s="168"/>
      <c r="O28" s="168"/>
      <c r="Q28" s="131"/>
      <c r="R28" s="263">
        <f>IF(AND(R24&lt;=T28,R24&gt;T27),R24,0)</f>
        <v>0</v>
      </c>
      <c r="S28" s="263">
        <f>IF(AND(S24&lt;=T28,S24&gt;T27),S24,0)</f>
        <v>0</v>
      </c>
      <c r="T28" s="263">
        <f>Données!E15</f>
        <v>83823</v>
      </c>
      <c r="U28" s="264">
        <f>Données!F15</f>
        <v>0.3</v>
      </c>
      <c r="V28" s="263">
        <f>(T26-S26)*U28+(T27-T26)*(U28-U27)</f>
        <v>6834.63</v>
      </c>
      <c r="W28" s="263">
        <f>IF(R28&gt;0,(R23*U28)-(V28*S23),0)</f>
        <v>0</v>
      </c>
      <c r="X28" s="263">
        <f>IF(S28&gt;0,(R23*U28)-(V28*(IF(T24="Célibataire/veuf/divorcé",1,2)))-W24,0)</f>
        <v>0</v>
      </c>
      <c r="Y28" s="265"/>
      <c r="Z28" s="42"/>
      <c r="AA28" s="42"/>
      <c r="AB28" s="42"/>
    </row>
    <row r="29" spans="1:28" ht="15.6" thickTop="1" thickBot="1">
      <c r="D29" s="790" t="s">
        <v>98</v>
      </c>
      <c r="E29" s="790"/>
      <c r="F29" s="790"/>
      <c r="G29" s="790"/>
      <c r="H29" s="771"/>
      <c r="I29" s="771"/>
      <c r="J29" s="772"/>
      <c r="K29" s="773"/>
      <c r="L29" s="771"/>
      <c r="M29" s="771"/>
      <c r="N29" s="771"/>
      <c r="O29" s="771"/>
      <c r="Q29" s="131"/>
      <c r="R29" s="263">
        <f>IF(AND(R24&lt;=T29,R24&gt;T28),R24,0)</f>
        <v>0</v>
      </c>
      <c r="S29" s="263">
        <f>IF(AND(S24&lt;=T29,S24&gt;T28),S24,0)</f>
        <v>0</v>
      </c>
      <c r="T29" s="263">
        <f>Données!E16</f>
        <v>180294</v>
      </c>
      <c r="U29" s="264">
        <f>Données!F16</f>
        <v>0.41</v>
      </c>
      <c r="V29" s="263">
        <f>(T26-S26)*U29+(T27-T26)*(U29-U27)+(T28-T27)*(U29-U28)</f>
        <v>16055.159999999998</v>
      </c>
      <c r="W29" s="263">
        <f>IF(R29&gt;0,(R23*U29)-(V29*S23),0)</f>
        <v>0</v>
      </c>
      <c r="X29" s="263">
        <f>IF(S29&gt;0,(R23*U29)-(V29*(IF(T24="Célibataire/veuf/divorcé",1,2)))-W24,0)</f>
        <v>0</v>
      </c>
      <c r="Y29" s="42"/>
      <c r="Z29" s="42"/>
      <c r="AA29" s="42"/>
      <c r="AB29" s="42"/>
    </row>
    <row r="30" spans="1:28" ht="15.6" thickTop="1" thickBot="1">
      <c r="D30" s="791" t="s">
        <v>99</v>
      </c>
      <c r="E30" s="791"/>
      <c r="F30" s="791"/>
      <c r="G30" s="791"/>
      <c r="H30" s="771"/>
      <c r="I30" s="771"/>
      <c r="J30" s="772"/>
      <c r="K30" s="773"/>
      <c r="L30" s="771"/>
      <c r="M30" s="771"/>
      <c r="N30" s="771"/>
      <c r="O30" s="771"/>
      <c r="Q30" s="134"/>
      <c r="R30" s="263">
        <f>IF(R24&gt;T29,R24,0)</f>
        <v>0</v>
      </c>
      <c r="S30" s="263">
        <f>IF(S24&gt;T29,S24,0)</f>
        <v>0</v>
      </c>
      <c r="T30" s="263">
        <f>Données!E17</f>
        <v>0</v>
      </c>
      <c r="U30" s="264">
        <f>Données!F17</f>
        <v>0.45</v>
      </c>
      <c r="V30" s="263">
        <f>(T26-S26)*U30+(T27-T26)*(U30-U27)+(T28-T27)*(U30-U28)+(T29-T28)*(U30-U29)</f>
        <v>23266.920000000006</v>
      </c>
      <c r="W30" s="263">
        <f>IF(R30&gt;0,(R23*U30)-(V30*S23),0)</f>
        <v>0</v>
      </c>
      <c r="X30" s="263">
        <f>IF(S30&gt;0,(R23*U30)-(V30*(IF(T24="Célibataire/veuf/divorcé",1,2)))-W24,0)</f>
        <v>0</v>
      </c>
      <c r="Y30" s="42"/>
      <c r="Z30" s="42"/>
      <c r="AA30" s="42"/>
      <c r="AB30" s="42"/>
    </row>
    <row r="31" spans="1:28" ht="15" thickTop="1">
      <c r="D31" s="804" t="s">
        <v>100</v>
      </c>
      <c r="E31" s="804"/>
      <c r="F31" s="804"/>
      <c r="G31" s="804"/>
      <c r="H31" s="771"/>
      <c r="I31" s="771"/>
      <c r="J31" s="772"/>
      <c r="K31" s="773"/>
      <c r="L31" s="771"/>
      <c r="M31" s="771"/>
      <c r="N31" s="771"/>
      <c r="O31" s="771"/>
      <c r="Q31" s="53"/>
      <c r="R31" s="266"/>
      <c r="S31" s="260"/>
      <c r="T31" s="259"/>
      <c r="U31" s="259"/>
      <c r="V31" s="259"/>
      <c r="W31" s="263">
        <f>SUM(W27:W30)</f>
        <v>0</v>
      </c>
      <c r="X31" s="263">
        <f>SUM(X27:X30)</f>
        <v>0</v>
      </c>
      <c r="Y31" s="42"/>
      <c r="Z31" s="42"/>
      <c r="AA31" s="42"/>
      <c r="AB31" s="42"/>
    </row>
    <row r="32" spans="1:28">
      <c r="D32" s="786" t="s">
        <v>227</v>
      </c>
      <c r="E32" s="786"/>
      <c r="F32" s="786"/>
      <c r="G32" s="786"/>
      <c r="H32" s="781"/>
      <c r="I32" s="781"/>
      <c r="J32" s="782"/>
      <c r="K32" s="783"/>
      <c r="L32" s="781"/>
      <c r="M32" s="781"/>
      <c r="N32" s="781"/>
      <c r="O32" s="781"/>
      <c r="Q32" s="765" t="s">
        <v>113</v>
      </c>
      <c r="R32" s="765"/>
      <c r="S32" s="765">
        <f>IF(W31&lt;=X31,X31,W31)</f>
        <v>0</v>
      </c>
      <c r="T32" s="765"/>
      <c r="U32" s="127"/>
      <c r="V32" s="127" t="s">
        <v>111</v>
      </c>
      <c r="W32" s="797">
        <f>IF(W31&lt;=X31,IF(X27&gt;0,U27,IF(X28&gt;0,U28,IF(X29&gt;0,U29,IF(X30&gt;0,U30,0)))),IF(W27&gt;0,U27,IF(W28&gt;0,U28,IF(W29&gt;0,U29,IF(W30&gt;0,U30,0)))))</f>
        <v>0</v>
      </c>
      <c r="X32" s="797"/>
      <c r="Y32" s="267"/>
      <c r="Z32" s="42"/>
      <c r="AA32" s="42"/>
      <c r="AB32" s="42"/>
    </row>
    <row r="33" spans="4:28">
      <c r="D33" s="786" t="s">
        <v>102</v>
      </c>
      <c r="E33" s="786"/>
      <c r="F33" s="786"/>
      <c r="G33" s="786"/>
      <c r="H33" s="781"/>
      <c r="I33" s="781"/>
      <c r="J33" s="782"/>
      <c r="K33" s="783"/>
      <c r="L33" s="781"/>
      <c r="M33" s="781"/>
      <c r="N33" s="781"/>
      <c r="O33" s="781"/>
      <c r="Q33" s="765" t="s">
        <v>115</v>
      </c>
      <c r="R33" s="765"/>
      <c r="S33" s="765">
        <f>IF(S32=0,0,IF(AND(S32&lt;Données!$F$19,T24="Célibataire/veuf/divorcé"),Données!$F$20-(S32*Données!$F$21),IF(AND(S32&lt;Données!$G$19,T24="Marié/pacsé"),Données!$G$20-(S32*Données!$F$21),0)))</f>
        <v>0</v>
      </c>
      <c r="T33" s="765"/>
      <c r="U33" s="127" t="s">
        <v>188</v>
      </c>
      <c r="V33" s="127" t="s">
        <v>189</v>
      </c>
      <c r="W33" s="268" t="s">
        <v>190</v>
      </c>
      <c r="X33" s="268" t="s">
        <v>191</v>
      </c>
      <c r="Y33" s="267"/>
      <c r="Z33" s="42"/>
      <c r="AA33" s="42"/>
      <c r="AB33" s="42"/>
    </row>
    <row r="34" spans="4:28">
      <c r="D34" s="48"/>
      <c r="E34" s="48"/>
      <c r="F34" s="48"/>
      <c r="G34" s="48"/>
      <c r="H34" s="49"/>
      <c r="I34" s="49"/>
      <c r="J34" s="50"/>
      <c r="K34" s="49"/>
      <c r="L34" s="49"/>
      <c r="M34" s="49"/>
      <c r="N34" s="49"/>
      <c r="O34" s="49"/>
      <c r="Q34" s="765" t="s">
        <v>117</v>
      </c>
      <c r="R34" s="765"/>
      <c r="S34" s="840">
        <f>IF(S32-S33&lt;0,0,S32-S33)</f>
        <v>0</v>
      </c>
      <c r="T34" s="840"/>
      <c r="U34" s="268">
        <f>IF(W27&gt;0,($R$24-$T$26)*$S$23,IF(W28&gt;0,($R$24-T27)*$S$23,IF(W29&gt;0,($R$24-T28)*$S$23,($R$24-T29)*$S$23)))</f>
        <v>0</v>
      </c>
      <c r="V34" s="268">
        <f>IF(X27&gt;0,R23-(T26*IF($T$24=Données!$L$50,2,1)),IF(X28&gt;0,R23-(T27*IF($T$24=Données!$L$50,2,1)),IF(X29&gt;0,R23-(T28*IF($T$24=Données!$L$50,2,1)),R23-(T29*IF($T$24=Données!$L$50,2,1)))))</f>
        <v>-180294</v>
      </c>
      <c r="W34" s="268">
        <f>(-(V27*S23)/(U28-U27))+((W24+(IF($T$24="Célibataire/veuf/divorcé",1,2)*V28))/(U28-U27))</f>
        <v>34238.210526315794</v>
      </c>
      <c r="X34" s="268">
        <f>(IF(T24=Données!$L$51,Données!$F$20,Données!$G$20)/(1+Données!$F$21)+(V27*S23))/U27</f>
        <v>9200.4381161007659</v>
      </c>
      <c r="Y34" s="267"/>
      <c r="Z34" s="42"/>
      <c r="AA34" s="42"/>
      <c r="AB34" s="42"/>
    </row>
    <row r="35" spans="4:28">
      <c r="D35" s="801" t="s">
        <v>103</v>
      </c>
      <c r="E35" s="801"/>
      <c r="F35" s="801"/>
      <c r="G35" s="801"/>
      <c r="H35" s="802">
        <f>H23+H24-H26+H27-H28+H29+H30+H31-H32-'Synthèse décla'!I34</f>
        <v>0</v>
      </c>
      <c r="I35" s="802"/>
      <c r="J35" s="803"/>
      <c r="K35" s="802">
        <f>K23+K24-K26+K27+K29+K30+K31-K32-'Synthèse décla'!J34</f>
        <v>0</v>
      </c>
      <c r="L35" s="802"/>
      <c r="M35" s="802"/>
      <c r="N35" s="802"/>
      <c r="O35" s="802"/>
      <c r="Q35" s="847" t="s">
        <v>118</v>
      </c>
      <c r="R35" s="847"/>
      <c r="S35" s="839">
        <f>S34-H33-K33</f>
        <v>0</v>
      </c>
      <c r="T35" s="839"/>
      <c r="U35" s="765" t="s">
        <v>192</v>
      </c>
      <c r="V35" s="765"/>
      <c r="W35" s="268">
        <f>IF(W32=U27,R23-X34,IF(W31&gt;X31,U34,IF(W32=U28,R23-W34,V34)))</f>
        <v>-180294</v>
      </c>
      <c r="X35" s="268"/>
      <c r="Y35" s="267"/>
      <c r="Z35" s="42"/>
      <c r="AA35" s="42"/>
      <c r="AB35" s="42"/>
    </row>
    <row r="40" spans="4:28">
      <c r="S40" s="219"/>
      <c r="W40" s="219"/>
    </row>
    <row r="41" spans="4:28">
      <c r="W41" s="219"/>
    </row>
  </sheetData>
  <sheetProtection selectLockedCells="1"/>
  <mergeCells count="89">
    <mergeCell ref="Q10:S10"/>
    <mergeCell ref="X5:Z5"/>
    <mergeCell ref="AA5:AB5"/>
    <mergeCell ref="AA4:AB4"/>
    <mergeCell ref="J13:O13"/>
    <mergeCell ref="U13:W13"/>
    <mergeCell ref="X13:AB13"/>
    <mergeCell ref="U11:W11"/>
    <mergeCell ref="X11:AB11"/>
    <mergeCell ref="Q13:T13"/>
    <mergeCell ref="K15:O15"/>
    <mergeCell ref="J16:M16"/>
    <mergeCell ref="N16:O16"/>
    <mergeCell ref="J17:M17"/>
    <mergeCell ref="N17:O17"/>
    <mergeCell ref="D25:G25"/>
    <mergeCell ref="I25:J25"/>
    <mergeCell ref="L25:O25"/>
    <mergeCell ref="H21:J21"/>
    <mergeCell ref="K21:O21"/>
    <mergeCell ref="D23:G23"/>
    <mergeCell ref="H23:J23"/>
    <mergeCell ref="K23:O23"/>
    <mergeCell ref="D24:G24"/>
    <mergeCell ref="H24:J24"/>
    <mergeCell ref="K24:O24"/>
    <mergeCell ref="D30:G30"/>
    <mergeCell ref="H30:J30"/>
    <mergeCell ref="K30:O30"/>
    <mergeCell ref="D26:G26"/>
    <mergeCell ref="H26:J26"/>
    <mergeCell ref="K26:O26"/>
    <mergeCell ref="D27:G27"/>
    <mergeCell ref="H27:J27"/>
    <mergeCell ref="K27:O27"/>
    <mergeCell ref="D28:G28"/>
    <mergeCell ref="H28:J28"/>
    <mergeCell ref="D29:G29"/>
    <mergeCell ref="H29:J29"/>
    <mergeCell ref="K29:O29"/>
    <mergeCell ref="D31:G31"/>
    <mergeCell ref="H31:J31"/>
    <mergeCell ref="K31:O31"/>
    <mergeCell ref="Q32:R32"/>
    <mergeCell ref="D35:G35"/>
    <mergeCell ref="H35:J35"/>
    <mergeCell ref="K35:O35"/>
    <mergeCell ref="D32:G32"/>
    <mergeCell ref="H32:J32"/>
    <mergeCell ref="K32:O32"/>
    <mergeCell ref="D33:G33"/>
    <mergeCell ref="H33:J33"/>
    <mergeCell ref="K33:O33"/>
    <mergeCell ref="Q35:R35"/>
    <mergeCell ref="W32:X32"/>
    <mergeCell ref="Q19:T19"/>
    <mergeCell ref="U19:W19"/>
    <mergeCell ref="X19:AB19"/>
    <mergeCell ref="S32:T32"/>
    <mergeCell ref="AA22:AB22"/>
    <mergeCell ref="X20:AB21"/>
    <mergeCell ref="U22:V22"/>
    <mergeCell ref="T23:V23"/>
    <mergeCell ref="W23:X23"/>
    <mergeCell ref="U20:W21"/>
    <mergeCell ref="X22:Z22"/>
    <mergeCell ref="T24:V24"/>
    <mergeCell ref="W24:X24"/>
    <mergeCell ref="S35:T35"/>
    <mergeCell ref="U35:V35"/>
    <mergeCell ref="Q33:R33"/>
    <mergeCell ref="S33:T33"/>
    <mergeCell ref="Q34:R34"/>
    <mergeCell ref="S34:T34"/>
    <mergeCell ref="Q14:T14"/>
    <mergeCell ref="U14:W14"/>
    <mergeCell ref="X14:AB14"/>
    <mergeCell ref="Q17:T17"/>
    <mergeCell ref="U17:W17"/>
    <mergeCell ref="X17:AB17"/>
    <mergeCell ref="Q18:T18"/>
    <mergeCell ref="U18:W18"/>
    <mergeCell ref="X18:AB18"/>
    <mergeCell ref="Q15:T15"/>
    <mergeCell ref="U15:W15"/>
    <mergeCell ref="X15:AB15"/>
    <mergeCell ref="Q16:T16"/>
    <mergeCell ref="U16:W16"/>
    <mergeCell ref="X16:AB16"/>
  </mergeCells>
  <conditionalFormatting sqref="G13">
    <cfRule type="expression" dxfId="195" priority="14">
      <formula>$G$13=""</formula>
    </cfRule>
  </conditionalFormatting>
  <conditionalFormatting sqref="H23:O24">
    <cfRule type="cellIs" dxfId="194" priority="13" operator="equal">
      <formula>$H$22</formula>
    </cfRule>
  </conditionalFormatting>
  <conditionalFormatting sqref="H27:O27">
    <cfRule type="cellIs" dxfId="193" priority="12" operator="equal">
      <formula>$H$22</formula>
    </cfRule>
  </conditionalFormatting>
  <conditionalFormatting sqref="H29:O33">
    <cfRule type="cellIs" dxfId="192" priority="11" operator="equal">
      <formula>$H$22</formula>
    </cfRule>
  </conditionalFormatting>
  <conditionalFormatting sqref="I25:J25">
    <cfRule type="expression" dxfId="191" priority="10">
      <formula>$H$25="Non"</formula>
    </cfRule>
  </conditionalFormatting>
  <conditionalFormatting sqref="J17:O17">
    <cfRule type="expression" dxfId="190" priority="3">
      <formula>$N$17=0</formula>
    </cfRule>
  </conditionalFormatting>
  <conditionalFormatting sqref="K14:O14">
    <cfRule type="cellIs" dxfId="189" priority="8" operator="equal">
      <formula>$W$32</formula>
    </cfRule>
  </conditionalFormatting>
  <conditionalFormatting sqref="L25:O25">
    <cfRule type="expression" dxfId="187" priority="9">
      <formula>$K$25="Non"</formula>
    </cfRule>
  </conditionalFormatting>
  <conditionalFormatting sqref="T4">
    <cfRule type="expression" dxfId="186" priority="15">
      <formula>$B$5-$T$4&gt;7</formula>
    </cfRule>
  </conditionalFormatting>
  <conditionalFormatting sqref="U13:AB19">
    <cfRule type="cellIs" dxfId="185" priority="2" operator="equal">
      <formula>""</formula>
    </cfRule>
  </conditionalFormatting>
  <dataValidations count="1">
    <dataValidation type="list" allowBlank="1" showInputMessage="1" showErrorMessage="1" sqref="K25 H25 G16" xr:uid="{826AECD5-1566-4170-AD5A-619A843D067D}">
      <formula1>"Oui,Non"</formula1>
    </dataValidation>
  </dataValidation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pinner 1">
              <controlPr locked="0" defaultSize="0" autoPict="0">
                <anchor moveWithCells="1" sizeWithCells="1">
                  <from>
                    <xdr:col>7</xdr:col>
                    <xdr:colOff>45720</xdr:colOff>
                    <xdr:row>14</xdr:row>
                    <xdr:rowOff>0</xdr:rowOff>
                  </from>
                  <to>
                    <xdr:col>7</xdr:col>
                    <xdr:colOff>259080</xdr:colOff>
                    <xdr:row>15</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7" id="{40EEBCAA-3070-4728-B499-C872F91E2D02}">
            <xm:f>$G$13&lt;&gt;Données!$L$51</xm:f>
            <x14:dxf>
              <font>
                <color theme="0"/>
              </font>
              <fill>
                <patternFill>
                  <bgColor theme="0"/>
                </patternFill>
              </fill>
              <border>
                <left/>
                <right/>
                <bottom/>
                <vertical/>
                <horizontal/>
              </border>
            </x14:dxf>
          </x14:cfRule>
          <xm:sqref>D16:G16</xm:sqref>
        </x14:conditionalFormatting>
        <x14:conditionalFormatting xmlns:xm="http://schemas.microsoft.com/office/excel/2006/main">
          <x14:cfRule type="expression" priority="4" id="{6D295021-B1B5-4A5C-9F8B-DF52767ED66A}">
            <xm:f>$G$13&lt;&gt;Données!$L$50</xm:f>
            <x14:dxf>
              <font>
                <color theme="0"/>
              </font>
              <fill>
                <patternFill>
                  <bgColor theme="0"/>
                </patternFill>
              </fill>
              <border>
                <right/>
                <top/>
                <bottom/>
                <vertical/>
                <horizontal/>
              </border>
            </x14:dxf>
          </x14:cfRule>
          <xm:sqref>K21:O35</xm:sqref>
        </x14:conditionalFormatting>
        <x14:conditionalFormatting xmlns:xm="http://schemas.microsoft.com/office/excel/2006/main">
          <x14:cfRule type="expression" priority="1" id="{818D4EBE-E547-4AEA-A7CD-2B6B4FEC1BA7}">
            <xm:f>$G$13&lt;&gt;Données!$L$50</xm:f>
            <x14:dxf>
              <font>
                <color theme="0"/>
              </font>
              <fill>
                <patternFill>
                  <bgColor theme="0"/>
                </patternFill>
              </fill>
              <border>
                <right/>
                <top/>
                <bottom/>
                <vertical/>
                <horizontal/>
              </border>
            </x14:dxf>
          </x14:cfRule>
          <xm:sqref>X11:AB19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E661F4D-42FF-4D3D-9BEF-1DCC9AB521BB}">
          <x14:formula1>
            <xm:f>Données!$L$50:$L$51</xm:f>
          </x14:formula1>
          <xm:sqref>G13</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2D252-3CB9-478A-953D-C4C5A4A3D3EA}">
  <sheetPr codeName="Feuil28">
    <tabColor theme="9" tint="0.59999389629810485"/>
  </sheetPr>
  <dimension ref="A4:T39"/>
  <sheetViews>
    <sheetView showGridLines="0" showRowColHeaders="0" zoomScale="123" zoomScaleNormal="123" workbookViewId="0">
      <selection activeCell="J19" sqref="J19:K19"/>
    </sheetView>
  </sheetViews>
  <sheetFormatPr baseColWidth="10" defaultRowHeight="14.4"/>
  <cols>
    <col min="2" max="2" width="9.33203125" customWidth="1"/>
    <col min="3" max="3" width="6.6640625" customWidth="1"/>
    <col min="4" max="4" width="19.44140625" customWidth="1"/>
    <col min="5" max="6" width="10.6640625" customWidth="1"/>
    <col min="7" max="7" width="19.44140625" customWidth="1"/>
    <col min="8" max="9" width="10.5546875" customWidth="1"/>
    <col min="10" max="10" width="6" customWidth="1"/>
    <col min="11" max="11" width="4.109375" customWidth="1"/>
    <col min="12" max="12" width="5" customWidth="1"/>
    <col min="13" max="13" width="19.44140625" customWidth="1"/>
    <col min="14" max="15" width="10.5546875" customWidth="1"/>
    <col min="16" max="16" width="19.44140625" customWidth="1"/>
    <col min="17" max="18" width="10.5546875" customWidth="1"/>
    <col min="19" max="27" width="3.44140625" customWidth="1"/>
  </cols>
  <sheetData>
    <row r="4" spans="1:20">
      <c r="Q4" s="44" t="s">
        <v>88</v>
      </c>
      <c r="R4" s="257">
        <f ca="1">Données!F4</f>
        <v>2026</v>
      </c>
      <c r="T4" s="258"/>
    </row>
    <row r="5" spans="1:20">
      <c r="B5" s="1">
        <f ca="1">TODAY()</f>
        <v>46023</v>
      </c>
      <c r="Q5" s="44" t="s">
        <v>121</v>
      </c>
      <c r="R5" s="257">
        <f ca="1">R4-1</f>
        <v>2025</v>
      </c>
    </row>
    <row r="9" spans="1:20">
      <c r="Q9" s="278" t="s">
        <v>234</v>
      </c>
      <c r="R9" s="279">
        <f ca="1">J13</f>
        <v>2025</v>
      </c>
    </row>
    <row r="10" spans="1:20">
      <c r="Q10" s="888">
        <f ca="1">VLOOKUP(J13,Données!$D$50:$E$56,2)</f>
        <v>47100</v>
      </c>
      <c r="R10" s="889"/>
    </row>
    <row r="12" spans="1:20" ht="15" customHeight="1">
      <c r="A12" s="199"/>
      <c r="B12" s="199"/>
    </row>
    <row r="13" spans="1:20" ht="15" thickBot="1">
      <c r="A13" s="199"/>
      <c r="B13" s="199"/>
      <c r="D13" s="833" t="s">
        <v>229</v>
      </c>
      <c r="E13" s="833"/>
      <c r="F13" s="833"/>
      <c r="G13" s="163">
        <f ca="1">R4</f>
        <v>2026</v>
      </c>
      <c r="H13" s="876" t="s">
        <v>126</v>
      </c>
      <c r="I13" s="876"/>
      <c r="J13" s="877">
        <f ca="1">G13-1</f>
        <v>2025</v>
      </c>
      <c r="K13" s="877"/>
      <c r="N13" s="167" t="s">
        <v>238</v>
      </c>
      <c r="O13" s="890" t="s">
        <v>1490</v>
      </c>
      <c r="P13" s="890"/>
    </row>
    <row r="14" spans="1:20" ht="15.6" thickTop="1" thickBot="1">
      <c r="A14" s="199"/>
      <c r="B14" s="199"/>
      <c r="M14" s="287" t="s">
        <v>241</v>
      </c>
      <c r="N14" s="288">
        <f ca="1">IF(O14-Q10&lt;=0,0,IF(O14&lt;='Synthèse décla'!$Q$10,0,IF(O14&lt;=8*'Synthèse décla'!$Q$10,(O14-'Synthèse décla'!$Q$10)*0.15,((8*'Synthèse décla'!$Q$10)-'Synthèse décla'!$Q$10)*0.15)))</f>
        <v>0</v>
      </c>
      <c r="O14" s="289">
        <f>IF('Décla N-1'!H24-'Décla N-1'!H26+'Décla N-1'!H29&lt;0,0,'Décla N-1'!H24-'Décla N-1'!H26+'Décla N-1'!H29)</f>
        <v>0</v>
      </c>
      <c r="P14" s="289">
        <f>IF('Décla N-1'!K24-'Décla N-1'!K26+'Décla N-1'!K29&lt;0,0,'Décla N-1'!K24-'Décla N-1'!K26+'Décla N-1'!K29)</f>
        <v>0</v>
      </c>
      <c r="Q14" s="290">
        <f ca="1">IF(P14-Q10&lt;=0,0,IF(P14&lt;='Synthèse décla'!$Q$10,0,IF(P14&lt;=8*'Synthèse décla'!$Q$10,(P14-'Synthèse décla'!$Q$10)*0.15,((8*'Synthèse décla'!$Q$10)-'Synthèse décla'!$Q$10)*0.15)))</f>
        <v>0</v>
      </c>
      <c r="R14" s="290" t="s">
        <v>242</v>
      </c>
    </row>
    <row r="15" spans="1:20">
      <c r="A15" s="199"/>
      <c r="B15" s="199"/>
      <c r="D15" s="169" t="s">
        <v>157</v>
      </c>
      <c r="E15" s="170"/>
      <c r="F15" s="170"/>
      <c r="G15" s="170"/>
      <c r="H15" s="171" t="s">
        <v>89</v>
      </c>
      <c r="I15" s="171"/>
      <c r="J15" s="882" t="s">
        <v>90</v>
      </c>
      <c r="K15" s="883"/>
      <c r="M15" s="891" t="s">
        <v>155</v>
      </c>
      <c r="N15" s="891"/>
      <c r="O15" s="891"/>
      <c r="P15" s="892" t="s">
        <v>156</v>
      </c>
      <c r="Q15" s="891"/>
      <c r="R15" s="891"/>
    </row>
    <row r="16" spans="1:20">
      <c r="A16" s="199"/>
      <c r="B16" s="199"/>
      <c r="D16" s="865" t="s">
        <v>250</v>
      </c>
      <c r="E16" s="865"/>
      <c r="F16" s="865"/>
      <c r="G16" s="865"/>
      <c r="H16" s="178">
        <f>'Décla N-1'!U13</f>
        <v>0</v>
      </c>
      <c r="I16" s="176" t="s">
        <v>158</v>
      </c>
      <c r="J16" s="868">
        <f>'Décla N-1'!X13</f>
        <v>0</v>
      </c>
      <c r="K16" s="869"/>
      <c r="M16" s="172" t="s">
        <v>149</v>
      </c>
      <c r="N16" s="173">
        <f>'Décla N-1'!H24+'Décla N-1'!H29</f>
        <v>0</v>
      </c>
      <c r="P16" s="193" t="s">
        <v>149</v>
      </c>
      <c r="Q16" s="173">
        <f>'Décla N-1'!K24+'Décla N-1'!K29</f>
        <v>0</v>
      </c>
    </row>
    <row r="17" spans="1:18">
      <c r="A17" s="199"/>
      <c r="B17" s="199"/>
      <c r="D17" s="865" t="s">
        <v>164</v>
      </c>
      <c r="E17" s="865"/>
      <c r="F17" s="865"/>
      <c r="G17" s="865"/>
      <c r="H17" s="178">
        <f>'Décla N-1'!U14</f>
        <v>0</v>
      </c>
      <c r="I17" s="176" t="s">
        <v>159</v>
      </c>
      <c r="J17" s="868">
        <f>'Décla N-1'!X14</f>
        <v>0</v>
      </c>
      <c r="K17" s="869"/>
      <c r="M17" s="191" t="s">
        <v>150</v>
      </c>
      <c r="N17" s="186">
        <f>N16+N18+N19+'Décla N-1'!U19</f>
        <v>0</v>
      </c>
      <c r="P17" s="194" t="s">
        <v>150</v>
      </c>
      <c r="Q17" s="186">
        <f>Q16+Q18+Q19+'Décla N-1'!X19</f>
        <v>0</v>
      </c>
    </row>
    <row r="18" spans="1:18">
      <c r="D18" s="865" t="s">
        <v>165</v>
      </c>
      <c r="E18" s="865"/>
      <c r="F18" s="865"/>
      <c r="G18" s="865"/>
      <c r="H18" s="179"/>
      <c r="I18" s="176" t="s">
        <v>160</v>
      </c>
      <c r="J18" s="880"/>
      <c r="K18" s="881"/>
      <c r="M18" s="192" t="s">
        <v>233</v>
      </c>
      <c r="N18" s="186">
        <f>'Décla N-1'!U18</f>
        <v>0</v>
      </c>
      <c r="O18" s="174"/>
      <c r="P18" s="195" t="s">
        <v>232</v>
      </c>
      <c r="Q18" s="186">
        <f>'Décla N-1'!$X$18</f>
        <v>0</v>
      </c>
      <c r="R18" s="174"/>
    </row>
    <row r="19" spans="1:18" ht="15" thickBot="1">
      <c r="D19" s="865" t="s">
        <v>168</v>
      </c>
      <c r="E19" s="865"/>
      <c r="F19" s="865"/>
      <c r="G19" s="865"/>
      <c r="H19" s="175" t="s">
        <v>170</v>
      </c>
      <c r="I19" s="177" t="s">
        <v>172</v>
      </c>
      <c r="J19" s="866" t="s">
        <v>94</v>
      </c>
      <c r="K19" s="867"/>
      <c r="L19" s="339" t="str">
        <f>IF('Décla N-1'!G13=Données!L51,"",IF(J19="Oui","",IF(OR(J17+J16&gt;J34,H16+H17&gt;I34),"?","")))</f>
        <v/>
      </c>
      <c r="M19" s="192" t="s">
        <v>153</v>
      </c>
      <c r="N19" s="186">
        <f>'Décla N-1'!U17</f>
        <v>0</v>
      </c>
      <c r="O19" s="174"/>
      <c r="P19" s="195" t="s">
        <v>153</v>
      </c>
      <c r="Q19" s="186">
        <f>'Décla N-1'!$X$17</f>
        <v>0</v>
      </c>
      <c r="R19" s="174"/>
    </row>
    <row r="20" spans="1:18" ht="15" thickBot="1">
      <c r="D20" s="865" t="s">
        <v>169</v>
      </c>
      <c r="E20" s="865"/>
      <c r="F20" s="865"/>
      <c r="G20" s="865"/>
      <c r="H20" s="175" t="s">
        <v>170</v>
      </c>
      <c r="I20" s="177" t="s">
        <v>171</v>
      </c>
      <c r="J20" s="868"/>
      <c r="K20" s="869"/>
      <c r="M20" s="196" t="s">
        <v>154</v>
      </c>
      <c r="N20" s="183">
        <f ca="1">N21+N22</f>
        <v>0</v>
      </c>
      <c r="O20" s="174"/>
      <c r="P20" s="197" t="s">
        <v>154</v>
      </c>
      <c r="Q20" s="183">
        <f ca="1">Q21+Q22</f>
        <v>0</v>
      </c>
      <c r="R20" s="174"/>
    </row>
    <row r="21" spans="1:18">
      <c r="D21" s="865" t="s">
        <v>166</v>
      </c>
      <c r="E21" s="865"/>
      <c r="F21" s="865"/>
      <c r="G21" s="865"/>
      <c r="H21" s="198">
        <f ca="1">IF(O13="Interprétation recalcul sur Revenu Brut Global",MAX(0,IF(IF(N18&lt;N14,0,N18-N14)&gt;0,N19,(N19+N18)-N14)),MAX(0,IF(IF(N18&lt;N21,0,N18-N21)&gt;0,N19,(N19+N18)-N21)))</f>
        <v>0</v>
      </c>
      <c r="I21" s="176" t="s">
        <v>161</v>
      </c>
      <c r="J21" s="870">
        <f ca="1">IF(O13="Interprétation recalcul sur Revenu Brut Global",MAX(0,IF(IF(Q18&lt;Q14,0,Q18-Q14)&gt;0,Q19,(Q19+Q18)-Q14)),MAX(0,IF(IF(Q18&lt;Q21,0,Q18-Q21)&gt;0,Q19,(Q19+Q18)-Q21)))</f>
        <v>0</v>
      </c>
      <c r="K21" s="871"/>
      <c r="M21" s="187" t="s">
        <v>152</v>
      </c>
      <c r="N21" s="185">
        <f ca="1">IF(N17&lt;='Synthèse décla'!$Q$10,0,IF(N17&lt;=8*'Synthèse décla'!$Q$10,(N17-'Synthèse décla'!$Q$10)*0.15,((8*'Synthèse décla'!$Q$10)-'Synthèse décla'!$Q$10)*0.15))</f>
        <v>0</v>
      </c>
      <c r="O21" s="188">
        <f ca="1">IF((N18+N19)&gt;=N21,0,N21-(N18+N19))</f>
        <v>0</v>
      </c>
      <c r="P21" s="187" t="s">
        <v>152</v>
      </c>
      <c r="Q21" s="185">
        <f ca="1">IF(Q17&lt;='Synthèse décla'!$Q$10,0,IF(Q17&lt;=8*'Synthèse décla'!$Q$10,(Q17-'Synthèse décla'!$Q$10)*0.15,((8*'Synthèse décla'!$Q$10)-'Synthèse décla'!$Q$10)*0.15))</f>
        <v>0</v>
      </c>
      <c r="R21" s="188">
        <f ca="1">IF((Q18+Q19)&gt;=Q21,0,Q21-(Q18+Q19))</f>
        <v>0</v>
      </c>
    </row>
    <row r="22" spans="1:18" ht="15" thickBot="1">
      <c r="D22" s="865" t="s">
        <v>167</v>
      </c>
      <c r="E22" s="865"/>
      <c r="F22" s="865"/>
      <c r="G22" s="865"/>
      <c r="H22" s="198">
        <f ca="1">IF(O13="Interprétation recalcul sur Revenu Brut Global",'Décla N-1'!U16+'Décla N-1'!U15+IF(N18&lt;N14,0,N18-N14),'Décla N-1'!U16+'Décla N-1'!U15+IF(N18&lt;N21,0,N18-N21))</f>
        <v>0</v>
      </c>
      <c r="I22" s="176" t="s">
        <v>162</v>
      </c>
      <c r="J22" s="870">
        <f ca="1">IF(O13="Interprétation recalcul sur Revenu Brut Global",'Décla N-1'!X16+'Décla N-1'!X15+IF(Q18&lt;Q14,0,Q18-Q14),'Décla N-1'!X16+'Décla N-1'!X15+IF(Q18&lt;Q21,0,Q18-Q21))</f>
        <v>0</v>
      </c>
      <c r="K22" s="871"/>
      <c r="M22" s="187" t="s">
        <v>151</v>
      </c>
      <c r="N22" s="184">
        <f>IF(N16=0,0,IF(N17&lt;='Synthèse décla'!$Q$10,0.1*'Synthèse décla'!$Q$10,IF(N17&lt;=8*'Synthèse décla'!$Q$10,N17*0.1,8*'Synthèse décla'!$Q$10*0.1)))</f>
        <v>0</v>
      </c>
      <c r="O22" s="189">
        <f>IF(N16=0,0,IF(('Décla N-1'!U15+'Décla N-1'!U16)&gt;=N22,IF((N18+N19)&gt;N21,N22-(MAX(0,IF(IF(N18&lt;N21,0,N18-N21)&gt;0,N19,(N19+N18)-N21)))-('Décla N-1'!U16+'Décla N-1'!U15+IF(N18&lt;N21,0,N18-N21)),0),N22-(MAX(0,IF(IF(N18&lt;N21,0,N18-N21)&gt;0,N19,(N19+N18)-N21)))-('Décla N-1'!U16+'Décla N-1'!U15+IF(N18&lt;N21,0,N18-N21))))</f>
        <v>0</v>
      </c>
      <c r="P22" s="187" t="s">
        <v>151</v>
      </c>
      <c r="Q22" s="184">
        <f>IF(Q16=0,0,IF(Q17&lt;='Synthèse décla'!$Q$10,0.1*'Synthèse décla'!$Q$10,IF(Q17&lt;=8*'Synthèse décla'!$Q$10,Q17*0.1,8*'Synthèse décla'!$Q$10*0.1)))</f>
        <v>0</v>
      </c>
      <c r="R22" s="189">
        <f>IF(Q16=0,0,IF(('Décla N-1'!X15+'Décla N-1'!X16)&gt;=Q22,IF((Q18+Q19)&gt;Q21,Q22-(MAX(0,IF(IF(Q18&lt;Q21,0,Q18-Q21)&gt;0,Q19,(Q19+Q18)-Q21)))-('Décla N-1'!X16+'Décla N-1'!X15+IF(Q18&lt;Q21,0,Q18-Q21)),0),Q22-(MAX(0,IF(IF(Q18&lt;Q21,0,Q18-Q21)&gt;0,Q19,(Q19+Q18)-Q21)))-('Décla N-1'!X16+'Décla N-1'!X15+IF(Q18&lt;Q21,0,Q18-Q21))))</f>
        <v>0</v>
      </c>
    </row>
    <row r="23" spans="1:18" ht="15" thickBot="1">
      <c r="M23" s="887" t="s">
        <v>183</v>
      </c>
      <c r="N23" s="886"/>
      <c r="O23" s="190">
        <f ca="1">O21+O22</f>
        <v>0</v>
      </c>
      <c r="P23" s="885" t="s">
        <v>163</v>
      </c>
      <c r="Q23" s="886"/>
      <c r="R23" s="190">
        <f ca="1">R21+R22</f>
        <v>0</v>
      </c>
    </row>
    <row r="24" spans="1:18">
      <c r="M24" s="894" t="str">
        <f ca="1">IF(O23&lt;0,"Réintégration fiscale à opérer","")</f>
        <v/>
      </c>
      <c r="N24" s="894"/>
      <c r="O24" s="894"/>
      <c r="P24" s="894" t="str">
        <f ca="1">IF('Décla N-1'!G13=Données!L51,"",IF(R23&lt;0,"Réintégration fiscale à opérer",""))</f>
        <v/>
      </c>
      <c r="Q24" s="894"/>
      <c r="R24" s="894"/>
    </row>
    <row r="25" spans="1:18" ht="15" thickBot="1">
      <c r="D25" s="879" t="s">
        <v>231</v>
      </c>
      <c r="E25" s="879"/>
      <c r="F25" s="879"/>
      <c r="G25" s="879"/>
      <c r="H25" s="879"/>
      <c r="I25" s="879"/>
      <c r="J25" s="879"/>
      <c r="K25" s="879"/>
    </row>
    <row r="26" spans="1:18" ht="9.75" customHeight="1" thickTop="1">
      <c r="D26" s="48"/>
      <c r="E26" s="48"/>
      <c r="F26" s="48"/>
      <c r="G26" s="48"/>
      <c r="H26" s="48"/>
      <c r="I26" s="48"/>
      <c r="J26" s="48"/>
      <c r="K26" s="48"/>
    </row>
    <row r="27" spans="1:18" ht="15" thickBot="1">
      <c r="D27" s="878" t="s">
        <v>230</v>
      </c>
      <c r="E27" s="878"/>
      <c r="F27" s="269">
        <f ca="1">G13</f>
        <v>2026</v>
      </c>
      <c r="G27" s="182"/>
      <c r="H27" s="182"/>
      <c r="I27" s="182"/>
      <c r="J27" s="180"/>
      <c r="K27" s="180"/>
      <c r="L27" s="181"/>
    </row>
    <row r="28" spans="1:18" ht="12" customHeight="1" thickTop="1">
      <c r="D28" s="146" t="s">
        <v>127</v>
      </c>
      <c r="E28" s="146"/>
      <c r="F28" s="146"/>
      <c r="G28" s="146"/>
      <c r="H28" s="283" t="s">
        <v>173</v>
      </c>
      <c r="I28" s="284">
        <f>H16+H17</f>
        <v>0</v>
      </c>
      <c r="J28" s="860">
        <f>J16+J17</f>
        <v>0</v>
      </c>
      <c r="K28" s="861"/>
      <c r="L28" s="174"/>
      <c r="M28" s="298"/>
      <c r="N28" s="884" t="s">
        <v>235</v>
      </c>
      <c r="O28" s="884"/>
      <c r="P28" s="293"/>
      <c r="Q28" s="893" t="s">
        <v>237</v>
      </c>
      <c r="R28" s="893"/>
    </row>
    <row r="29" spans="1:18" ht="12" customHeight="1">
      <c r="D29" s="853" t="s">
        <v>175</v>
      </c>
      <c r="E29" s="853"/>
      <c r="F29" s="853"/>
      <c r="G29" s="153">
        <f ca="1">F27</f>
        <v>2026</v>
      </c>
      <c r="H29" s="283" t="s">
        <v>174</v>
      </c>
      <c r="I29" s="285">
        <f>I32+J32</f>
        <v>0</v>
      </c>
      <c r="J29" s="862"/>
      <c r="K29" s="859"/>
      <c r="L29" s="174"/>
      <c r="M29" s="298">
        <f>'Avis IR N-2'!L23</f>
        <v>0</v>
      </c>
      <c r="N29" s="298">
        <f>IF(N32=0,0,IF(N32&lt;=M29,0,N32-M29))</f>
        <v>0</v>
      </c>
      <c r="O29" s="299">
        <f>M29-N32</f>
        <v>0</v>
      </c>
      <c r="P29" s="293"/>
      <c r="Q29" s="289" t="s">
        <v>89</v>
      </c>
      <c r="R29" s="289" t="s">
        <v>90</v>
      </c>
    </row>
    <row r="30" spans="1:18" ht="12" customHeight="1">
      <c r="D30" s="853" t="s">
        <v>176</v>
      </c>
      <c r="E30" s="853"/>
      <c r="F30" s="853"/>
      <c r="G30" s="153">
        <f ca="1">G29+1</f>
        <v>2027</v>
      </c>
      <c r="H30" s="283"/>
      <c r="I30" s="286">
        <f>I32-H16-H17</f>
        <v>0</v>
      </c>
      <c r="J30" s="858">
        <f>J32-J16-J17</f>
        <v>0</v>
      </c>
      <c r="K30" s="859"/>
      <c r="L30" s="174"/>
      <c r="M30" s="298">
        <f>'Avis IR N-2'!L24</f>
        <v>0</v>
      </c>
      <c r="N30" s="298">
        <f>IF(N29=0,0,IF(N29&lt;=M30,0,N29-M30))</f>
        <v>0</v>
      </c>
      <c r="O30" s="298">
        <f>M30-N29</f>
        <v>0</v>
      </c>
      <c r="P30" s="293"/>
      <c r="Q30" s="289">
        <f>'Décla N-1'!H23+'Décla N-1'!H24-'Décla N-1'!H26+'Décla N-1'!H29</f>
        <v>0</v>
      </c>
      <c r="R30" s="289">
        <f>'Décla N-1'!K23+'Décla N-1'!K24-'Décla N-1'!K26+'Décla N-1'!K29</f>
        <v>0</v>
      </c>
    </row>
    <row r="31" spans="1:18" ht="12" customHeight="1">
      <c r="D31" s="146"/>
      <c r="E31" s="146"/>
      <c r="F31" s="146"/>
      <c r="G31" s="153"/>
      <c r="H31" s="270"/>
      <c r="I31" s="271" t="s">
        <v>135</v>
      </c>
      <c r="J31" s="872" t="s">
        <v>136</v>
      </c>
      <c r="K31" s="873"/>
      <c r="L31" s="271"/>
      <c r="M31" s="298">
        <f>'Avis IR N-2'!L25</f>
        <v>0</v>
      </c>
      <c r="N31" s="298">
        <f>IF(N30=0,0,IF(N30&lt;=M31,0,N30-M31))</f>
        <v>0</v>
      </c>
      <c r="O31" s="298">
        <f>M31-N30</f>
        <v>0</v>
      </c>
      <c r="P31" s="293"/>
      <c r="Q31" s="300"/>
      <c r="R31" s="300"/>
    </row>
    <row r="32" spans="1:18" ht="12" customHeight="1">
      <c r="D32" s="853" t="s">
        <v>177</v>
      </c>
      <c r="E32" s="853"/>
      <c r="F32" s="853"/>
      <c r="G32" s="153">
        <f ca="1">G29-2</f>
        <v>2024</v>
      </c>
      <c r="H32" s="270"/>
      <c r="I32" s="272">
        <f>'Avis IR N-2'!L28</f>
        <v>0</v>
      </c>
      <c r="J32" s="854">
        <f>IF('Décla N-1'!G13=Données!L51,0,'Avis IR N-2'!M28)</f>
        <v>0</v>
      </c>
      <c r="K32" s="855"/>
      <c r="L32" s="272"/>
      <c r="M32" s="298">
        <f>'Avis IR N-2'!L26</f>
        <v>0</v>
      </c>
      <c r="N32" s="298">
        <f>IF(I34&lt;=M32,IF(OR(J19="Non",J19=""),0,IF(J34&gt;J32,I34+J34-J32-M32,I34-M32)),IF(J19="Non",I34-M32,IF(J34&gt;J32,I34+J34-J32-M32,I34-M32)))</f>
        <v>0</v>
      </c>
      <c r="O32" s="299">
        <f>M32-IF(OR(J19="Non",J19=""),I34,J33-J32+I34)</f>
        <v>0</v>
      </c>
      <c r="P32" s="293"/>
      <c r="Q32" s="893" t="s">
        <v>234</v>
      </c>
      <c r="R32" s="893"/>
    </row>
    <row r="33" spans="4:18" ht="12" customHeight="1">
      <c r="D33" s="853" t="s">
        <v>178</v>
      </c>
      <c r="E33" s="853"/>
      <c r="F33" s="853"/>
      <c r="G33" s="153"/>
      <c r="H33" s="270"/>
      <c r="I33" s="272" t="str">
        <f>IF(AND(I28&gt;=I32,J19="Oui",J30&gt;=0),I32+IF(J30&gt;=(I28-I32),I28-I32,J30),IF(J19="Oui",IF(J28&gt;J32,IF(I30+J30&gt;0,I29-J28,I28),I32),""))</f>
        <v/>
      </c>
      <c r="J33" s="854" t="str">
        <f>IF(AND(J28&gt;=J32,J19="Oui",I30&gt;=0),J32+IF(I30&gt;=(J28-J32),J28-J32,I30),IF(J19="Oui",IF(I28&gt;I32,IF(J30+I30&gt;0,I29-I28,J28),J32),""))</f>
        <v/>
      </c>
      <c r="K33" s="855"/>
      <c r="L33" s="272"/>
      <c r="M33" s="298"/>
      <c r="N33" s="298"/>
      <c r="O33" s="298"/>
      <c r="P33" s="293"/>
      <c r="Q33" s="289">
        <f>Données!D50</f>
        <v>2019</v>
      </c>
      <c r="R33" s="289">
        <f>Données!E50</f>
        <v>40524</v>
      </c>
    </row>
    <row r="34" spans="4:18" ht="12" customHeight="1">
      <c r="D34" s="853" t="s">
        <v>179</v>
      </c>
      <c r="E34" s="853"/>
      <c r="F34" s="853"/>
      <c r="G34" s="153">
        <f ca="1">G32+1</f>
        <v>2025</v>
      </c>
      <c r="H34" s="273"/>
      <c r="I34" s="338">
        <f>IF((H16+H17)&gt;I32,IF(J19="Oui",I33,I32),(H16+H17))</f>
        <v>0</v>
      </c>
      <c r="J34" s="856">
        <f>IF('Décla N-1'!G13=Données!L51,0,IF((J16+J17)&gt;J32,IF(J19="Oui",J33,J32),(J16+J17)))</f>
        <v>0</v>
      </c>
      <c r="K34" s="857"/>
      <c r="L34" s="272"/>
      <c r="M34" s="298"/>
      <c r="N34" s="884" t="s">
        <v>236</v>
      </c>
      <c r="O34" s="884"/>
      <c r="P34" s="293"/>
      <c r="Q34" s="289">
        <f>Données!D51</f>
        <v>2020</v>
      </c>
      <c r="R34" s="289">
        <f>Données!E51</f>
        <v>41136</v>
      </c>
    </row>
    <row r="35" spans="4:18" ht="12" customHeight="1">
      <c r="D35" s="853" t="s">
        <v>180</v>
      </c>
      <c r="E35" s="853"/>
      <c r="F35" s="853"/>
      <c r="G35" s="153">
        <f ca="1">G32-1</f>
        <v>2023</v>
      </c>
      <c r="H35" s="270"/>
      <c r="I35" s="274">
        <f>IF(O30&gt;0,O30,0)</f>
        <v>0</v>
      </c>
      <c r="J35" s="863">
        <f>IF('Décla N-1'!G13=Données!L51,0,IF(O36&gt;0,O36,0))</f>
        <v>0</v>
      </c>
      <c r="K35" s="864"/>
      <c r="L35" s="281"/>
      <c r="M35" s="298">
        <f>'Avis IR N-2'!M23</f>
        <v>0</v>
      </c>
      <c r="N35" s="298">
        <f>IF(N38=0,0,IF(N38&lt;=M35,0,N38-M35))</f>
        <v>0</v>
      </c>
      <c r="O35" s="299">
        <f>M35-N38</f>
        <v>0</v>
      </c>
      <c r="P35" s="293"/>
      <c r="Q35" s="289">
        <f>Données!D52</f>
        <v>2021</v>
      </c>
      <c r="R35" s="289">
        <f>Données!E52</f>
        <v>41136</v>
      </c>
    </row>
    <row r="36" spans="4:18" ht="12" customHeight="1">
      <c r="D36" s="853" t="s">
        <v>180</v>
      </c>
      <c r="E36" s="853"/>
      <c r="F36" s="853"/>
      <c r="G36" s="153">
        <f ca="1">G35+1</f>
        <v>2024</v>
      </c>
      <c r="H36" s="275" t="str">
        <f>"+"</f>
        <v>+</v>
      </c>
      <c r="I36" s="274">
        <f>IF(O31&gt;0,O31,0)</f>
        <v>0</v>
      </c>
      <c r="J36" s="863">
        <f>IF('Décla N-1'!G13=Données!L51,0,IF(O37&gt;0,O37,0))</f>
        <v>0</v>
      </c>
      <c r="K36" s="864"/>
      <c r="L36" s="281"/>
      <c r="M36" s="298">
        <f>'Avis IR N-2'!M24</f>
        <v>0</v>
      </c>
      <c r="N36" s="298">
        <f>IF(N35=0,0,IF(N35&lt;=M36,0,N35-M36))</f>
        <v>0</v>
      </c>
      <c r="O36" s="298">
        <f>M36-N35</f>
        <v>0</v>
      </c>
      <c r="P36" s="293"/>
      <c r="Q36" s="289">
        <f>Données!D53</f>
        <v>2022</v>
      </c>
      <c r="R36" s="289">
        <f>Données!E53</f>
        <v>41136</v>
      </c>
    </row>
    <row r="37" spans="4:18" ht="12" customHeight="1">
      <c r="D37" s="853" t="s">
        <v>180</v>
      </c>
      <c r="E37" s="853"/>
      <c r="F37" s="853"/>
      <c r="G37" s="153">
        <f ca="1">G36+1</f>
        <v>2025</v>
      </c>
      <c r="H37" s="275" t="str">
        <f>"+"</f>
        <v>+</v>
      </c>
      <c r="I37" s="274">
        <f>IF(O32&gt;0,O32,0)</f>
        <v>0</v>
      </c>
      <c r="J37" s="863">
        <f>IF('Décla N-1'!G13=Données!L51,0,IF(O38&gt;0,O38,0))</f>
        <v>0</v>
      </c>
      <c r="K37" s="864"/>
      <c r="L37" s="281"/>
      <c r="M37" s="298">
        <f>'Avis IR N-2'!M25</f>
        <v>0</v>
      </c>
      <c r="N37" s="298">
        <f>IF(N36=0,0,IF(N36&lt;=M37,0,N36-M37))</f>
        <v>0</v>
      </c>
      <c r="O37" s="298">
        <f>M37-N36</f>
        <v>0</v>
      </c>
      <c r="P37" s="293"/>
      <c r="Q37" s="289">
        <f>Données!D54</f>
        <v>2023</v>
      </c>
      <c r="R37" s="289">
        <f>Données!E54</f>
        <v>43992</v>
      </c>
    </row>
    <row r="38" spans="4:18" ht="12" customHeight="1">
      <c r="D38" s="853" t="s">
        <v>181</v>
      </c>
      <c r="E38" s="853"/>
      <c r="F38" s="853"/>
      <c r="G38" s="153">
        <f ca="1">G37</f>
        <v>2025</v>
      </c>
      <c r="H38" s="275" t="str">
        <f>"+"</f>
        <v>+</v>
      </c>
      <c r="I38" s="280">
        <f ca="1">IF(Q30&lt;=(INDEX($Q$33:$R$39,MATCH($G$38,$Q$33:$Q$39,0),2)),INDEX($Q$33:$R$39,MATCH($G$38,$Q$33:$Q$39,0),2)*10%,IF(Q30&gt;(8*(INDEX($Q$33:$R$39,MATCH($G$38,$Q$33:$Q$39,0),2))),(8*(INDEX($Q$33:$R$39,MATCH($G$38,$Q$33:$Q$39,0),2)))*10%,Q30*10%))-IF(IF(Q30&lt;=(INDEX($Q$33:$R$39,MATCH($G$38,$Q$33:$Q$39,0),2)),INDEX($Q$33:$R$39,MATCH($G$38,$Q$33:$Q$39,0),2)*10%,IF(Q30&gt;(8*(INDEX($Q$33:$R$39,MATCH($G$38,$Q$33:$Q$39,0),2))),(8*(INDEX($Q$33:$R$39,MATCH($G$38,$Q$33:$Q$39,0),2)))*10%,Q30*10%))&gt;(H21+H22),(H21+H22),IF(Q30&lt;=(INDEX($Q$33:$R$39,MATCH($G$38,$Q$33:$Q$39,0),2)),INDEX($Q$33:$R$39,MATCH($G$38,$Q$33:$Q$39,0),2)*10%,IF(Q30&gt;(8*(INDEX($Q$33:$R$39,MATCH($G$38,$Q$33:$Q$39,0),2))),(8*(INDEX($Q$33:$R$39,MATCH($G$38,$Q$33:$Q$39,0),2)))*10%,Q30*10%)))</f>
        <v>4710</v>
      </c>
      <c r="J38" s="863">
        <f ca="1">IF('Décla N-1'!G13=Données!L51,0,IF(R30&lt;=(INDEX($Q$33:$R$39,MATCH($G$38,$Q$33:$Q$39,0),2)),INDEX($Q$33:$R$39,MATCH($G$38,$Q$33:$Q$39,0),2)*10%,IF(R30&gt;(8*(INDEX($Q$33:$R$39,MATCH($G$38,$Q$33:$Q$39,0),2))),(8*(INDEX($Q$33:$R$39,MATCH($G$38,$Q$33:$Q$39,0),2)))*10%,R30*10%))-IF(IF(R30&lt;=(INDEX($Q$33:$R$39,MATCH($G$38,$Q$33:$Q$39,0),2)),INDEX($Q$33:$R$39,MATCH($G$38,$Q$33:$Q$39,0),2)*10%,IF(R30&gt;(8*(INDEX($Q$33:$R$39,MATCH($G$38,$Q$33:$Q$39,0),2))),(8*(INDEX($Q$33:$R$39,MATCH($G$38,$Q$33:$Q$39,0),2)))*10%,R30*10%))&gt;(J21+J22),(J21+J22),IF(R30&lt;=(INDEX($Q$33:$R$39,MATCH($G$38,$Q$33:$Q$39,0),2)),INDEX($Q$33:$R$39,MATCH($G$38,$Q$33:$Q$39,0),2)*10%,IF(R30&gt;(8*(INDEX($Q$33:$R$39,MATCH($G$38,$Q$33:$Q$39,0),2))),(8*(INDEX($Q$33:$R$39,MATCH($G$38,$Q$33:$Q$39,0),2)))*10%,R30*10%))))</f>
        <v>4710</v>
      </c>
      <c r="K38" s="864"/>
      <c r="L38" s="281"/>
      <c r="M38" s="298">
        <f>'Avis IR N-2'!M26</f>
        <v>0</v>
      </c>
      <c r="N38" s="298">
        <f>IF(J34&lt;=M38,IF(OR(J19="Non",J19=""),0,IF(I34&gt;I32,I34+J34-I32-M38,J34-M38)),IF(P15="Non",J34-M38,IF(I34&gt;I32,I34+J34-I32-M38,J34-M38)))</f>
        <v>0</v>
      </c>
      <c r="O38" s="299">
        <f>M38-IF(OR(J19="Non",J19=""),J34,I33-I32+J34)</f>
        <v>0</v>
      </c>
      <c r="P38" s="293"/>
      <c r="Q38" s="289">
        <f>Données!D55</f>
        <v>2024</v>
      </c>
      <c r="R38" s="289">
        <f>Données!E55</f>
        <v>46368</v>
      </c>
    </row>
    <row r="39" spans="4:18" ht="12" customHeight="1">
      <c r="D39" s="853" t="s">
        <v>182</v>
      </c>
      <c r="E39" s="853"/>
      <c r="F39" s="853"/>
      <c r="G39" s="153">
        <f ca="1">G37+1</f>
        <v>2026</v>
      </c>
      <c r="H39" s="276" t="str">
        <f>"="</f>
        <v>=</v>
      </c>
      <c r="I39" s="277">
        <f ca="1">SUM(I35:I38)</f>
        <v>4710</v>
      </c>
      <c r="J39" s="874">
        <f ca="1">IF('Décla N-1'!G13=Données!L51,0,SUM(J35:J38))</f>
        <v>4710</v>
      </c>
      <c r="K39" s="875"/>
      <c r="L39" s="282"/>
      <c r="M39" s="293"/>
      <c r="N39" s="293"/>
      <c r="O39" s="293"/>
      <c r="P39" s="293"/>
      <c r="Q39" s="289">
        <f>Données!D56</f>
        <v>2025</v>
      </c>
      <c r="R39" s="289">
        <f>Données!E56</f>
        <v>47100</v>
      </c>
    </row>
  </sheetData>
  <sheetProtection selectLockedCells="1"/>
  <mergeCells count="54">
    <mergeCell ref="N28:O28"/>
    <mergeCell ref="N34:O34"/>
    <mergeCell ref="P23:Q23"/>
    <mergeCell ref="M23:N23"/>
    <mergeCell ref="Q10:R10"/>
    <mergeCell ref="O13:P13"/>
    <mergeCell ref="M15:O15"/>
    <mergeCell ref="P15:R15"/>
    <mergeCell ref="Q28:R28"/>
    <mergeCell ref="Q32:R32"/>
    <mergeCell ref="M24:O24"/>
    <mergeCell ref="P24:R24"/>
    <mergeCell ref="D39:F39"/>
    <mergeCell ref="J39:K39"/>
    <mergeCell ref="H13:I13"/>
    <mergeCell ref="J13:K13"/>
    <mergeCell ref="D13:F13"/>
    <mergeCell ref="D27:E27"/>
    <mergeCell ref="D25:K25"/>
    <mergeCell ref="D16:G16"/>
    <mergeCell ref="J16:K16"/>
    <mergeCell ref="D17:G17"/>
    <mergeCell ref="J17:K17"/>
    <mergeCell ref="D18:G18"/>
    <mergeCell ref="J18:K18"/>
    <mergeCell ref="J15:K15"/>
    <mergeCell ref="J37:K37"/>
    <mergeCell ref="D34:F34"/>
    <mergeCell ref="D37:F37"/>
    <mergeCell ref="D38:F38"/>
    <mergeCell ref="J38:K38"/>
    <mergeCell ref="D19:G19"/>
    <mergeCell ref="J19:K19"/>
    <mergeCell ref="D20:G20"/>
    <mergeCell ref="J20:K20"/>
    <mergeCell ref="D21:G21"/>
    <mergeCell ref="J21:K21"/>
    <mergeCell ref="D22:G22"/>
    <mergeCell ref="J22:K22"/>
    <mergeCell ref="J31:K31"/>
    <mergeCell ref="D36:F36"/>
    <mergeCell ref="J36:K36"/>
    <mergeCell ref="D35:F35"/>
    <mergeCell ref="J35:K35"/>
    <mergeCell ref="D30:F30"/>
    <mergeCell ref="J30:K30"/>
    <mergeCell ref="J28:K28"/>
    <mergeCell ref="D29:F29"/>
    <mergeCell ref="J29:K29"/>
    <mergeCell ref="D32:F32"/>
    <mergeCell ref="J32:K32"/>
    <mergeCell ref="D33:F33"/>
    <mergeCell ref="J33:K33"/>
    <mergeCell ref="J34:K34"/>
  </mergeCells>
  <conditionalFormatting sqref="L19">
    <cfRule type="cellIs" dxfId="181" priority="1" operator="equal">
      <formula>"?"</formula>
    </cfRule>
  </conditionalFormatting>
  <dataValidations count="2">
    <dataValidation type="list" allowBlank="1" showInputMessage="1" showErrorMessage="1" sqref="J19:J20" xr:uid="{6992771A-18A0-4848-8BC4-59B2950F08CF}">
      <formula1>"Oui,Non"</formula1>
    </dataValidation>
    <dataValidation type="list" allowBlank="1" showInputMessage="1" showErrorMessage="1" sqref="O13:P13" xr:uid="{BECC2490-FE09-4DC1-BE69-8912C89F0D8A}">
      <formula1>"Interprétation simple,Interprétation recalcul sur Revenu Brut Global"</formula1>
    </dataValidation>
  </dataValidations>
  <pageMargins left="0.7" right="0.7" top="0.75" bottom="0.75" header="0.3" footer="0.3"/>
  <pageSetup paperSize="9" orientation="portrait" verticalDpi="0"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3" id="{03B0D0A6-722C-4C50-A5D2-98AB2B7A1D6B}">
            <xm:f>'Décla N-1'!$G$13=Données!$L$51</xm:f>
            <x14:dxf>
              <font>
                <color theme="0"/>
              </font>
              <fill>
                <patternFill>
                  <bgColor theme="0"/>
                </patternFill>
              </fill>
              <border>
                <right/>
                <top/>
                <bottom/>
                <vertical/>
                <horizontal/>
              </border>
            </x14:dxf>
          </x14:cfRule>
          <xm:sqref>I15:K22</xm:sqref>
        </x14:conditionalFormatting>
        <x14:conditionalFormatting xmlns:xm="http://schemas.microsoft.com/office/excel/2006/main">
          <x14:cfRule type="expression" priority="2" id="{64C6C062-9831-4E1C-AC8A-3312DA36BC74}">
            <xm:f>'Décla N-1'!$G$13=Données!$L$51</xm:f>
            <x14:dxf>
              <font>
                <color theme="0"/>
              </font>
              <fill>
                <patternFill>
                  <bgColor theme="0"/>
                </patternFill>
              </fill>
              <border>
                <right/>
                <top/>
                <bottom/>
                <vertical/>
                <horizontal/>
              </border>
            </x14:dxf>
          </x14:cfRule>
          <xm:sqref>J28:K39</xm:sqref>
        </x14:conditionalFormatting>
        <x14:conditionalFormatting xmlns:xm="http://schemas.microsoft.com/office/excel/2006/main">
          <x14:cfRule type="expression" priority="6" id="{73AFA307-92EB-4432-9A89-FE3A639FA05C}">
            <xm:f>('Décla N-1'!$H$24+'Décla N-1'!$H$29)=0</xm:f>
            <x14:dxf>
              <font>
                <color theme="0"/>
              </font>
              <fill>
                <patternFill>
                  <bgColor theme="0"/>
                </patternFill>
              </fill>
              <border>
                <left/>
                <top/>
                <bottom/>
                <vertical/>
                <horizontal/>
              </border>
            </x14:dxf>
          </x14:cfRule>
          <xm:sqref>M15:O23</xm:sqref>
        </x14:conditionalFormatting>
        <x14:conditionalFormatting xmlns:xm="http://schemas.microsoft.com/office/excel/2006/main">
          <x14:cfRule type="expression" priority="4" id="{B85DE91C-5C8F-4E66-8D0A-C9A163655457}">
            <xm:f>OR(AND('Décla N-1'!$G$13=Données!$L$51,('Décla N-1'!$H$24+'Décla N-1'!$H$29)=0),('Décla N-1'!$H$24+'Décla N-1'!$K$24+'Décla N-1'!$H$29+'Décla N-1'!$K$29)=0)</xm:f>
            <x14:dxf>
              <font>
                <color theme="0"/>
              </font>
              <fill>
                <patternFill>
                  <bgColor theme="0"/>
                </patternFill>
              </fill>
              <border>
                <left/>
                <right/>
                <top/>
                <bottom/>
                <vertical/>
                <horizontal/>
              </border>
            </x14:dxf>
          </x14:cfRule>
          <xm:sqref>M13:P13</xm:sqref>
        </x14:conditionalFormatting>
        <x14:conditionalFormatting xmlns:xm="http://schemas.microsoft.com/office/excel/2006/main">
          <x14:cfRule type="expression" priority="5" id="{DCCDA181-6264-4A69-AF3F-7ABCF6A83EB3}">
            <xm:f>OR('Décla N-1'!$G$13=Données!$L$51,('Décla N-1'!$K$24+'Décla N-1'!$K$29)=0)</xm:f>
            <x14:dxf>
              <font>
                <color theme="0"/>
              </font>
              <fill>
                <patternFill>
                  <bgColor theme="0"/>
                </patternFill>
              </fill>
              <border>
                <left/>
                <right/>
                <top/>
                <bottom/>
                <vertical/>
                <horizontal/>
              </border>
            </x14:dxf>
          </x14:cfRule>
          <xm:sqref>P15:R23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0C70-1A77-46AE-A366-D17374286C79}">
  <sheetPr codeName="Feuil29">
    <tabColor theme="9" tint="0.59999389629810485"/>
  </sheetPr>
  <dimension ref="A4:AB41"/>
  <sheetViews>
    <sheetView showGridLines="0" showRowColHeaders="0" zoomScale="123" zoomScaleNormal="123" workbookViewId="0">
      <selection activeCell="H30" sqref="H30:J30"/>
    </sheetView>
  </sheetViews>
  <sheetFormatPr baseColWidth="10" defaultRowHeight="14.4"/>
  <cols>
    <col min="2" max="2" width="9.33203125" customWidth="1"/>
    <col min="3" max="3" width="6.6640625" customWidth="1"/>
    <col min="4" max="4" width="16.5546875" bestFit="1" customWidth="1"/>
    <col min="5" max="6" width="1.44140625" customWidth="1"/>
    <col min="7" max="7" width="23.33203125" bestFit="1" customWidth="1"/>
    <col min="8" max="8" width="5" customWidth="1"/>
    <col min="9" max="10" width="10.109375" customWidth="1"/>
    <col min="11" max="12" width="5" customWidth="1"/>
    <col min="13" max="13" width="5.33203125" customWidth="1"/>
    <col min="14" max="14" width="5" customWidth="1"/>
    <col min="15" max="15" width="5.33203125" customWidth="1"/>
    <col min="16" max="16" width="4" customWidth="1"/>
    <col min="17" max="17" width="11.33203125" customWidth="1"/>
    <col min="18" max="20" width="11.5546875" customWidth="1"/>
    <col min="21" max="23" width="5.6640625" customWidth="1"/>
    <col min="24" max="28" width="3.44140625" customWidth="1"/>
  </cols>
  <sheetData>
    <row r="4" spans="1:28">
      <c r="R4" s="2"/>
      <c r="S4" s="3"/>
      <c r="T4" s="4"/>
      <c r="Z4" s="44" t="s">
        <v>88</v>
      </c>
      <c r="AA4" s="850">
        <f ca="1">Données!F4</f>
        <v>2026</v>
      </c>
      <c r="AB4" s="850"/>
    </row>
    <row r="5" spans="1:28">
      <c r="B5" s="1">
        <f ca="1">TODAY()</f>
        <v>46023</v>
      </c>
      <c r="X5" s="849" t="s">
        <v>121</v>
      </c>
      <c r="Y5" s="849"/>
      <c r="Z5" s="849"/>
      <c r="AA5" s="850">
        <f ca="1">AA4-1</f>
        <v>2025</v>
      </c>
      <c r="AB5" s="850"/>
    </row>
    <row r="10" spans="1:28" ht="15" thickBot="1">
      <c r="Q10" s="848" t="s">
        <v>228</v>
      </c>
      <c r="R10" s="848"/>
      <c r="S10" s="848"/>
      <c r="T10" s="256"/>
      <c r="U10" s="256"/>
      <c r="V10" s="256"/>
      <c r="W10" s="256"/>
      <c r="X10" s="256"/>
    </row>
    <row r="11" spans="1:28" ht="15" customHeight="1" thickBot="1">
      <c r="A11" s="199"/>
      <c r="B11" s="199"/>
      <c r="U11" s="851" t="s">
        <v>89</v>
      </c>
      <c r="V11" s="851"/>
      <c r="W11" s="852"/>
      <c r="X11" s="851" t="s">
        <v>90</v>
      </c>
      <c r="Y11" s="851"/>
      <c r="Z11" s="851"/>
      <c r="AA11" s="851"/>
      <c r="AB11" s="851"/>
    </row>
    <row r="12" spans="1:28" ht="15" thickTop="1">
      <c r="A12" s="199"/>
      <c r="B12" s="199"/>
    </row>
    <row r="13" spans="1:28" ht="15" thickBot="1">
      <c r="A13" s="199"/>
      <c r="B13" s="199"/>
      <c r="D13" s="41" t="s">
        <v>42</v>
      </c>
      <c r="E13" s="42"/>
      <c r="F13" s="201"/>
      <c r="G13" s="43"/>
      <c r="J13" s="776" t="s">
        <v>112</v>
      </c>
      <c r="K13" s="776"/>
      <c r="L13" s="776"/>
      <c r="M13" s="776"/>
      <c r="N13" s="776"/>
      <c r="O13" s="776"/>
      <c r="Q13" s="834" t="s">
        <v>144</v>
      </c>
      <c r="R13" s="834"/>
      <c r="S13" s="834"/>
      <c r="T13" s="834"/>
      <c r="U13" s="835"/>
      <c r="V13" s="835"/>
      <c r="W13" s="836"/>
      <c r="X13" s="837"/>
      <c r="Y13" s="835"/>
      <c r="Z13" s="835"/>
      <c r="AA13" s="835"/>
      <c r="AB13" s="835"/>
    </row>
    <row r="14" spans="1:28" ht="15" thickBot="1">
      <c r="A14" s="199"/>
      <c r="B14" s="199"/>
      <c r="J14" s="51" t="s">
        <v>114</v>
      </c>
      <c r="K14" s="124">
        <f>U26</f>
        <v>0</v>
      </c>
      <c r="L14" s="125">
        <f>U27</f>
        <v>0.11</v>
      </c>
      <c r="M14" s="125">
        <f>U28</f>
        <v>0.3</v>
      </c>
      <c r="N14" s="125">
        <f>U29</f>
        <v>0.41</v>
      </c>
      <c r="O14" s="126">
        <f>U30</f>
        <v>0.45</v>
      </c>
      <c r="Q14" s="834" t="s">
        <v>145</v>
      </c>
      <c r="R14" s="834"/>
      <c r="S14" s="834"/>
      <c r="T14" s="834"/>
      <c r="U14" s="835"/>
      <c r="V14" s="835"/>
      <c r="W14" s="836"/>
      <c r="X14" s="837"/>
      <c r="Y14" s="835"/>
      <c r="Z14" s="835"/>
      <c r="AA14" s="835"/>
      <c r="AB14" s="835"/>
    </row>
    <row r="15" spans="1:28" ht="15" thickBot="1">
      <c r="A15" s="199"/>
      <c r="B15" s="199"/>
      <c r="D15" s="41" t="s">
        <v>87</v>
      </c>
      <c r="E15" s="42"/>
      <c r="F15" s="201"/>
      <c r="G15" s="203">
        <f>IF(G13="",0,IF(G13="Célibataire/veuf/divorcé",1,2)+(I15*0.25))</f>
        <v>0</v>
      </c>
      <c r="I15" s="232"/>
      <c r="J15" s="52" t="s">
        <v>116</v>
      </c>
      <c r="K15" s="774">
        <f ca="1">S35</f>
        <v>0</v>
      </c>
      <c r="L15" s="774"/>
      <c r="M15" s="774"/>
      <c r="N15" s="774"/>
      <c r="O15" s="775"/>
      <c r="Q15" s="838" t="s">
        <v>240</v>
      </c>
      <c r="R15" s="838"/>
      <c r="S15" s="838"/>
      <c r="T15" s="838"/>
      <c r="U15" s="835"/>
      <c r="V15" s="835"/>
      <c r="W15" s="836"/>
      <c r="X15" s="837"/>
      <c r="Y15" s="835"/>
      <c r="Z15" s="835"/>
      <c r="AA15" s="835"/>
      <c r="AB15" s="835"/>
    </row>
    <row r="16" spans="1:28" ht="15" thickBot="1">
      <c r="A16" s="199"/>
      <c r="B16" s="199"/>
      <c r="D16" s="44" t="s">
        <v>184</v>
      </c>
      <c r="F16" s="202"/>
      <c r="G16" s="200"/>
      <c r="J16" s="757" t="s">
        <v>185</v>
      </c>
      <c r="K16" s="758"/>
      <c r="L16" s="758"/>
      <c r="M16" s="758"/>
      <c r="N16" s="759">
        <f ca="1">IF(W35&lt;0,0,W35)</f>
        <v>0</v>
      </c>
      <c r="O16" s="760"/>
      <c r="Q16" s="838" t="s">
        <v>239</v>
      </c>
      <c r="R16" s="838"/>
      <c r="S16" s="838"/>
      <c r="T16" s="838"/>
      <c r="U16" s="835"/>
      <c r="V16" s="835"/>
      <c r="W16" s="836"/>
      <c r="X16" s="837"/>
      <c r="Y16" s="835"/>
      <c r="Z16" s="835"/>
      <c r="AA16" s="835"/>
      <c r="AB16" s="835"/>
    </row>
    <row r="17" spans="1:28">
      <c r="A17" s="199"/>
      <c r="B17" s="199"/>
      <c r="J17" s="784" t="str">
        <f>"+CEHR"</f>
        <v>+CEHR</v>
      </c>
      <c r="K17" s="785"/>
      <c r="L17" s="785"/>
      <c r="M17" s="785"/>
      <c r="N17" s="759">
        <f ca="1">IF('Estimation N'!G13=Données!L51,IF('Estimation N'!R23&lt;Données!N13,0,IF('Estimation N'!R23&lt;Données!N14,('Estimation N'!R23-Données!N13)*Données!P14,(('Estimation N'!R23-Données!N14)*Données!P15)+((Données!N14-Données!N13)*Données!P14))),IF('Estimation N'!R23&lt;Données!N14,0,IF('Estimation N'!R23&lt;Données!N15,('Estimation N'!R23-Données!N14)*Données!Q15,(('Estimation N'!R23-Données!N15)*Données!Q16+((Données!N15-Données!N14)*Données!Q15)))))</f>
        <v>0</v>
      </c>
      <c r="O17" s="760"/>
      <c r="Q17" s="834" t="s">
        <v>146</v>
      </c>
      <c r="R17" s="834"/>
      <c r="S17" s="834"/>
      <c r="T17" s="834"/>
      <c r="U17" s="835"/>
      <c r="V17" s="835"/>
      <c r="W17" s="836"/>
      <c r="X17" s="837"/>
      <c r="Y17" s="835"/>
      <c r="Z17" s="835"/>
      <c r="AA17" s="835"/>
      <c r="AB17" s="835"/>
    </row>
    <row r="18" spans="1:28" ht="15" thickBot="1">
      <c r="Q18" s="834" t="s">
        <v>147</v>
      </c>
      <c r="R18" s="834"/>
      <c r="S18" s="834"/>
      <c r="T18" s="834"/>
      <c r="U18" s="835"/>
      <c r="V18" s="835"/>
      <c r="W18" s="836"/>
      <c r="X18" s="837"/>
      <c r="Y18" s="835"/>
      <c r="Z18" s="835"/>
      <c r="AA18" s="835"/>
      <c r="AB18" s="835"/>
    </row>
    <row r="19" spans="1:28" ht="15" thickBot="1">
      <c r="Q19" s="841" t="s">
        <v>148</v>
      </c>
      <c r="R19" s="841"/>
      <c r="S19" s="841"/>
      <c r="T19" s="841"/>
      <c r="U19" s="835"/>
      <c r="V19" s="835"/>
      <c r="W19" s="836"/>
      <c r="X19" s="837"/>
      <c r="Y19" s="835"/>
      <c r="Z19" s="835"/>
      <c r="AA19" s="835"/>
      <c r="AB19" s="835"/>
    </row>
    <row r="20" spans="1:28">
      <c r="T20" s="247"/>
      <c r="U20" s="843" t="str">
        <f>IF(U19&gt;0,"",IF(H24+H29&gt;0,"Attention, la cotisation prévoyance entre dans le calcul du potentiel",""))</f>
        <v/>
      </c>
      <c r="V20" s="843"/>
      <c r="W20" s="843"/>
      <c r="X20" s="843" t="str">
        <f>IF(G13=Données!L51,"",IF(X19&gt;0,"",IF(K24+K29&gt;0,"Attention, la cotisation prévoyance entre dans le calcul du potentiel","")))</f>
        <v/>
      </c>
      <c r="Y20" s="843"/>
      <c r="Z20" s="843"/>
      <c r="AA20" s="843"/>
      <c r="AB20" s="843"/>
    </row>
    <row r="21" spans="1:28" ht="15" thickBot="1">
      <c r="H21" s="779" t="s">
        <v>89</v>
      </c>
      <c r="I21" s="779"/>
      <c r="J21" s="780"/>
      <c r="K21" s="779" t="s">
        <v>90</v>
      </c>
      <c r="L21" s="779"/>
      <c r="M21" s="779"/>
      <c r="N21" s="779"/>
      <c r="O21" s="779"/>
      <c r="Q21" s="42"/>
      <c r="R21" s="42"/>
      <c r="S21" s="42"/>
      <c r="T21" s="42"/>
      <c r="U21" s="844"/>
      <c r="V21" s="844"/>
      <c r="W21" s="844"/>
      <c r="X21" s="844"/>
      <c r="Y21" s="844"/>
      <c r="Z21" s="844"/>
      <c r="AA21" s="844"/>
      <c r="AB21" s="844"/>
    </row>
    <row r="22" spans="1:28" ht="15" thickTop="1">
      <c r="D22" s="47"/>
      <c r="E22" s="47"/>
      <c r="F22" s="47"/>
      <c r="G22" s="47"/>
      <c r="H22" s="47"/>
      <c r="I22" s="47"/>
      <c r="J22" s="47"/>
      <c r="K22" s="47"/>
      <c r="L22" s="47"/>
      <c r="M22" s="47"/>
      <c r="N22" s="47"/>
      <c r="O22" s="47"/>
      <c r="Q22" s="212"/>
      <c r="R22" s="212"/>
      <c r="S22" s="294"/>
      <c r="T22" s="295" t="s">
        <v>104</v>
      </c>
      <c r="U22" s="845">
        <f ca="1">AA4</f>
        <v>2026</v>
      </c>
      <c r="V22" s="845"/>
      <c r="W22" s="212"/>
      <c r="X22" s="212"/>
      <c r="Y22" s="293"/>
      <c r="Z22" s="42"/>
      <c r="AA22" s="42"/>
      <c r="AB22" s="42"/>
    </row>
    <row r="23" spans="1:28">
      <c r="D23" s="791" t="s">
        <v>91</v>
      </c>
      <c r="E23" s="791"/>
      <c r="F23" s="791"/>
      <c r="G23" s="791"/>
      <c r="H23" s="781"/>
      <c r="I23" s="781"/>
      <c r="J23" s="782"/>
      <c r="K23" s="783"/>
      <c r="L23" s="781"/>
      <c r="M23" s="781"/>
      <c r="N23" s="781"/>
      <c r="O23" s="781"/>
      <c r="Q23" s="131" t="s">
        <v>105</v>
      </c>
      <c r="R23" s="261">
        <f ca="1">IF(G13=Données!L51,'Estimation N'!H35,H35+K35)</f>
        <v>0</v>
      </c>
      <c r="S23" s="262">
        <f>G15</f>
        <v>0</v>
      </c>
      <c r="T23" s="778" t="s">
        <v>106</v>
      </c>
      <c r="U23" s="778"/>
      <c r="V23" s="778"/>
      <c r="W23" s="792" t="s">
        <v>107</v>
      </c>
      <c r="X23" s="792"/>
      <c r="Y23" s="267"/>
      <c r="Z23" s="42"/>
      <c r="AA23" s="42"/>
      <c r="AB23" s="42"/>
    </row>
    <row r="24" spans="1:28">
      <c r="D24" s="791" t="s">
        <v>92</v>
      </c>
      <c r="E24" s="791"/>
      <c r="F24" s="791"/>
      <c r="G24" s="791"/>
      <c r="H24" s="781"/>
      <c r="I24" s="781"/>
      <c r="J24" s="782"/>
      <c r="K24" s="783"/>
      <c r="L24" s="781"/>
      <c r="M24" s="781"/>
      <c r="N24" s="781"/>
      <c r="O24" s="781"/>
      <c r="Q24" s="131"/>
      <c r="R24" s="263">
        <f ca="1">IFERROR(R23/S23,0)</f>
        <v>0</v>
      </c>
      <c r="S24" s="263">
        <f ca="1">R23/IF(T24=Données!$L$51,1,2)</f>
        <v>0</v>
      </c>
      <c r="T24" s="778">
        <f>G13</f>
        <v>0</v>
      </c>
      <c r="U24" s="778"/>
      <c r="V24" s="778"/>
      <c r="W24" s="846">
        <f>IF(OR(G16="Non",G16=""),(S23-(IF(T24="Célibataire/veuf/divorcé",1,2)))*(Données!F18*2),IF(T24="Célibataire/veuf/divorcé",IF(S23&lt;=2,(S23-1)*Données!G18,Données!G18+((S23-2)*Données!F18*2)),(S23-(IF(T24="Célibataire/veuf/divorcé",1,2)))*(Données!F18*2)))</f>
        <v>-7164</v>
      </c>
      <c r="X24" s="846"/>
      <c r="Y24" s="267"/>
      <c r="Z24" s="42"/>
      <c r="AA24" s="42"/>
      <c r="AB24" s="42"/>
    </row>
    <row r="25" spans="1:28">
      <c r="D25" s="786" t="s">
        <v>93</v>
      </c>
      <c r="E25" s="786"/>
      <c r="F25" s="786"/>
      <c r="G25" s="786"/>
      <c r="H25" s="46" t="s">
        <v>94</v>
      </c>
      <c r="I25" s="798"/>
      <c r="J25" s="799"/>
      <c r="K25" s="46" t="s">
        <v>94</v>
      </c>
      <c r="L25" s="798"/>
      <c r="M25" s="798"/>
      <c r="N25" s="798"/>
      <c r="O25" s="798"/>
      <c r="Q25" s="131"/>
      <c r="R25" s="131" t="s">
        <v>108</v>
      </c>
      <c r="S25" s="131" t="s">
        <v>109</v>
      </c>
      <c r="T25" s="131" t="s">
        <v>110</v>
      </c>
      <c r="U25" s="131" t="s">
        <v>111</v>
      </c>
      <c r="V25" s="131" t="s">
        <v>1</v>
      </c>
      <c r="W25" s="131" t="s">
        <v>186</v>
      </c>
      <c r="X25" s="131" t="s">
        <v>187</v>
      </c>
      <c r="Y25" s="267"/>
      <c r="Z25" s="42"/>
      <c r="AA25" s="42"/>
      <c r="AB25" s="42"/>
    </row>
    <row r="26" spans="1:28" ht="15" thickBot="1">
      <c r="D26" s="786" t="s">
        <v>95</v>
      </c>
      <c r="E26" s="786"/>
      <c r="F26" s="786"/>
      <c r="G26" s="786"/>
      <c r="H26" s="787">
        <f>IF(H25="Oui",I25,IF((H23+H24)&lt;Données!$G$24,(H23+H24),IF(((H23+H24)*10%)&lt;Données!$G$24,Données!$G$24,IF(((H23+H24)*10%)&lt;Données!$F$24,(H23+H24)*10%,Données!$F$24))))</f>
        <v>0</v>
      </c>
      <c r="I26" s="787"/>
      <c r="J26" s="788"/>
      <c r="K26" s="787">
        <f>IF(K25="Oui",L25,IF((K23+K24)&lt;Données!$G$24,(K23+K24),IF(((K23+K24)*10%)&lt;Données!$G$24,Données!$G$24,IF(((K23+K24)*10%)&lt;Données!$F$24,(K23+K24)*10%,Données!$F$24))))</f>
        <v>0</v>
      </c>
      <c r="L26" s="787"/>
      <c r="M26" s="787"/>
      <c r="N26" s="787"/>
      <c r="O26" s="787"/>
      <c r="Q26" s="131"/>
      <c r="R26" s="263">
        <f ca="1">IF(R24&lt;=T26,R24,0)</f>
        <v>0</v>
      </c>
      <c r="S26" s="263">
        <f ca="1">IF(S24&lt;=T26,S24,0)</f>
        <v>0</v>
      </c>
      <c r="T26" s="263">
        <f>Données!E13</f>
        <v>11498</v>
      </c>
      <c r="U26" s="264">
        <f>Données!F13</f>
        <v>0</v>
      </c>
      <c r="V26" s="263"/>
      <c r="W26" s="263"/>
      <c r="X26" s="259"/>
      <c r="Y26" s="42"/>
      <c r="Z26" s="42"/>
      <c r="AA26" s="42"/>
      <c r="AB26" s="42"/>
    </row>
    <row r="27" spans="1:28" ht="15" thickTop="1">
      <c r="D27" s="789" t="s">
        <v>96</v>
      </c>
      <c r="E27" s="789"/>
      <c r="F27" s="789"/>
      <c r="G27" s="789"/>
      <c r="H27" s="771"/>
      <c r="I27" s="771"/>
      <c r="J27" s="772"/>
      <c r="K27" s="773"/>
      <c r="L27" s="771"/>
      <c r="M27" s="771"/>
      <c r="N27" s="771"/>
      <c r="O27" s="771"/>
      <c r="Q27" s="131"/>
      <c r="R27" s="263">
        <f ca="1">IF(AND(R24&lt;=T27,R24&gt;T26),R24,0)</f>
        <v>0</v>
      </c>
      <c r="S27" s="263">
        <f ca="1">IF(AND(S24&lt;=T27,S24&gt;T26),S24,0)</f>
        <v>0</v>
      </c>
      <c r="T27" s="263">
        <f>Données!E14</f>
        <v>29315</v>
      </c>
      <c r="U27" s="264">
        <f>Données!F14</f>
        <v>0.11</v>
      </c>
      <c r="V27" s="263">
        <f>T26*U27</f>
        <v>1264.78</v>
      </c>
      <c r="W27" s="263">
        <f ca="1">IF(R27&gt;0,(R23*U27)-(V27*S23),0)</f>
        <v>0</v>
      </c>
      <c r="X27" s="263">
        <f ca="1">IF(S27&gt;0,(R23*U27)-(V27*(IF(T24="Célibataire/veuf/divorcé",1,2)))-W24,0)</f>
        <v>0</v>
      </c>
      <c r="Y27" s="265"/>
      <c r="Z27" s="42"/>
      <c r="AA27" s="42"/>
      <c r="AB27" s="42"/>
    </row>
    <row r="28" spans="1:28" ht="15" thickBot="1">
      <c r="D28" s="786" t="s">
        <v>97</v>
      </c>
      <c r="E28" s="786"/>
      <c r="F28" s="786"/>
      <c r="G28" s="786"/>
      <c r="H28" s="800">
        <f>IF((H27+K27)&lt;Données!$G$25,(H27+K27),IF(((H27+K27)*10%)&lt;Données!$G$25,Données!$G$25,IF(((H27+K27)*10%)&lt;Données!$F$25,(H27+K27)*10%,Données!$F$25)))</f>
        <v>0</v>
      </c>
      <c r="I28" s="800"/>
      <c r="J28" s="800"/>
      <c r="K28" s="168"/>
      <c r="L28" s="168"/>
      <c r="M28" s="168"/>
      <c r="N28" s="168"/>
      <c r="O28" s="168"/>
      <c r="Q28" s="131"/>
      <c r="R28" s="263">
        <f ca="1">IF(AND(R24&lt;=T28,R24&gt;T27),R24,0)</f>
        <v>0</v>
      </c>
      <c r="S28" s="263">
        <f ca="1">IF(AND(S24&lt;=T28,S24&gt;T27),S24,0)</f>
        <v>0</v>
      </c>
      <c r="T28" s="263">
        <f>Données!E15</f>
        <v>83823</v>
      </c>
      <c r="U28" s="264">
        <f>Données!F15</f>
        <v>0.3</v>
      </c>
      <c r="V28" s="263">
        <f ca="1">(T26-S26)*U28+(T27-T26)*(U28-U27)</f>
        <v>6834.63</v>
      </c>
      <c r="W28" s="263">
        <f ca="1">IF(R28&gt;0,(R23*U28)-(V28*S23),0)</f>
        <v>0</v>
      </c>
      <c r="X28" s="263">
        <f ca="1">IF(S28&gt;0,(R23*U28)-(V28*(IF(T24="Célibataire/veuf/divorcé",1,2)))-W24,0)</f>
        <v>0</v>
      </c>
      <c r="Y28" s="265"/>
      <c r="Z28" s="42"/>
      <c r="AA28" s="42"/>
      <c r="AB28" s="42"/>
    </row>
    <row r="29" spans="1:28" ht="15.6" thickTop="1" thickBot="1">
      <c r="D29" s="790" t="s">
        <v>98</v>
      </c>
      <c r="E29" s="790"/>
      <c r="F29" s="790"/>
      <c r="G29" s="790"/>
      <c r="H29" s="771"/>
      <c r="I29" s="771"/>
      <c r="J29" s="772"/>
      <c r="K29" s="773"/>
      <c r="L29" s="771"/>
      <c r="M29" s="771"/>
      <c r="N29" s="771"/>
      <c r="O29" s="771"/>
      <c r="Q29" s="131"/>
      <c r="R29" s="263">
        <f ca="1">IF(AND(R24&lt;=T29,R24&gt;T28),R24,0)</f>
        <v>0</v>
      </c>
      <c r="S29" s="263">
        <f ca="1">IF(AND(S24&lt;=T29,S24&gt;T28),S24,0)</f>
        <v>0</v>
      </c>
      <c r="T29" s="263">
        <f>Données!E16</f>
        <v>180294</v>
      </c>
      <c r="U29" s="264">
        <f>Données!F16</f>
        <v>0.41</v>
      </c>
      <c r="V29" s="263">
        <f ca="1">(T26-S26)*U29+(T27-T26)*(U29-U27)+(T28-T27)*(U29-U28)</f>
        <v>16055.159999999998</v>
      </c>
      <c r="W29" s="263">
        <f ca="1">IF(R29&gt;0,(R23*U29)-(V29*S23),0)</f>
        <v>0</v>
      </c>
      <c r="X29" s="263">
        <f ca="1">IF(S29&gt;0,(R23*U29)-(V29*(IF(T24="Célibataire/veuf/divorcé",1,2)))-W24,0)</f>
        <v>0</v>
      </c>
      <c r="Y29" s="42"/>
      <c r="Z29" s="42"/>
      <c r="AA29" s="42"/>
      <c r="AB29" s="42"/>
    </row>
    <row r="30" spans="1:28" ht="15.6" thickTop="1" thickBot="1">
      <c r="D30" s="791" t="s">
        <v>99</v>
      </c>
      <c r="E30" s="791"/>
      <c r="F30" s="791"/>
      <c r="G30" s="791"/>
      <c r="H30" s="771"/>
      <c r="I30" s="771"/>
      <c r="J30" s="772"/>
      <c r="K30" s="773"/>
      <c r="L30" s="771"/>
      <c r="M30" s="771"/>
      <c r="N30" s="771"/>
      <c r="O30" s="771"/>
      <c r="Q30" s="134"/>
      <c r="R30" s="263">
        <f ca="1">IF(R24&gt;T29,R24,0)</f>
        <v>0</v>
      </c>
      <c r="S30" s="263">
        <f ca="1">IF(S24&gt;T29,S24,0)</f>
        <v>0</v>
      </c>
      <c r="T30" s="263">
        <f>Données!E17</f>
        <v>0</v>
      </c>
      <c r="U30" s="264">
        <f>Données!F17</f>
        <v>0.45</v>
      </c>
      <c r="V30" s="263">
        <f ca="1">(T26-S26)*U30+(T27-T26)*(U30-U27)+(T28-T27)*(U30-U28)+(T29-T28)*(U30-U29)</f>
        <v>23266.920000000006</v>
      </c>
      <c r="W30" s="263">
        <f ca="1">IF(R30&gt;0,(R23*U30)-(V30*S23),0)</f>
        <v>0</v>
      </c>
      <c r="X30" s="263">
        <f ca="1">IF(S30&gt;0,(R23*U30)-(V30*(IF(T24="Célibataire/veuf/divorcé",1,2)))-W24,0)</f>
        <v>0</v>
      </c>
      <c r="Y30" s="42"/>
      <c r="Z30" s="42"/>
      <c r="AA30" s="42"/>
      <c r="AB30" s="42"/>
    </row>
    <row r="31" spans="1:28" ht="15" thickTop="1">
      <c r="D31" s="804" t="s">
        <v>100</v>
      </c>
      <c r="E31" s="804"/>
      <c r="F31" s="804"/>
      <c r="G31" s="804"/>
      <c r="H31" s="771"/>
      <c r="I31" s="771"/>
      <c r="J31" s="772"/>
      <c r="K31" s="773"/>
      <c r="L31" s="771"/>
      <c r="M31" s="771"/>
      <c r="N31" s="771"/>
      <c r="O31" s="771"/>
      <c r="Q31" s="53"/>
      <c r="R31" s="266"/>
      <c r="S31" s="260"/>
      <c r="T31" s="259"/>
      <c r="U31" s="259"/>
      <c r="V31" s="259"/>
      <c r="W31" s="263">
        <f ca="1">SUM(W27:W30)</f>
        <v>0</v>
      </c>
      <c r="X31" s="263">
        <f ca="1">SUM(X27:X30)</f>
        <v>0</v>
      </c>
      <c r="Y31" s="42"/>
      <c r="Z31" s="42"/>
      <c r="AA31" s="42"/>
      <c r="AB31" s="42"/>
    </row>
    <row r="32" spans="1:28">
      <c r="D32" s="786" t="s">
        <v>227</v>
      </c>
      <c r="E32" s="786"/>
      <c r="F32" s="786"/>
      <c r="G32" s="786"/>
      <c r="H32" s="781"/>
      <c r="I32" s="781"/>
      <c r="J32" s="782"/>
      <c r="K32" s="783"/>
      <c r="L32" s="781"/>
      <c r="M32" s="781"/>
      <c r="N32" s="781"/>
      <c r="O32" s="781"/>
      <c r="Q32" s="765" t="s">
        <v>113</v>
      </c>
      <c r="R32" s="765"/>
      <c r="S32" s="765">
        <f ca="1">IF(W31&lt;=X31,X31,W31)</f>
        <v>0</v>
      </c>
      <c r="T32" s="765"/>
      <c r="U32" s="127"/>
      <c r="V32" s="127" t="s">
        <v>111</v>
      </c>
      <c r="W32" s="797">
        <f ca="1">IF(W31&lt;=X31,IF(X27&gt;0,U27,IF(X28&gt;0,U28,IF(X29&gt;0,U29,IF(X30&gt;0,U30,0)))),IF(W27&gt;0,U27,IF(W28&gt;0,U28,IF(W29&gt;0,U29,IF(W30&gt;0,U30,0)))))</f>
        <v>0</v>
      </c>
      <c r="X32" s="797"/>
      <c r="Y32" s="267"/>
      <c r="Z32" s="42"/>
      <c r="AA32" s="42"/>
      <c r="AB32" s="42"/>
    </row>
    <row r="33" spans="4:28">
      <c r="D33" s="786" t="s">
        <v>102</v>
      </c>
      <c r="E33" s="786"/>
      <c r="F33" s="786"/>
      <c r="G33" s="786"/>
      <c r="H33" s="781"/>
      <c r="I33" s="781"/>
      <c r="J33" s="782"/>
      <c r="K33" s="783"/>
      <c r="L33" s="781"/>
      <c r="M33" s="781"/>
      <c r="N33" s="781"/>
      <c r="O33" s="781"/>
      <c r="Q33" s="765" t="s">
        <v>115</v>
      </c>
      <c r="R33" s="765"/>
      <c r="S33" s="765">
        <f ca="1">IF(S32=0,0,IF(AND(S32&lt;Données!$F$19,T24="Célibataire/veuf/divorcé"),Données!$F$20-(S32*Données!$F$21),IF(AND(S32&lt;Données!$G$19,T24="Marié/pacsé"),Données!$G$20-(S32*Données!$F$21),0)))</f>
        <v>0</v>
      </c>
      <c r="T33" s="765"/>
      <c r="U33" s="127" t="s">
        <v>188</v>
      </c>
      <c r="V33" s="127" t="s">
        <v>189</v>
      </c>
      <c r="W33" s="268" t="s">
        <v>190</v>
      </c>
      <c r="X33" s="268" t="s">
        <v>191</v>
      </c>
      <c r="Y33" s="267"/>
      <c r="Z33" s="42"/>
      <c r="AA33" s="42"/>
      <c r="AB33" s="42"/>
    </row>
    <row r="34" spans="4:28">
      <c r="D34" s="48"/>
      <c r="E34" s="48"/>
      <c r="F34" s="48"/>
      <c r="G34" s="48"/>
      <c r="H34" s="49"/>
      <c r="I34" s="49"/>
      <c r="J34" s="50"/>
      <c r="K34" s="49"/>
      <c r="L34" s="49"/>
      <c r="M34" s="49"/>
      <c r="N34" s="49"/>
      <c r="O34" s="49"/>
      <c r="Q34" s="765" t="s">
        <v>117</v>
      </c>
      <c r="R34" s="765"/>
      <c r="S34" s="840">
        <f ca="1">IF(S32-S33&lt;0,0,S32-S33)</f>
        <v>0</v>
      </c>
      <c r="T34" s="840"/>
      <c r="U34" s="268">
        <f ca="1">IF(W27&gt;0,($R$24-$T$26)*$S$23,IF(W28&gt;0,($R$24-T27)*$S$23,IF(W29&gt;0,($R$24-T28)*$S$23,($R$24-T29)*$S$23)))</f>
        <v>0</v>
      </c>
      <c r="V34" s="268">
        <f ca="1">IF(X27&gt;0,R23-(T26*IF($T$24=Données!$L$50,2,1)),IF(X28&gt;0,R23-(T27*IF($T$24=Données!$L$50,2,1)),IF(X29&gt;0,R23-(T28*IF($T$24=Données!$L$50,2,1)),R23-(T29*IF($T$24=Données!$L$50,2,1)))))</f>
        <v>-180294</v>
      </c>
      <c r="W34" s="268">
        <f ca="1">(-(V27*S23)/(U28-U27))+((W24+(IF($T$24="Célibataire/veuf/divorcé",1,2)*V28))/(U28-U27))</f>
        <v>34238.210526315794</v>
      </c>
      <c r="X34" s="268">
        <f>(IF(T24=Données!$L$51,Données!$F$20,Données!$G$20)/(1+Données!$F$21)+(V27*S23))/U27</f>
        <v>9200.4381161007659</v>
      </c>
      <c r="Y34" s="267"/>
      <c r="Z34" s="42"/>
      <c r="AA34" s="42"/>
      <c r="AB34" s="42"/>
    </row>
    <row r="35" spans="4:28">
      <c r="D35" s="801" t="s">
        <v>103</v>
      </c>
      <c r="E35" s="801"/>
      <c r="F35" s="801"/>
      <c r="G35" s="801"/>
      <c r="H35" s="802">
        <f ca="1">H23+H24-H26+H27-H28+H29+H30+H31-H32-Synthèse!I34</f>
        <v>0</v>
      </c>
      <c r="I35" s="802"/>
      <c r="J35" s="803"/>
      <c r="K35" s="802">
        <f ca="1">K23+K24-K26+K27+K29+K30+K31-K32-Synthèse!J34</f>
        <v>0</v>
      </c>
      <c r="L35" s="802"/>
      <c r="M35" s="802"/>
      <c r="N35" s="802"/>
      <c r="O35" s="802"/>
      <c r="Q35" s="847" t="s">
        <v>118</v>
      </c>
      <c r="R35" s="847"/>
      <c r="S35" s="839">
        <f ca="1">S34-H33-K33</f>
        <v>0</v>
      </c>
      <c r="T35" s="839"/>
      <c r="U35" s="765" t="s">
        <v>192</v>
      </c>
      <c r="V35" s="765"/>
      <c r="W35" s="268">
        <f ca="1">IF(W32=U27,R23-X34,IF(W31&gt;X31,U34,IF(W32=U28,R23-W34,V34)))</f>
        <v>-180294</v>
      </c>
      <c r="X35" s="268"/>
      <c r="Y35" s="267"/>
      <c r="Z35" s="42"/>
      <c r="AA35" s="42"/>
      <c r="AB35" s="42"/>
    </row>
    <row r="40" spans="4:28">
      <c r="S40" s="219"/>
      <c r="W40" s="219"/>
    </row>
    <row r="41" spans="4:28">
      <c r="W41" s="219"/>
    </row>
  </sheetData>
  <sheetProtection selectLockedCells="1"/>
  <mergeCells count="87">
    <mergeCell ref="AA4:AB4"/>
    <mergeCell ref="X5:Z5"/>
    <mergeCell ref="AA5:AB5"/>
    <mergeCell ref="Q10:S10"/>
    <mergeCell ref="U11:W11"/>
    <mergeCell ref="X11:AB11"/>
    <mergeCell ref="J13:O13"/>
    <mergeCell ref="Q13:T13"/>
    <mergeCell ref="U13:W13"/>
    <mergeCell ref="X13:AB13"/>
    <mergeCell ref="Q14:T14"/>
    <mergeCell ref="U14:W14"/>
    <mergeCell ref="X14:AB14"/>
    <mergeCell ref="K15:O15"/>
    <mergeCell ref="Q15:T15"/>
    <mergeCell ref="U15:W15"/>
    <mergeCell ref="X15:AB15"/>
    <mergeCell ref="J16:M16"/>
    <mergeCell ref="N16:O16"/>
    <mergeCell ref="Q16:T16"/>
    <mergeCell ref="U16:W16"/>
    <mergeCell ref="X16:AB16"/>
    <mergeCell ref="U17:W17"/>
    <mergeCell ref="Q19:T19"/>
    <mergeCell ref="U19:W19"/>
    <mergeCell ref="X19:AB19"/>
    <mergeCell ref="H21:J21"/>
    <mergeCell ref="K21:O21"/>
    <mergeCell ref="X17:AB17"/>
    <mergeCell ref="Q18:T18"/>
    <mergeCell ref="U18:W18"/>
    <mergeCell ref="X18:AB18"/>
    <mergeCell ref="J17:M17"/>
    <mergeCell ref="N17:O17"/>
    <mergeCell ref="Q17:T17"/>
    <mergeCell ref="U20:W21"/>
    <mergeCell ref="X20:AB21"/>
    <mergeCell ref="H23:J23"/>
    <mergeCell ref="K23:O23"/>
    <mergeCell ref="T23:V23"/>
    <mergeCell ref="W23:X23"/>
    <mergeCell ref="D24:G24"/>
    <mergeCell ref="H24:J24"/>
    <mergeCell ref="K24:O24"/>
    <mergeCell ref="T24:V24"/>
    <mergeCell ref="W24:X24"/>
    <mergeCell ref="U22:V22"/>
    <mergeCell ref="D29:G29"/>
    <mergeCell ref="H29:J29"/>
    <mergeCell ref="K29:O29"/>
    <mergeCell ref="D25:G25"/>
    <mergeCell ref="I25:J25"/>
    <mergeCell ref="L25:O25"/>
    <mergeCell ref="D26:G26"/>
    <mergeCell ref="H26:J26"/>
    <mergeCell ref="K26:O26"/>
    <mergeCell ref="D27:G27"/>
    <mergeCell ref="H27:J27"/>
    <mergeCell ref="K27:O27"/>
    <mergeCell ref="D28:G28"/>
    <mergeCell ref="H28:J28"/>
    <mergeCell ref="D23:G23"/>
    <mergeCell ref="W32:X32"/>
    <mergeCell ref="D30:G30"/>
    <mergeCell ref="H30:J30"/>
    <mergeCell ref="K30:O30"/>
    <mergeCell ref="D31:G31"/>
    <mergeCell ref="H31:J31"/>
    <mergeCell ref="K31:O31"/>
    <mergeCell ref="D32:G32"/>
    <mergeCell ref="H32:J32"/>
    <mergeCell ref="K32:O32"/>
    <mergeCell ref="Q32:R32"/>
    <mergeCell ref="S32:T32"/>
    <mergeCell ref="U35:V35"/>
    <mergeCell ref="D33:G33"/>
    <mergeCell ref="H33:J33"/>
    <mergeCell ref="K33:O33"/>
    <mergeCell ref="Q33:R33"/>
    <mergeCell ref="S33:T33"/>
    <mergeCell ref="Q34:R34"/>
    <mergeCell ref="S34:T34"/>
    <mergeCell ref="D35:G35"/>
    <mergeCell ref="H35:J35"/>
    <mergeCell ref="K35:O35"/>
    <mergeCell ref="Q35:R35"/>
    <mergeCell ref="S35:T35"/>
  </mergeCells>
  <conditionalFormatting sqref="G13">
    <cfRule type="expression" dxfId="176" priority="12">
      <formula>$G$13=""</formula>
    </cfRule>
  </conditionalFormatting>
  <conditionalFormatting sqref="H23:O24">
    <cfRule type="cellIs" dxfId="175" priority="11" operator="equal">
      <formula>$H$22</formula>
    </cfRule>
  </conditionalFormatting>
  <conditionalFormatting sqref="H27:O27">
    <cfRule type="cellIs" dxfId="174" priority="10" operator="equal">
      <formula>$H$22</formula>
    </cfRule>
  </conditionalFormatting>
  <conditionalFormatting sqref="H29:O33">
    <cfRule type="cellIs" dxfId="173" priority="9" operator="equal">
      <formula>$H$22</formula>
    </cfRule>
  </conditionalFormatting>
  <conditionalFormatting sqref="I25:J25">
    <cfRule type="expression" dxfId="172" priority="8">
      <formula>$H$25="Non"</formula>
    </cfRule>
  </conditionalFormatting>
  <conditionalFormatting sqref="J17:O17">
    <cfRule type="expression" dxfId="171" priority="3">
      <formula>$N$17=0</formula>
    </cfRule>
  </conditionalFormatting>
  <conditionalFormatting sqref="K14:O14">
    <cfRule type="cellIs" dxfId="170" priority="6" operator="equal">
      <formula>$W$32</formula>
    </cfRule>
  </conditionalFormatting>
  <conditionalFormatting sqref="L25:O25">
    <cfRule type="expression" dxfId="168" priority="7">
      <formula>$K$25="Non"</formula>
    </cfRule>
  </conditionalFormatting>
  <conditionalFormatting sqref="T4">
    <cfRule type="expression" dxfId="167" priority="13">
      <formula>$B$5-$T$4&gt;7</formula>
    </cfRule>
  </conditionalFormatting>
  <conditionalFormatting sqref="U13:AB19">
    <cfRule type="cellIs" dxfId="166" priority="2" operator="equal">
      <formula>""</formula>
    </cfRule>
  </conditionalFormatting>
  <dataValidations count="1">
    <dataValidation type="list" allowBlank="1" showInputMessage="1" showErrorMessage="1" sqref="K25 H25 G16" xr:uid="{F98EA978-DE7A-4F97-95D0-659C97355509}">
      <formula1>"Oui,Non"</formula1>
    </dataValidation>
  </dataValidation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24577" r:id="rId4" name="Spinner 1">
              <controlPr locked="0" defaultSize="0" autoPict="0">
                <anchor moveWithCells="1" sizeWithCells="1">
                  <from>
                    <xdr:col>7</xdr:col>
                    <xdr:colOff>45720</xdr:colOff>
                    <xdr:row>14</xdr:row>
                    <xdr:rowOff>0</xdr:rowOff>
                  </from>
                  <to>
                    <xdr:col>7</xdr:col>
                    <xdr:colOff>259080</xdr:colOff>
                    <xdr:row>15</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5" id="{B98122CB-7BC0-4F98-B3C6-C7F366A21DD4}">
            <xm:f>$G$13&lt;&gt;Données!$L$51</xm:f>
            <x14:dxf>
              <font>
                <color theme="0"/>
              </font>
              <fill>
                <patternFill>
                  <bgColor theme="0"/>
                </patternFill>
              </fill>
              <border>
                <left/>
                <right/>
                <bottom/>
                <vertical/>
                <horizontal/>
              </border>
            </x14:dxf>
          </x14:cfRule>
          <xm:sqref>D16:G16</xm:sqref>
        </x14:conditionalFormatting>
        <x14:conditionalFormatting xmlns:xm="http://schemas.microsoft.com/office/excel/2006/main">
          <x14:cfRule type="expression" priority="4" id="{4B83C323-7904-48EE-BC9A-F9445469DAF9}">
            <xm:f>$G$13&lt;&gt;Données!$L$50</xm:f>
            <x14:dxf>
              <font>
                <color theme="0"/>
              </font>
              <fill>
                <patternFill>
                  <bgColor theme="0"/>
                </patternFill>
              </fill>
              <border>
                <right/>
                <top/>
                <bottom/>
                <vertical/>
                <horizontal/>
              </border>
            </x14:dxf>
          </x14:cfRule>
          <xm:sqref>K21:O35</xm:sqref>
        </x14:conditionalFormatting>
        <x14:conditionalFormatting xmlns:xm="http://schemas.microsoft.com/office/excel/2006/main">
          <x14:cfRule type="expression" priority="1" id="{23311940-B104-40EC-BE3D-ABCDF07DA3B8}">
            <xm:f>$G$13&lt;&gt;Données!$L$50</xm:f>
            <x14:dxf>
              <font>
                <color theme="0"/>
              </font>
              <fill>
                <patternFill>
                  <bgColor theme="0"/>
                </patternFill>
              </fill>
              <border>
                <right/>
                <top/>
                <bottom/>
                <vertical/>
                <horizontal/>
              </border>
            </x14:dxf>
          </x14:cfRule>
          <xm:sqref>X11:AB19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552EE84-9311-4BAC-B7F8-BC1B1EAB124E}">
          <x14:formula1>
            <xm:f>Données!$L$50:$L$51</xm:f>
          </x14:formula1>
          <xm:sqref>G13</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A5C14-32FA-4F51-8E89-5CD3A3184B39}">
  <sheetPr codeName="Feuil30">
    <tabColor theme="9" tint="0.59999389629810485"/>
  </sheetPr>
  <dimension ref="A4:T39"/>
  <sheetViews>
    <sheetView showGridLines="0" showRowColHeaders="0" zoomScale="123" zoomScaleNormal="123" workbookViewId="0">
      <selection activeCell="J19" sqref="J19:K19"/>
    </sheetView>
  </sheetViews>
  <sheetFormatPr baseColWidth="10" defaultRowHeight="14.4"/>
  <cols>
    <col min="2" max="2" width="9.33203125" customWidth="1"/>
    <col min="3" max="3" width="6.6640625" customWidth="1"/>
    <col min="4" max="4" width="19.44140625" customWidth="1"/>
    <col min="5" max="6" width="10.6640625" customWidth="1"/>
    <col min="7" max="7" width="19.44140625" customWidth="1"/>
    <col min="8" max="9" width="10.5546875" customWidth="1"/>
    <col min="10" max="10" width="6" customWidth="1"/>
    <col min="11" max="11" width="4.109375" customWidth="1"/>
    <col min="12" max="12" width="5" customWidth="1"/>
    <col min="13" max="13" width="19.44140625" customWidth="1"/>
    <col min="14" max="15" width="10.5546875" customWidth="1"/>
    <col min="16" max="16" width="19.44140625" customWidth="1"/>
    <col min="17" max="18" width="10.5546875" customWidth="1"/>
    <col min="19" max="27" width="3.44140625" customWidth="1"/>
  </cols>
  <sheetData>
    <row r="4" spans="1:20">
      <c r="Q4" s="44" t="s">
        <v>88</v>
      </c>
      <c r="R4" s="257">
        <f ca="1">Données!F4</f>
        <v>2026</v>
      </c>
      <c r="T4" s="258"/>
    </row>
    <row r="5" spans="1:20">
      <c r="B5" s="1">
        <f ca="1">TODAY()</f>
        <v>46023</v>
      </c>
      <c r="Q5" s="44" t="s">
        <v>121</v>
      </c>
      <c r="R5" s="257">
        <f ca="1">R4-1</f>
        <v>2025</v>
      </c>
    </row>
    <row r="9" spans="1:20">
      <c r="Q9" s="278" t="s">
        <v>234</v>
      </c>
      <c r="R9" s="279">
        <f ca="1">J13</f>
        <v>2026</v>
      </c>
    </row>
    <row r="10" spans="1:20">
      <c r="Q10" s="888">
        <f ca="1">VLOOKUP(J13,Données!$D$50:$E$56,2)</f>
        <v>47100</v>
      </c>
      <c r="R10" s="889"/>
    </row>
    <row r="12" spans="1:20" ht="15" customHeight="1">
      <c r="A12" s="199"/>
      <c r="B12" s="199"/>
    </row>
    <row r="13" spans="1:20" ht="15" thickBot="1">
      <c r="A13" s="199"/>
      <c r="B13" s="199"/>
      <c r="D13" s="833" t="s">
        <v>229</v>
      </c>
      <c r="E13" s="833"/>
      <c r="F13" s="833"/>
      <c r="G13" s="163">
        <f ca="1">R4+1</f>
        <v>2027</v>
      </c>
      <c r="H13" s="876" t="s">
        <v>126</v>
      </c>
      <c r="I13" s="876"/>
      <c r="J13" s="877">
        <f ca="1">G13-1</f>
        <v>2026</v>
      </c>
      <c r="K13" s="877"/>
      <c r="N13" s="167" t="s">
        <v>238</v>
      </c>
      <c r="O13" s="890" t="s">
        <v>1490</v>
      </c>
      <c r="P13" s="890"/>
    </row>
    <row r="14" spans="1:20" ht="15.6" thickTop="1" thickBot="1">
      <c r="A14" s="199"/>
      <c r="B14" s="199"/>
      <c r="M14" s="287" t="s">
        <v>241</v>
      </c>
      <c r="N14" s="288">
        <f ca="1">IF(O14-Q10&lt;=0,0,IF(O14&lt;=Synthèse!$Q$10,0,IF(O14&lt;=8*Synthèse!$Q$10,(O14-Synthèse!$Q$10)*0.15,((8*Synthèse!$Q$10)-Synthèse!$Q$10)*0.15)))</f>
        <v>0</v>
      </c>
      <c r="O14" s="289">
        <f>IF('Estimation N'!H24-'Estimation N'!H26+'Estimation N'!H29&lt;0,0,'Estimation N'!H24-'Estimation N'!H26+'Estimation N'!H29)</f>
        <v>0</v>
      </c>
      <c r="P14" s="289">
        <f>IF('Estimation N'!K24-'Estimation N'!K26+'Estimation N'!K29&lt;0,0,'Estimation N'!K24-'Estimation N'!K26+'Estimation N'!K29)</f>
        <v>0</v>
      </c>
      <c r="Q14" s="290">
        <f ca="1">IF(P14-Q10&lt;=0,0,IF(P14&lt;=Synthèse!$Q$10,0,IF(P14&lt;=8*Synthèse!$Q$10,(P14-Synthèse!$Q$10)*0.15,((8*Synthèse!$Q$10)-Synthèse!$Q$10)*0.15)))</f>
        <v>0</v>
      </c>
      <c r="R14" s="290" t="s">
        <v>242</v>
      </c>
    </row>
    <row r="15" spans="1:20">
      <c r="A15" s="199"/>
      <c r="B15" s="199"/>
      <c r="D15" s="169" t="s">
        <v>157</v>
      </c>
      <c r="E15" s="170"/>
      <c r="F15" s="170"/>
      <c r="G15" s="170"/>
      <c r="H15" s="171" t="s">
        <v>89</v>
      </c>
      <c r="I15" s="171"/>
      <c r="J15" s="882" t="s">
        <v>90</v>
      </c>
      <c r="K15" s="883"/>
      <c r="M15" s="891" t="s">
        <v>155</v>
      </c>
      <c r="N15" s="891"/>
      <c r="O15" s="891"/>
      <c r="P15" s="892" t="s">
        <v>156</v>
      </c>
      <c r="Q15" s="891"/>
      <c r="R15" s="891"/>
    </row>
    <row r="16" spans="1:20">
      <c r="A16" s="199"/>
      <c r="B16" s="199"/>
      <c r="D16" s="865" t="s">
        <v>250</v>
      </c>
      <c r="E16" s="865"/>
      <c r="F16" s="865"/>
      <c r="G16" s="865"/>
      <c r="H16" s="178">
        <f>'Estimation N'!U13</f>
        <v>0</v>
      </c>
      <c r="I16" s="176" t="s">
        <v>158</v>
      </c>
      <c r="J16" s="868">
        <f>'Estimation N'!X13</f>
        <v>0</v>
      </c>
      <c r="K16" s="869"/>
      <c r="M16" s="172" t="s">
        <v>149</v>
      </c>
      <c r="N16" s="173">
        <f>'Estimation N'!H24+'Estimation N'!H29</f>
        <v>0</v>
      </c>
      <c r="P16" s="193" t="s">
        <v>149</v>
      </c>
      <c r="Q16" s="173">
        <f>'Estimation N'!K24+'Estimation N'!K29</f>
        <v>0</v>
      </c>
    </row>
    <row r="17" spans="1:18">
      <c r="A17" s="199"/>
      <c r="B17" s="199"/>
      <c r="D17" s="865" t="s">
        <v>164</v>
      </c>
      <c r="E17" s="865"/>
      <c r="F17" s="865"/>
      <c r="G17" s="865"/>
      <c r="H17" s="178">
        <f>'Estimation N'!U14</f>
        <v>0</v>
      </c>
      <c r="I17" s="176" t="s">
        <v>159</v>
      </c>
      <c r="J17" s="868">
        <f>'Estimation N'!X14</f>
        <v>0</v>
      </c>
      <c r="K17" s="869"/>
      <c r="M17" s="191" t="s">
        <v>150</v>
      </c>
      <c r="N17" s="186">
        <f>N16+N18+N19+'Estimation N'!U19</f>
        <v>0</v>
      </c>
      <c r="P17" s="194" t="s">
        <v>150</v>
      </c>
      <c r="Q17" s="186">
        <f>Q16+Q18+Q19+'Estimation N'!X19</f>
        <v>0</v>
      </c>
    </row>
    <row r="18" spans="1:18">
      <c r="D18" s="865" t="s">
        <v>165</v>
      </c>
      <c r="E18" s="865"/>
      <c r="F18" s="865"/>
      <c r="G18" s="865"/>
      <c r="H18" s="179"/>
      <c r="I18" s="176" t="s">
        <v>160</v>
      </c>
      <c r="J18" s="880"/>
      <c r="K18" s="881"/>
      <c r="M18" s="192" t="s">
        <v>233</v>
      </c>
      <c r="N18" s="186">
        <f>'Estimation N'!U18</f>
        <v>0</v>
      </c>
      <c r="O18" s="174"/>
      <c r="P18" s="195" t="s">
        <v>232</v>
      </c>
      <c r="Q18" s="186">
        <f>'Estimation N'!$X$18</f>
        <v>0</v>
      </c>
      <c r="R18" s="174"/>
    </row>
    <row r="19" spans="1:18" ht="15" thickBot="1">
      <c r="D19" s="865" t="s">
        <v>168</v>
      </c>
      <c r="E19" s="865"/>
      <c r="F19" s="865"/>
      <c r="G19" s="865"/>
      <c r="H19" s="175" t="s">
        <v>170</v>
      </c>
      <c r="I19" s="177" t="s">
        <v>172</v>
      </c>
      <c r="J19" s="866" t="s">
        <v>94</v>
      </c>
      <c r="K19" s="867"/>
      <c r="L19" s="42" t="str">
        <f ca="1">IF('Estimation N'!G13=Données!L51,"",IF(J19="Oui","",IF(OR(J17+J16&gt;J34,H16+H17&gt;I34),"?","")))</f>
        <v/>
      </c>
      <c r="M19" s="192" t="s">
        <v>153</v>
      </c>
      <c r="N19" s="186">
        <f>'Estimation N'!U17</f>
        <v>0</v>
      </c>
      <c r="O19" s="174"/>
      <c r="P19" s="195" t="s">
        <v>153</v>
      </c>
      <c r="Q19" s="186">
        <f>'Estimation N'!$X$17</f>
        <v>0</v>
      </c>
      <c r="R19" s="174"/>
    </row>
    <row r="20" spans="1:18" ht="15" thickBot="1">
      <c r="D20" s="865" t="s">
        <v>169</v>
      </c>
      <c r="E20" s="865"/>
      <c r="F20" s="865"/>
      <c r="G20" s="865"/>
      <c r="H20" s="175" t="s">
        <v>170</v>
      </c>
      <c r="I20" s="177" t="s">
        <v>171</v>
      </c>
      <c r="J20" s="868"/>
      <c r="K20" s="869"/>
      <c r="M20" s="196" t="s">
        <v>154</v>
      </c>
      <c r="N20" s="183">
        <f ca="1">N21+N22</f>
        <v>0</v>
      </c>
      <c r="O20" s="174"/>
      <c r="P20" s="197" t="s">
        <v>154</v>
      </c>
      <c r="Q20" s="183">
        <f ca="1">Q21+Q22</f>
        <v>0</v>
      </c>
      <c r="R20" s="174"/>
    </row>
    <row r="21" spans="1:18">
      <c r="D21" s="865" t="s">
        <v>166</v>
      </c>
      <c r="E21" s="865"/>
      <c r="F21" s="865"/>
      <c r="G21" s="865"/>
      <c r="H21" s="198">
        <f ca="1">IF(O13="Interprétation recalcul sur Revenu Brut Global",MAX(0,IF(IF(N18&lt;N14,0,N18-N14)&gt;0,N19,(N19+N18)-N14)),MAX(0,IF(IF(N18&lt;N21,0,N18-N21)&gt;0,N19,(N19+N18)-N21)))</f>
        <v>0</v>
      </c>
      <c r="I21" s="176" t="s">
        <v>161</v>
      </c>
      <c r="J21" s="870">
        <f ca="1">IF(O13="Interprétation recalcul sur Revenu Brut Global",MAX(0,IF(IF(Q18&lt;Q14,0,Q18-Q14)&gt;0,Q19,(Q19+Q18)-Q14)),MAX(0,IF(IF(Q18&lt;Q21,0,Q18-Q21)&gt;0,Q19,(Q19+Q18)-Q21)))</f>
        <v>0</v>
      </c>
      <c r="K21" s="871"/>
      <c r="M21" s="187" t="s">
        <v>152</v>
      </c>
      <c r="N21" s="185">
        <f ca="1">IF(N17&lt;=Synthèse!$Q$10,0,IF(N17&lt;=8*Synthèse!$Q$10,(N17-Synthèse!$Q$10)*0.15,((8*Synthèse!$Q$10)-Synthèse!$Q$10)*0.15))</f>
        <v>0</v>
      </c>
      <c r="O21" s="188">
        <f ca="1">IF((N18+N19)&gt;=N21,0,N21-(N18+N19))</f>
        <v>0</v>
      </c>
      <c r="P21" s="187" t="s">
        <v>152</v>
      </c>
      <c r="Q21" s="185">
        <f ca="1">IF(Q17&lt;=Synthèse!$Q$10,0,IF(Q17&lt;=8*Synthèse!$Q$10,(Q17-Synthèse!$Q$10)*0.15,((8*Synthèse!$Q$10)-Synthèse!$Q$10)*0.15))</f>
        <v>0</v>
      </c>
      <c r="R21" s="188">
        <f ca="1">IF((Q18+Q19)&gt;=Q21,0,Q21-(Q18+Q19))</f>
        <v>0</v>
      </c>
    </row>
    <row r="22" spans="1:18" ht="15" thickBot="1">
      <c r="D22" s="865" t="s">
        <v>167</v>
      </c>
      <c r="E22" s="865"/>
      <c r="F22" s="865"/>
      <c r="G22" s="865"/>
      <c r="H22" s="198">
        <f ca="1">IF(O13="Interprétation recalcul sur Revenu Brut Global",'Estimation N'!U16+'Estimation N'!U15+IF(N18&lt;N14,0,N18-N14),'Estimation N'!U16+'Estimation N'!U15+IF(N18&lt;N21,0,N18-N21))</f>
        <v>0</v>
      </c>
      <c r="I22" s="176" t="s">
        <v>162</v>
      </c>
      <c r="J22" s="870">
        <f ca="1">IF(O13="Interprétation recalcul sur Revenu Brut Global",'Estimation N'!X16+'Estimation N'!X15+IF(Q18&lt;Q14,0,Q18-Q14),'Estimation N'!X16+'Estimation N'!X15+IF(Q18&lt;Q21,0,Q18-Q21))</f>
        <v>0</v>
      </c>
      <c r="K22" s="871"/>
      <c r="M22" s="187" t="s">
        <v>151</v>
      </c>
      <c r="N22" s="184">
        <f>IF(N16=0,0,IF(N17&lt;=Synthèse!$Q$10,0.1*Synthèse!$Q$10,IF(N17&lt;=8*Synthèse!$Q$10,N17*0.1,8*Synthèse!$Q$10*0.1)))</f>
        <v>0</v>
      </c>
      <c r="O22" s="189">
        <f>IF(N16=0,0,IF(('Estimation N'!U15+'Estimation N'!U16)&gt;=N22,IF((N18+N19)&gt;N21,N22-(MAX(0,IF(IF(N18&lt;N21,0,N18-N21)&gt;0,N19,(N19+N18)-N21)))-('Estimation N'!U16+'Estimation N'!U15+IF(N18&lt;N21,0,N18-N21)),0),N22-(MAX(0,IF(IF(N18&lt;N21,0,N18-N21)&gt;0,N19,(N19+N18)-N21)))-('Estimation N'!U16+'Estimation N'!U15+IF(N18&lt;N21,0,N18-N21))))</f>
        <v>0</v>
      </c>
      <c r="P22" s="187" t="s">
        <v>151</v>
      </c>
      <c r="Q22" s="184">
        <f>IF(Q16=0,0,IF(Q17&lt;=Synthèse!$Q$10,0.1*Synthèse!$Q$10,IF(Q17&lt;=8*Synthèse!$Q$10,Q17*0.1,8*Synthèse!$Q$10*0.1)))</f>
        <v>0</v>
      </c>
      <c r="R22" s="189">
        <f>IF(Q16=0,0,IF(('Estimation N'!X15+'Estimation N'!X16)&gt;=Q22,IF((Q18+Q19)&gt;Q21,Q22-(MAX(0,IF(IF(Q18&lt;Q21,0,Q18-Q21)&gt;0,Q19,(Q19+Q18)-Q21)))-('Estimation N'!X16+'Estimation N'!X15+IF(Q18&lt;Q21,0,Q18-Q21)),0),Q22-(MAX(0,IF(IF(Q18&lt;Q21,0,Q18-Q21)&gt;0,Q19,(Q19+Q18)-Q21)))-('Estimation N'!X16+'Estimation N'!X15+IF(Q18&lt;Q21,0,Q18-Q21))))</f>
        <v>0</v>
      </c>
    </row>
    <row r="23" spans="1:18" ht="15" thickBot="1">
      <c r="M23" s="887" t="s">
        <v>183</v>
      </c>
      <c r="N23" s="886"/>
      <c r="O23" s="190">
        <f ca="1">O21+O22</f>
        <v>0</v>
      </c>
      <c r="P23" s="885" t="s">
        <v>163</v>
      </c>
      <c r="Q23" s="886"/>
      <c r="R23" s="190">
        <f ca="1">R21+R22</f>
        <v>0</v>
      </c>
    </row>
    <row r="24" spans="1:18">
      <c r="M24" s="894" t="str">
        <f ca="1">IF(O23&lt;0,"Réintégration fiscale à opérer","")</f>
        <v/>
      </c>
      <c r="N24" s="894"/>
      <c r="O24" s="894"/>
      <c r="P24" s="894" t="str">
        <f ca="1">IF(R23&lt;0,"Réintégration fiscale à opérer","")</f>
        <v/>
      </c>
      <c r="Q24" s="894"/>
      <c r="R24" s="894"/>
    </row>
    <row r="25" spans="1:18" ht="15" thickBot="1">
      <c r="D25" s="879" t="s">
        <v>231</v>
      </c>
      <c r="E25" s="879"/>
      <c r="F25" s="879"/>
      <c r="G25" s="879"/>
      <c r="H25" s="879"/>
      <c r="I25" s="879"/>
      <c r="J25" s="879"/>
      <c r="K25" s="879"/>
    </row>
    <row r="26" spans="1:18" ht="9.75" customHeight="1" thickTop="1">
      <c r="D26" s="48"/>
      <c r="E26" s="48"/>
      <c r="F26" s="48"/>
      <c r="G26" s="48"/>
      <c r="H26" s="48"/>
      <c r="I26" s="48"/>
      <c r="J26" s="48"/>
      <c r="K26" s="48"/>
      <c r="M26" s="293"/>
      <c r="N26" s="293"/>
      <c r="O26" s="293"/>
      <c r="P26" s="293"/>
      <c r="Q26" s="293"/>
      <c r="R26" s="293"/>
    </row>
    <row r="27" spans="1:18" ht="15" thickBot="1">
      <c r="D27" s="878" t="s">
        <v>230</v>
      </c>
      <c r="E27" s="878"/>
      <c r="F27" s="269">
        <f ca="1">G13</f>
        <v>2027</v>
      </c>
      <c r="G27" s="182"/>
      <c r="H27" s="182"/>
      <c r="I27" s="182"/>
      <c r="J27" s="180"/>
      <c r="K27" s="180"/>
      <c r="L27" s="181"/>
      <c r="M27" s="293"/>
      <c r="N27" s="293"/>
      <c r="O27" s="293"/>
      <c r="P27" s="293"/>
      <c r="Q27" s="293"/>
      <c r="R27" s="293"/>
    </row>
    <row r="28" spans="1:18" ht="12" customHeight="1" thickTop="1">
      <c r="D28" s="146" t="s">
        <v>127</v>
      </c>
      <c r="E28" s="146"/>
      <c r="F28" s="146"/>
      <c r="G28" s="146"/>
      <c r="H28" s="283" t="s">
        <v>173</v>
      </c>
      <c r="I28" s="284">
        <f>H16+H17</f>
        <v>0</v>
      </c>
      <c r="J28" s="860">
        <f>J16+J17</f>
        <v>0</v>
      </c>
      <c r="K28" s="861"/>
      <c r="L28" s="174"/>
      <c r="M28" s="298"/>
      <c r="N28" s="884" t="s">
        <v>235</v>
      </c>
      <c r="O28" s="884"/>
      <c r="P28" s="293"/>
      <c r="Q28" s="893" t="s">
        <v>237</v>
      </c>
      <c r="R28" s="893"/>
    </row>
    <row r="29" spans="1:18" ht="12" customHeight="1">
      <c r="D29" s="853" t="s">
        <v>175</v>
      </c>
      <c r="E29" s="853"/>
      <c r="F29" s="853"/>
      <c r="G29" s="153">
        <f ca="1">F27</f>
        <v>2027</v>
      </c>
      <c r="H29" s="283" t="s">
        <v>174</v>
      </c>
      <c r="I29" s="285">
        <f ca="1">I32+J32</f>
        <v>9420</v>
      </c>
      <c r="J29" s="862"/>
      <c r="K29" s="859"/>
      <c r="L29" s="174"/>
      <c r="M29" s="298">
        <f ca="1">IF(AND('Pot ER Mode'!$G$13="Réaliser un versement N (et vérifier si le potentiel le permet)",'Pot ER Mode'!$H$15=Synthèse!$J$13),'Avis IR N-2'!L23,'Synthèse décla'!I35)</f>
        <v>0</v>
      </c>
      <c r="N29" s="298">
        <f ca="1">IF(N32=0,0,IF(N32&lt;=M29,0,N32-M29))</f>
        <v>0</v>
      </c>
      <c r="O29" s="299">
        <f ca="1">M29-N32</f>
        <v>0</v>
      </c>
      <c r="P29" s="293"/>
      <c r="Q29" s="289" t="s">
        <v>89</v>
      </c>
      <c r="R29" s="289" t="s">
        <v>90</v>
      </c>
    </row>
    <row r="30" spans="1:18" ht="12" customHeight="1">
      <c r="D30" s="853" t="s">
        <v>176</v>
      </c>
      <c r="E30" s="853"/>
      <c r="F30" s="853"/>
      <c r="G30" s="153">
        <f ca="1">G29+1</f>
        <v>2028</v>
      </c>
      <c r="H30" s="283"/>
      <c r="I30" s="286">
        <f ca="1">I32-H16-H17</f>
        <v>4710</v>
      </c>
      <c r="J30" s="858">
        <f ca="1">J32-J16-J17</f>
        <v>4710</v>
      </c>
      <c r="K30" s="859"/>
      <c r="L30" s="174"/>
      <c r="M30" s="298">
        <f ca="1">IF(AND('Pot ER Mode'!$G$13="Réaliser un versement N (et vérifier si le potentiel le permet)",'Pot ER Mode'!$H$15=Synthèse!$J$13),'Avis IR N-2'!L24,'Synthèse décla'!I36)</f>
        <v>0</v>
      </c>
      <c r="N30" s="298">
        <f ca="1">IF(N29=0,0,IF(N29&lt;=M30,0,N29-M30))</f>
        <v>0</v>
      </c>
      <c r="O30" s="298">
        <f ca="1">M30-N29</f>
        <v>0</v>
      </c>
      <c r="P30" s="293"/>
      <c r="Q30" s="289">
        <f>'Estimation N'!H23+'Estimation N'!H24-'Estimation N'!H26+'Estimation N'!H29</f>
        <v>0</v>
      </c>
      <c r="R30" s="289">
        <f>'Estimation N'!K23+'Estimation N'!K24-'Estimation N'!K26+'Estimation N'!K29</f>
        <v>0</v>
      </c>
    </row>
    <row r="31" spans="1:18" ht="12" customHeight="1">
      <c r="D31" s="146"/>
      <c r="E31" s="146"/>
      <c r="F31" s="146"/>
      <c r="G31" s="153"/>
      <c r="H31" s="270"/>
      <c r="I31" s="271" t="s">
        <v>135</v>
      </c>
      <c r="J31" s="872" t="s">
        <v>136</v>
      </c>
      <c r="K31" s="873"/>
      <c r="L31" s="271"/>
      <c r="M31" s="298">
        <f ca="1">IF(AND('Pot ER Mode'!$G$13="Réaliser un versement N (et vérifier si le potentiel le permet)",'Pot ER Mode'!$H$15=Synthèse!$J$13),'Avis IR N-2'!L25,'Synthèse décla'!I37)</f>
        <v>0</v>
      </c>
      <c r="N31" s="298">
        <f ca="1">IF(N30=0,0,IF(N30&lt;=M31,0,N30-M31))</f>
        <v>0</v>
      </c>
      <c r="O31" s="298">
        <f ca="1">M31-N30</f>
        <v>0</v>
      </c>
      <c r="P31" s="293"/>
      <c r="Q31" s="300"/>
      <c r="R31" s="300"/>
    </row>
    <row r="32" spans="1:18" ht="12" customHeight="1">
      <c r="D32" s="853" t="s">
        <v>177</v>
      </c>
      <c r="E32" s="853"/>
      <c r="F32" s="853"/>
      <c r="G32" s="153">
        <f ca="1">G29-2</f>
        <v>2025</v>
      </c>
      <c r="H32" s="270"/>
      <c r="I32" s="272">
        <f ca="1">IF(AND('Pot ER Mode'!G13="Réaliser un versement N (et vérifier si le potentiel le permet)",'Pot ER Mode'!H15=Synthèse!J13),'Avis IR N-2'!L28,'Synthèse décla'!I39)</f>
        <v>4710</v>
      </c>
      <c r="J32" s="854">
        <f ca="1">IF('Estimation N'!G13=Données!L51,0,IF(AND('Pot ER Mode'!G13="Réaliser un versement N (et vérifier si le potentiel le permet)",'Pot ER Mode'!H15=Synthèse!J13),'Avis IR N-2'!M28,'Synthèse décla'!J39))</f>
        <v>4710</v>
      </c>
      <c r="K32" s="855"/>
      <c r="L32" s="272"/>
      <c r="M32" s="298">
        <f ca="1">IF(AND('Pot ER Mode'!$G$13="Réaliser un versement N (et vérifier si le potentiel le permet)",'Pot ER Mode'!$H$15=Synthèse!$J$13),'Avis IR N-2'!L26,'Synthèse décla'!I38)</f>
        <v>4710</v>
      </c>
      <c r="N32" s="298">
        <f ca="1">IF(I34&lt;=M32,IF(OR(J19="Non",J19=""),0,IF(J34&gt;J32,I34+J34-J32-M32,I34-M32)),IF(J19="Non",I34-M32,IF(J34&gt;J32,I34+J34-J32-M32,I34-M32)))</f>
        <v>0</v>
      </c>
      <c r="O32" s="299">
        <f ca="1">M32-IF(OR(J19="Non",J19=""),I34,J33-J32+I34)</f>
        <v>4710</v>
      </c>
      <c r="P32" s="293"/>
      <c r="Q32" s="893" t="s">
        <v>234</v>
      </c>
      <c r="R32" s="893"/>
    </row>
    <row r="33" spans="4:18" ht="12" customHeight="1">
      <c r="D33" s="853" t="s">
        <v>178</v>
      </c>
      <c r="E33" s="853"/>
      <c r="F33" s="853"/>
      <c r="G33" s="153"/>
      <c r="H33" s="270"/>
      <c r="I33" s="272" t="str">
        <f ca="1">IF(AND(I28&gt;=I32,J19="Oui",J30&gt;=0),I32+IF(J30&gt;=(I28-I32),I28-I32,J30),IF(J19="Oui",IF(J28&gt;J32,IF(I30+J30&gt;0,I29-J28,I28),I32),""))</f>
        <v/>
      </c>
      <c r="J33" s="854" t="str">
        <f ca="1">IF(AND(J28&gt;=J32,J19="Oui",I30&gt;=0),J32+IF(I30&gt;=(J28-J32),J28-J32,I30),IF(J19="Oui",IF(I28&gt;I32,IF(J30+I30&gt;0,I29-I28,J28),J32),""))</f>
        <v/>
      </c>
      <c r="K33" s="855"/>
      <c r="L33" s="272"/>
      <c r="M33" s="298"/>
      <c r="N33" s="298"/>
      <c r="O33" s="298"/>
      <c r="P33" s="293"/>
      <c r="Q33" s="289">
        <f>Données!D50</f>
        <v>2019</v>
      </c>
      <c r="R33" s="289">
        <f>Données!E50</f>
        <v>40524</v>
      </c>
    </row>
    <row r="34" spans="4:18" ht="12" customHeight="1">
      <c r="D34" s="853" t="s">
        <v>179</v>
      </c>
      <c r="E34" s="853"/>
      <c r="F34" s="853"/>
      <c r="G34" s="153">
        <f ca="1">G32+1</f>
        <v>2026</v>
      </c>
      <c r="H34" s="273"/>
      <c r="I34" s="338">
        <f ca="1">IF((H16+H17)&gt;I32,IF(J19="Oui",I33,I32),(H16+H17))</f>
        <v>0</v>
      </c>
      <c r="J34" s="856">
        <f ca="1">IF('Estimation N'!G13=Données!L51,0,IF((J16+J17)&gt;J32,IF(J19="Oui",J33,J32),(J16+J17)))</f>
        <v>0</v>
      </c>
      <c r="K34" s="857"/>
      <c r="L34" s="272"/>
      <c r="M34" s="298"/>
      <c r="N34" s="884" t="s">
        <v>236</v>
      </c>
      <c r="O34" s="884"/>
      <c r="P34" s="293"/>
      <c r="Q34" s="289">
        <f>Données!D51</f>
        <v>2020</v>
      </c>
      <c r="R34" s="289">
        <f>Données!E51</f>
        <v>41136</v>
      </c>
    </row>
    <row r="35" spans="4:18" ht="12" customHeight="1">
      <c r="D35" s="853" t="s">
        <v>180</v>
      </c>
      <c r="E35" s="853"/>
      <c r="F35" s="853"/>
      <c r="G35" s="153">
        <f ca="1">G32-1</f>
        <v>2024</v>
      </c>
      <c r="H35" s="270"/>
      <c r="I35" s="274">
        <f ca="1">IF(O30&gt;0,O30,0)</f>
        <v>0</v>
      </c>
      <c r="J35" s="863">
        <f ca="1">IF('Estimation N'!G13=Données!L51,0,IF(O36&gt;0,O36,0))</f>
        <v>0</v>
      </c>
      <c r="K35" s="864"/>
      <c r="L35" s="281"/>
      <c r="M35" s="298">
        <f ca="1">IF(AND('Pot ER Mode'!$G$13="Réaliser un versement N (et vérifier si le potentiel le permet)",'Pot ER Mode'!$H$15=Synthèse!$J$13),'Avis IR N-2'!M23,'Synthèse décla'!J35)</f>
        <v>0</v>
      </c>
      <c r="N35" s="298">
        <f ca="1">IF(N38=0,0,IF(N38&lt;=M35,0,N38-M35))</f>
        <v>0</v>
      </c>
      <c r="O35" s="299">
        <f ca="1">M35-N38</f>
        <v>0</v>
      </c>
      <c r="P35" s="293"/>
      <c r="Q35" s="289">
        <f>Données!D52</f>
        <v>2021</v>
      </c>
      <c r="R35" s="289">
        <f>Données!E52</f>
        <v>41136</v>
      </c>
    </row>
    <row r="36" spans="4:18" ht="12" customHeight="1">
      <c r="D36" s="853" t="s">
        <v>180</v>
      </c>
      <c r="E36" s="853"/>
      <c r="F36" s="853"/>
      <c r="G36" s="153">
        <f ca="1">G35+1</f>
        <v>2025</v>
      </c>
      <c r="H36" s="275" t="str">
        <f>"+"</f>
        <v>+</v>
      </c>
      <c r="I36" s="274">
        <f ca="1">IF(O31&gt;0,O31,0)</f>
        <v>0</v>
      </c>
      <c r="J36" s="863">
        <f ca="1">IF('Estimation N'!G13=Données!L51,0,IF(O37&gt;0,O37,0))</f>
        <v>0</v>
      </c>
      <c r="K36" s="864"/>
      <c r="L36" s="281"/>
      <c r="M36" s="298">
        <f ca="1">IF(AND('Pot ER Mode'!$G$13="Réaliser un versement N (et vérifier si le potentiel le permet)",'Pot ER Mode'!$H$15=Synthèse!$J$13),'Avis IR N-2'!M24,'Synthèse décla'!J36)</f>
        <v>0</v>
      </c>
      <c r="N36" s="298">
        <f ca="1">IF(N35=0,0,IF(N35&lt;=M36,0,N35-M36))</f>
        <v>0</v>
      </c>
      <c r="O36" s="298">
        <f ca="1">M36-N35</f>
        <v>0</v>
      </c>
      <c r="P36" s="293"/>
      <c r="Q36" s="289">
        <f>Données!D53</f>
        <v>2022</v>
      </c>
      <c r="R36" s="289">
        <f>Données!E53</f>
        <v>41136</v>
      </c>
    </row>
    <row r="37" spans="4:18" ht="12" customHeight="1">
      <c r="D37" s="853" t="s">
        <v>180</v>
      </c>
      <c r="E37" s="853"/>
      <c r="F37" s="853"/>
      <c r="G37" s="153">
        <f ca="1">G36+1</f>
        <v>2026</v>
      </c>
      <c r="H37" s="275" t="str">
        <f>"+"</f>
        <v>+</v>
      </c>
      <c r="I37" s="274">
        <f ca="1">IF(O32&gt;0,O32,0)</f>
        <v>4710</v>
      </c>
      <c r="J37" s="863">
        <f ca="1">IF('Estimation N'!G13=Données!L51,0,IF(O38&gt;0,O38,0))</f>
        <v>4710</v>
      </c>
      <c r="K37" s="864"/>
      <c r="L37" s="281"/>
      <c r="M37" s="298">
        <f ca="1">IF(AND('Pot ER Mode'!$G$13="Réaliser un versement N (et vérifier si le potentiel le permet)",'Pot ER Mode'!$H$15=Synthèse!$J$13),'Avis IR N-2'!M25,'Synthèse décla'!J37)</f>
        <v>0</v>
      </c>
      <c r="N37" s="298">
        <f ca="1">IF(N36=0,0,IF(N36&lt;=M37,0,N36-M37))</f>
        <v>0</v>
      </c>
      <c r="O37" s="298">
        <f ca="1">M37-N36</f>
        <v>0</v>
      </c>
      <c r="P37" s="293"/>
      <c r="Q37" s="289">
        <f>Données!D54</f>
        <v>2023</v>
      </c>
      <c r="R37" s="289">
        <f>Données!E54</f>
        <v>43992</v>
      </c>
    </row>
    <row r="38" spans="4:18" ht="12" customHeight="1">
      <c r="D38" s="853" t="s">
        <v>181</v>
      </c>
      <c r="E38" s="853"/>
      <c r="F38" s="853"/>
      <c r="G38" s="153">
        <f ca="1">G37</f>
        <v>2026</v>
      </c>
      <c r="H38" s="275" t="str">
        <f>"+"</f>
        <v>+</v>
      </c>
      <c r="I38" s="280" t="e">
        <f ca="1">IF(Q30&lt;=(INDEX($Q$33:$R$39,MATCH($G$38,$Q$33:$Q$39,0),2)),INDEX($Q$33:$R$39,MATCH($G$38,$Q$33:$Q$39,0),2)*10%,IF(Q30&gt;(8*(INDEX($Q$33:$R$39,MATCH($G$38,$Q$33:$Q$39,0),2))),(8*(INDEX($Q$33:$R$39,MATCH($G$38,$Q$33:$Q$39,0),2)))*10%,Q30*10%))-IF(IF(Q30&lt;=(INDEX($Q$33:$R$39,MATCH($G$38,$Q$33:$Q$39,0),2)),INDEX($Q$33:$R$39,MATCH($G$38,$Q$33:$Q$39,0),2)*10%,IF(Q30&gt;(8*(INDEX($Q$33:$R$39,MATCH($G$38,$Q$33:$Q$39,0),2))),(8*(INDEX($Q$33:$R$39,MATCH($G$38,$Q$33:$Q$39,0),2)))*10%,Q30*10%))&gt;(H21+H22),(H21+H22),IF(Q30&lt;=(INDEX($Q$33:$R$39,MATCH($G$38,$Q$33:$Q$39,0),2)),INDEX($Q$33:$R$39,MATCH($G$38,$Q$33:$Q$39,0),2)*10%,IF(Q30&gt;(8*(INDEX($Q$33:$R$39,MATCH($G$38,$Q$33:$Q$39,0),2))),(8*(INDEX($Q$33:$R$39,MATCH($G$38,$Q$33:$Q$39,0),2)))*10%,Q30*10%)))</f>
        <v>#N/A</v>
      </c>
      <c r="J38" s="863" t="e">
        <f ca="1">IF('Estimation N'!G13=Données!L51,0,IF(R30&lt;=(INDEX($Q$33:$R$39,MATCH($G$38,$Q$33:$Q$39,0),2)),INDEX($Q$33:$R$39,MATCH($G$38,$Q$33:$Q$39,0),2)*10%,IF(R30&gt;(8*(INDEX($Q$33:$R$39,MATCH($G$38,$Q$33:$Q$39,0),2))),(8*(INDEX($Q$33:$R$39,MATCH($G$38,$Q$33:$Q$39,0),2)))*10%,R30*10%))-IF(IF(R30&lt;=(INDEX($Q$33:$R$39,MATCH($G$38,$Q$33:$Q$39,0),2)),INDEX($Q$33:$R$39,MATCH($G$38,$Q$33:$Q$39,0),2)*10%,IF(R30&gt;(8*(INDEX($Q$33:$R$39,MATCH($G$38,$Q$33:$Q$39,0),2))),(8*(INDEX($Q$33:$R$39,MATCH($G$38,$Q$33:$Q$39,0),2)))*10%,R30*10%))&gt;(J21+J22),(J21+J22),IF(R30&lt;=(INDEX($Q$33:$R$39,MATCH($G$38,$Q$33:$Q$39,0),2)),INDEX($Q$33:$R$39,MATCH($G$38,$Q$33:$Q$39,0),2)*10%,IF(R30&gt;(8*(INDEX($Q$33:$R$39,MATCH($G$38,$Q$33:$Q$39,0),2))),(8*(INDEX($Q$33:$R$39,MATCH($G$38,$Q$33:$Q$39,0),2)))*10%,R30*10%))))</f>
        <v>#N/A</v>
      </c>
      <c r="K38" s="864"/>
      <c r="L38" s="281"/>
      <c r="M38" s="298">
        <f ca="1">IF(AND('Pot ER Mode'!$G$13="Réaliser un versement N (et vérifier si le potentiel le permet)",'Pot ER Mode'!$H$15=Synthèse!$J$13),'Avis IR N-2'!M26,'Synthèse décla'!J38)</f>
        <v>4710</v>
      </c>
      <c r="N38" s="298">
        <f ca="1">IF(J34&lt;=M38,IF(OR(J19="Non",J19=""),0,IF(I34&gt;I32,I34+J34-I32-M38,J34-M38)),IF(P15="Non",J34-M38,IF(I34&gt;I32,I34+J34-I32-M38,J34-M38)))</f>
        <v>0</v>
      </c>
      <c r="O38" s="299">
        <f ca="1">M38-IF(OR(J19="Non",J19=""),J34,I33-I32+J34)</f>
        <v>4710</v>
      </c>
      <c r="P38" s="293"/>
      <c r="Q38" s="289">
        <f>Données!D55</f>
        <v>2024</v>
      </c>
      <c r="R38" s="289">
        <f>Données!E55</f>
        <v>46368</v>
      </c>
    </row>
    <row r="39" spans="4:18" ht="12" customHeight="1">
      <c r="D39" s="853" t="s">
        <v>182</v>
      </c>
      <c r="E39" s="853"/>
      <c r="F39" s="853"/>
      <c r="G39" s="153">
        <f ca="1">G37+1</f>
        <v>2027</v>
      </c>
      <c r="H39" s="276" t="str">
        <f>"="</f>
        <v>=</v>
      </c>
      <c r="I39" s="277" t="e">
        <f ca="1">SUM(I35:I38)</f>
        <v>#N/A</v>
      </c>
      <c r="J39" s="874" t="e">
        <f ca="1">IF('Estimation N'!G13=Données!L51,0,SUM(J35:J38))</f>
        <v>#N/A</v>
      </c>
      <c r="K39" s="875"/>
      <c r="L39" s="282"/>
      <c r="M39" s="293"/>
      <c r="N39" s="293"/>
      <c r="O39" s="293"/>
      <c r="P39" s="293"/>
      <c r="Q39" s="289">
        <f>Données!D56</f>
        <v>2025</v>
      </c>
      <c r="R39" s="289">
        <f>Données!E56</f>
        <v>47100</v>
      </c>
    </row>
  </sheetData>
  <sheetProtection selectLockedCells="1"/>
  <mergeCells count="54">
    <mergeCell ref="J15:K15"/>
    <mergeCell ref="M15:O15"/>
    <mergeCell ref="P15:R15"/>
    <mergeCell ref="Q10:R10"/>
    <mergeCell ref="D13:F13"/>
    <mergeCell ref="H13:I13"/>
    <mergeCell ref="J13:K13"/>
    <mergeCell ref="O13:P13"/>
    <mergeCell ref="D22:G22"/>
    <mergeCell ref="J22:K22"/>
    <mergeCell ref="D16:G16"/>
    <mergeCell ref="J16:K16"/>
    <mergeCell ref="D17:G17"/>
    <mergeCell ref="J17:K17"/>
    <mergeCell ref="D18:G18"/>
    <mergeCell ref="J18:K18"/>
    <mergeCell ref="D19:G19"/>
    <mergeCell ref="J19:K19"/>
    <mergeCell ref="D20:G20"/>
    <mergeCell ref="J20:K20"/>
    <mergeCell ref="D21:G21"/>
    <mergeCell ref="J21:K21"/>
    <mergeCell ref="M23:N23"/>
    <mergeCell ref="P23:Q23"/>
    <mergeCell ref="D25:K25"/>
    <mergeCell ref="Q32:R32"/>
    <mergeCell ref="D33:F33"/>
    <mergeCell ref="J33:K33"/>
    <mergeCell ref="J28:K28"/>
    <mergeCell ref="N28:O28"/>
    <mergeCell ref="Q28:R28"/>
    <mergeCell ref="D29:F29"/>
    <mergeCell ref="J29:K29"/>
    <mergeCell ref="D30:F30"/>
    <mergeCell ref="J30:K30"/>
    <mergeCell ref="D27:E27"/>
    <mergeCell ref="J31:K31"/>
    <mergeCell ref="D32:F32"/>
    <mergeCell ref="M24:O24"/>
    <mergeCell ref="P24:R24"/>
    <mergeCell ref="D39:F39"/>
    <mergeCell ref="J39:K39"/>
    <mergeCell ref="N34:O34"/>
    <mergeCell ref="D35:F35"/>
    <mergeCell ref="J35:K35"/>
    <mergeCell ref="D37:F37"/>
    <mergeCell ref="J37:K37"/>
    <mergeCell ref="D36:F36"/>
    <mergeCell ref="J36:K36"/>
    <mergeCell ref="J32:K32"/>
    <mergeCell ref="D34:F34"/>
    <mergeCell ref="J34:K34"/>
    <mergeCell ref="D38:F38"/>
    <mergeCell ref="J38:K38"/>
  </mergeCells>
  <conditionalFormatting sqref="L19">
    <cfRule type="cellIs" dxfId="162" priority="1" operator="equal">
      <formula>"?"</formula>
    </cfRule>
  </conditionalFormatting>
  <dataValidations count="2">
    <dataValidation type="list" allowBlank="1" showInputMessage="1" showErrorMessage="1" sqref="O13:P13" xr:uid="{D86F1474-DE84-49A7-AB1B-A4524280F04D}">
      <formula1>"Interprétation simple,Interprétation recalcul sur Revenu Brut Global"</formula1>
    </dataValidation>
    <dataValidation type="list" allowBlank="1" showInputMessage="1" showErrorMessage="1" sqref="J19:J20" xr:uid="{2E02EECA-FED2-40E8-8E41-F5492EDE274F}">
      <formula1>"Oui,Non"</formula1>
    </dataValidation>
  </dataValidations>
  <pageMargins left="0.7" right="0.7" top="0.75" bottom="0.75" header="0.3" footer="0.3"/>
  <pageSetup paperSize="9" orientation="portrait" verticalDpi="0"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3" id="{6904E301-901F-42FF-A617-0F5CC624C408}">
            <xm:f>'Estimation N'!$G$13=Données!$L$51</xm:f>
            <x14:dxf>
              <font>
                <color theme="0"/>
              </font>
              <fill>
                <patternFill>
                  <bgColor theme="0"/>
                </patternFill>
              </fill>
              <border>
                <right/>
                <top/>
                <bottom/>
                <vertical/>
                <horizontal/>
              </border>
            </x14:dxf>
          </x14:cfRule>
          <xm:sqref>I15:K22</xm:sqref>
        </x14:conditionalFormatting>
        <x14:conditionalFormatting xmlns:xm="http://schemas.microsoft.com/office/excel/2006/main">
          <x14:cfRule type="expression" priority="2" id="{AFE869B3-5B5E-48C4-B8B5-CFD7F70FD9E0}">
            <xm:f>'Estimation N'!$G$13=Données!$L$51</xm:f>
            <x14:dxf>
              <font>
                <color theme="0"/>
              </font>
              <fill>
                <patternFill>
                  <bgColor theme="0"/>
                </patternFill>
              </fill>
              <border>
                <right/>
                <top/>
                <bottom/>
                <vertical/>
                <horizontal/>
              </border>
            </x14:dxf>
          </x14:cfRule>
          <xm:sqref>J28:K39</xm:sqref>
        </x14:conditionalFormatting>
        <x14:conditionalFormatting xmlns:xm="http://schemas.microsoft.com/office/excel/2006/main">
          <x14:cfRule type="expression" priority="7" id="{853F5358-8B13-4AF0-AA4A-4CE527FA8B80}">
            <xm:f>('Estimation N'!$H$24+'Estimation N'!$H$29)=0</xm:f>
            <x14:dxf>
              <font>
                <color theme="0"/>
              </font>
              <fill>
                <patternFill>
                  <bgColor theme="0"/>
                </patternFill>
              </fill>
              <border>
                <left/>
                <top/>
                <bottom/>
                <vertical/>
                <horizontal/>
              </border>
            </x14:dxf>
          </x14:cfRule>
          <xm:sqref>M15:O23</xm:sqref>
        </x14:conditionalFormatting>
        <x14:conditionalFormatting xmlns:xm="http://schemas.microsoft.com/office/excel/2006/main">
          <x14:cfRule type="expression" priority="5" id="{FADCA0CF-7654-4B10-B49E-B98C507C6BCE}">
            <xm:f>('Estimation N'!$H$24+'Estimation N'!$K$24+'Estimation N'!$H$29+'Estimation N'!$K$29)=0</xm:f>
            <x14:dxf>
              <font>
                <color theme="0"/>
              </font>
              <fill>
                <patternFill>
                  <bgColor theme="0"/>
                </patternFill>
              </fill>
              <border>
                <left/>
                <right/>
                <top/>
                <bottom/>
                <vertical/>
                <horizontal/>
              </border>
            </x14:dxf>
          </x14:cfRule>
          <xm:sqref>M13:P13</xm:sqref>
        </x14:conditionalFormatting>
        <x14:conditionalFormatting xmlns:xm="http://schemas.microsoft.com/office/excel/2006/main">
          <x14:cfRule type="expression" priority="6" id="{70F5F13C-A03A-4588-B36B-530A3D6B35CF}">
            <xm:f>OR('Estimation N'!$G$13=Données!$L$51,('Estimation N'!$K$24+'Estimation N'!$K$29)=0)</xm:f>
            <x14:dxf>
              <font>
                <color theme="0"/>
              </font>
              <fill>
                <patternFill>
                  <bgColor theme="0"/>
                </patternFill>
              </fill>
              <border>
                <left/>
                <right/>
                <top/>
                <bottom/>
                <vertical/>
                <horizontal/>
              </border>
            </x14:dxf>
          </x14:cfRule>
          <xm:sqref>P15:R23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5308F-050E-4047-A8D2-5B3C45617FD7}">
  <sheetPr codeName="Feuil2"/>
  <dimension ref="A1:AI281"/>
  <sheetViews>
    <sheetView showGridLines="0" topLeftCell="A181" zoomScaleNormal="100" workbookViewId="0">
      <selection activeCell="A202" sqref="A202:P239"/>
    </sheetView>
  </sheetViews>
  <sheetFormatPr baseColWidth="10" defaultRowHeight="14.4"/>
  <cols>
    <col min="1" max="16" width="11.44140625" customWidth="1"/>
    <col min="23" max="23" width="11.44140625" customWidth="1"/>
  </cols>
  <sheetData>
    <row r="1" spans="1:35">
      <c r="A1" s="823" t="s">
        <v>201</v>
      </c>
      <c r="B1" s="823"/>
      <c r="C1" s="823"/>
      <c r="D1" s="823"/>
      <c r="E1" s="823"/>
      <c r="F1" s="823"/>
      <c r="G1" s="823"/>
      <c r="H1" s="823"/>
      <c r="I1" s="823"/>
      <c r="J1" s="823"/>
      <c r="K1" s="823"/>
      <c r="L1" s="823"/>
      <c r="M1" s="823"/>
      <c r="N1" s="823"/>
      <c r="O1" s="823"/>
      <c r="P1" s="823"/>
      <c r="R1" s="245"/>
      <c r="S1" s="245"/>
      <c r="T1" s="245"/>
      <c r="U1" s="245"/>
      <c r="W1" s="823" t="s">
        <v>207</v>
      </c>
      <c r="X1" s="823"/>
      <c r="Y1" s="823"/>
      <c r="Z1" s="823"/>
    </row>
    <row r="2" spans="1:35" s="136" customFormat="1" ht="14.25" customHeight="1">
      <c r="A2" s="235"/>
      <c r="B2" s="235"/>
      <c r="C2" s="235"/>
      <c r="D2" s="235"/>
      <c r="E2" s="235"/>
      <c r="F2" s="235"/>
      <c r="G2" s="235"/>
      <c r="H2" s="235"/>
      <c r="I2" s="235"/>
      <c r="J2" s="235"/>
      <c r="K2" s="235"/>
      <c r="L2" s="235"/>
      <c r="M2" s="235"/>
      <c r="N2" s="235"/>
      <c r="O2" s="235"/>
      <c r="P2" s="235"/>
      <c r="R2" s="246"/>
      <c r="S2" s="246"/>
      <c r="T2" s="246"/>
      <c r="U2" s="246"/>
      <c r="V2" s="136" t="s">
        <v>211</v>
      </c>
      <c r="W2" s="240" t="s">
        <v>208</v>
      </c>
      <c r="Z2" s="241" t="str">
        <f>IF('Pot ER Mode'!G13="Réaliser un versement N (et vérifier si le potentiel le permet)","Vous souhaitez estimer vos potentiels épargne retraite.","Vous souhaitez être accompagné dans la déclaration fiscale
de vos versements épargne retraite")</f>
        <v>Vous souhaitez être accompagné dans la déclaration fiscale
de vos versements épargne retraite</v>
      </c>
    </row>
    <row r="3" spans="1:35" s="136" customFormat="1" ht="14.25" customHeight="1">
      <c r="A3" s="235"/>
      <c r="B3" s="235"/>
      <c r="C3" s="235"/>
      <c r="D3" s="235"/>
      <c r="E3" s="235"/>
      <c r="F3" s="235"/>
      <c r="G3" s="235"/>
      <c r="H3" s="235"/>
      <c r="I3" s="235"/>
      <c r="J3" s="235"/>
      <c r="K3" s="235"/>
      <c r="L3" s="235"/>
      <c r="M3" s="235"/>
      <c r="N3" s="235"/>
      <c r="O3" s="235"/>
      <c r="P3" s="235"/>
      <c r="R3" s="246"/>
      <c r="S3" s="246"/>
      <c r="T3" s="246"/>
      <c r="U3" s="246"/>
      <c r="V3" s="136" t="s">
        <v>212</v>
      </c>
      <c r="W3" s="136" t="s">
        <v>210</v>
      </c>
    </row>
    <row r="4" spans="1:35" s="136" customFormat="1" ht="14.25" customHeight="1">
      <c r="A4" s="235"/>
      <c r="B4" s="235"/>
      <c r="C4" s="235"/>
      <c r="D4" s="235"/>
      <c r="E4" s="235"/>
      <c r="F4" s="235"/>
      <c r="G4" s="235"/>
      <c r="H4" s="235"/>
      <c r="I4" s="235"/>
      <c r="J4" s="235"/>
      <c r="K4" s="235"/>
      <c r="L4" s="235"/>
      <c r="M4" s="235"/>
      <c r="N4" s="235"/>
      <c r="O4" s="235"/>
      <c r="P4" s="235"/>
      <c r="R4" s="246"/>
      <c r="S4" s="246"/>
      <c r="T4" s="246"/>
      <c r="U4" s="246"/>
      <c r="V4" s="136" t="s">
        <v>246</v>
      </c>
      <c r="W4" s="136" t="str">
        <f ca="1">IF('Pot ER Mode'!G13="Réaliser un versement N (et vérifier si le potentiel le permet)","ESTIMATION DE VOS PLAFONDS DE VERSEMENTS EPARGNE RETRAITE
A TITRE PERSONNEL POUR "&amp;Synthèse!R9,"VOS PLAFONDS DE VERSEMENTS EPARGNE RETRAITE
A TITRE PERSONNEL POUR "&amp;'Synthèse décla'!R5)</f>
        <v>VOS PLAFONDS DE VERSEMENTS EPARGNE RETRAITE
A TITRE PERSONNEL POUR 2025</v>
      </c>
    </row>
    <row r="5" spans="1:35" s="136" customFormat="1" ht="14.25" customHeight="1">
      <c r="A5" s="235"/>
      <c r="B5" s="235"/>
      <c r="C5" s="235"/>
      <c r="D5" s="235"/>
      <c r="E5" s="235"/>
      <c r="F5" s="235"/>
      <c r="G5" s="235"/>
      <c r="H5" s="235"/>
      <c r="I5" s="235"/>
      <c r="J5" s="235"/>
      <c r="K5" s="235"/>
      <c r="L5" s="235"/>
      <c r="M5" s="235"/>
      <c r="N5" s="235"/>
      <c r="O5" s="235"/>
      <c r="P5" s="235"/>
      <c r="R5" s="246"/>
      <c r="S5" s="246"/>
      <c r="T5" s="246"/>
      <c r="U5" s="246"/>
      <c r="V5" s="136" t="s">
        <v>271</v>
      </c>
      <c r="W5" s="297" t="s">
        <v>248</v>
      </c>
    </row>
    <row r="6" spans="1:35" s="136" customFormat="1" ht="14.25" customHeight="1">
      <c r="A6" s="235"/>
      <c r="B6" s="235"/>
      <c r="C6" s="235"/>
      <c r="D6" s="235"/>
      <c r="E6" s="235"/>
      <c r="F6" s="235"/>
      <c r="G6" s="235"/>
      <c r="H6" s="235"/>
      <c r="I6" s="235"/>
      <c r="J6" s="235"/>
      <c r="K6" s="235"/>
      <c r="L6" s="235"/>
      <c r="M6" s="235"/>
      <c r="N6" s="235"/>
      <c r="O6" s="235"/>
      <c r="P6" s="235"/>
      <c r="R6" s="246"/>
      <c r="S6" s="246"/>
      <c r="T6" s="246"/>
      <c r="U6" s="246"/>
      <c r="V6" s="136" t="s">
        <v>247</v>
      </c>
      <c r="W6" s="136" t="str">
        <f ca="1">IF('Pot ER Mode'!G13="Réaliser un versement N (et vérifier si le potentiel le permet)","ESTIMATION DE VOS PLAFONDS DE VERSEMENTS EPARGNE RETRAITE
MADELIN POUR "&amp;Synthèse!R9,"VOS PLAFONDS DE VERSEMENTS EPARGNE RETRAITE
MADELIN POUR "&amp;'Synthèse décla'!R5)</f>
        <v>VOS PLAFONDS DE VERSEMENTS EPARGNE RETRAITE
MADELIN POUR 2025</v>
      </c>
    </row>
    <row r="7" spans="1:35" s="136" customFormat="1" ht="14.25" customHeight="1">
      <c r="A7" s="235"/>
      <c r="B7" s="235"/>
      <c r="C7" s="235"/>
      <c r="D7" s="235"/>
      <c r="E7" s="235"/>
      <c r="F7" s="235"/>
      <c r="G7" s="235"/>
      <c r="H7" s="235"/>
      <c r="I7" s="235"/>
      <c r="J7" s="235"/>
      <c r="K7" s="235"/>
      <c r="L7" s="235"/>
      <c r="M7" s="235"/>
      <c r="N7" s="235"/>
      <c r="O7" s="235"/>
      <c r="P7" s="235"/>
    </row>
    <row r="8" spans="1:35" s="136" customFormat="1" ht="14.25" customHeight="1">
      <c r="A8" s="235"/>
      <c r="B8" s="235"/>
      <c r="C8" s="235"/>
      <c r="D8" s="235"/>
      <c r="E8" s="235"/>
      <c r="F8" s="235"/>
      <c r="G8" s="235"/>
      <c r="H8" s="235"/>
      <c r="I8" s="235"/>
      <c r="J8" s="235"/>
      <c r="K8" s="235"/>
      <c r="L8" s="235"/>
      <c r="M8" s="235"/>
      <c r="N8" s="235"/>
      <c r="O8" s="235"/>
      <c r="P8" s="235"/>
    </row>
    <row r="9" spans="1:35" s="136" customFormat="1" ht="14.25" customHeight="1">
      <c r="A9" s="235"/>
      <c r="B9" s="235"/>
      <c r="C9" s="235"/>
      <c r="D9" s="235"/>
      <c r="E9" s="235"/>
      <c r="F9" s="235"/>
      <c r="G9" s="235"/>
      <c r="H9" s="235"/>
      <c r="I9" s="235"/>
      <c r="J9" s="235"/>
      <c r="K9" s="235"/>
      <c r="L9" s="235"/>
      <c r="M9" s="235"/>
      <c r="N9" s="235"/>
      <c r="O9" s="235"/>
      <c r="P9" s="235"/>
      <c r="R9" s="242"/>
      <c r="S9" s="242"/>
      <c r="V9" s="335" t="s">
        <v>283</v>
      </c>
      <c r="W9" s="335"/>
      <c r="X9" s="335"/>
      <c r="Y9" s="335"/>
      <c r="Z9" s="335"/>
      <c r="AA9" s="335"/>
      <c r="AB9" s="335"/>
      <c r="AC9" s="335"/>
      <c r="AD9" s="335"/>
      <c r="AE9" s="335"/>
      <c r="AF9" s="335"/>
      <c r="AG9" s="335"/>
      <c r="AH9" s="335"/>
      <c r="AI9" s="335"/>
    </row>
    <row r="10" spans="1:35" s="136" customFormat="1" ht="14.25" customHeight="1">
      <c r="A10" s="235"/>
      <c r="B10" s="235"/>
      <c r="C10" s="235"/>
      <c r="D10" s="235"/>
      <c r="E10" s="235"/>
      <c r="F10" s="235"/>
      <c r="G10" s="235"/>
      <c r="H10" s="235"/>
      <c r="I10" s="235"/>
      <c r="J10" s="235"/>
      <c r="K10" s="235"/>
      <c r="L10" s="235"/>
      <c r="M10" s="235"/>
      <c r="N10" s="235"/>
      <c r="O10" s="235"/>
      <c r="P10" s="235"/>
    </row>
    <row r="11" spans="1:35" s="136" customFormat="1" ht="14.25" customHeight="1">
      <c r="A11" s="235"/>
      <c r="B11" s="235"/>
      <c r="C11" s="235"/>
      <c r="D11" s="235"/>
      <c r="E11" s="235"/>
      <c r="F11" s="235"/>
      <c r="G11" s="235"/>
      <c r="H11" s="235"/>
      <c r="I11" s="235"/>
      <c r="J11" s="235"/>
      <c r="K11" s="235"/>
      <c r="L11" s="235"/>
      <c r="M11" s="235"/>
      <c r="N11" s="235"/>
      <c r="O11" s="235"/>
      <c r="P11" s="235"/>
      <c r="V11"/>
      <c r="W11"/>
      <c r="X11"/>
      <c r="Y11"/>
      <c r="Z11"/>
      <c r="AA11"/>
      <c r="AB11"/>
      <c r="AC11"/>
      <c r="AD11"/>
      <c r="AE11"/>
      <c r="AF11"/>
      <c r="AG11"/>
      <c r="AH11"/>
      <c r="AI11"/>
    </row>
    <row r="12" spans="1:35" s="136" customFormat="1" ht="14.25" customHeight="1">
      <c r="A12" s="235"/>
      <c r="B12" s="235"/>
      <c r="C12" s="235"/>
      <c r="D12" s="235"/>
      <c r="E12" s="235"/>
      <c r="F12" s="235"/>
      <c r="G12" s="235"/>
      <c r="H12" s="235"/>
      <c r="I12" s="235"/>
      <c r="J12" s="235"/>
      <c r="K12" s="235"/>
      <c r="L12" s="235"/>
      <c r="M12" s="235"/>
      <c r="N12" s="235"/>
      <c r="O12" s="235"/>
      <c r="P12" s="235"/>
      <c r="V12"/>
      <c r="W12"/>
      <c r="X12"/>
      <c r="Y12"/>
      <c r="Z12"/>
      <c r="AA12"/>
      <c r="AB12"/>
      <c r="AC12"/>
      <c r="AD12"/>
      <c r="AE12"/>
      <c r="AF12"/>
      <c r="AG12"/>
      <c r="AH12"/>
      <c r="AI12"/>
    </row>
    <row r="13" spans="1:35" s="136" customFormat="1" ht="14.25" customHeight="1">
      <c r="A13" s="235"/>
      <c r="B13" s="235"/>
      <c r="C13" s="235"/>
      <c r="D13" s="235"/>
      <c r="E13" s="235"/>
      <c r="F13" s="235"/>
      <c r="G13" s="235"/>
      <c r="H13" s="235"/>
      <c r="I13" s="235"/>
      <c r="J13" s="235"/>
      <c r="K13" s="235"/>
      <c r="L13" s="235"/>
      <c r="M13" s="235"/>
      <c r="N13" s="235"/>
      <c r="O13" s="235"/>
      <c r="P13" s="235"/>
      <c r="V13"/>
      <c r="W13"/>
      <c r="X13"/>
      <c r="Y13"/>
      <c r="Z13"/>
      <c r="AA13"/>
      <c r="AB13"/>
      <c r="AC13"/>
      <c r="AD13"/>
      <c r="AE13"/>
      <c r="AF13"/>
      <c r="AG13"/>
      <c r="AH13"/>
      <c r="AI13"/>
    </row>
    <row r="14" spans="1:35" s="136" customFormat="1" ht="14.25" customHeight="1">
      <c r="A14" s="235"/>
      <c r="B14" s="235"/>
      <c r="C14" s="235"/>
      <c r="D14" s="235"/>
      <c r="E14" s="235"/>
      <c r="F14" s="235"/>
      <c r="G14" s="235"/>
      <c r="H14" s="235"/>
      <c r="I14" s="235"/>
      <c r="J14" s="235"/>
      <c r="K14" s="235"/>
      <c r="L14" s="235"/>
      <c r="M14" s="235"/>
      <c r="N14" s="235"/>
      <c r="O14" s="235"/>
      <c r="P14" s="235"/>
      <c r="V14"/>
      <c r="W14"/>
      <c r="X14"/>
      <c r="Y14"/>
      <c r="Z14"/>
      <c r="AA14"/>
      <c r="AB14"/>
      <c r="AC14"/>
      <c r="AD14"/>
      <c r="AE14"/>
      <c r="AF14"/>
      <c r="AG14"/>
      <c r="AH14"/>
      <c r="AI14"/>
    </row>
    <row r="15" spans="1:35" s="136" customFormat="1" ht="14.25" customHeight="1">
      <c r="A15" s="235"/>
      <c r="B15" s="235"/>
      <c r="C15" s="235"/>
      <c r="D15" s="235"/>
      <c r="E15" s="235"/>
      <c r="F15" s="235"/>
      <c r="G15" s="235"/>
      <c r="H15" s="235"/>
      <c r="I15" s="235"/>
      <c r="J15" s="235"/>
      <c r="K15" s="235"/>
      <c r="L15" s="235"/>
      <c r="M15" s="235"/>
      <c r="N15" s="235"/>
      <c r="O15" s="235"/>
      <c r="P15" s="235"/>
      <c r="V15"/>
      <c r="W15"/>
      <c r="X15"/>
      <c r="Y15"/>
      <c r="Z15"/>
      <c r="AA15"/>
      <c r="AB15"/>
      <c r="AC15"/>
      <c r="AD15"/>
      <c r="AE15"/>
      <c r="AF15"/>
      <c r="AG15"/>
      <c r="AH15"/>
    </row>
    <row r="16" spans="1:35" s="136" customFormat="1" ht="14.25" customHeight="1">
      <c r="A16" s="235"/>
      <c r="B16" s="235"/>
      <c r="C16" s="235"/>
      <c r="D16" s="235"/>
      <c r="E16" s="235"/>
      <c r="F16" s="235"/>
      <c r="G16" s="235"/>
      <c r="H16" s="235"/>
      <c r="I16" s="235"/>
      <c r="J16" s="235"/>
      <c r="K16" s="235"/>
      <c r="L16" s="235"/>
      <c r="M16" s="235"/>
      <c r="N16" s="235"/>
      <c r="O16" s="235"/>
      <c r="P16" s="235"/>
      <c r="V16"/>
      <c r="W16"/>
      <c r="X16"/>
      <c r="Y16"/>
      <c r="Z16"/>
      <c r="AA16"/>
      <c r="AB16"/>
      <c r="AC16"/>
      <c r="AD16"/>
      <c r="AE16"/>
      <c r="AF16"/>
      <c r="AG16"/>
      <c r="AH16"/>
      <c r="AI16"/>
    </row>
    <row r="17" spans="1:35" s="136" customFormat="1" ht="14.25" customHeight="1">
      <c r="A17" s="235"/>
      <c r="B17" s="235"/>
      <c r="C17" s="235"/>
      <c r="D17" s="235"/>
      <c r="E17" s="235"/>
      <c r="F17" s="235"/>
      <c r="G17" s="235"/>
      <c r="H17" s="235"/>
      <c r="I17" s="235"/>
      <c r="J17" s="235"/>
      <c r="K17" s="235"/>
      <c r="L17" s="235"/>
      <c r="M17" s="235"/>
      <c r="N17" s="235"/>
      <c r="O17" s="235"/>
      <c r="P17" s="235"/>
      <c r="V17"/>
      <c r="W17"/>
      <c r="X17"/>
      <c r="Y17"/>
      <c r="Z17"/>
      <c r="AA17"/>
      <c r="AB17"/>
      <c r="AC17"/>
      <c r="AD17"/>
      <c r="AE17"/>
      <c r="AF17"/>
      <c r="AG17"/>
      <c r="AH17"/>
      <c r="AI17"/>
    </row>
    <row r="18" spans="1:35" s="136" customFormat="1" ht="14.25" customHeight="1">
      <c r="A18" s="235"/>
      <c r="B18" s="235"/>
      <c r="C18" s="235"/>
      <c r="D18" s="235"/>
      <c r="E18" s="235"/>
      <c r="F18" s="235"/>
      <c r="G18" s="235"/>
      <c r="H18" s="235"/>
      <c r="I18" s="235"/>
      <c r="J18" s="235"/>
      <c r="K18" s="235"/>
      <c r="L18" s="235"/>
      <c r="M18" s="235"/>
      <c r="N18" s="235"/>
      <c r="O18" s="235"/>
      <c r="P18" s="235"/>
    </row>
    <row r="19" spans="1:35" s="136" customFormat="1" ht="14.25" customHeight="1">
      <c r="A19" s="235"/>
      <c r="B19" s="235"/>
      <c r="C19" s="235"/>
      <c r="D19" s="235"/>
      <c r="E19" s="235"/>
      <c r="F19" s="235"/>
      <c r="G19" s="235"/>
      <c r="H19" s="235"/>
      <c r="I19" s="235"/>
      <c r="J19" s="235"/>
      <c r="K19" s="235"/>
      <c r="L19" s="235"/>
      <c r="M19" s="235"/>
      <c r="N19" s="235"/>
      <c r="O19" s="235"/>
      <c r="P19" s="235"/>
      <c r="V19" s="335" t="s">
        <v>284</v>
      </c>
      <c r="W19" s="335"/>
      <c r="X19" s="335"/>
      <c r="Y19" s="335"/>
      <c r="Z19" s="335"/>
      <c r="AA19" s="335"/>
      <c r="AB19" s="335"/>
      <c r="AC19" s="335"/>
      <c r="AD19" s="335"/>
      <c r="AE19" s="335"/>
      <c r="AF19" s="335"/>
      <c r="AG19" s="335"/>
      <c r="AH19" s="335"/>
      <c r="AI19" s="335"/>
    </row>
    <row r="20" spans="1:35" s="136" customFormat="1" ht="14.25" customHeight="1">
      <c r="A20" s="235"/>
      <c r="B20" s="235"/>
      <c r="C20" s="235"/>
      <c r="D20" s="235"/>
      <c r="E20" s="235"/>
      <c r="F20" s="235"/>
      <c r="G20" s="235"/>
      <c r="H20" s="235"/>
      <c r="I20" s="235"/>
      <c r="J20" s="235"/>
      <c r="K20" s="235"/>
      <c r="L20" s="235"/>
      <c r="M20" s="235"/>
      <c r="N20" s="235"/>
      <c r="O20" s="235"/>
      <c r="P20" s="235"/>
    </row>
    <row r="21" spans="1:35" s="136" customFormat="1" ht="14.25" customHeight="1">
      <c r="A21" s="235"/>
      <c r="B21" s="235"/>
      <c r="C21" s="235"/>
      <c r="D21" s="235"/>
      <c r="E21" s="235"/>
      <c r="F21" s="235"/>
      <c r="G21" s="235"/>
      <c r="H21" s="235"/>
      <c r="I21" s="235"/>
      <c r="J21" s="235"/>
      <c r="K21" s="235"/>
      <c r="L21" s="235"/>
      <c r="M21" s="235"/>
      <c r="N21" s="235"/>
      <c r="O21" s="235"/>
      <c r="P21" s="235"/>
    </row>
    <row r="22" spans="1:35" s="136" customFormat="1" ht="14.25" customHeight="1">
      <c r="A22" s="235"/>
      <c r="B22" s="235"/>
      <c r="C22" s="235"/>
      <c r="D22" s="235"/>
      <c r="E22" s="235"/>
      <c r="F22" s="235"/>
      <c r="G22" s="235"/>
      <c r="H22" s="235"/>
      <c r="I22" s="235"/>
      <c r="J22" s="235"/>
      <c r="K22" s="235"/>
      <c r="L22" s="235"/>
      <c r="M22" s="235"/>
      <c r="N22" s="235"/>
      <c r="O22" s="235"/>
      <c r="P22" s="235"/>
    </row>
    <row r="23" spans="1:35" s="136" customFormat="1" ht="14.25" customHeight="1">
      <c r="A23" s="235"/>
      <c r="B23" s="235"/>
      <c r="C23" s="235"/>
      <c r="D23" s="235"/>
      <c r="E23" s="235"/>
      <c r="F23" s="235"/>
      <c r="G23" s="235"/>
      <c r="H23" s="235"/>
      <c r="I23" s="235"/>
      <c r="J23" s="235"/>
      <c r="K23" s="235"/>
      <c r="L23" s="235"/>
      <c r="M23" s="235"/>
      <c r="N23" s="235"/>
      <c r="O23" s="235"/>
      <c r="P23" s="235"/>
    </row>
    <row r="24" spans="1:35" s="136" customFormat="1" ht="14.25" customHeight="1">
      <c r="A24" s="235"/>
      <c r="B24" s="235"/>
      <c r="C24" s="235"/>
      <c r="D24" s="235"/>
      <c r="E24" s="235"/>
      <c r="F24" s="235"/>
      <c r="G24" s="235"/>
      <c r="H24" s="235"/>
      <c r="I24" s="235"/>
      <c r="J24" s="235"/>
      <c r="K24" s="235"/>
      <c r="L24" s="235"/>
      <c r="M24" s="235"/>
      <c r="N24" s="235"/>
      <c r="O24" s="235"/>
      <c r="P24" s="235"/>
    </row>
    <row r="25" spans="1:35" s="136" customFormat="1" ht="14.25" customHeight="1">
      <c r="A25" s="235"/>
      <c r="B25" s="235"/>
      <c r="C25" s="235"/>
      <c r="D25" s="235"/>
      <c r="E25" s="235"/>
      <c r="F25" s="235"/>
      <c r="G25" s="235"/>
      <c r="H25" s="235"/>
      <c r="I25" s="235"/>
      <c r="J25" s="235"/>
      <c r="K25" s="235"/>
      <c r="L25" s="235"/>
      <c r="M25" s="235"/>
      <c r="N25" s="235"/>
      <c r="O25" s="235"/>
      <c r="P25" s="235"/>
    </row>
    <row r="26" spans="1:35" s="136" customFormat="1" ht="14.25" customHeight="1">
      <c r="A26" s="235"/>
      <c r="B26" s="235"/>
      <c r="C26" s="236"/>
      <c r="D26" s="236"/>
      <c r="E26" s="236"/>
      <c r="F26" s="236"/>
      <c r="G26" s="236"/>
      <c r="H26" s="236"/>
      <c r="I26" s="236"/>
      <c r="J26" s="236"/>
      <c r="K26" s="236"/>
      <c r="L26" s="236"/>
      <c r="M26" s="236"/>
      <c r="N26" s="236"/>
      <c r="O26" s="235"/>
      <c r="P26" s="235"/>
    </row>
    <row r="27" spans="1:35" s="136" customFormat="1" ht="14.25" customHeight="1">
      <c r="A27" s="235"/>
      <c r="B27" s="235"/>
      <c r="C27" s="236"/>
      <c r="D27" s="236"/>
      <c r="E27" s="236"/>
      <c r="F27" s="236"/>
      <c r="G27" s="236"/>
      <c r="H27" s="236"/>
      <c r="I27" s="236"/>
      <c r="J27" s="236"/>
      <c r="K27" s="236"/>
      <c r="L27" s="236"/>
      <c r="M27" s="236"/>
      <c r="N27" s="236"/>
      <c r="O27" s="235"/>
      <c r="P27" s="235"/>
    </row>
    <row r="28" spans="1:35" s="136" customFormat="1" ht="14.25" customHeight="1">
      <c r="A28" s="235"/>
      <c r="B28" s="235"/>
      <c r="C28" s="236"/>
      <c r="D28" s="236"/>
      <c r="E28" s="236"/>
      <c r="F28" s="236"/>
      <c r="G28" s="236"/>
      <c r="H28" s="236"/>
      <c r="I28" s="236"/>
      <c r="J28" s="236"/>
      <c r="K28" s="236"/>
      <c r="L28" s="236"/>
      <c r="M28" s="236"/>
      <c r="N28" s="236"/>
      <c r="O28" s="235"/>
      <c r="P28" s="235"/>
    </row>
    <row r="29" spans="1:35" s="136" customFormat="1" ht="14.25" customHeight="1">
      <c r="A29" s="235"/>
      <c r="B29" s="235"/>
      <c r="C29" s="236"/>
      <c r="D29" s="236"/>
      <c r="E29" s="236"/>
      <c r="F29" s="236"/>
      <c r="G29" s="236"/>
      <c r="H29" s="236"/>
      <c r="I29" s="236"/>
      <c r="J29" s="236"/>
      <c r="K29" s="236"/>
      <c r="L29" s="236"/>
      <c r="M29" s="236"/>
      <c r="N29" s="236"/>
      <c r="O29" s="235"/>
      <c r="P29" s="235"/>
    </row>
    <row r="30" spans="1:35" s="136" customFormat="1" ht="14.25" customHeight="1">
      <c r="A30" s="235"/>
      <c r="B30" s="235"/>
      <c r="C30" s="236"/>
      <c r="D30" s="236"/>
      <c r="E30" s="236"/>
      <c r="F30" s="236"/>
      <c r="G30" s="236"/>
      <c r="H30" s="236"/>
      <c r="I30" s="236"/>
      <c r="J30" s="236"/>
      <c r="K30" s="236"/>
      <c r="L30" s="236"/>
      <c r="M30" s="236"/>
      <c r="N30" s="236"/>
      <c r="O30" s="235"/>
      <c r="P30" s="235"/>
    </row>
    <row r="31" spans="1:35" s="136" customFormat="1" ht="14.25" customHeight="1" thickBot="1">
      <c r="A31" s="235"/>
      <c r="B31" s="235"/>
      <c r="C31" s="826" t="str">
        <f>IF('Pot ER Mode'!G13="Réaliser un versement N (et vérifier si le potentiel le permet)","Etude d'estimation du potentiel épargne retraite","Etude d'accompagnement à la déclaration des versements épargne retraite")</f>
        <v>Etude d'accompagnement à la déclaration des versements épargne retraite</v>
      </c>
      <c r="D31" s="826"/>
      <c r="E31" s="826"/>
      <c r="F31" s="826"/>
      <c r="G31" s="826"/>
      <c r="H31" s="826"/>
      <c r="I31" s="826"/>
      <c r="J31" s="826"/>
      <c r="K31" s="826"/>
      <c r="L31" s="826"/>
      <c r="M31" s="826"/>
      <c r="N31" s="826"/>
      <c r="O31" s="235"/>
      <c r="P31" s="235"/>
    </row>
    <row r="32" spans="1:35" s="136" customFormat="1" ht="14.25" customHeight="1">
      <c r="A32" s="235"/>
      <c r="B32" s="235"/>
      <c r="C32" s="236"/>
      <c r="D32" s="236"/>
      <c r="E32" s="825" t="s">
        <v>205</v>
      </c>
      <c r="F32" s="825"/>
      <c r="G32" s="825"/>
      <c r="H32" s="825"/>
      <c r="I32" s="825"/>
      <c r="J32" s="825"/>
      <c r="K32" s="825"/>
      <c r="L32" s="825"/>
      <c r="M32" s="236"/>
      <c r="N32" s="236"/>
      <c r="O32" s="235"/>
      <c r="P32" s="235"/>
    </row>
    <row r="33" spans="1:16" s="136" customFormat="1" ht="14.25" customHeight="1">
      <c r="A33" s="235"/>
      <c r="B33" s="235"/>
      <c r="C33" s="237"/>
      <c r="D33" s="237"/>
      <c r="E33" s="237"/>
      <c r="F33" s="236"/>
      <c r="G33" s="236"/>
      <c r="H33" s="236"/>
      <c r="I33" s="236"/>
      <c r="J33" s="236"/>
      <c r="K33" s="236"/>
      <c r="L33" s="237"/>
      <c r="M33" s="237"/>
      <c r="N33" s="237"/>
      <c r="O33" s="235"/>
      <c r="P33" s="235"/>
    </row>
    <row r="34" spans="1:16" s="136" customFormat="1" ht="14.25" customHeight="1">
      <c r="A34" s="235"/>
      <c r="B34" s="235"/>
      <c r="C34" s="237"/>
      <c r="D34" s="237"/>
      <c r="E34" s="237"/>
      <c r="F34" s="237"/>
      <c r="G34" s="827">
        <f ca="1">TODAY()</f>
        <v>46023</v>
      </c>
      <c r="H34" s="827"/>
      <c r="I34" s="827"/>
      <c r="J34" s="827"/>
      <c r="K34" s="237"/>
      <c r="L34" s="237"/>
      <c r="M34" s="237"/>
      <c r="N34" s="237"/>
      <c r="O34" s="235"/>
      <c r="P34" s="235"/>
    </row>
    <row r="35" spans="1:16" s="136" customFormat="1" ht="14.25" customHeight="1">
      <c r="A35" s="235"/>
      <c r="B35" s="235"/>
      <c r="C35" s="238"/>
      <c r="D35" s="238"/>
      <c r="E35" s="238"/>
      <c r="F35" s="238"/>
      <c r="G35" s="238"/>
      <c r="H35" s="238"/>
      <c r="I35" s="238"/>
      <c r="J35" s="238"/>
      <c r="K35" s="238"/>
      <c r="L35" s="238"/>
      <c r="M35" s="238"/>
      <c r="N35" s="238"/>
      <c r="O35" s="235"/>
      <c r="P35" s="235"/>
    </row>
    <row r="36" spans="1:16" s="136" customFormat="1" ht="14.25" customHeight="1">
      <c r="A36" s="235"/>
      <c r="B36" s="235"/>
      <c r="C36" s="828" t="s">
        <v>219</v>
      </c>
      <c r="D36" s="828"/>
      <c r="E36" s="828"/>
      <c r="F36" s="828"/>
      <c r="G36" s="828"/>
      <c r="H36" s="828"/>
      <c r="I36" s="828"/>
      <c r="J36" s="828"/>
      <c r="K36" s="828"/>
      <c r="L36" s="828"/>
      <c r="M36" s="828"/>
      <c r="N36" s="828"/>
      <c r="O36" s="235"/>
      <c r="P36" s="235"/>
    </row>
    <row r="37" spans="1:16" s="136" customFormat="1" ht="14.25" customHeight="1">
      <c r="A37" s="235"/>
      <c r="B37" s="235"/>
      <c r="C37" s="829" t="s">
        <v>206</v>
      </c>
      <c r="D37" s="829"/>
      <c r="E37" s="829"/>
      <c r="F37" s="829"/>
      <c r="G37" s="829"/>
      <c r="H37" s="829"/>
      <c r="I37" s="829"/>
      <c r="J37" s="829"/>
      <c r="K37" s="829"/>
      <c r="L37" s="829"/>
      <c r="M37" s="829"/>
      <c r="N37" s="829"/>
      <c r="O37" s="235"/>
      <c r="P37" s="235"/>
    </row>
    <row r="38" spans="1:16" s="136" customFormat="1" ht="14.25" customHeight="1">
      <c r="A38" s="235"/>
      <c r="B38" s="235"/>
      <c r="C38" s="239"/>
      <c r="D38" s="239"/>
      <c r="E38" s="239"/>
      <c r="F38" s="239"/>
      <c r="G38" s="239"/>
      <c r="H38" s="239"/>
      <c r="I38" s="239"/>
      <c r="J38" s="239"/>
      <c r="K38" s="239"/>
      <c r="L38" s="239"/>
      <c r="M38" s="239"/>
      <c r="N38" s="239"/>
      <c r="O38" s="235"/>
      <c r="P38" s="235"/>
    </row>
    <row r="39" spans="1:16" s="136" customFormat="1" ht="14.25" customHeight="1">
      <c r="A39" s="235"/>
      <c r="B39" s="235"/>
      <c r="C39" s="235"/>
      <c r="D39" s="235"/>
      <c r="E39" s="235"/>
      <c r="F39" s="235"/>
      <c r="G39" s="235"/>
      <c r="H39" s="235"/>
      <c r="I39" s="235"/>
      <c r="J39" s="235"/>
      <c r="K39" s="235"/>
      <c r="L39" s="235"/>
      <c r="M39" s="235"/>
      <c r="N39" s="235"/>
      <c r="O39" s="235"/>
      <c r="P39" s="235"/>
    </row>
    <row r="41" spans="1:16">
      <c r="A41" s="823" t="s">
        <v>202</v>
      </c>
      <c r="B41" s="823"/>
      <c r="C41" s="823"/>
      <c r="D41" s="823"/>
      <c r="E41" s="823"/>
      <c r="F41" s="823"/>
      <c r="G41" s="823"/>
      <c r="H41" s="823"/>
      <c r="I41" s="823"/>
      <c r="J41" s="823"/>
      <c r="K41" s="823"/>
      <c r="L41" s="823"/>
      <c r="M41" s="823"/>
      <c r="N41" s="823"/>
      <c r="O41" s="823"/>
      <c r="P41" s="823"/>
    </row>
    <row r="42" spans="1:16" ht="14.25" customHeight="1"/>
    <row r="43" spans="1:16" ht="14.25" customHeight="1"/>
    <row r="44" spans="1:16" ht="14.25" customHeight="1"/>
    <row r="45" spans="1:16" ht="14.25" customHeight="1"/>
    <row r="46" spans="1:16" ht="14.25" customHeight="1"/>
    <row r="47" spans="1:16" ht="14.25" customHeight="1"/>
    <row r="48" spans="1: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spans="2:15" ht="14.25" customHeight="1"/>
    <row r="66" spans="2:15" ht="14.25" customHeight="1"/>
    <row r="67" spans="2:15" ht="14.25" customHeight="1"/>
    <row r="68" spans="2:15" ht="14.25" customHeight="1"/>
    <row r="69" spans="2:15" ht="14.25" customHeight="1"/>
    <row r="70" spans="2:15" ht="14.25" customHeight="1"/>
    <row r="71" spans="2:15" ht="14.25" customHeight="1"/>
    <row r="72" spans="2:15" ht="14.25" customHeight="1"/>
    <row r="73" spans="2:15" ht="14.25" customHeight="1"/>
    <row r="74" spans="2:15" ht="14.25" customHeight="1"/>
    <row r="75" spans="2:15" ht="14.25" customHeight="1"/>
    <row r="76" spans="2:15" ht="14.25" customHeight="1"/>
    <row r="77" spans="2:15" ht="14.25" customHeight="1"/>
    <row r="78" spans="2:15" ht="14.25" customHeight="1">
      <c r="B78" s="234">
        <f ca="1">(TODAY())</f>
        <v>46023</v>
      </c>
      <c r="E78" s="812" t="s">
        <v>203</v>
      </c>
      <c r="F78" s="812"/>
      <c r="G78" s="812"/>
      <c r="H78" s="812"/>
      <c r="I78" s="812"/>
      <c r="J78" s="812"/>
      <c r="K78" s="812"/>
      <c r="L78" s="812"/>
      <c r="O78" s="233">
        <v>2</v>
      </c>
    </row>
    <row r="79" spans="2:15" ht="14.25" customHeight="1"/>
    <row r="80" spans="2:15" ht="14.25" customHeight="1"/>
    <row r="81" spans="1:16" ht="15" customHeight="1">
      <c r="A81" s="823" t="s">
        <v>209</v>
      </c>
      <c r="B81" s="823"/>
      <c r="C81" s="823"/>
      <c r="D81" s="823"/>
      <c r="E81" s="823"/>
      <c r="F81" s="823"/>
      <c r="G81" s="823"/>
      <c r="H81" s="823"/>
      <c r="I81" s="823"/>
      <c r="J81" s="823"/>
      <c r="K81" s="823"/>
      <c r="L81" s="823"/>
      <c r="M81" s="823"/>
      <c r="N81" s="823"/>
      <c r="O81" s="823"/>
      <c r="P81" s="823"/>
    </row>
    <row r="82" spans="1:16" ht="15" customHeight="1">
      <c r="A82" s="243"/>
      <c r="B82" s="243"/>
      <c r="C82" s="243"/>
      <c r="D82" s="243"/>
      <c r="E82" s="243"/>
      <c r="F82" s="243"/>
      <c r="G82" s="243"/>
      <c r="H82" s="243"/>
      <c r="I82" s="243"/>
      <c r="J82" s="243"/>
      <c r="K82" s="243"/>
      <c r="L82" s="243"/>
      <c r="M82" s="243"/>
      <c r="N82" s="243"/>
      <c r="O82" s="243"/>
      <c r="P82" s="243"/>
    </row>
    <row r="83" spans="1:16">
      <c r="A83" s="243"/>
      <c r="B83" s="243"/>
      <c r="C83" s="243"/>
      <c r="D83" s="243"/>
      <c r="E83" s="243"/>
      <c r="F83" s="243"/>
      <c r="G83" s="243"/>
      <c r="H83" s="243"/>
      <c r="I83" s="243"/>
      <c r="J83" s="243"/>
      <c r="K83" s="243"/>
      <c r="L83" s="243"/>
      <c r="M83" s="243"/>
      <c r="N83" s="243"/>
      <c r="O83" s="243"/>
      <c r="P83" s="243"/>
    </row>
    <row r="84" spans="1:16">
      <c r="A84" s="243"/>
      <c r="B84" s="243"/>
      <c r="C84" s="243"/>
      <c r="D84" s="243"/>
      <c r="E84" s="243"/>
      <c r="F84" s="243"/>
      <c r="G84" s="243"/>
      <c r="H84" s="243"/>
      <c r="I84" s="243"/>
      <c r="J84" s="243"/>
      <c r="K84" s="243"/>
      <c r="L84" s="243"/>
      <c r="M84" s="243"/>
      <c r="N84" s="243"/>
      <c r="O84" s="243"/>
      <c r="P84" s="243"/>
    </row>
    <row r="85" spans="1:16">
      <c r="A85" s="243"/>
      <c r="B85" s="243"/>
      <c r="C85" s="243"/>
      <c r="D85" s="243"/>
      <c r="E85" s="243"/>
      <c r="F85" s="243"/>
      <c r="G85" s="243"/>
      <c r="H85" s="243"/>
      <c r="I85" s="243"/>
      <c r="J85" s="243"/>
      <c r="K85" s="243"/>
      <c r="L85" s="243"/>
      <c r="M85" s="243"/>
      <c r="N85" s="243"/>
      <c r="O85" s="243"/>
      <c r="P85" s="243"/>
    </row>
    <row r="86" spans="1:16">
      <c r="A86" s="243"/>
      <c r="B86" s="243"/>
      <c r="C86" s="243"/>
      <c r="D86" s="243"/>
      <c r="E86" s="243"/>
      <c r="F86" s="243"/>
      <c r="G86" s="243"/>
      <c r="H86" s="243"/>
      <c r="I86" s="243"/>
      <c r="J86" s="243"/>
      <c r="K86" s="243"/>
      <c r="L86" s="243"/>
      <c r="M86" s="243"/>
      <c r="N86" s="243"/>
      <c r="O86" s="243"/>
      <c r="P86" s="243"/>
    </row>
    <row r="87" spans="1:16">
      <c r="A87" s="243"/>
      <c r="B87" s="243"/>
      <c r="C87" s="243"/>
      <c r="D87" s="243"/>
      <c r="E87" s="243"/>
      <c r="F87" s="243"/>
      <c r="G87" s="243"/>
      <c r="H87" s="243"/>
      <c r="I87" s="243"/>
      <c r="J87" s="243"/>
      <c r="K87" s="243"/>
      <c r="L87" s="243"/>
      <c r="M87" s="243"/>
      <c r="N87" s="243"/>
      <c r="O87" s="243"/>
      <c r="P87" s="243"/>
    </row>
    <row r="88" spans="1:16">
      <c r="A88" s="243"/>
      <c r="B88" s="243"/>
      <c r="C88" s="243"/>
      <c r="D88" s="243"/>
      <c r="E88" s="243"/>
      <c r="F88" s="243"/>
      <c r="G88" s="243"/>
      <c r="H88" s="243"/>
      <c r="I88" s="243"/>
      <c r="J88" s="243"/>
      <c r="K88" s="243"/>
      <c r="L88" s="243"/>
      <c r="M88" s="243"/>
      <c r="N88" s="243"/>
      <c r="O88" s="243"/>
      <c r="P88" s="243"/>
    </row>
    <row r="89" spans="1:16">
      <c r="A89" s="243"/>
      <c r="B89" s="243"/>
      <c r="C89" s="243"/>
      <c r="D89" s="243"/>
      <c r="E89" s="243"/>
      <c r="F89" s="243"/>
      <c r="G89" s="243"/>
      <c r="H89" s="243"/>
      <c r="I89" s="243"/>
      <c r="J89" s="243"/>
      <c r="K89" s="243"/>
      <c r="L89" s="243"/>
      <c r="M89" s="243"/>
      <c r="N89" s="243"/>
      <c r="O89" s="243"/>
      <c r="P89" s="243"/>
    </row>
    <row r="90" spans="1:16">
      <c r="A90" s="243"/>
      <c r="B90" s="243"/>
      <c r="C90" s="243"/>
      <c r="D90" s="243"/>
      <c r="E90" s="243"/>
      <c r="F90" s="243"/>
      <c r="G90" s="243"/>
      <c r="H90" s="243"/>
      <c r="I90" s="243"/>
      <c r="J90" s="243"/>
      <c r="K90" s="243"/>
      <c r="L90" s="243"/>
      <c r="M90" s="243"/>
      <c r="N90" s="243"/>
      <c r="O90" s="243"/>
      <c r="P90" s="243"/>
    </row>
    <row r="91" spans="1:16">
      <c r="A91" s="243"/>
      <c r="B91" s="243"/>
      <c r="C91" s="243"/>
      <c r="D91" s="243"/>
      <c r="E91" s="243"/>
      <c r="F91" s="243"/>
      <c r="G91" s="243"/>
      <c r="H91" s="243"/>
      <c r="I91" s="243"/>
      <c r="J91" s="243"/>
      <c r="K91" s="243"/>
      <c r="L91" s="243"/>
      <c r="M91" s="243"/>
      <c r="N91" s="243"/>
      <c r="O91" s="243"/>
      <c r="P91" s="243"/>
    </row>
    <row r="92" spans="1:16">
      <c r="A92" s="243"/>
      <c r="B92" s="243"/>
      <c r="C92" s="243"/>
      <c r="D92" s="243"/>
      <c r="E92" s="243"/>
      <c r="F92" s="243"/>
      <c r="G92" s="243"/>
      <c r="H92" s="243"/>
      <c r="I92" s="243"/>
      <c r="J92" s="243"/>
      <c r="K92" s="243"/>
      <c r="L92" s="243"/>
      <c r="M92" s="243"/>
      <c r="N92" s="243"/>
      <c r="O92" s="243"/>
      <c r="P92" s="243"/>
    </row>
    <row r="93" spans="1:16">
      <c r="A93" s="243"/>
      <c r="B93" s="243"/>
      <c r="C93" s="243"/>
      <c r="D93" s="243"/>
      <c r="E93" s="243"/>
      <c r="F93" s="243"/>
      <c r="G93" s="243"/>
      <c r="H93" s="243"/>
      <c r="I93" s="243"/>
      <c r="J93" s="243"/>
      <c r="K93" s="243"/>
      <c r="L93" s="243"/>
      <c r="M93" s="243"/>
      <c r="N93" s="243"/>
      <c r="O93" s="243"/>
      <c r="P93" s="243"/>
    </row>
    <row r="94" spans="1:16">
      <c r="A94" s="243"/>
      <c r="B94" s="243"/>
      <c r="C94" s="243"/>
      <c r="D94" s="243"/>
      <c r="E94" s="243"/>
      <c r="F94" s="243"/>
      <c r="G94" s="243"/>
      <c r="H94" s="243"/>
      <c r="I94" s="243"/>
      <c r="J94" s="243"/>
      <c r="K94" s="243"/>
      <c r="L94" s="243"/>
      <c r="M94" s="243"/>
      <c r="N94" s="243"/>
      <c r="O94" s="243"/>
      <c r="P94" s="243"/>
    </row>
    <row r="95" spans="1:16">
      <c r="A95" s="243"/>
      <c r="B95" s="243"/>
      <c r="C95" s="243"/>
      <c r="D95" s="243"/>
      <c r="E95" s="243"/>
      <c r="F95" s="243"/>
      <c r="G95" s="243"/>
      <c r="H95" s="243"/>
      <c r="I95" s="243"/>
      <c r="J95" s="243"/>
      <c r="K95" s="243"/>
      <c r="L95" s="243"/>
      <c r="M95" s="243"/>
      <c r="N95" s="243"/>
      <c r="O95" s="243"/>
      <c r="P95" s="243"/>
    </row>
    <row r="96" spans="1:16">
      <c r="A96" s="243"/>
      <c r="B96" s="243"/>
      <c r="C96" s="243"/>
      <c r="D96" s="243"/>
      <c r="E96" s="243"/>
      <c r="F96" s="243"/>
      <c r="G96" s="243"/>
      <c r="H96" s="243"/>
      <c r="I96" s="243"/>
      <c r="J96" s="243"/>
      <c r="K96" s="243"/>
      <c r="L96" s="243"/>
      <c r="M96" s="243"/>
      <c r="N96" s="243"/>
      <c r="O96" s="243"/>
      <c r="P96" s="243"/>
    </row>
    <row r="97" spans="1:16">
      <c r="A97" s="243"/>
      <c r="B97" s="243"/>
      <c r="C97" s="243"/>
      <c r="D97" s="243"/>
      <c r="E97" s="243"/>
      <c r="F97" s="243"/>
      <c r="G97" s="243"/>
      <c r="H97" s="243"/>
      <c r="I97" s="243"/>
      <c r="J97" s="243"/>
      <c r="K97" s="243"/>
      <c r="L97" s="243"/>
      <c r="M97" s="243"/>
      <c r="N97" s="243"/>
      <c r="O97" s="243"/>
      <c r="P97" s="243"/>
    </row>
    <row r="98" spans="1:16">
      <c r="A98" s="243"/>
      <c r="B98" s="243"/>
      <c r="C98" s="243"/>
      <c r="D98" s="243"/>
      <c r="E98" s="243"/>
      <c r="F98" s="243"/>
      <c r="G98" s="243"/>
      <c r="H98" s="243"/>
      <c r="I98" s="243"/>
      <c r="J98" s="243"/>
      <c r="K98" s="243"/>
      <c r="L98" s="243"/>
      <c r="M98" s="243"/>
      <c r="N98" s="243"/>
      <c r="O98" s="243"/>
      <c r="P98" s="243"/>
    </row>
    <row r="99" spans="1:16">
      <c r="A99" s="243"/>
      <c r="B99" s="243"/>
      <c r="C99" s="243"/>
      <c r="D99" s="243"/>
      <c r="E99" s="243"/>
      <c r="F99" s="243"/>
      <c r="G99" s="243"/>
      <c r="H99" s="243"/>
      <c r="I99" s="243"/>
      <c r="J99" s="243"/>
      <c r="K99" s="243"/>
      <c r="L99" s="243"/>
      <c r="M99" s="243"/>
      <c r="N99" s="243"/>
      <c r="O99" s="243"/>
      <c r="P99" s="243"/>
    </row>
    <row r="100" spans="1:16">
      <c r="A100" s="243"/>
      <c r="B100" s="243"/>
      <c r="C100" s="243"/>
      <c r="D100" s="243"/>
      <c r="E100" s="243"/>
      <c r="F100" s="243"/>
      <c r="G100" s="243"/>
      <c r="H100" s="243"/>
      <c r="I100" s="243"/>
      <c r="J100" s="243"/>
      <c r="K100" s="243"/>
      <c r="L100" s="243"/>
      <c r="M100" s="243"/>
      <c r="N100" s="243"/>
      <c r="O100" s="243"/>
      <c r="P100" s="243"/>
    </row>
    <row r="101" spans="1:16">
      <c r="A101" s="243"/>
      <c r="B101" s="815" t="s">
        <v>214</v>
      </c>
      <c r="C101" s="815"/>
      <c r="D101" s="815"/>
      <c r="E101" s="243"/>
      <c r="F101" s="815" t="s">
        <v>215</v>
      </c>
      <c r="G101" s="815"/>
      <c r="H101" s="815"/>
      <c r="I101" s="243"/>
      <c r="J101" s="815" t="s">
        <v>216</v>
      </c>
      <c r="K101" s="815"/>
      <c r="L101" s="815"/>
      <c r="M101" s="243"/>
      <c r="N101" s="815" t="s">
        <v>111</v>
      </c>
      <c r="O101" s="815"/>
      <c r="P101" s="243"/>
    </row>
    <row r="102" spans="1:16">
      <c r="A102" s="243"/>
      <c r="B102" s="244"/>
      <c r="C102" s="244"/>
      <c r="D102" s="244"/>
      <c r="E102" s="243"/>
      <c r="F102" s="244"/>
      <c r="G102" s="244"/>
      <c r="H102" s="244"/>
      <c r="I102" s="243"/>
      <c r="J102" s="243"/>
      <c r="K102" s="243"/>
      <c r="L102" s="243"/>
      <c r="M102" s="243"/>
      <c r="N102" s="243"/>
      <c r="O102" s="243"/>
      <c r="P102" s="243"/>
    </row>
    <row r="103" spans="1:16">
      <c r="A103" s="243"/>
      <c r="B103" s="243" t="s">
        <v>89</v>
      </c>
      <c r="C103" s="817">
        <f>IF('Pot ER Mode'!G13="Réaliser un versement N (et vérifier si le potentiel le permet)",'Estimation N'!H23+'Estimation N'!H24+'Estimation N'!H27+'Estimation N'!H29,'Décla N-1'!H23+'Décla N-1'!H24+'Décla N-1'!H27+'Décla N-1'!H29)</f>
        <v>0</v>
      </c>
      <c r="D103" s="817"/>
      <c r="E103" s="243"/>
      <c r="F103" s="817">
        <f>IF('Pot ER Mode'!G13="Réaliser un versement N (et vérifier si le potentiel le permet)",'Estimation N'!R23,'Décla N-1'!R23)</f>
        <v>0</v>
      </c>
      <c r="G103" s="817"/>
      <c r="H103" s="817"/>
      <c r="I103" s="243"/>
      <c r="J103" s="820">
        <f>IF('Pot ER Mode'!G13="Réaliser un versement N (et vérifier si le potentiel le permet)",'Estimation N'!S23,'Décla N-1'!S23)</f>
        <v>0</v>
      </c>
      <c r="K103" s="815"/>
      <c r="L103" s="815"/>
      <c r="M103" s="243"/>
      <c r="N103" s="816">
        <f>IF('Pot ER Mode'!G13="Réaliser un versement N (et vérifier si le potentiel le permet)",'Estimation N'!W32,'Décla N-1'!W32)</f>
        <v>0</v>
      </c>
      <c r="O103" s="816"/>
      <c r="P103" s="243"/>
    </row>
    <row r="104" spans="1:16">
      <c r="A104" s="243"/>
      <c r="B104" s="243" t="s">
        <v>90</v>
      </c>
      <c r="C104" s="817">
        <f>IF('Pot ER Mode'!G13="Réaliser un versement N (et vérifier si le potentiel le permet)",'Estimation N'!K23+'Estimation N'!K24+'Estimation N'!K27+'Estimation N'!K29,'Décla N-1'!K23+'Décla N-1'!K24+'Décla N-1'!K27+'Décla N-1'!K29)</f>
        <v>0</v>
      </c>
      <c r="D104" s="817"/>
      <c r="E104" s="243"/>
      <c r="F104" s="243"/>
      <c r="G104" s="243"/>
      <c r="H104" s="243"/>
      <c r="I104" s="243"/>
      <c r="J104" s="243"/>
      <c r="K104" s="243"/>
      <c r="L104" s="243"/>
      <c r="M104" s="243"/>
      <c r="N104" s="243"/>
      <c r="O104" s="243"/>
      <c r="P104" s="243"/>
    </row>
    <row r="105" spans="1:16">
      <c r="A105" s="243"/>
      <c r="B105" s="243"/>
      <c r="C105" s="243"/>
      <c r="D105" s="243"/>
      <c r="E105" s="243"/>
      <c r="F105" s="243"/>
      <c r="G105" s="243"/>
      <c r="H105" s="243"/>
      <c r="I105" s="243"/>
      <c r="J105" s="243"/>
      <c r="K105" s="243"/>
      <c r="L105" s="243"/>
      <c r="M105" s="243"/>
      <c r="N105" s="243"/>
      <c r="O105" s="243"/>
      <c r="P105" s="243"/>
    </row>
    <row r="106" spans="1:16">
      <c r="A106" s="243"/>
      <c r="B106" s="243"/>
      <c r="C106" s="243"/>
      <c r="D106" s="243"/>
      <c r="E106" s="243"/>
      <c r="F106" s="243"/>
      <c r="G106" s="243"/>
      <c r="H106" s="243"/>
      <c r="I106" s="243"/>
      <c r="J106" s="243"/>
      <c r="K106" s="243"/>
      <c r="L106" s="243"/>
      <c r="M106" s="243"/>
      <c r="N106" s="243"/>
      <c r="O106" s="243"/>
      <c r="P106" s="243"/>
    </row>
    <row r="107" spans="1:16">
      <c r="A107" s="243"/>
      <c r="B107" s="243"/>
      <c r="C107" s="243"/>
      <c r="D107" s="243"/>
      <c r="E107" s="243"/>
      <c r="F107" s="243"/>
      <c r="G107" s="243"/>
      <c r="H107" s="243"/>
      <c r="I107" s="243"/>
      <c r="J107" s="243"/>
      <c r="K107" s="243"/>
      <c r="L107" s="243"/>
      <c r="M107" s="243"/>
      <c r="N107" s="243"/>
      <c r="O107" s="243"/>
      <c r="P107" s="243"/>
    </row>
    <row r="108" spans="1:16">
      <c r="A108" s="243"/>
      <c r="B108" s="243"/>
      <c r="C108" s="243"/>
      <c r="D108" s="243"/>
      <c r="E108" s="243"/>
      <c r="F108" s="243"/>
      <c r="G108" s="243"/>
      <c r="H108" s="243"/>
      <c r="I108" s="243"/>
      <c r="J108" s="243"/>
      <c r="K108" s="243"/>
      <c r="L108" s="243"/>
      <c r="M108" s="243"/>
      <c r="N108" s="243"/>
      <c r="O108" s="243"/>
      <c r="P108" s="243"/>
    </row>
    <row r="109" spans="1:16">
      <c r="A109" s="243"/>
      <c r="B109" s="243"/>
      <c r="C109" s="243"/>
      <c r="D109" s="243"/>
      <c r="E109" s="243"/>
      <c r="F109" s="243"/>
      <c r="G109" s="243"/>
      <c r="H109" s="243"/>
      <c r="I109" s="243"/>
      <c r="J109" s="243"/>
      <c r="K109" s="243"/>
      <c r="L109" s="243"/>
      <c r="M109" s="243"/>
      <c r="N109" s="243"/>
      <c r="O109" s="243"/>
      <c r="P109" s="243"/>
    </row>
    <row r="110" spans="1:16">
      <c r="A110" s="243"/>
      <c r="B110" s="805">
        <v>0</v>
      </c>
      <c r="C110" s="807">
        <v>0.11</v>
      </c>
      <c r="D110" s="808"/>
      <c r="E110" s="809">
        <v>0.3</v>
      </c>
      <c r="F110" s="810"/>
      <c r="G110" s="810"/>
      <c r="H110" s="811">
        <v>0.41</v>
      </c>
      <c r="I110" s="811"/>
      <c r="J110" s="811"/>
      <c r="K110" s="811"/>
      <c r="L110" s="813">
        <v>0.45</v>
      </c>
      <c r="M110" s="814"/>
      <c r="N110" s="814"/>
      <c r="O110" s="814"/>
      <c r="P110" s="243"/>
    </row>
    <row r="111" spans="1:16">
      <c r="A111" s="243"/>
      <c r="B111" s="806"/>
      <c r="C111" s="808"/>
      <c r="D111" s="808"/>
      <c r="E111" s="810"/>
      <c r="F111" s="810"/>
      <c r="G111" s="810"/>
      <c r="H111" s="811"/>
      <c r="I111" s="811"/>
      <c r="J111" s="811"/>
      <c r="K111" s="811"/>
      <c r="L111" s="814"/>
      <c r="M111" s="814"/>
      <c r="N111" s="814"/>
      <c r="O111" s="814"/>
      <c r="P111" s="243"/>
    </row>
    <row r="112" spans="1:16">
      <c r="A112" s="243"/>
      <c r="B112" s="243"/>
      <c r="C112" s="252"/>
      <c r="D112" s="251"/>
      <c r="E112" s="249"/>
      <c r="F112" s="250"/>
      <c r="G112" s="243"/>
      <c r="H112" s="249"/>
      <c r="I112" s="250"/>
      <c r="J112" s="243"/>
      <c r="K112" s="243"/>
      <c r="L112" s="249"/>
      <c r="M112" s="250"/>
      <c r="N112" s="243"/>
      <c r="O112" s="243"/>
      <c r="P112" s="243"/>
    </row>
    <row r="113" spans="1:16">
      <c r="A113" s="243"/>
      <c r="B113" s="243"/>
      <c r="C113" s="248" t="str">
        <f>IF(N103=11%,IF('Pot ER Mode'!G13="Réaliser un versement N (et vérifier si le potentiel le permet)",'Estimation N'!N16,'Décla N-1'!N16),"")</f>
        <v/>
      </c>
      <c r="D113" s="251"/>
      <c r="E113" s="819" t="str">
        <f>IF(N103=30%,IF('Pot ER Mode'!G13="Réaliser un versement N (et vérifier si le potentiel le permet)",'Estimation N'!N16,'Décla N-1'!N16),"")</f>
        <v/>
      </c>
      <c r="F113" s="819"/>
      <c r="G113" s="243"/>
      <c r="H113" s="818" t="str">
        <f>IF(N103=41%,IF('Pot ER Mode'!G13="Réaliser un versement N (et vérifier si le potentiel le permet)",'Estimation N'!N16,'Décla N-1'!N16),"")</f>
        <v/>
      </c>
      <c r="I113" s="818"/>
      <c r="J113" s="243"/>
      <c r="K113" s="243"/>
      <c r="L113" s="819" t="str">
        <f>IF(N103=45%,IF('Pot ER Mode'!G13="Réaliser un versement N (et vérifier si le potentiel le permet)",'Estimation N'!N16,'Décla N-1'!N16),"")</f>
        <v/>
      </c>
      <c r="M113" s="819"/>
      <c r="N113" s="243"/>
      <c r="O113" s="243"/>
      <c r="P113" s="243"/>
    </row>
    <row r="114" spans="1:16">
      <c r="A114" s="243"/>
      <c r="B114" s="243"/>
      <c r="C114" s="243"/>
      <c r="D114" s="243"/>
      <c r="E114" s="243"/>
      <c r="F114" s="243"/>
      <c r="G114" s="243"/>
      <c r="H114" s="243"/>
      <c r="I114" s="243"/>
      <c r="J114" s="243"/>
      <c r="K114" s="243"/>
      <c r="L114" s="243"/>
      <c r="M114" s="243"/>
      <c r="N114" s="243"/>
      <c r="O114" s="243"/>
      <c r="P114" s="243"/>
    </row>
    <row r="115" spans="1:16">
      <c r="A115" s="243"/>
      <c r="B115" s="243"/>
      <c r="C115" s="243"/>
      <c r="D115" s="243"/>
      <c r="E115" s="243"/>
      <c r="F115" s="243"/>
      <c r="G115" s="243"/>
      <c r="H115" s="243"/>
      <c r="I115" s="243"/>
      <c r="J115" s="243"/>
      <c r="K115" s="243"/>
      <c r="L115" s="243"/>
      <c r="M115" s="243"/>
      <c r="N115" s="243"/>
      <c r="O115" s="243"/>
      <c r="P115" s="243"/>
    </row>
    <row r="116" spans="1:16" ht="15" thickBot="1">
      <c r="A116" s="243"/>
      <c r="B116" s="243"/>
      <c r="C116" s="243"/>
      <c r="D116" s="824" t="s">
        <v>218</v>
      </c>
      <c r="E116" s="824"/>
      <c r="F116" s="824"/>
      <c r="G116" s="824"/>
      <c r="H116" s="824"/>
      <c r="I116" s="822">
        <f>IF('Pot ER Mode'!G13="Réaliser un versement N (et vérifier si le potentiel le permet)",'Estimation N'!K15,'Décla N-1'!K15)</f>
        <v>0</v>
      </c>
      <c r="J116" s="822"/>
      <c r="K116" s="822"/>
      <c r="L116" s="253"/>
      <c r="M116" s="243"/>
      <c r="N116" s="243"/>
      <c r="O116" s="243"/>
      <c r="P116" s="243"/>
    </row>
    <row r="117" spans="1:16">
      <c r="A117" s="243"/>
      <c r="B117" s="243"/>
      <c r="C117" s="243"/>
      <c r="D117" s="243"/>
      <c r="E117" s="243"/>
      <c r="F117" s="243"/>
      <c r="G117" s="255" t="s">
        <v>226</v>
      </c>
      <c r="H117" s="243" t="s">
        <v>225</v>
      </c>
      <c r="I117" s="821">
        <f>IF('Pot ER Mode'!G13="Réaliser un versement N (et vérifier si le potentiel le permet)",'Estimation N'!N17,'Décla N-1'!N17)</f>
        <v>0</v>
      </c>
      <c r="J117" s="821"/>
      <c r="K117" s="821"/>
      <c r="L117" s="243"/>
      <c r="M117" s="243"/>
      <c r="N117" s="243"/>
      <c r="O117" s="243"/>
      <c r="P117" s="243"/>
    </row>
    <row r="118" spans="1:16">
      <c r="A118" s="243"/>
      <c r="B118" s="243"/>
      <c r="C118" s="243"/>
      <c r="D118" s="243"/>
      <c r="E118" s="243"/>
      <c r="F118" s="243"/>
      <c r="G118" s="243"/>
      <c r="H118" s="243"/>
      <c r="I118" s="243"/>
      <c r="J118" s="243"/>
      <c r="K118" s="243"/>
      <c r="L118" s="243"/>
      <c r="M118" s="243"/>
      <c r="N118" s="243"/>
      <c r="O118" s="243"/>
      <c r="P118" s="243"/>
    </row>
    <row r="119" spans="1:16">
      <c r="A119" s="243"/>
      <c r="B119" s="243"/>
      <c r="C119" s="243"/>
      <c r="D119" s="243"/>
      <c r="E119" s="243"/>
      <c r="F119" s="243"/>
      <c r="G119" s="243"/>
      <c r="H119" s="243"/>
      <c r="I119" s="243"/>
      <c r="J119" s="243"/>
      <c r="K119" s="243"/>
      <c r="L119" s="243"/>
      <c r="M119" s="243"/>
      <c r="N119" s="243"/>
      <c r="O119" s="243"/>
      <c r="P119" s="243"/>
    </row>
    <row r="120" spans="1:16">
      <c r="A120" s="243"/>
      <c r="B120" s="243"/>
      <c r="C120" s="243"/>
      <c r="D120" s="243"/>
      <c r="E120" s="243"/>
      <c r="F120" s="243"/>
      <c r="G120" s="243"/>
      <c r="H120" s="243"/>
      <c r="I120" s="243"/>
      <c r="J120" s="243"/>
      <c r="K120" s="243"/>
      <c r="L120" s="243"/>
      <c r="M120" s="243"/>
      <c r="N120" s="243"/>
      <c r="O120" s="243"/>
      <c r="P120" s="243"/>
    </row>
    <row r="121" spans="1:16">
      <c r="A121" s="823" t="s">
        <v>243</v>
      </c>
      <c r="B121" s="823"/>
      <c r="C121" s="823"/>
      <c r="D121" s="823"/>
      <c r="E121" s="823"/>
      <c r="F121" s="823"/>
      <c r="G121" s="823"/>
      <c r="H121" s="823"/>
      <c r="I121" s="823"/>
      <c r="J121" s="823"/>
      <c r="K121" s="823"/>
      <c r="L121" s="823"/>
      <c r="M121" s="823"/>
      <c r="N121" s="296" t="str">
        <f>IF('Pot ER Mode'!G13="Déclarer dans la 2042 les montants versés en N-1",IF('Décla N-1'!G13=Données!L50,"Décla2",""),IF('Estimation N'!G13=Données!L50,"Décla2",""))</f>
        <v/>
      </c>
      <c r="O121" s="296" t="str">
        <f>IF('Pot ER Mode'!G13="Réaliser un versement N (et vérifier si le potentiel le permet)",IF(('Estimation N'!H24+'Estimation N'!H29)&gt;0,"TNS1",""),IF(('Décla N-1'!H24+'Décla N-1'!H29)&gt;0,"TNS1",""))</f>
        <v/>
      </c>
      <c r="P121" s="296" t="str">
        <f>IF('Pot ER Mode'!G13="Réaliser un versement N (et vérifier si le potentiel le permet)",IF('Estimation N'!G13=Données!L51,"",IF('Estimation N'!K24+'Estimation N'!K29&gt;0,"TNS2","")),IF('Décla N-1'!G13=Données!L51,"",IF('Décla N-1'!K24+'Décla N-1'!K29&gt;0,"TNS2","")))</f>
        <v/>
      </c>
    </row>
    <row r="125" spans="1:16">
      <c r="B125" s="902" t="s">
        <v>268</v>
      </c>
      <c r="C125" s="902"/>
      <c r="D125" s="902"/>
      <c r="E125" s="902"/>
      <c r="F125" s="902"/>
      <c r="G125" s="902"/>
      <c r="H125" s="902"/>
      <c r="I125" s="902"/>
      <c r="J125" s="902"/>
      <c r="K125" s="902"/>
      <c r="L125" s="902"/>
      <c r="M125" s="902"/>
      <c r="N125" s="902"/>
      <c r="O125" s="902"/>
    </row>
    <row r="126" spans="1:16">
      <c r="B126" s="902"/>
      <c r="C126" s="902"/>
      <c r="D126" s="902"/>
      <c r="E126" s="902"/>
      <c r="F126" s="902"/>
      <c r="G126" s="902"/>
      <c r="H126" s="902"/>
      <c r="I126" s="902"/>
      <c r="J126" s="902"/>
      <c r="K126" s="902"/>
      <c r="L126" s="902"/>
      <c r="M126" s="902"/>
      <c r="N126" s="902"/>
      <c r="O126" s="902"/>
    </row>
    <row r="127" spans="1:16">
      <c r="B127" s="334"/>
      <c r="C127" s="334"/>
      <c r="D127" s="334"/>
      <c r="E127" s="334"/>
      <c r="F127" s="334"/>
      <c r="G127" s="334"/>
      <c r="H127" s="334"/>
      <c r="I127" s="334"/>
      <c r="J127" s="334"/>
      <c r="K127" s="334"/>
      <c r="L127" s="334"/>
      <c r="M127" s="334"/>
      <c r="N127" s="334"/>
      <c r="O127" s="334"/>
    </row>
    <row r="128" spans="1:16" ht="15" customHeight="1">
      <c r="B128" s="903" t="s">
        <v>265</v>
      </c>
      <c r="C128" s="903"/>
      <c r="D128" s="903"/>
      <c r="E128" s="903"/>
      <c r="F128" s="903"/>
      <c r="G128" s="902" t="s">
        <v>266</v>
      </c>
      <c r="H128" s="902"/>
      <c r="I128" s="902"/>
      <c r="J128" s="902"/>
      <c r="K128" s="902"/>
      <c r="L128" s="902"/>
      <c r="M128" s="902"/>
      <c r="N128" s="902"/>
      <c r="O128" s="902"/>
    </row>
    <row r="129" spans="2:15">
      <c r="B129" s="243"/>
      <c r="C129" s="243"/>
      <c r="D129" s="243"/>
      <c r="E129" s="243"/>
      <c r="F129" s="243"/>
      <c r="G129" s="902"/>
      <c r="H129" s="902"/>
      <c r="I129" s="902"/>
      <c r="J129" s="902"/>
      <c r="K129" s="902"/>
      <c r="L129" s="902"/>
      <c r="M129" s="902"/>
      <c r="N129" s="902"/>
      <c r="O129" s="902"/>
    </row>
    <row r="130" spans="2:15" ht="15" customHeight="1">
      <c r="B130" s="243"/>
      <c r="C130" s="243"/>
      <c r="D130" s="243"/>
      <c r="E130" s="243"/>
      <c r="F130" s="243"/>
      <c r="G130" s="902"/>
      <c r="H130" s="902"/>
      <c r="I130" s="902"/>
      <c r="J130" s="902"/>
      <c r="K130" s="902"/>
      <c r="L130" s="902"/>
      <c r="M130" s="902"/>
      <c r="N130" s="902"/>
      <c r="O130" s="902"/>
    </row>
    <row r="131" spans="2:15">
      <c r="B131" s="334"/>
      <c r="C131" s="334"/>
      <c r="D131" s="334"/>
      <c r="E131" s="334"/>
      <c r="F131" s="334"/>
      <c r="G131" s="902"/>
      <c r="H131" s="902"/>
      <c r="I131" s="902"/>
      <c r="J131" s="902"/>
      <c r="K131" s="902"/>
      <c r="L131" s="902"/>
      <c r="M131" s="902"/>
      <c r="N131" s="902"/>
      <c r="O131" s="902"/>
    </row>
    <row r="132" spans="2:15">
      <c r="B132" s="243"/>
      <c r="C132" s="243"/>
      <c r="D132" s="243"/>
      <c r="E132" s="243"/>
      <c r="F132" s="243"/>
      <c r="G132" s="902"/>
      <c r="H132" s="902"/>
      <c r="I132" s="902"/>
      <c r="J132" s="902"/>
      <c r="K132" s="902"/>
      <c r="L132" s="902"/>
      <c r="M132" s="902"/>
      <c r="N132" s="902"/>
      <c r="O132" s="902"/>
    </row>
    <row r="133" spans="2:15" ht="15" customHeight="1">
      <c r="B133" s="243"/>
      <c r="C133" s="243"/>
      <c r="D133" s="243"/>
      <c r="E133" s="243"/>
      <c r="F133" s="243"/>
      <c r="G133" s="243"/>
      <c r="H133" s="243"/>
      <c r="I133" s="243"/>
      <c r="J133" s="243"/>
      <c r="K133" s="243"/>
      <c r="L133" s="243"/>
      <c r="M133" s="243"/>
      <c r="N133" s="243"/>
      <c r="O133" s="243"/>
    </row>
    <row r="134" spans="2:15">
      <c r="B134" s="243"/>
      <c r="C134" s="243"/>
      <c r="D134" s="243"/>
      <c r="E134" s="243"/>
      <c r="F134" s="243"/>
      <c r="G134" s="243"/>
      <c r="H134" s="243"/>
      <c r="I134" s="243"/>
      <c r="J134" s="243"/>
      <c r="K134" s="243"/>
      <c r="L134" s="243"/>
      <c r="M134" s="243"/>
      <c r="N134" s="243"/>
      <c r="O134" s="243"/>
    </row>
    <row r="135" spans="2:15">
      <c r="B135" s="243"/>
      <c r="C135" s="243"/>
      <c r="D135" s="243"/>
      <c r="E135" s="243"/>
      <c r="F135" s="243"/>
      <c r="G135" s="243"/>
      <c r="H135" s="243"/>
      <c r="I135" s="243"/>
      <c r="J135" s="243"/>
      <c r="K135" s="243"/>
      <c r="L135" s="243"/>
      <c r="M135" s="243"/>
      <c r="N135" s="243"/>
      <c r="O135" s="243"/>
    </row>
    <row r="136" spans="2:15">
      <c r="B136" s="243"/>
      <c r="C136" s="243"/>
      <c r="D136" s="243"/>
      <c r="E136" s="243"/>
      <c r="F136" s="243"/>
      <c r="G136" s="243"/>
      <c r="H136" s="243"/>
      <c r="I136" s="243"/>
      <c r="J136" s="243"/>
      <c r="K136" s="243"/>
      <c r="L136" s="243"/>
      <c r="M136" s="243"/>
      <c r="N136" s="243"/>
      <c r="O136" s="243"/>
    </row>
    <row r="137" spans="2:15">
      <c r="B137" s="243"/>
      <c r="C137" s="243"/>
      <c r="D137" s="243"/>
      <c r="E137" s="243"/>
      <c r="F137" s="243"/>
      <c r="G137" s="334"/>
      <c r="H137" s="334"/>
      <c r="I137" s="334"/>
      <c r="J137" s="334"/>
      <c r="K137" s="334"/>
      <c r="L137" s="334"/>
      <c r="M137" s="334"/>
      <c r="N137" s="334"/>
      <c r="O137" s="334"/>
    </row>
    <row r="138" spans="2:15">
      <c r="B138" s="243"/>
      <c r="C138" s="243"/>
      <c r="D138" s="243"/>
      <c r="E138" s="243"/>
      <c r="F138" s="243"/>
      <c r="G138" s="334"/>
      <c r="H138" s="334"/>
      <c r="I138" s="334"/>
      <c r="J138" s="334"/>
      <c r="K138" s="334"/>
      <c r="L138" s="334"/>
      <c r="M138" s="334"/>
      <c r="N138" s="334"/>
      <c r="O138" s="334"/>
    </row>
    <row r="139" spans="2:15">
      <c r="B139" s="243"/>
      <c r="C139" s="243"/>
      <c r="D139" s="243"/>
      <c r="E139" s="243"/>
      <c r="F139" s="243"/>
      <c r="G139" s="334"/>
      <c r="H139" s="334"/>
      <c r="I139" s="334"/>
      <c r="J139" s="334"/>
      <c r="K139" s="334"/>
      <c r="L139" s="334"/>
      <c r="M139" s="334"/>
      <c r="N139" s="334"/>
      <c r="O139" s="334"/>
    </row>
    <row r="140" spans="2:15">
      <c r="B140" s="243"/>
      <c r="C140" s="243"/>
      <c r="D140" s="243"/>
      <c r="E140" s="243"/>
      <c r="F140" s="243"/>
      <c r="G140" s="243"/>
      <c r="H140" s="243"/>
      <c r="I140" s="243"/>
      <c r="J140" s="243"/>
      <c r="K140" s="243"/>
      <c r="L140" s="243"/>
      <c r="M140" s="243"/>
      <c r="N140" s="243"/>
      <c r="O140" s="243"/>
    </row>
    <row r="141" spans="2:15">
      <c r="B141" s="243"/>
      <c r="C141" s="243"/>
      <c r="D141" s="243"/>
      <c r="E141" s="243"/>
      <c r="F141" s="243"/>
      <c r="G141" s="243"/>
      <c r="H141" s="243"/>
      <c r="I141" s="243"/>
      <c r="J141" s="243"/>
      <c r="K141" s="243"/>
      <c r="L141" s="243"/>
      <c r="M141" s="243"/>
      <c r="N141" s="243"/>
      <c r="O141" s="243"/>
    </row>
    <row r="142" spans="2:15">
      <c r="B142" s="243"/>
      <c r="C142" s="815" t="s">
        <v>286</v>
      </c>
      <c r="D142" s="815"/>
      <c r="E142" s="815"/>
      <c r="F142" s="243"/>
      <c r="G142" s="815" t="s">
        <v>287</v>
      </c>
      <c r="H142" s="815"/>
      <c r="I142" s="815"/>
      <c r="J142" s="243"/>
      <c r="K142" s="815" t="s">
        <v>285</v>
      </c>
      <c r="L142" s="815"/>
      <c r="M142" s="815"/>
      <c r="N142" s="243"/>
      <c r="O142" s="243"/>
    </row>
    <row r="143" spans="2:15">
      <c r="B143" s="815"/>
      <c r="C143" s="815"/>
      <c r="D143" s="815"/>
      <c r="E143" s="815"/>
      <c r="F143" s="815"/>
      <c r="G143" s="815"/>
      <c r="H143" s="243"/>
      <c r="I143" s="243"/>
      <c r="J143" s="243"/>
      <c r="K143" s="243"/>
      <c r="L143" s="243"/>
      <c r="M143" s="243"/>
      <c r="N143" s="243"/>
      <c r="O143" s="243"/>
    </row>
    <row r="144" spans="2:15">
      <c r="B144" s="243"/>
      <c r="C144" s="243"/>
      <c r="D144" s="243"/>
      <c r="E144" s="243"/>
      <c r="F144" s="243"/>
      <c r="G144" s="243"/>
      <c r="H144" s="243"/>
      <c r="I144" s="243"/>
      <c r="J144" s="243"/>
      <c r="K144" s="243"/>
      <c r="L144" s="243"/>
      <c r="M144" s="243"/>
      <c r="N144" s="243"/>
      <c r="O144" s="243"/>
    </row>
    <row r="145" spans="2:15">
      <c r="B145" s="243"/>
      <c r="C145" s="243" t="s">
        <v>89</v>
      </c>
      <c r="D145" s="817">
        <f>IF('Pot ER Mode'!G13="Réaliser un versement N (et vérifier si le potentiel le permet)",Synthèse!I32,'Synthèse décla'!I32)</f>
        <v>0</v>
      </c>
      <c r="E145" s="817"/>
      <c r="F145" s="332"/>
      <c r="G145" s="243" t="s">
        <v>89</v>
      </c>
      <c r="H145" s="817">
        <f>IF('Pot ER Mode'!G13="Réaliser un versement N (et vérifier si le potentiel le permet)",Synthèse!H16+Synthèse!H17,'Synthèse décla'!H16+'Synthèse décla'!H17)</f>
        <v>0</v>
      </c>
      <c r="I145" s="817"/>
      <c r="J145" s="332"/>
      <c r="K145" s="243" t="s">
        <v>89</v>
      </c>
      <c r="L145" s="817">
        <f>D145-H145</f>
        <v>0</v>
      </c>
      <c r="M145" s="817"/>
      <c r="N145" s="354" t="str">
        <f>IF(L145&lt;0,"Dépassement","")</f>
        <v/>
      </c>
      <c r="O145" s="243"/>
    </row>
    <row r="146" spans="2:15">
      <c r="B146" s="243"/>
      <c r="C146" s="243" t="s">
        <v>90</v>
      </c>
      <c r="D146" s="817">
        <f>IF('Pot ER Mode'!G13="Réaliser un versement N (et vérifier si le potentiel le permet)",Synthèse!J32,'Synthèse décla'!J32)</f>
        <v>0</v>
      </c>
      <c r="E146" s="817"/>
      <c r="F146" s="332"/>
      <c r="G146" s="243" t="s">
        <v>90</v>
      </c>
      <c r="H146" s="817">
        <f>IF('Pot ER Mode'!G13="Réaliser un versement N (et vérifier si le potentiel le permet)",Synthèse!J16+Synthèse!J17,'Synthèse décla'!J16+'Synthèse décla'!J17)</f>
        <v>0</v>
      </c>
      <c r="I146" s="817"/>
      <c r="J146" s="332"/>
      <c r="K146" s="243" t="s">
        <v>90</v>
      </c>
      <c r="L146" s="817">
        <f>D146-H146</f>
        <v>0</v>
      </c>
      <c r="M146" s="817"/>
      <c r="N146" s="354" t="str">
        <f>IF(L146&lt;0,"Dépassement","")</f>
        <v/>
      </c>
      <c r="O146" s="253"/>
    </row>
    <row r="147" spans="2:15">
      <c r="B147" s="243"/>
      <c r="C147" s="243"/>
      <c r="D147" s="332"/>
      <c r="E147" s="332"/>
      <c r="F147" s="332"/>
      <c r="G147" s="243"/>
      <c r="H147" s="243"/>
      <c r="I147" s="243"/>
      <c r="J147" s="243"/>
      <c r="K147" s="243"/>
      <c r="L147" s="243"/>
      <c r="M147" s="243"/>
      <c r="N147" s="243"/>
      <c r="O147" s="243"/>
    </row>
    <row r="148" spans="2:15">
      <c r="C148" s="243"/>
      <c r="D148" s="332"/>
      <c r="E148" s="332"/>
      <c r="F148" s="332"/>
      <c r="K148" s="243"/>
      <c r="L148" s="332"/>
      <c r="M148" s="332"/>
      <c r="N148" s="332"/>
    </row>
    <row r="149" spans="2:15">
      <c r="C149" s="243"/>
      <c r="D149" s="332"/>
      <c r="E149" s="332"/>
      <c r="F149" s="332"/>
      <c r="K149" s="243"/>
      <c r="L149" s="332"/>
      <c r="M149" s="332"/>
      <c r="N149" s="332"/>
    </row>
    <row r="150" spans="2:15">
      <c r="C150" s="355" t="str">
        <f>IF('Pot ER Mode'!G13="Réaliser un versement N (et vérifier si le potentiel le permet)",IF(Synthèse!J19="Oui","Vous nous indiquez vouloir opter pour la mutualisation des plafonds entre conjoint",""),IF('Synthèse décla'!J19="Oui","Vous nous indiquez vouloir opter pour la mutualisation des plafonds entre conjoint",""))</f>
        <v/>
      </c>
      <c r="D150" s="332"/>
      <c r="E150" s="332"/>
      <c r="F150" s="332"/>
      <c r="K150" s="243"/>
      <c r="L150" s="332"/>
      <c r="M150" s="332"/>
      <c r="N150" s="332"/>
    </row>
    <row r="151" spans="2:15">
      <c r="C151" s="243"/>
      <c r="D151" s="332"/>
      <c r="E151" s="332"/>
      <c r="F151" s="332"/>
      <c r="K151" s="243"/>
      <c r="L151" s="332"/>
      <c r="M151" s="332"/>
      <c r="N151" s="332"/>
    </row>
    <row r="161" spans="1:16">
      <c r="A161" s="823" t="s">
        <v>245</v>
      </c>
      <c r="B161" s="823"/>
      <c r="C161" s="823"/>
      <c r="D161" s="823"/>
      <c r="E161" s="823"/>
      <c r="F161" s="823"/>
      <c r="G161" s="823"/>
      <c r="H161" s="823"/>
      <c r="I161" s="823"/>
      <c r="J161" s="823"/>
      <c r="K161" s="823"/>
      <c r="L161" s="823"/>
      <c r="M161" s="823"/>
      <c r="N161" s="823"/>
      <c r="O161" s="823"/>
      <c r="P161" s="296">
        <f>IF('Pot ER Mode'!$G$13="Déclarer dans la 2042 les montants versés en N-1",'Décla N-1'!G13,'Estimation N'!G13)</f>
        <v>0</v>
      </c>
    </row>
    <row r="166" spans="1:16" ht="15.6">
      <c r="B166" s="325"/>
    </row>
    <row r="169" spans="1:16" ht="15" thickBot="1">
      <c r="B169" s="833" t="s">
        <v>264</v>
      </c>
      <c r="C169" s="833"/>
      <c r="D169" s="833"/>
      <c r="E169" s="326">
        <f ca="1">IF('Pot ER Mode'!$G$13="Déclarer dans la 2042 les montants versés en N-1",'Synthèse décla'!G13,Synthèse!G13)</f>
        <v>2027</v>
      </c>
      <c r="F169" s="876"/>
      <c r="G169" s="876"/>
      <c r="H169" s="876" t="s">
        <v>126</v>
      </c>
      <c r="I169" s="876"/>
      <c r="J169" s="336">
        <f ca="1">E169-1</f>
        <v>2026</v>
      </c>
    </row>
    <row r="170" spans="1:16" ht="15.6" thickTop="1" thickBot="1"/>
    <row r="171" spans="1:16">
      <c r="B171" s="304" t="s">
        <v>157</v>
      </c>
      <c r="C171" s="170"/>
      <c r="D171" s="170"/>
      <c r="E171" s="170"/>
      <c r="F171" s="170"/>
      <c r="G171" s="170"/>
      <c r="H171" s="171" t="s">
        <v>89</v>
      </c>
      <c r="I171" s="171"/>
      <c r="J171" s="301" t="s">
        <v>90</v>
      </c>
    </row>
    <row r="172" spans="1:16">
      <c r="B172" s="901" t="s">
        <v>255</v>
      </c>
      <c r="C172" s="901"/>
      <c r="D172" s="901"/>
      <c r="E172" s="901"/>
      <c r="F172" s="901"/>
      <c r="G172" s="901"/>
      <c r="H172" s="305">
        <f>IF('Pot ER Mode'!$G$13="Déclarer dans la 2042 les montants versés en N-1",'Synthèse décla'!H16,Synthèse!H16)</f>
        <v>0</v>
      </c>
      <c r="I172" s="306" t="s">
        <v>158</v>
      </c>
      <c r="J172" s="305">
        <f>IF('Pot ER Mode'!$G$13="Déclarer dans la 2042 les montants versés en N-1",'Synthèse décla'!J16,Synthèse!J16)</f>
        <v>0</v>
      </c>
    </row>
    <row r="173" spans="1:16">
      <c r="B173" s="901" t="s">
        <v>262</v>
      </c>
      <c r="C173" s="901"/>
      <c r="D173" s="901"/>
      <c r="E173" s="901"/>
      <c r="F173" s="901"/>
      <c r="G173" s="901"/>
      <c r="H173" s="305">
        <f>IF('Pot ER Mode'!$G$13="Déclarer dans la 2042 les montants versés en N-1",'Synthèse décla'!H17,Synthèse!H17)</f>
        <v>0</v>
      </c>
      <c r="I173" s="306" t="s">
        <v>159</v>
      </c>
      <c r="J173" s="305">
        <f>IF('Pot ER Mode'!$G$13="Déclarer dans la 2042 les montants versés en N-1",'Synthèse décla'!J17,Synthèse!J17)</f>
        <v>0</v>
      </c>
    </row>
    <row r="174" spans="1:16">
      <c r="B174" s="901" t="s">
        <v>258</v>
      </c>
      <c r="C174" s="901"/>
      <c r="D174" s="901"/>
      <c r="E174" s="901"/>
      <c r="F174" s="901"/>
      <c r="G174" s="901"/>
      <c r="H174" s="307"/>
      <c r="I174" s="306" t="s">
        <v>160</v>
      </c>
      <c r="J174" s="305"/>
    </row>
    <row r="175" spans="1:16">
      <c r="B175" s="901" t="s">
        <v>259</v>
      </c>
      <c r="C175" s="901"/>
      <c r="D175" s="901"/>
      <c r="E175" s="901"/>
      <c r="F175" s="901"/>
      <c r="G175" s="901"/>
      <c r="H175" s="303"/>
      <c r="I175" s="308" t="s">
        <v>256</v>
      </c>
      <c r="J175" s="305" t="str">
        <f>IF('Pot ER Mode'!$G$13="Déclarer dans la 2042 les montants versés en N-1",'Synthèse décla'!J19,Synthèse!J19)</f>
        <v>Non</v>
      </c>
    </row>
    <row r="176" spans="1:16">
      <c r="B176" s="901" t="s">
        <v>260</v>
      </c>
      <c r="C176" s="901"/>
      <c r="D176" s="901"/>
      <c r="E176" s="901"/>
      <c r="F176" s="901"/>
      <c r="G176" s="901"/>
      <c r="H176" s="303"/>
      <c r="I176" s="308" t="s">
        <v>257</v>
      </c>
      <c r="J176" s="305"/>
    </row>
    <row r="177" spans="2:10">
      <c r="B177" s="901" t="s">
        <v>263</v>
      </c>
      <c r="C177" s="901"/>
      <c r="D177" s="901"/>
      <c r="E177" s="901"/>
      <c r="F177" s="901"/>
      <c r="G177" s="901"/>
      <c r="H177" s="309">
        <f ca="1">IF('Pot ER Mode'!$G$13="Déclarer dans la 2042 les montants versés en N-1",'Synthèse décla'!H21,Synthèse!H21)</f>
        <v>0</v>
      </c>
      <c r="I177" s="306" t="s">
        <v>161</v>
      </c>
      <c r="J177" s="305">
        <f ca="1">IF('Pot ER Mode'!$G$13="Déclarer dans la 2042 les montants versés en N-1",'Synthèse décla'!J21,Synthèse!J21)</f>
        <v>0</v>
      </c>
    </row>
    <row r="178" spans="2:10">
      <c r="B178" s="901" t="s">
        <v>261</v>
      </c>
      <c r="C178" s="901"/>
      <c r="D178" s="901"/>
      <c r="E178" s="901"/>
      <c r="F178" s="901"/>
      <c r="G178" s="901"/>
      <c r="H178" s="309">
        <f ca="1">IF('Pot ER Mode'!$G$13="Déclarer dans la 2042 les montants versés en N-1",'Synthèse décla'!H22,Synthèse!H22)</f>
        <v>0</v>
      </c>
      <c r="I178" s="306" t="s">
        <v>162</v>
      </c>
      <c r="J178" s="305">
        <f ca="1">IF('Pot ER Mode'!$G$13="Déclarer dans la 2042 les montants versés en N-1",'Synthèse décla'!J22,Synthèse!J22)</f>
        <v>0</v>
      </c>
    </row>
    <row r="182" spans="2:10" ht="15" thickBot="1">
      <c r="B182" s="879" t="s">
        <v>231</v>
      </c>
      <c r="C182" s="879"/>
      <c r="D182" s="879"/>
      <c r="E182" s="879"/>
      <c r="F182" s="879"/>
      <c r="G182" s="879"/>
      <c r="H182" s="879"/>
      <c r="I182" s="879"/>
      <c r="J182" s="879"/>
    </row>
    <row r="183" spans="2:10" ht="15" thickTop="1"/>
    <row r="184" spans="2:10" ht="15" thickBot="1">
      <c r="B184" s="878" t="s">
        <v>230</v>
      </c>
      <c r="C184" s="878"/>
      <c r="D184" s="327">
        <f ca="1">E169</f>
        <v>2027</v>
      </c>
      <c r="E184" s="269"/>
      <c r="F184" s="182"/>
      <c r="G184" s="182"/>
      <c r="H184" s="182"/>
      <c r="I184" s="180"/>
    </row>
    <row r="185" spans="2:10" ht="15" thickTop="1">
      <c r="B185" s="172" t="s">
        <v>127</v>
      </c>
      <c r="C185" s="172"/>
      <c r="D185" s="146"/>
      <c r="E185" s="146"/>
      <c r="F185" s="146"/>
      <c r="G185" s="146"/>
      <c r="H185" s="283" t="s">
        <v>173</v>
      </c>
      <c r="I185" s="284"/>
      <c r="J185" s="302"/>
    </row>
    <row r="186" spans="2:10">
      <c r="B186" s="904" t="s">
        <v>249</v>
      </c>
      <c r="C186" s="904"/>
      <c r="D186" s="904"/>
      <c r="E186" s="904"/>
      <c r="F186" s="904"/>
      <c r="G186" s="311">
        <f ca="1">D184</f>
        <v>2027</v>
      </c>
      <c r="H186" s="310" t="s">
        <v>174</v>
      </c>
      <c r="I186" s="312"/>
      <c r="J186" s="313"/>
    </row>
    <row r="187" spans="2:10">
      <c r="B187" s="904" t="s">
        <v>251</v>
      </c>
      <c r="C187" s="904"/>
      <c r="D187" s="904"/>
      <c r="E187" s="904"/>
      <c r="F187" s="904"/>
      <c r="G187" s="311">
        <f ca="1">G186+1</f>
        <v>2028</v>
      </c>
      <c r="H187" s="310"/>
      <c r="I187" s="314"/>
      <c r="J187" s="313"/>
    </row>
    <row r="188" spans="2:10">
      <c r="B188" s="904"/>
      <c r="C188" s="904"/>
      <c r="D188" s="904"/>
      <c r="E188" s="904"/>
      <c r="F188" s="904"/>
      <c r="G188" s="311"/>
      <c r="H188" s="315"/>
      <c r="I188" s="167" t="s">
        <v>135</v>
      </c>
      <c r="J188" s="316" t="s">
        <v>136</v>
      </c>
    </row>
    <row r="189" spans="2:10">
      <c r="B189" s="904" t="s">
        <v>177</v>
      </c>
      <c r="C189" s="904"/>
      <c r="D189" s="904"/>
      <c r="E189" s="904"/>
      <c r="F189" s="904"/>
      <c r="G189" s="311">
        <f ca="1">G186-2</f>
        <v>2025</v>
      </c>
      <c r="H189" s="315"/>
      <c r="I189" s="317">
        <f ca="1">IF('Pot ER Mode'!$G$13="Déclarer dans la 2042 les montants versés en N-1",'Synthèse décla'!I32,Synthèse!I32)</f>
        <v>4710</v>
      </c>
      <c r="J189" s="318">
        <f ca="1">IF('Pot ER Mode'!$G$13="Déclarer dans la 2042 les montants versés en N-1",'Synthèse décla'!J32,Synthèse!J32)</f>
        <v>4710</v>
      </c>
    </row>
    <row r="190" spans="2:10">
      <c r="B190" s="904" t="s">
        <v>178</v>
      </c>
      <c r="C190" s="904"/>
      <c r="D190" s="904"/>
      <c r="E190" s="904"/>
      <c r="F190" s="904"/>
      <c r="G190" s="311"/>
      <c r="H190" s="315"/>
      <c r="I190" s="317" t="str">
        <f ca="1">IF('Pot ER Mode'!$G$13="Déclarer dans la 2042 les montants versés en N-1",'Synthèse décla'!I33,Synthèse!I33)</f>
        <v/>
      </c>
      <c r="J190" s="318" t="str">
        <f ca="1">IF('Pot ER Mode'!$G$13="Déclarer dans la 2042 les montants versés en N-1",'Synthèse décla'!J33,Synthèse!J33)</f>
        <v/>
      </c>
    </row>
    <row r="191" spans="2:10">
      <c r="B191" s="904" t="s">
        <v>179</v>
      </c>
      <c r="C191" s="904"/>
      <c r="D191" s="904"/>
      <c r="E191" s="904"/>
      <c r="F191" s="904"/>
      <c r="G191" s="311">
        <f ca="1">G189+1</f>
        <v>2026</v>
      </c>
      <c r="H191" s="319"/>
      <c r="I191" s="328">
        <f ca="1">IF('Pot ER Mode'!$G$13="Déclarer dans la 2042 les montants versés en N-1",'Synthèse décla'!I34,Synthèse!I34)</f>
        <v>0</v>
      </c>
      <c r="J191" s="320">
        <f ca="1">IF('Pot ER Mode'!$G$13="Déclarer dans la 2042 les montants versés en N-1",'Synthèse décla'!J34,Synthèse!J34)</f>
        <v>0</v>
      </c>
    </row>
    <row r="192" spans="2:10">
      <c r="B192" s="904" t="s">
        <v>252</v>
      </c>
      <c r="C192" s="904"/>
      <c r="D192" s="904"/>
      <c r="E192" s="904"/>
      <c r="F192" s="904"/>
      <c r="G192" s="311">
        <f ca="1">G189-1</f>
        <v>2024</v>
      </c>
      <c r="H192" s="315"/>
      <c r="I192" s="329">
        <f ca="1">IF('Pot ER Mode'!$G$13="Déclarer dans la 2042 les montants versés en N-1",'Synthèse décla'!I35,Synthèse!I35)</f>
        <v>0</v>
      </c>
      <c r="J192" s="330">
        <f ca="1">IF('Pot ER Mode'!$G$13="Déclarer dans la 2042 les montants versés en N-1",'Synthèse décla'!J35,Synthèse!J35)</f>
        <v>0</v>
      </c>
    </row>
    <row r="193" spans="1:16">
      <c r="B193" s="904" t="s">
        <v>252</v>
      </c>
      <c r="C193" s="904"/>
      <c r="D193" s="904"/>
      <c r="E193" s="904"/>
      <c r="F193" s="904"/>
      <c r="G193" s="311">
        <f ca="1">G192+1</f>
        <v>2025</v>
      </c>
      <c r="H193" s="321" t="str">
        <f>"+"</f>
        <v>+</v>
      </c>
      <c r="I193" s="331">
        <f ca="1">IF('Pot ER Mode'!$G$13="Déclarer dans la 2042 les montants versés en N-1",'Synthèse décla'!I36,Synthèse!I36)</f>
        <v>0</v>
      </c>
      <c r="J193" s="318">
        <f ca="1">IF('Pot ER Mode'!$G$13="Déclarer dans la 2042 les montants versés en N-1",'Synthèse décla'!J36,Synthèse!J36)</f>
        <v>0</v>
      </c>
    </row>
    <row r="194" spans="1:16">
      <c r="B194" s="904" t="s">
        <v>252</v>
      </c>
      <c r="C194" s="904"/>
      <c r="D194" s="904"/>
      <c r="E194" s="904"/>
      <c r="F194" s="904"/>
      <c r="G194" s="311">
        <f ca="1">G193+1</f>
        <v>2026</v>
      </c>
      <c r="H194" s="321" t="str">
        <f>"+"</f>
        <v>+</v>
      </c>
      <c r="I194" s="331">
        <f ca="1">IF('Pot ER Mode'!$G$13="Déclarer dans la 2042 les montants versés en N-1",'Synthèse décla'!I37,Synthèse!I37)</f>
        <v>4710</v>
      </c>
      <c r="J194" s="318">
        <f ca="1">IF('Pot ER Mode'!$G$13="Déclarer dans la 2042 les montants versés en N-1",'Synthèse décla'!J37,Synthèse!J37)</f>
        <v>4710</v>
      </c>
    </row>
    <row r="195" spans="1:16">
      <c r="B195" s="904" t="s">
        <v>253</v>
      </c>
      <c r="C195" s="904"/>
      <c r="D195" s="904"/>
      <c r="E195" s="904"/>
      <c r="F195" s="904"/>
      <c r="G195" s="311">
        <f ca="1">G194</f>
        <v>2026</v>
      </c>
      <c r="H195" s="321" t="str">
        <f>"+"</f>
        <v>+</v>
      </c>
      <c r="I195" s="328" t="e">
        <f ca="1">IF('Pot ER Mode'!$G$13="Déclarer dans la 2042 les montants versés en N-1",'Synthèse décla'!I38,Synthèse!I38)</f>
        <v>#N/A</v>
      </c>
      <c r="J195" s="320" t="e">
        <f ca="1">IF('Pot ER Mode'!$G$13="Déclarer dans la 2042 les montants versés en N-1",'Synthèse décla'!J38,Synthèse!J38)</f>
        <v>#N/A</v>
      </c>
    </row>
    <row r="196" spans="1:16">
      <c r="B196" s="904" t="s">
        <v>254</v>
      </c>
      <c r="C196" s="904"/>
      <c r="D196" s="904"/>
      <c r="E196" s="904"/>
      <c r="F196" s="904"/>
      <c r="G196" s="311">
        <f ca="1">G194+1</f>
        <v>2027</v>
      </c>
      <c r="H196" s="322" t="str">
        <f>"="</f>
        <v>=</v>
      </c>
      <c r="I196" s="323" t="e">
        <f ca="1">SUM(I192:I195)</f>
        <v>#N/A</v>
      </c>
      <c r="J196" s="324" t="e">
        <f ca="1">SUM(J192:J195)</f>
        <v>#N/A</v>
      </c>
    </row>
    <row r="201" spans="1:16">
      <c r="A201" s="823" t="s">
        <v>217</v>
      </c>
      <c r="B201" s="823"/>
      <c r="C201" s="823"/>
      <c r="D201" s="823"/>
      <c r="E201" s="823"/>
      <c r="F201" s="823"/>
      <c r="G201" s="823"/>
      <c r="H201" s="823"/>
      <c r="I201" s="823"/>
      <c r="J201" s="823"/>
      <c r="K201" s="823"/>
      <c r="L201" s="823"/>
      <c r="M201" s="823"/>
      <c r="N201" s="823"/>
      <c r="O201" s="823"/>
      <c r="P201" s="823"/>
    </row>
    <row r="241" spans="1:16">
      <c r="A241" s="823" t="s">
        <v>270</v>
      </c>
      <c r="B241" s="823"/>
      <c r="C241" s="823"/>
      <c r="D241" s="291"/>
      <c r="E241" s="291"/>
      <c r="F241" s="291"/>
      <c r="G241" s="291"/>
      <c r="H241" s="291"/>
      <c r="I241" s="291"/>
      <c r="J241" s="291"/>
      <c r="K241" s="291"/>
      <c r="L241" s="291"/>
      <c r="M241" s="291"/>
      <c r="N241" s="291"/>
      <c r="O241" s="291"/>
      <c r="P241" s="291"/>
    </row>
    <row r="245" spans="1:16" ht="15" customHeight="1">
      <c r="B245" s="334"/>
      <c r="C245" s="334"/>
      <c r="D245" s="334"/>
      <c r="E245" s="334"/>
      <c r="F245" s="334"/>
      <c r="G245" s="334"/>
      <c r="H245" s="334"/>
      <c r="I245" s="334"/>
      <c r="J245" s="334"/>
      <c r="K245" s="334"/>
      <c r="L245" s="334"/>
      <c r="M245" s="334"/>
      <c r="N245" s="334"/>
      <c r="O245" s="334"/>
    </row>
    <row r="246" spans="1:16">
      <c r="B246" s="902" t="s">
        <v>282</v>
      </c>
      <c r="C246" s="902"/>
      <c r="D246" s="902"/>
      <c r="E246" s="902"/>
      <c r="F246" s="902"/>
      <c r="G246" s="902"/>
      <c r="H246" s="902"/>
      <c r="I246" s="902"/>
      <c r="J246" s="902"/>
      <c r="K246" s="902"/>
      <c r="L246" s="902"/>
      <c r="M246" s="902"/>
      <c r="N246" s="902"/>
      <c r="O246" s="902"/>
    </row>
    <row r="248" spans="1:16">
      <c r="B248" s="903" t="s">
        <v>267</v>
      </c>
      <c r="C248" s="903"/>
      <c r="D248" s="903"/>
      <c r="E248" s="903"/>
      <c r="F248" s="903"/>
      <c r="G248" s="902" t="s">
        <v>269</v>
      </c>
      <c r="H248" s="902"/>
      <c r="I248" s="902"/>
      <c r="J248" s="902"/>
      <c r="K248" s="902"/>
      <c r="L248" s="902"/>
      <c r="M248" s="902"/>
      <c r="N248" s="902"/>
      <c r="O248" s="902"/>
    </row>
    <row r="249" spans="1:16">
      <c r="G249" s="902"/>
      <c r="H249" s="902"/>
      <c r="I249" s="902"/>
      <c r="J249" s="902"/>
      <c r="K249" s="902"/>
      <c r="L249" s="902"/>
      <c r="M249" s="902"/>
      <c r="N249" s="902"/>
      <c r="O249" s="902"/>
    </row>
    <row r="250" spans="1:16">
      <c r="G250" s="902"/>
      <c r="H250" s="902"/>
      <c r="I250" s="902"/>
      <c r="J250" s="902"/>
      <c r="K250" s="902"/>
      <c r="L250" s="902"/>
      <c r="M250" s="902"/>
      <c r="N250" s="902"/>
      <c r="O250" s="902"/>
    </row>
    <row r="251" spans="1:16">
      <c r="G251" s="902"/>
      <c r="H251" s="902"/>
      <c r="I251" s="902"/>
      <c r="J251" s="902"/>
      <c r="K251" s="902"/>
      <c r="L251" s="902"/>
      <c r="M251" s="902"/>
      <c r="N251" s="902"/>
      <c r="O251" s="902"/>
    </row>
    <row r="252" spans="1:16">
      <c r="G252" s="902"/>
      <c r="H252" s="902"/>
      <c r="I252" s="902"/>
      <c r="J252" s="902"/>
      <c r="K252" s="902"/>
      <c r="L252" s="902"/>
      <c r="M252" s="902"/>
      <c r="N252" s="902"/>
      <c r="O252" s="902"/>
    </row>
    <row r="253" spans="1:16">
      <c r="G253" s="902"/>
      <c r="H253" s="902"/>
      <c r="I253" s="902"/>
      <c r="J253" s="902"/>
      <c r="K253" s="902"/>
      <c r="L253" s="902"/>
      <c r="M253" s="902"/>
      <c r="N253" s="902"/>
      <c r="O253" s="902"/>
    </row>
    <row r="259" spans="2:15">
      <c r="B259" s="243"/>
      <c r="C259" s="243"/>
      <c r="D259" s="243"/>
      <c r="E259" s="243"/>
      <c r="F259" s="243"/>
      <c r="G259" s="243"/>
      <c r="H259" s="243"/>
      <c r="I259" s="243"/>
      <c r="J259" s="243"/>
      <c r="K259" s="243"/>
      <c r="L259" s="243"/>
      <c r="M259" s="243"/>
      <c r="N259" s="243"/>
      <c r="O259" s="243"/>
    </row>
    <row r="260" spans="2:15">
      <c r="B260" s="815" t="s">
        <v>273</v>
      </c>
      <c r="C260" s="815"/>
      <c r="D260" s="815"/>
      <c r="E260" s="815"/>
      <c r="F260" s="243"/>
      <c r="G260" s="815" t="s">
        <v>272</v>
      </c>
      <c r="H260" s="815"/>
      <c r="I260" s="815"/>
      <c r="J260" s="815"/>
      <c r="K260" s="243"/>
      <c r="L260" s="815" t="s">
        <v>281</v>
      </c>
      <c r="M260" s="815"/>
      <c r="N260" s="815"/>
      <c r="O260" s="815"/>
    </row>
    <row r="261" spans="2:15">
      <c r="B261" s="243"/>
      <c r="C261" s="243"/>
      <c r="D261" s="243"/>
      <c r="E261" s="243"/>
      <c r="F261" s="243"/>
      <c r="G261" s="243"/>
      <c r="H261" s="243"/>
      <c r="I261" s="243"/>
      <c r="J261" s="243"/>
      <c r="K261" s="243"/>
      <c r="L261" s="243"/>
      <c r="M261" s="243"/>
      <c r="N261" s="243"/>
      <c r="O261" s="243"/>
    </row>
    <row r="262" spans="2:15">
      <c r="B262" s="243" t="s">
        <v>89</v>
      </c>
      <c r="C262" s="344" t="s">
        <v>274</v>
      </c>
      <c r="D262" s="345">
        <f>IF('Pot ER Mode'!G13="Réaliser un versement N (et vérifier si le potentiel le permet)",Synthèse!N17,'Synthèse décla'!N17)</f>
        <v>0</v>
      </c>
      <c r="E262" s="243"/>
      <c r="F262" s="243"/>
      <c r="G262" s="243" t="s">
        <v>89</v>
      </c>
      <c r="H262" s="898" t="s">
        <v>279</v>
      </c>
      <c r="I262" s="898"/>
      <c r="J262" s="248">
        <f>IF('Pot ER Mode'!G13="Réaliser un versement N (et vérifier si le potentiel le permet)",'Estimation N'!U17,'Décla N-1'!U17)</f>
        <v>0</v>
      </c>
      <c r="K262" s="243"/>
      <c r="L262" s="243" t="s">
        <v>89</v>
      </c>
      <c r="M262" s="344" t="s">
        <v>274</v>
      </c>
      <c r="N262" s="345">
        <f>D262</f>
        <v>0</v>
      </c>
      <c r="O262" s="243"/>
    </row>
    <row r="263" spans="2:15">
      <c r="B263" s="243"/>
      <c r="C263" s="346">
        <v>0.15</v>
      </c>
      <c r="D263" s="347">
        <f ca="1">IF('Pot ER Mode'!G13="Réaliser un versement N (et vérifier si le potentiel le permet)",Synthèse!N21,'Synthèse décla'!N21)</f>
        <v>0</v>
      </c>
      <c r="E263" s="895">
        <f ca="1">D263+D264</f>
        <v>0</v>
      </c>
      <c r="F263" s="243"/>
      <c r="G263" s="243"/>
      <c r="H263" s="898" t="s">
        <v>275</v>
      </c>
      <c r="I263" s="898"/>
      <c r="J263" s="248">
        <f>IF('Pot ER Mode'!G13="Réaliser un versement N (et vérifier si le potentiel le permet)",'Estimation N'!U18,'Décla N-1'!U18)</f>
        <v>0</v>
      </c>
      <c r="K263" s="243"/>
      <c r="L263" s="243"/>
      <c r="M263" s="346">
        <v>0.15</v>
      </c>
      <c r="N263" s="347">
        <f ca="1">IF('Pot ER Mode'!G13="Réaliser un versement N (et vérifier si le potentiel le permet)",Synthèse!O21,'Synthèse décla'!O21)</f>
        <v>0</v>
      </c>
      <c r="O263" s="895">
        <f ca="1">N263+N264</f>
        <v>0</v>
      </c>
    </row>
    <row r="264" spans="2:15">
      <c r="B264" s="243"/>
      <c r="C264" s="346">
        <v>0.1</v>
      </c>
      <c r="D264" s="347">
        <f>IF('Pot ER Mode'!G13="Réaliser un versement N (et vérifier si le potentiel le permet)",Synthèse!N22,'Synthèse décla'!N22)</f>
        <v>0</v>
      </c>
      <c r="E264" s="896"/>
      <c r="F264" s="243"/>
      <c r="G264" s="243"/>
      <c r="H264" s="897" t="s">
        <v>276</v>
      </c>
      <c r="I264" s="897"/>
      <c r="J264" s="337">
        <f>IF('Pot ER Mode'!G13="Réaliser un versement N (et vérifier si le potentiel le permet)",'Estimation N'!U15+'Estimation N'!U16,'Décla N-1'!U15+'Décla N-1'!U16)</f>
        <v>0</v>
      </c>
      <c r="K264" s="243"/>
      <c r="L264" s="243"/>
      <c r="M264" s="346">
        <v>0.1</v>
      </c>
      <c r="N264" s="347">
        <f>IF('Pot ER Mode'!G13="Réaliser un versement N (et vérifier si le potentiel le permet)",Synthèse!O22,'Synthèse décla'!O22)</f>
        <v>0</v>
      </c>
      <c r="O264" s="896"/>
    </row>
    <row r="265" spans="2:15">
      <c r="B265" s="243" t="s">
        <v>90</v>
      </c>
      <c r="C265" s="344" t="s">
        <v>274</v>
      </c>
      <c r="D265" s="345">
        <f>IF('Pot ER Mode'!G13="Réaliser un versement N (et vérifier si le potentiel le permet)",Synthèse!Q17,'Synthèse décla'!Q17)</f>
        <v>0</v>
      </c>
      <c r="E265" s="340"/>
      <c r="F265" s="243"/>
      <c r="G265" s="243" t="s">
        <v>90</v>
      </c>
      <c r="H265" s="898" t="s">
        <v>279</v>
      </c>
      <c r="I265" s="898"/>
      <c r="J265" s="248">
        <f>IF('Pot ER Mode'!G13="Réaliser un versement N (et vérifier si le potentiel le permet)",'Estimation N'!X17,'Décla N-1'!X17)</f>
        <v>0</v>
      </c>
      <c r="K265" s="243"/>
      <c r="L265" s="243" t="s">
        <v>90</v>
      </c>
      <c r="M265" s="344" t="s">
        <v>274</v>
      </c>
      <c r="N265" s="345">
        <f>D265</f>
        <v>0</v>
      </c>
      <c r="O265" s="340"/>
    </row>
    <row r="266" spans="2:15">
      <c r="B266" s="243"/>
      <c r="C266" s="346">
        <v>0.15</v>
      </c>
      <c r="D266" s="347">
        <f ca="1">IF('Pot ER Mode'!G13="Réaliser un versement N (et vérifier si le potentiel le permet)",Synthèse!Q21,'Synthèse décla'!Q21)</f>
        <v>0</v>
      </c>
      <c r="E266" s="895">
        <f ca="1">D266+D267</f>
        <v>0</v>
      </c>
      <c r="F266" s="243"/>
      <c r="G266" s="243"/>
      <c r="H266" s="898" t="s">
        <v>275</v>
      </c>
      <c r="I266" s="898"/>
      <c r="J266" s="248">
        <f>IF('Pot ER Mode'!G13="Réaliser un versement N (et vérifier si le potentiel le permet)",'Estimation N'!X18,'Décla N-1'!X18)</f>
        <v>0</v>
      </c>
      <c r="K266" s="243"/>
      <c r="L266" s="243"/>
      <c r="M266" s="346">
        <v>0.15</v>
      </c>
      <c r="N266" s="347">
        <f ca="1">IF('Pot ER Mode'!G13="Réaliser un versement N (et vérifier si le potentiel le permet)",Synthèse!R21,'Synthèse décla'!R21)</f>
        <v>0</v>
      </c>
      <c r="O266" s="895">
        <f ca="1">N266+N267</f>
        <v>0</v>
      </c>
    </row>
    <row r="267" spans="2:15">
      <c r="B267" s="243"/>
      <c r="C267" s="346">
        <v>0.1</v>
      </c>
      <c r="D267" s="347">
        <f>IF('Pot ER Mode'!G13="Réaliser un versement N (et vérifier si le potentiel le permet)",Synthèse!Q22,'Synthèse décla'!Q22)</f>
        <v>0</v>
      </c>
      <c r="E267" s="896"/>
      <c r="F267" s="243"/>
      <c r="G267" s="243"/>
      <c r="H267" s="897" t="s">
        <v>276</v>
      </c>
      <c r="I267" s="897"/>
      <c r="J267" s="337">
        <f>IF('Pot ER Mode'!G13="Réaliser un versement N (et vérifier si le potentiel le permet)",'Estimation N'!X15+'Estimation N'!X16,'Décla N-1'!X15+'Décla N-1'!X16)</f>
        <v>0</v>
      </c>
      <c r="K267" s="243"/>
      <c r="L267" s="243"/>
      <c r="M267" s="346">
        <v>0.1</v>
      </c>
      <c r="N267" s="347">
        <f>IF('Pot ER Mode'!G13="Réaliser un versement N (et vérifier si le potentiel le permet)",Synthèse!R22,'Synthèse décla'!R22)</f>
        <v>0</v>
      </c>
      <c r="O267" s="896"/>
    </row>
    <row r="268" spans="2:15">
      <c r="B268" s="243"/>
      <c r="C268" s="341"/>
      <c r="D268" s="337"/>
      <c r="E268" s="343"/>
      <c r="F268" s="243"/>
      <c r="G268" s="243"/>
      <c r="H268" s="342"/>
      <c r="I268" s="342"/>
      <c r="J268" s="337"/>
      <c r="K268" s="243"/>
      <c r="L268" s="243"/>
      <c r="M268" s="341"/>
      <c r="N268" s="337"/>
      <c r="O268" s="343"/>
    </row>
    <row r="269" spans="2:15">
      <c r="B269" s="243"/>
      <c r="D269" s="341"/>
      <c r="E269" s="343"/>
      <c r="F269" s="243"/>
      <c r="G269" s="243"/>
      <c r="H269" s="342"/>
      <c r="I269" s="342"/>
      <c r="J269" s="337"/>
      <c r="K269" s="243"/>
      <c r="L269" s="243"/>
      <c r="M269" s="341"/>
      <c r="N269" s="337"/>
      <c r="O269" s="343"/>
    </row>
    <row r="270" spans="2:15">
      <c r="B270" s="243"/>
      <c r="C270" s="243"/>
      <c r="D270" s="243"/>
      <c r="E270" s="243"/>
      <c r="F270" s="243"/>
      <c r="G270" s="243"/>
      <c r="H270" s="243"/>
      <c r="I270" s="243"/>
      <c r="J270" s="243"/>
      <c r="K270" s="243"/>
      <c r="L270" s="243"/>
      <c r="M270" s="243"/>
      <c r="N270" s="243"/>
      <c r="O270" s="243"/>
    </row>
    <row r="271" spans="2:15">
      <c r="B271" s="348" t="s">
        <v>89</v>
      </c>
      <c r="C271" s="899" t="s">
        <v>288</v>
      </c>
      <c r="D271" s="899"/>
      <c r="E271" s="349">
        <f>IF('Pot ER Mode'!G13="Réaliser un versement N (et vérifier si le potentiel le permet)",IF(Synthèse!O13="Interprétation recalcul sur Revenu Brut Global",Synthèse!O14,Synthèse!N17),IF('Synthèse décla'!O13="Interprétation recalcul sur Revenu Brut Global",'Synthèse décla'!O14,'Synthèse décla'!N17))</f>
        <v>0</v>
      </c>
      <c r="F271" s="899" t="s">
        <v>277</v>
      </c>
      <c r="G271" s="899"/>
      <c r="H271" s="349">
        <f ca="1">IF('Pot ER Mode'!G13="Réaliser un versement N (et vérifier si le potentiel le permet)",IF(Synthèse!O13="Interprétation recalcul sur Revenu Brut Global",Synthèse!N14,Synthèse!N21),IF('Synthèse décla'!O13="Interprétation recalcul sur Revenu Brut Global",'Synthèse décla'!N14,'Synthèse décla'!N21))</f>
        <v>0</v>
      </c>
      <c r="I271" s="899" t="s">
        <v>278</v>
      </c>
      <c r="J271" s="899"/>
      <c r="K271" s="349">
        <f ca="1">H177+H178</f>
        <v>0</v>
      </c>
      <c r="L271" s="350"/>
    </row>
    <row r="272" spans="2:15">
      <c r="B272" s="351" t="s">
        <v>90</v>
      </c>
      <c r="C272" s="900" t="s">
        <v>289</v>
      </c>
      <c r="D272" s="900"/>
      <c r="E272" s="352">
        <f>IF('Pot ER Mode'!G13="Réaliser un versement N (et vérifier si le potentiel le permet)",IF(Synthèse!O13="Interprétation recalcul sur Revenu Brut Global",Synthèse!P14,Synthèse!Q17),IF('Synthèse décla'!O13="Interprétation recalcul sur Revenu Brut Global",'Synthèse décla'!P14,'Synthèse décla'!Q17))</f>
        <v>0</v>
      </c>
      <c r="F272" s="900" t="s">
        <v>277</v>
      </c>
      <c r="G272" s="900"/>
      <c r="H272" s="352">
        <f ca="1">IF('Pot ER Mode'!G13="Réaliser un versement N (et vérifier si le potentiel le permet)",IF(Synthèse!O13="Interprétation recalcul sur Revenu Brut Global",Synthèse!Q14,Synthèse!Q21),IF('Synthèse décla'!O13="Interprétation recalcul sur Revenu Brut Global",'Synthèse décla'!Q14,'Synthèse décla'!Q21))</f>
        <v>0</v>
      </c>
      <c r="I272" s="900" t="s">
        <v>278</v>
      </c>
      <c r="J272" s="900"/>
      <c r="K272" s="352">
        <f ca="1">J177+J178</f>
        <v>0</v>
      </c>
      <c r="L272" s="353"/>
    </row>
    <row r="281" spans="1:16">
      <c r="A281" s="291" t="s">
        <v>244</v>
      </c>
      <c r="B281" s="291"/>
      <c r="C281" s="291"/>
      <c r="D281" s="291"/>
      <c r="E281" s="291"/>
      <c r="F281" s="291"/>
      <c r="G281" s="291"/>
      <c r="H281" s="291"/>
      <c r="I281" s="291"/>
      <c r="J281" s="291"/>
      <c r="K281" s="291"/>
      <c r="L281" s="291"/>
      <c r="M281" s="291"/>
      <c r="N281" s="291"/>
      <c r="O281" s="291"/>
      <c r="P281" s="291"/>
    </row>
  </sheetData>
  <mergeCells count="92">
    <mergeCell ref="B177:G177"/>
    <mergeCell ref="B178:G178"/>
    <mergeCell ref="B248:F248"/>
    <mergeCell ref="G248:O253"/>
    <mergeCell ref="B190:F190"/>
    <mergeCell ref="B184:C184"/>
    <mergeCell ref="B186:F186"/>
    <mergeCell ref="D145:E145"/>
    <mergeCell ref="D146:E146"/>
    <mergeCell ref="B246:O246"/>
    <mergeCell ref="B195:F195"/>
    <mergeCell ref="B196:F196"/>
    <mergeCell ref="B191:F191"/>
    <mergeCell ref="B192:F192"/>
    <mergeCell ref="B193:F193"/>
    <mergeCell ref="B182:J182"/>
    <mergeCell ref="B194:F194"/>
    <mergeCell ref="B188:F188"/>
    <mergeCell ref="B189:F189"/>
    <mergeCell ref="A241:C241"/>
    <mergeCell ref="B169:D169"/>
    <mergeCell ref="B187:F187"/>
    <mergeCell ref="B176:G176"/>
    <mergeCell ref="E113:F113"/>
    <mergeCell ref="H113:I113"/>
    <mergeCell ref="L113:M113"/>
    <mergeCell ref="I117:K117"/>
    <mergeCell ref="A161:O161"/>
    <mergeCell ref="B125:O126"/>
    <mergeCell ref="B128:F128"/>
    <mergeCell ref="G128:O132"/>
    <mergeCell ref="A121:M121"/>
    <mergeCell ref="C142:E142"/>
    <mergeCell ref="G142:I142"/>
    <mergeCell ref="K142:M142"/>
    <mergeCell ref="L145:M145"/>
    <mergeCell ref="L146:M146"/>
    <mergeCell ref="H145:I145"/>
    <mergeCell ref="H146:I146"/>
    <mergeCell ref="C110:D111"/>
    <mergeCell ref="E110:G111"/>
    <mergeCell ref="H110:K111"/>
    <mergeCell ref="L110:O111"/>
    <mergeCell ref="C103:D103"/>
    <mergeCell ref="F103:H103"/>
    <mergeCell ref="J103:L103"/>
    <mergeCell ref="A1:P1"/>
    <mergeCell ref="W1:Z1"/>
    <mergeCell ref="C31:N31"/>
    <mergeCell ref="E32:L32"/>
    <mergeCell ref="G34:J34"/>
    <mergeCell ref="C36:N36"/>
    <mergeCell ref="A201:P201"/>
    <mergeCell ref="B143:G143"/>
    <mergeCell ref="C37:N37"/>
    <mergeCell ref="A41:P41"/>
    <mergeCell ref="E78:L78"/>
    <mergeCell ref="A81:P81"/>
    <mergeCell ref="B101:D101"/>
    <mergeCell ref="F101:H101"/>
    <mergeCell ref="J101:L101"/>
    <mergeCell ref="N101:O101"/>
    <mergeCell ref="D116:H116"/>
    <mergeCell ref="I116:K116"/>
    <mergeCell ref="N103:O103"/>
    <mergeCell ref="C104:D104"/>
    <mergeCell ref="B110:B111"/>
    <mergeCell ref="F169:G169"/>
    <mergeCell ref="H169:I169"/>
    <mergeCell ref="B172:G172"/>
    <mergeCell ref="B173:G173"/>
    <mergeCell ref="B175:G175"/>
    <mergeCell ref="B174:G174"/>
    <mergeCell ref="F271:G271"/>
    <mergeCell ref="F272:G272"/>
    <mergeCell ref="I271:J271"/>
    <mergeCell ref="I272:J272"/>
    <mergeCell ref="C271:D271"/>
    <mergeCell ref="C272:D272"/>
    <mergeCell ref="O266:O267"/>
    <mergeCell ref="H267:I267"/>
    <mergeCell ref="L260:O260"/>
    <mergeCell ref="H262:I262"/>
    <mergeCell ref="E263:E264"/>
    <mergeCell ref="H263:I263"/>
    <mergeCell ref="O263:O264"/>
    <mergeCell ref="H264:I264"/>
    <mergeCell ref="B260:E260"/>
    <mergeCell ref="G260:J260"/>
    <mergeCell ref="H265:I265"/>
    <mergeCell ref="E266:E267"/>
    <mergeCell ref="H266:I266"/>
  </mergeCells>
  <phoneticPr fontId="9" type="noConversion"/>
  <conditionalFormatting sqref="B104:D104">
    <cfRule type="expression" dxfId="158" priority="28">
      <formula>$N$121=""</formula>
    </cfRule>
  </conditionalFormatting>
  <conditionalFormatting sqref="B271:M271">
    <cfRule type="expression" dxfId="157" priority="4">
      <formula>$O$121=""</formula>
    </cfRule>
  </conditionalFormatting>
  <conditionalFormatting sqref="B272:M272">
    <cfRule type="expression" dxfId="156" priority="3">
      <formula>$P$121=""</formula>
    </cfRule>
  </conditionalFormatting>
  <conditionalFormatting sqref="B262:O264">
    <cfRule type="expression" dxfId="155" priority="1">
      <formula>$O$121=""</formula>
    </cfRule>
  </conditionalFormatting>
  <conditionalFormatting sqref="B265:O267">
    <cfRule type="expression" dxfId="154" priority="2">
      <formula>$P$121=""</formula>
    </cfRule>
  </conditionalFormatting>
  <conditionalFormatting sqref="C112">
    <cfRule type="expression" dxfId="153" priority="58">
      <formula>$C$113=""</formula>
    </cfRule>
  </conditionalFormatting>
  <conditionalFormatting sqref="C146:M146">
    <cfRule type="expression" dxfId="152" priority="11">
      <formula>$P$161="Célibataire/veuf/divorcé"</formula>
    </cfRule>
  </conditionalFormatting>
  <conditionalFormatting sqref="E112:F112">
    <cfRule type="expression" dxfId="151" priority="57">
      <formula>$E$113=""</formula>
    </cfRule>
  </conditionalFormatting>
  <conditionalFormatting sqref="G117:K117">
    <cfRule type="expression" dxfId="150" priority="53">
      <formula>$I$117=0</formula>
    </cfRule>
  </conditionalFormatting>
  <conditionalFormatting sqref="H112:I112">
    <cfRule type="expression" dxfId="149" priority="56">
      <formula>$H$113=""</formula>
    </cfRule>
  </conditionalFormatting>
  <conditionalFormatting sqref="I171:J178">
    <cfRule type="expression" dxfId="147" priority="49">
      <formula>$M$3="Célibataire/veuf/divorcé"</formula>
    </cfRule>
  </conditionalFormatting>
  <conditionalFormatting sqref="L112:M112">
    <cfRule type="expression" dxfId="145" priority="55">
      <formula>$L$113=""</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7" id="{9DB11D64-5A28-486D-8E09-080400C39BC0}">
            <xm:f>$P$161=Données!$L$51</xm:f>
            <x14:dxf>
              <font>
                <color theme="0"/>
              </font>
              <fill>
                <patternFill>
                  <bgColor theme="0"/>
                </patternFill>
              </fill>
              <border>
                <right/>
                <top/>
                <bottom/>
                <vertical/>
                <horizontal/>
              </border>
            </x14:dxf>
          </x14:cfRule>
          <xm:sqref>I171:J178</xm:sqref>
        </x14:conditionalFormatting>
        <x14:conditionalFormatting xmlns:xm="http://schemas.microsoft.com/office/excel/2006/main">
          <x14:cfRule type="expression" priority="36" id="{B5470B87-CBBF-4DDF-92B1-E417C9FD5791}">
            <xm:f>$P$161=Données!$L$51</xm:f>
            <x14:dxf>
              <font>
                <color theme="0"/>
              </font>
              <fill>
                <patternFill>
                  <bgColor theme="0"/>
                </patternFill>
              </fill>
              <border>
                <right/>
                <top/>
                <bottom/>
                <vertical/>
                <horizontal/>
              </border>
            </x14:dxf>
          </x14:cfRule>
          <xm:sqref>J185:J196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88E5-9995-41C3-A930-52C1DCE088FE}">
  <sheetPr codeName="Feuil24">
    <tabColor theme="9" tint="0.39997558519241921"/>
  </sheetPr>
  <dimension ref="B4:BI76"/>
  <sheetViews>
    <sheetView showGridLines="0" showRowColHeaders="0" zoomScale="123" zoomScaleNormal="123" workbookViewId="0">
      <selection activeCell="K14" sqref="K14:Q14"/>
    </sheetView>
  </sheetViews>
  <sheetFormatPr baseColWidth="10" defaultRowHeight="14.4"/>
  <cols>
    <col min="2" max="2" width="12.33203125" customWidth="1"/>
    <col min="3" max="3" width="11.109375" customWidth="1"/>
    <col min="4" max="5" width="2" customWidth="1"/>
    <col min="6" max="6" width="20" customWidth="1"/>
    <col min="7" max="7" width="4.44140625" customWidth="1"/>
    <col min="8" max="8" width="11.33203125" customWidth="1"/>
    <col min="9" max="10" width="1.44140625" customWidth="1"/>
    <col min="11" max="11" width="28.5546875" customWidth="1"/>
    <col min="12" max="12" width="16.109375" customWidth="1"/>
    <col min="13" max="14" width="4" customWidth="1"/>
    <col min="15" max="15" width="20" customWidth="1"/>
    <col min="16" max="16" width="4.44140625" customWidth="1"/>
    <col min="17" max="17" width="12.88671875" customWidth="1"/>
    <col min="18" max="18" width="28.5546875" customWidth="1"/>
    <col min="19" max="19" width="11.44140625" customWidth="1"/>
    <col min="20" max="20" width="11.5546875" customWidth="1"/>
    <col min="21" max="21" width="16.33203125" customWidth="1"/>
    <col min="26" max="26" width="0" style="375" hidden="1" customWidth="1"/>
    <col min="27" max="41" width="9.88671875" style="375" hidden="1" customWidth="1"/>
    <col min="42" max="61" width="9.88671875" hidden="1" customWidth="1"/>
    <col min="62" max="62" width="0" hidden="1" customWidth="1"/>
  </cols>
  <sheetData>
    <row r="4" spans="2:61">
      <c r="S4" s="2"/>
      <c r="T4" s="3"/>
      <c r="U4" s="4"/>
    </row>
    <row r="5" spans="2:61">
      <c r="B5" s="1">
        <f ca="1">TODAY()</f>
        <v>46023</v>
      </c>
    </row>
    <row r="9" spans="2:61" ht="15" customHeight="1">
      <c r="L9" s="905" t="str">
        <f>"La base est composée de 396 contrats dont "&amp;BASECG!A2&amp;" analysés. Si votre contrat n'est pas automatiquement analysé, nous vous invitons à reprendre les CG puis à compléter les champs"</f>
        <v>La base est composée de 396 contrats dont 161 analysés. Si votre contrat n'est pas automatiquement analysé, nous vous invitons à reprendre les CG puis à compléter les champs</v>
      </c>
      <c r="M9" s="905"/>
      <c r="N9" s="905"/>
      <c r="O9" s="905"/>
      <c r="P9" s="905"/>
      <c r="Q9" s="905"/>
      <c r="R9" s="638"/>
      <c r="S9" s="638"/>
    </row>
    <row r="10" spans="2:61">
      <c r="K10" s="514"/>
      <c r="L10" s="905"/>
      <c r="M10" s="905"/>
      <c r="N10" s="905"/>
      <c r="O10" s="905"/>
      <c r="P10" s="905"/>
      <c r="Q10" s="905"/>
      <c r="R10" s="638"/>
      <c r="S10" s="638"/>
    </row>
    <row r="11" spans="2:61">
      <c r="R11" s="638"/>
      <c r="S11" s="638"/>
    </row>
    <row r="12" spans="2:61" ht="15" thickBot="1">
      <c r="C12" s="638"/>
      <c r="D12" s="638"/>
      <c r="E12" s="638"/>
      <c r="F12" s="922" t="s">
        <v>1225</v>
      </c>
      <c r="G12" s="922"/>
      <c r="H12" s="922"/>
      <c r="I12" s="361"/>
      <c r="J12" s="359"/>
      <c r="K12" s="923"/>
      <c r="L12" s="923"/>
      <c r="M12" s="923"/>
      <c r="N12" s="923"/>
      <c r="O12" s="923"/>
      <c r="P12" s="923"/>
      <c r="Q12" s="923"/>
      <c r="R12" s="514" t="str">
        <f>IF(AND(K12=Données!H50,R16="MADELIN"),"",IF(AND(OR(K12=Données!H51,K12=Données!H55),R16="ART83"),"",IF(AND(OR(K12=Données!H52,K12=Données!H53,K12=Données!H54),OR(R16="PERIN",S16=TRUE)),"",IF(AND(K12=Données!H56,R16="PERP"),"",IF(AND(K12=Données!H57,R16="PERCO"),"",IF(K16="","","FAUX"))))))</f>
        <v/>
      </c>
      <c r="S12" s="638"/>
    </row>
    <row r="13" spans="2:61" ht="7.5" customHeight="1">
      <c r="C13" s="638"/>
      <c r="D13" s="638"/>
      <c r="E13" s="638"/>
    </row>
    <row r="14" spans="2:61" ht="15" thickBot="1">
      <c r="C14" s="638"/>
      <c r="D14" s="638"/>
      <c r="E14" s="638"/>
      <c r="F14" s="922" t="s">
        <v>290</v>
      </c>
      <c r="G14" s="922"/>
      <c r="H14" s="922"/>
      <c r="I14" s="361"/>
      <c r="J14" s="359"/>
      <c r="K14" s="923"/>
      <c r="L14" s="923"/>
      <c r="M14" s="923"/>
      <c r="N14" s="923"/>
      <c r="O14" s="923"/>
      <c r="P14" s="923"/>
      <c r="Q14" s="923"/>
      <c r="S14" s="375"/>
      <c r="AA14" s="379">
        <v>1</v>
      </c>
      <c r="AB14" s="379">
        <v>2</v>
      </c>
      <c r="AC14" s="379">
        <v>3</v>
      </c>
      <c r="AD14" s="379">
        <v>4</v>
      </c>
      <c r="AE14" s="379">
        <v>5</v>
      </c>
      <c r="AF14" s="379">
        <v>6</v>
      </c>
      <c r="AG14" s="379">
        <v>7</v>
      </c>
      <c r="AH14" s="379">
        <v>8</v>
      </c>
      <c r="AI14" s="379">
        <v>9</v>
      </c>
      <c r="AJ14" s="379">
        <v>10</v>
      </c>
      <c r="AK14" s="379">
        <v>11</v>
      </c>
      <c r="AL14" s="379">
        <v>12</v>
      </c>
      <c r="AM14" s="379">
        <v>13</v>
      </c>
      <c r="AN14" s="379">
        <v>14</v>
      </c>
      <c r="AO14" s="379">
        <v>15</v>
      </c>
      <c r="AP14" s="379">
        <v>16</v>
      </c>
      <c r="AQ14" s="379">
        <v>17</v>
      </c>
      <c r="AR14" s="379">
        <v>18</v>
      </c>
      <c r="AS14" s="379">
        <v>19</v>
      </c>
      <c r="AT14" s="379">
        <v>20</v>
      </c>
      <c r="AU14" s="379">
        <v>21</v>
      </c>
      <c r="AV14" s="379">
        <v>22</v>
      </c>
      <c r="AW14" s="379">
        <v>23</v>
      </c>
      <c r="AX14" s="379">
        <v>24</v>
      </c>
      <c r="AY14" s="379">
        <v>25</v>
      </c>
      <c r="AZ14" s="379">
        <v>26</v>
      </c>
      <c r="BA14" s="379">
        <v>27</v>
      </c>
      <c r="BB14" s="379">
        <v>28</v>
      </c>
      <c r="BC14" s="379">
        <v>29</v>
      </c>
      <c r="BD14" s="379">
        <v>30</v>
      </c>
      <c r="BE14" s="379">
        <v>31</v>
      </c>
      <c r="BF14" s="379">
        <v>32</v>
      </c>
      <c r="BG14" s="379">
        <v>33</v>
      </c>
      <c r="BH14" s="379">
        <v>34</v>
      </c>
      <c r="BI14" s="379">
        <v>35</v>
      </c>
    </row>
    <row r="15" spans="2:61" ht="7.5" customHeight="1" thickBot="1">
      <c r="C15" s="638"/>
      <c r="D15" s="638"/>
      <c r="E15" s="638"/>
      <c r="F15" s="358"/>
      <c r="G15" s="358"/>
      <c r="H15" s="358"/>
      <c r="I15" s="358"/>
      <c r="J15" s="358"/>
      <c r="K15" s="358"/>
      <c r="L15" s="358"/>
      <c r="M15" s="358"/>
      <c r="Z15" s="377"/>
      <c r="AA15" s="378"/>
      <c r="AB15" s="378"/>
      <c r="AC15" s="378"/>
      <c r="AD15" s="378"/>
      <c r="AE15" s="378"/>
      <c r="AF15" s="378"/>
      <c r="AG15" s="378"/>
      <c r="AH15" s="378"/>
      <c r="AI15" s="378"/>
      <c r="AJ15" s="378"/>
      <c r="AK15" s="378"/>
      <c r="AL15" s="378"/>
      <c r="AM15" s="378"/>
      <c r="AN15" s="378"/>
      <c r="AO15" s="378"/>
      <c r="AP15" s="378"/>
      <c r="AQ15" s="378"/>
      <c r="AR15" s="378"/>
      <c r="AS15" s="378"/>
      <c r="AT15" s="378"/>
      <c r="AU15" s="378"/>
      <c r="AV15" s="378"/>
      <c r="AW15" s="378"/>
      <c r="AX15" s="378"/>
      <c r="AY15" s="378"/>
      <c r="AZ15" s="378"/>
      <c r="BA15" s="378"/>
      <c r="BB15" s="378"/>
      <c r="BC15" s="378"/>
      <c r="BD15" s="378"/>
      <c r="BE15" s="378"/>
      <c r="BF15" s="378"/>
      <c r="BG15" s="378"/>
      <c r="BH15" s="378"/>
      <c r="BI15" s="378"/>
    </row>
    <row r="16" spans="2:61">
      <c r="C16" s="638"/>
      <c r="D16" s="638"/>
      <c r="E16" s="638"/>
      <c r="F16" s="925" t="s">
        <v>291</v>
      </c>
      <c r="G16" s="925"/>
      <c r="H16" s="925"/>
      <c r="I16" s="362"/>
      <c r="J16" s="360"/>
      <c r="K16" s="923"/>
      <c r="L16" s="923"/>
      <c r="M16" s="923"/>
      <c r="N16" s="923"/>
      <c r="O16" s="923"/>
      <c r="P16" s="923"/>
      <c r="Q16" s="923"/>
      <c r="R16" s="515" t="str">
        <f>IF(LEFT(K16,5)="PERIN","PERIN",IF(LEFT(K16,7)="MADELIN","MADELIN",IF(LEFT(K16,4)="PERP","PERP",IF(LEFT(K16,5)="ART83","ART83",IF(LEFT(K16,5)="PERCO","PERCO","")))))</f>
        <v/>
      </c>
      <c r="S16" s="564" t="b">
        <v>0</v>
      </c>
      <c r="Z16" s="376" t="str" cm="1">
        <f t="array" aca="1" ref="Z16" ca="1">IFERROR(OFFSET(BASECG!$B$4,0,MATCH(0,COUNTIF($Z$15:Z15,BASECG!$C$4:'BASECG'!$OG$4))),"")</f>
        <v>ABEILLE</v>
      </c>
      <c r="AA16" s="376" t="str" cm="1">
        <f t="array" aca="1" ref="AA16:AM16" ca="1">IFERROR(_xlfn._xlws.FILTER(BASECG!$C$5:'BASECG'!$OG$5,BASECG!$C$4:'BASECG'!$OG$4=Z16),"")</f>
        <v>ART83- ABEILLE RETRAITE ENTREPRISE ARTICLE 83</v>
      </c>
      <c r="AB16" s="376" t="str">
        <f ca="1"/>
        <v>ART83- NORWICH STRATEGIE RETRAITE - Article 83</v>
      </c>
      <c r="AC16" s="376" t="str">
        <f ca="1"/>
        <v>PERP- ABEILLE RETRAITE PERP</v>
      </c>
      <c r="AD16" s="376" t="str">
        <f ca="1"/>
        <v>MADELIN- ABEILLE RETRAITE MADELIN</v>
      </c>
      <c r="AE16" s="376" t="str">
        <f ca="1"/>
        <v>MADELIN- ABEILLE RETRAITE PLURIELLE MADELIN</v>
      </c>
      <c r="AF16" s="376" t="str">
        <f ca="1"/>
        <v>MADELIN- ATTITUDE STRATEGIE RETRAITE "LOI MADELIN"</v>
      </c>
      <c r="AG16" s="376" t="str">
        <f ca="1"/>
        <v>MADELIN- ATTITUDE STRATEGIE RETRAITE AGRICOLE</v>
      </c>
      <c r="AH16" s="376" t="str">
        <f ca="1"/>
        <v>MADELIN- NORWICH HORIZON LOI MADELIN</v>
      </c>
      <c r="AI16" s="376" t="str">
        <f ca="1"/>
        <v>MADELIN- NORWICH STRATEGIE RETRAITE LOI MADELIN</v>
      </c>
      <c r="AJ16" s="376" t="str">
        <f ca="1"/>
        <v>MADELIN- NORWICH UNION OPTION AVENIR LOI MADELIN</v>
      </c>
      <c r="AK16" s="376" t="str">
        <f ca="1"/>
        <v>MADELIN- VICTOIRE INVESTISSEMENT RETRAITE 2</v>
      </c>
      <c r="AL16" s="376" t="str">
        <f ca="1"/>
        <v>PERIN- ABEILLE RETRAITE PLURIELLE</v>
      </c>
      <c r="AM16" s="376" t="str">
        <f ca="1"/>
        <v>PERIN- ABEILLE RETRAITE PLURIELLE ENTREPRISE</v>
      </c>
      <c r="AN16" s="376"/>
      <c r="AO16" s="376"/>
      <c r="AP16" s="376"/>
      <c r="AQ16" s="376"/>
      <c r="AR16" s="376"/>
      <c r="AS16" s="376"/>
      <c r="AT16" s="376"/>
      <c r="AU16" s="376"/>
      <c r="AV16" s="376"/>
      <c r="AW16" s="376"/>
      <c r="AX16" s="376"/>
      <c r="AY16" s="376"/>
      <c r="AZ16" s="376"/>
      <c r="BA16" s="376"/>
      <c r="BB16" s="376"/>
      <c r="BC16" s="376"/>
      <c r="BD16" s="376"/>
      <c r="BE16" s="376"/>
      <c r="BF16" s="376"/>
      <c r="BG16" s="376"/>
      <c r="BH16" s="376"/>
      <c r="BI16" s="376"/>
    </row>
    <row r="17" spans="4:61">
      <c r="D17" s="356"/>
      <c r="E17" s="356"/>
      <c r="F17" s="358"/>
      <c r="G17" s="358"/>
      <c r="H17" s="358"/>
      <c r="I17" s="358"/>
      <c r="J17" s="358"/>
      <c r="K17" s="924" t="str">
        <f>IF(K14="PREFON","Particularité du régime PREFON, le C0 figurant sur le relevé correspond au PERP","")</f>
        <v/>
      </c>
      <c r="L17" s="924"/>
      <c r="M17" s="924"/>
      <c r="N17" s="924"/>
      <c r="O17" s="924"/>
      <c r="P17" s="924"/>
      <c r="Q17" s="924"/>
      <c r="R17" s="366"/>
      <c r="Z17" s="376" t="str" cm="1">
        <f t="array" aca="1" ref="Z17" ca="1">IFERROR(OFFSET(BASECG!$B$4,0,MATCH(0,COUNTIF($Z$15:Z16,BASECG!$C$4:'BASECG'!$OG$4))),"")</f>
        <v>AFER</v>
      </c>
      <c r="AA17" s="376" t="str" cm="1">
        <f t="array" aca="1" ref="AA17:AC17" ca="1">IFERROR(_xlfn._xlws.FILTER(BASECG!$C$5:'BASECG'!$OG$5,BASECG!$C$4:'BASECG'!$OG$4=Z17),"")</f>
        <v>ART83- CONTRAT COLLECTIF DE RETRAITE SUPPLÉMENTAIRE MULTISUPPORT AFER</v>
      </c>
      <c r="AB17" s="376" t="str">
        <f ca="1"/>
        <v>ART83- RETRAITE SUPPLEMENTAIRE AFER</v>
      </c>
      <c r="AC17" s="376" t="str">
        <f ca="1"/>
        <v>PERIN- AFER RETRAITE INDIVIDUELLE</v>
      </c>
      <c r="AD17" s="376"/>
      <c r="AE17" s="376"/>
      <c r="AF17" s="376"/>
      <c r="AG17" s="376"/>
      <c r="AH17" s="376"/>
      <c r="AI17" s="376"/>
      <c r="AJ17" s="376"/>
      <c r="AK17" s="376"/>
      <c r="AL17" s="376"/>
      <c r="AM17" s="376"/>
      <c r="AN17" s="376"/>
      <c r="AO17" s="376"/>
      <c r="AP17" s="376"/>
      <c r="AQ17" s="376"/>
      <c r="AR17" s="376"/>
      <c r="AS17" s="376"/>
      <c r="AT17" s="376"/>
      <c r="AU17" s="376"/>
      <c r="AV17" s="376"/>
      <c r="AW17" s="376"/>
      <c r="AX17" s="376"/>
      <c r="AY17" s="376"/>
      <c r="AZ17" s="376"/>
      <c r="BA17" s="376"/>
      <c r="BB17" s="376"/>
      <c r="BC17" s="376"/>
      <c r="BD17" s="376"/>
      <c r="BE17" s="376"/>
      <c r="BF17" s="376"/>
      <c r="BG17" s="376"/>
      <c r="BH17" s="376"/>
      <c r="BI17" s="376"/>
    </row>
    <row r="18" spans="4:61">
      <c r="D18" s="356"/>
      <c r="E18" s="356"/>
      <c r="F18" s="358"/>
      <c r="G18" s="358"/>
      <c r="H18" s="358"/>
      <c r="I18" s="358"/>
      <c r="J18" s="358"/>
      <c r="K18" s="358"/>
      <c r="L18" s="358"/>
      <c r="Z18" s="376" t="str" cm="1">
        <f t="array" aca="1" ref="Z18" ca="1">IFERROR(OFFSET(BASECG!$B$4,0,MATCH(0,COUNTIF($Z$15:Z17,BASECG!$C$4:'BASECG'!$OG$4))),"")</f>
        <v>AG2R_LA_MONDIALE</v>
      </c>
      <c r="AA18" s="376" t="str" cm="1">
        <f t="array" aca="1" ref="AA18:AS18" ca="1">IFERROR(_xlfn._xlws.FILTER(BASECG!$C$5:'BASECG'!$OG$5,BASECG!$C$4:'BASECG'!$OG$4=Z18),"")</f>
        <v>ART83- EQUATION 83 MULTISUPPORTS</v>
      </c>
      <c r="AB18" s="376" t="str">
        <f ca="1"/>
        <v>ART83- MONDIALE PERSPECTIVES ENTREPRISE</v>
      </c>
      <c r="AC18" s="376" t="str">
        <f ca="1"/>
        <v>ART83- MONDIALE RETRAITE PLUS</v>
      </c>
      <c r="AD18" s="376" t="str">
        <f ca="1"/>
        <v>ART83- PER ENTREPRISES</v>
      </c>
      <c r="AE18" s="376" t="str">
        <f ca="1"/>
        <v>ART83- RETRAITE SUPPLEMENTAIRE</v>
      </c>
      <c r="AF18" s="376" t="str">
        <f ca="1"/>
        <v>ART83- RETRAITE SUPPLÉMENTAIRE II</v>
      </c>
      <c r="AG18" s="376" t="str">
        <f ca="1"/>
        <v>ART83- RETRAITE SUPPLEMENTAIRE LIBRE</v>
      </c>
      <c r="AH18" s="376" t="str">
        <f ca="1"/>
        <v>ART83- RETRAITE SUPPLEMENTAIRE LIBRE II</v>
      </c>
      <c r="AI18" s="376" t="str">
        <f ca="1"/>
        <v>PERP- COMPLEMENT EPARGNE RETRAITE (EX -MONDIALE STRATEGIE RETRAITE)</v>
      </c>
      <c r="AJ18" s="376" t="str">
        <f ca="1"/>
        <v>PERP- MONDIALE SOLUTIONS RETRAITE</v>
      </c>
      <c r="AK18" s="376" t="str">
        <f ca="1"/>
        <v>MADELIN- MONDIALE PRIVILEGE ACTIONS</v>
      </c>
      <c r="AL18" s="376" t="str">
        <f ca="1"/>
        <v>MADELIN- MONDIALE RETRAITE PROFESSIONNELS</v>
      </c>
      <c r="AM18" s="376" t="str">
        <f ca="1"/>
        <v>MADELIN- RETRAITE AGRICOLE</v>
      </c>
      <c r="AN18" s="376" t="str">
        <f ca="1"/>
        <v>MADELIN- RETRAITE PROFESSIONNELS</v>
      </c>
      <c r="AO18" s="376" t="str">
        <f ca="1"/>
        <v>PERIN- AMBITION RETRAITE ENTREPRISE</v>
      </c>
      <c r="AP18" s="376" t="str">
        <f ca="1"/>
        <v>PERIN- AMBITION RETRAITE INDIVIDUELLE</v>
      </c>
      <c r="AQ18" s="376" t="str">
        <f ca="1"/>
        <v>PERIN- AMBITION RETRAITE PRO</v>
      </c>
      <c r="AR18" s="376" t="str">
        <f ca="1"/>
        <v>PERIN- EXCELLIE RETRAITE</v>
      </c>
      <c r="AS18" s="376" t="str">
        <f ca="1"/>
        <v>PERIN- UNIVERS RETRAITE ENTREPRISE LIBRE</v>
      </c>
      <c r="AT18" s="376"/>
      <c r="AU18" s="376"/>
      <c r="AV18" s="376"/>
      <c r="AW18" s="376"/>
      <c r="AX18" s="376"/>
      <c r="AY18" s="376"/>
      <c r="AZ18" s="376"/>
      <c r="BA18" s="376"/>
      <c r="BB18" s="376"/>
      <c r="BC18" s="376"/>
      <c r="BD18" s="376"/>
      <c r="BE18" s="376"/>
      <c r="BF18" s="376"/>
      <c r="BG18" s="376"/>
      <c r="BH18" s="376"/>
      <c r="BI18" s="376"/>
    </row>
    <row r="19" spans="4:61">
      <c r="D19" s="356"/>
      <c r="E19" s="356"/>
      <c r="F19" s="357"/>
      <c r="G19" s="357"/>
      <c r="H19" s="357"/>
      <c r="I19" s="357"/>
      <c r="J19" s="357"/>
      <c r="Z19" s="376" t="str" cm="1">
        <f t="array" aca="1" ref="Z19" ca="1">IFERROR(OFFSET(BASECG!$B$4,0,MATCH(0,COUNTIF($Z$15:Z18,BASECG!$C$4:'BASECG'!$OG$4))),"")</f>
        <v>AGEAS</v>
      </c>
      <c r="AA19" s="376" t="str" cm="1">
        <f t="array" aca="1" ref="AA19" ca="1">IFERROR(_xlfn._xlws.FILTER(BASECG!$C$5:'BASECG'!$OG$5,BASECG!$C$4:'BASECG'!$OG$4=Z19),"")</f>
        <v>PERIN- PER ZEN</v>
      </c>
      <c r="AB19" s="376"/>
      <c r="AC19" s="376"/>
      <c r="AD19" s="376"/>
      <c r="AE19" s="376"/>
      <c r="AF19" s="376"/>
      <c r="AG19" s="376"/>
      <c r="AH19" s="376"/>
      <c r="AI19" s="376"/>
      <c r="AJ19" s="376"/>
      <c r="AK19" s="376"/>
      <c r="AL19" s="376"/>
      <c r="AM19" s="376"/>
      <c r="AN19" s="376"/>
      <c r="AO19" s="376"/>
      <c r="AP19" s="376"/>
      <c r="AQ19" s="376"/>
      <c r="AR19" s="376"/>
      <c r="AS19" s="376"/>
      <c r="AT19" s="376"/>
      <c r="AU19" s="376"/>
      <c r="AV19" s="376"/>
      <c r="AW19" s="376"/>
      <c r="AX19" s="376"/>
      <c r="AY19" s="376"/>
      <c r="AZ19" s="376"/>
      <c r="BA19" s="376"/>
      <c r="BB19" s="376"/>
      <c r="BC19" s="376"/>
      <c r="BD19" s="376"/>
      <c r="BE19" s="376"/>
      <c r="BF19" s="376"/>
      <c r="BG19" s="376"/>
      <c r="BH19" s="376"/>
      <c r="BI19" s="376"/>
    </row>
    <row r="20" spans="4:61">
      <c r="D20" s="917" t="s">
        <v>292</v>
      </c>
      <c r="E20" s="917"/>
      <c r="F20" s="910" t="s">
        <v>293</v>
      </c>
      <c r="G20" s="910"/>
      <c r="H20" s="910"/>
      <c r="I20" s="910"/>
      <c r="J20" s="910"/>
      <c r="K20" s="407"/>
      <c r="L20" s="136"/>
      <c r="M20" s="913" t="s">
        <v>302</v>
      </c>
      <c r="N20" s="365"/>
      <c r="O20" s="907" t="s">
        <v>306</v>
      </c>
      <c r="P20" s="907"/>
      <c r="Q20" s="907"/>
      <c r="R20" s="417"/>
      <c r="Z20" s="376" t="str" cm="1">
        <f t="array" aca="1" ref="Z20" ca="1">IFERROR(OFFSET(BASECG!$B$4,0,MATCH(0,COUNTIF($Z$15:Z19,BASECG!$C$4:'BASECG'!$OG$4))),"")</f>
        <v>AGIPI</v>
      </c>
      <c r="AA20" s="376" t="str" cm="1">
        <f t="array" aca="1" ref="AA20:AC20" ca="1">IFERROR(_xlfn._xlws.FILTER(BASECG!$C$5:'BASECG'!$OG$5,BASECG!$C$4:'BASECG'!$OG$4=Z20),"")</f>
        <v>PERP- PAIR</v>
      </c>
      <c r="AB20" s="376" t="str">
        <f ca="1"/>
        <v>MADELIN- FAR</v>
      </c>
      <c r="AC20" s="376" t="str">
        <f ca="1"/>
        <v>PERIN- FAR PER</v>
      </c>
      <c r="AD20" s="376"/>
      <c r="AE20" s="376"/>
      <c r="AF20" s="376"/>
      <c r="AG20" s="376"/>
      <c r="AH20" s="376"/>
      <c r="AI20" s="376"/>
      <c r="AJ20" s="376"/>
      <c r="AK20" s="376"/>
      <c r="AL20" s="376"/>
      <c r="AM20" s="376"/>
      <c r="AN20" s="376"/>
      <c r="AO20" s="376"/>
      <c r="AP20" s="376"/>
      <c r="AQ20" s="376"/>
      <c r="AR20" s="376"/>
      <c r="AS20" s="376"/>
      <c r="AT20" s="376"/>
      <c r="AU20" s="376"/>
      <c r="AV20" s="376"/>
      <c r="AW20" s="376"/>
      <c r="AX20" s="376"/>
      <c r="AY20" s="376"/>
      <c r="AZ20" s="376"/>
      <c r="BA20" s="376"/>
      <c r="BB20" s="376"/>
      <c r="BC20" s="376"/>
      <c r="BD20" s="376"/>
      <c r="BE20" s="376"/>
      <c r="BF20" s="376"/>
      <c r="BG20" s="376"/>
      <c r="BH20" s="376"/>
      <c r="BI20" s="376"/>
    </row>
    <row r="21" spans="4:61">
      <c r="D21" s="917"/>
      <c r="E21" s="917"/>
      <c r="F21" s="910" t="s">
        <v>294</v>
      </c>
      <c r="G21" s="910"/>
      <c r="H21" s="910"/>
      <c r="I21" s="910"/>
      <c r="J21" s="910"/>
      <c r="K21" s="408"/>
      <c r="L21" s="136"/>
      <c r="M21" s="913"/>
      <c r="N21" s="914" t="s">
        <v>303</v>
      </c>
      <c r="O21" s="910" t="s">
        <v>1379</v>
      </c>
      <c r="P21" s="910"/>
      <c r="Q21" s="910"/>
      <c r="R21" s="412"/>
      <c r="Z21" s="376" t="str" cm="1">
        <f t="array" aca="1" ref="Z21" ca="1">IFERROR(OFFSET(BASECG!$B$4,0,MATCH(0,COUNTIF($Z$15:Z20,BASECG!$C$4:'BASECG'!$OG$4))),"")</f>
        <v>ALLIANZ</v>
      </c>
      <c r="AA21" s="376" t="str" cm="1">
        <f t="array" aca="1" ref="AA21:AQ21" ca="1">IFERROR(_xlfn._xlws.FILTER(BASECG!$C$5:'BASECG'!$OG$5,BASECG!$C$4:'BASECG'!$OG$4=Z21),"")</f>
        <v>ART83- AGF PLANEO 2 ENTREPRISE</v>
      </c>
      <c r="AB21" s="376" t="str">
        <f ca="1"/>
        <v>ART83- AGF PLANEO 3 ENTREPRISE</v>
      </c>
      <c r="AC21" s="376" t="str">
        <f ca="1"/>
        <v>ART83- AGF PLANEO 4 ENTREPRISE</v>
      </c>
      <c r="AD21" s="376" t="str">
        <f ca="1"/>
        <v>ART83- AGF PLANEO EUROPEAN PENSION</v>
      </c>
      <c r="AE21" s="376" t="str">
        <f ca="1"/>
        <v>ART83- AGF SOLEO RETRAITE</v>
      </c>
      <c r="AF21" s="376" t="str">
        <f ca="1"/>
        <v>ART83- ALLIANZ PLANEO 5 ENTREPRISE</v>
      </c>
      <c r="AG21" s="376" t="str">
        <f ca="1"/>
        <v>ART83- ALLIANZ RENTEO</v>
      </c>
      <c r="AH21" s="376" t="str">
        <f ca="1"/>
        <v>ART83- ALLIANZ RETRAITE ENTREPRISE</v>
      </c>
      <c r="AI21" s="376" t="str">
        <f ca="1"/>
        <v>PERP- PERP ALLIANZ PLEINE RETRAITE</v>
      </c>
      <c r="AJ21" s="376" t="str">
        <f ca="1"/>
        <v>MADELIN- ALLIANZ ITINERAIRES RETRAITE MADELIN / AGRICOLE</v>
      </c>
      <c r="AK21" s="376" t="str">
        <f ca="1"/>
        <v>MADELIN- ALLIANZ RETRAITE TNS / AGRI</v>
      </c>
      <c r="AL21" s="376" t="str">
        <f ca="1"/>
        <v>MADELIN- OPTI'RETRAITE</v>
      </c>
      <c r="AM21" s="376" t="str">
        <f ca="1"/>
        <v>MADELIN- PLATINIA RETRAITE MADELIN</v>
      </c>
      <c r="AN21" s="376" t="str">
        <f ca="1"/>
        <v>MADELIN- TELLUS AVENIR TNS / AGRI</v>
      </c>
      <c r="AO21" s="376" t="str">
        <f ca="1"/>
        <v>MADELIN- TELLUS TNS</v>
      </c>
      <c r="AP21" s="376" t="str">
        <f ca="1"/>
        <v>PERIN- ALLIANZ PER ENTREPRISE</v>
      </c>
      <c r="AQ21" s="376" t="str">
        <f ca="1"/>
        <v>PERIN- ALLIANZ PER HORIZON</v>
      </c>
      <c r="AR21" s="376"/>
      <c r="AS21" s="376"/>
      <c r="AT21" s="376"/>
      <c r="AU21" s="376"/>
      <c r="AV21" s="376"/>
      <c r="AW21" s="376"/>
      <c r="AX21" s="376"/>
      <c r="AY21" s="376"/>
      <c r="AZ21" s="376"/>
      <c r="BA21" s="376"/>
      <c r="BB21" s="376"/>
      <c r="BC21" s="376"/>
      <c r="BD21" s="376"/>
      <c r="BE21" s="376"/>
      <c r="BF21" s="376"/>
      <c r="BG21" s="376"/>
      <c r="BH21" s="376"/>
      <c r="BI21" s="376"/>
    </row>
    <row r="22" spans="4:61">
      <c r="D22" s="917"/>
      <c r="E22" s="917"/>
      <c r="F22" s="918" t="s">
        <v>1226</v>
      </c>
      <c r="G22" s="918"/>
      <c r="H22" s="918"/>
      <c r="I22" s="918"/>
      <c r="J22" s="918"/>
      <c r="K22" s="409"/>
      <c r="L22" s="136"/>
      <c r="M22" s="913"/>
      <c r="N22" s="914"/>
      <c r="O22" s="911" t="s">
        <v>305</v>
      </c>
      <c r="P22" s="911"/>
      <c r="Q22" s="911"/>
      <c r="R22" s="418"/>
      <c r="Z22" s="376" t="str" cm="1">
        <f t="array" aca="1" ref="Z22" ca="1">IFERROR(OFFSET(BASECG!$B$4,0,MATCH(0,COUNTIF($Z$15:Z21,BASECG!$C$4:'BASECG'!$OG$4))),"")</f>
        <v>ALPTIS</v>
      </c>
      <c r="AA22" s="376" t="str" cm="1">
        <f t="array" aca="1" ref="AA22" ca="1">IFERROR(_xlfn._xlws.FILTER(BASECG!$C$5:'BASECG'!$OG$5,BASECG!$C$4:'BASECG'!$OG$4=Z22),"")</f>
        <v>MADELIN- IMPERATIF RETRAITE MADELIN</v>
      </c>
      <c r="AB22" s="376"/>
      <c r="AC22" s="376"/>
      <c r="AD22" s="376"/>
      <c r="AE22" s="376"/>
      <c r="AF22" s="376"/>
      <c r="AG22" s="376"/>
      <c r="AH22" s="376"/>
      <c r="AI22" s="376"/>
      <c r="AJ22" s="376"/>
      <c r="AK22" s="376"/>
      <c r="AL22" s="376"/>
      <c r="AM22" s="376"/>
      <c r="AN22" s="376"/>
      <c r="AO22" s="376"/>
      <c r="AP22" s="376"/>
      <c r="AQ22" s="376"/>
      <c r="AR22" s="376"/>
      <c r="AS22" s="376"/>
      <c r="AT22" s="376"/>
      <c r="AU22" s="376"/>
      <c r="AV22" s="376"/>
      <c r="AW22" s="376"/>
      <c r="AX22" s="376"/>
      <c r="AY22" s="376"/>
      <c r="AZ22" s="376"/>
      <c r="BA22" s="376"/>
      <c r="BB22" s="376"/>
      <c r="BC22" s="376"/>
      <c r="BD22" s="376"/>
      <c r="BE22" s="376"/>
      <c r="BF22" s="376"/>
      <c r="BG22" s="376"/>
      <c r="BH22" s="376"/>
      <c r="BI22" s="376"/>
    </row>
    <row r="23" spans="4:61">
      <c r="D23" s="917"/>
      <c r="E23" s="917"/>
      <c r="F23" s="909" t="s">
        <v>295</v>
      </c>
      <c r="G23" s="909"/>
      <c r="H23" s="909"/>
      <c r="I23" s="909"/>
      <c r="J23" s="909"/>
      <c r="K23" s="410"/>
      <c r="L23" s="513" t="str">
        <f>IF(K23="","Obligatoire","")</f>
        <v>Obligatoire</v>
      </c>
      <c r="M23" s="913"/>
      <c r="N23" s="915"/>
      <c r="O23" s="907" t="s">
        <v>307</v>
      </c>
      <c r="P23" s="907"/>
      <c r="Q23" s="907"/>
      <c r="R23" s="419"/>
      <c r="Z23" s="376" t="str" cm="1">
        <f t="array" aca="1" ref="Z23" ca="1">IFERROR(OFFSET(BASECG!$B$4,0,MATCH(0,COUNTIF($Z$15:Z22,BASECG!$C$4:'BASECG'!$OG$4))),"")</f>
        <v>APICIL</v>
      </c>
      <c r="AA23" s="376" t="str" cm="1">
        <f t="array" aca="1" ref="AA23:AJ23" ca="1">IFERROR(_xlfn._xlws.FILTER(BASECG!$C$5:'BASECG'!$OG$5,BASECG!$C$4:'BASECG'!$OG$4=Z23),"")</f>
        <v>ART83- APICIL CAP' XL (ancien Apicil Retraite entreprise)</v>
      </c>
      <c r="AB23" s="376" t="str">
        <f ca="1"/>
        <v>ART83- APICIL CAP'XL &amp; CO (ancien APICIL PERENNITE ENTREPRISE)</v>
      </c>
      <c r="AC23" s="376" t="str">
        <f ca="1"/>
        <v>PERP- APICIL PERSPECTIVES GENERATION</v>
      </c>
      <c r="AD23" s="376" t="str">
        <f ca="1"/>
        <v>PERP- PERSPECTIVE GENERATION PLUS</v>
      </c>
      <c r="AE23" s="376" t="str">
        <f ca="1"/>
        <v>MADELIN- APICIL PROFORMANCE</v>
      </c>
      <c r="AF23" s="376" t="str">
        <f ca="1"/>
        <v>MADELIN- APICIL PROFORMANCE PLUS</v>
      </c>
      <c r="AG23" s="376" t="str">
        <f ca="1"/>
        <v>PERIN- APICIL AVENIR PER-OB</v>
      </c>
      <c r="AH23" s="376" t="str">
        <f ca="1"/>
        <v>PERIN- APICIL CONNECT PER</v>
      </c>
      <c r="AI23" s="376" t="str">
        <f ca="1"/>
        <v>PERIN- INTENCIAL LIBERALYS RETRAITE</v>
      </c>
      <c r="AJ23" s="376" t="str">
        <f ca="1"/>
        <v>PERIN- CONCORDANCES PERIN</v>
      </c>
      <c r="AK23" s="376"/>
      <c r="AL23" s="376"/>
      <c r="AM23" s="376"/>
      <c r="AN23" s="376"/>
      <c r="AO23" s="376"/>
      <c r="AP23" s="376"/>
      <c r="AQ23" s="376"/>
      <c r="AR23" s="376"/>
      <c r="AS23" s="376"/>
      <c r="AT23" s="376"/>
      <c r="AU23" s="376"/>
      <c r="AV23" s="376"/>
      <c r="AW23" s="376"/>
      <c r="AX23" s="376"/>
      <c r="AY23" s="376"/>
      <c r="AZ23" s="376"/>
      <c r="BA23" s="376"/>
      <c r="BB23" s="376"/>
      <c r="BC23" s="376"/>
      <c r="BD23" s="376"/>
      <c r="BE23" s="376"/>
      <c r="BF23" s="376"/>
      <c r="BG23" s="376"/>
      <c r="BH23" s="376"/>
      <c r="BI23" s="376"/>
    </row>
    <row r="24" spans="4:61">
      <c r="D24" s="917"/>
      <c r="E24" s="917"/>
      <c r="F24" s="911" t="s">
        <v>1491</v>
      </c>
      <c r="G24" s="911"/>
      <c r="H24" s="911"/>
      <c r="I24" s="911"/>
      <c r="J24" s="911"/>
      <c r="K24" s="411"/>
      <c r="L24" s="136"/>
      <c r="M24" s="913"/>
      <c r="N24" s="916" t="s">
        <v>308</v>
      </c>
      <c r="O24" s="908" t="s">
        <v>309</v>
      </c>
      <c r="P24" s="908"/>
      <c r="Q24" s="908"/>
      <c r="R24" s="420"/>
      <c r="Z24" s="376" t="str" cm="1">
        <f t="array" aca="1" ref="Z24" ca="1">IFERROR(OFFSET(BASECG!$B$4,0,MATCH(0,COUNTIF($Z$15:Z23,BASECG!$C$4:'BASECG'!$OG$4))),"")</f>
        <v>APRIL</v>
      </c>
      <c r="AA24" s="376" t="str" cm="1">
        <f t="array" aca="1" ref="AA24:AG24" ca="1">IFERROR(_xlfn._xlws.FILTER(BASECG!$C$5:'BASECG'!$OG$5,BASECG!$C$4:'BASECG'!$OG$4=Z24),"")</f>
        <v>ART83- AFFLUANCE RETRAITE ARTICLE 83</v>
      </c>
      <c r="AB24" s="376" t="str">
        <f ca="1"/>
        <v>ART83- APRIL RETRAITE ARTICLE 83</v>
      </c>
      <c r="AC24" s="376" t="str">
        <f ca="1"/>
        <v>PERP- APRIL PERP MULTISUPPORT</v>
      </c>
      <c r="AD24" s="376" t="str">
        <f ca="1"/>
        <v>MADELIN- AFFLUANCE RETRAITE MADELIN</v>
      </c>
      <c r="AE24" s="376" t="str">
        <f ca="1"/>
        <v>MADELIN- APRIL RETRAITE MADELIN</v>
      </c>
      <c r="AF24" s="376" t="str">
        <f ca="1"/>
        <v>MADELIN- CARDIF RETRAITE PROFESSIONNELS (APRIL)</v>
      </c>
      <c r="AG24" s="376" t="str">
        <f ca="1"/>
        <v>MADELIN- RETRAITE MADELIN APRIL</v>
      </c>
      <c r="AH24" s="376"/>
      <c r="AI24" s="376"/>
      <c r="AJ24" s="376"/>
      <c r="AK24" s="376"/>
      <c r="AL24" s="376"/>
      <c r="AM24" s="376"/>
      <c r="AN24" s="376"/>
      <c r="AO24" s="376"/>
      <c r="AP24" s="376"/>
      <c r="AQ24" s="376"/>
      <c r="AR24" s="376"/>
      <c r="AS24" s="376"/>
      <c r="AT24" s="376"/>
      <c r="AU24" s="376"/>
      <c r="AV24" s="376"/>
      <c r="AW24" s="376"/>
      <c r="AX24" s="376"/>
      <c r="AY24" s="376"/>
      <c r="AZ24" s="376"/>
      <c r="BA24" s="376"/>
      <c r="BB24" s="376"/>
      <c r="BC24" s="376"/>
      <c r="BD24" s="376"/>
      <c r="BE24" s="376"/>
      <c r="BF24" s="376"/>
      <c r="BG24" s="376"/>
      <c r="BH24" s="376"/>
      <c r="BI24" s="376"/>
    </row>
    <row r="25" spans="4:61">
      <c r="D25" s="917"/>
      <c r="E25" s="917"/>
      <c r="F25" s="919" t="s">
        <v>296</v>
      </c>
      <c r="G25" s="919"/>
      <c r="H25" s="919"/>
      <c r="I25" s="919"/>
      <c r="J25" s="919"/>
      <c r="K25" s="412"/>
      <c r="L25" s="136"/>
      <c r="M25" s="913"/>
      <c r="N25" s="914"/>
      <c r="O25" s="908" t="s">
        <v>310</v>
      </c>
      <c r="P25" s="908"/>
      <c r="Q25" s="908" t="s">
        <v>310</v>
      </c>
      <c r="R25" s="418"/>
      <c r="Z25" s="376" t="str" cm="1">
        <f t="array" aca="1" ref="Z25" ca="1">IFERROR(OFFSET(BASECG!$B$4,0,MATCH(0,COUNTIF($Z$15:Z24,BASECG!$C$4:'BASECG'!$OG$4))),"")</f>
        <v>AREAS</v>
      </c>
      <c r="AA25" s="376" t="str" cm="1">
        <f t="array" aca="1" ref="AA25:AF25" ca="1">IFERROR(_xlfn._xlws.FILTER(BASECG!$C$5:'BASECG'!$OG$5,BASECG!$C$4:'BASECG'!$OG$4=Z25),"")</f>
        <v>ART83- RETRAITE COLLECTIVE ENTREPRISE</v>
      </c>
      <c r="AB25" s="376" t="str">
        <f ca="1"/>
        <v>ART83- PERI</v>
      </c>
      <c r="AC25" s="376" t="str">
        <f ca="1"/>
        <v>PERP- PERP MULTISUPPORT</v>
      </c>
      <c r="AD25" s="376" t="str">
        <f ca="1"/>
        <v>MADELIN- ARELIA MULTISUPPORT</v>
      </c>
      <c r="AE25" s="376" t="str">
        <f ca="1"/>
        <v>MADELIN- ARELIA RETRAITE COMPLEMENTAIRE DES INDEPENDANTS</v>
      </c>
      <c r="AF25" s="376" t="str">
        <f ca="1"/>
        <v>PERIN- PER INDIVIDUEL AREAS</v>
      </c>
      <c r="AG25" s="376"/>
      <c r="AH25" s="376"/>
      <c r="AI25" s="376"/>
      <c r="AJ25" s="376"/>
      <c r="AK25" s="376"/>
      <c r="AL25" s="376"/>
      <c r="AM25" s="376"/>
      <c r="AN25" s="376"/>
      <c r="AO25" s="376"/>
      <c r="AP25" s="376"/>
      <c r="AQ25" s="376"/>
      <c r="AR25" s="376"/>
      <c r="AS25" s="376"/>
      <c r="AT25" s="376"/>
      <c r="AU25" s="376"/>
      <c r="AV25" s="376"/>
      <c r="AW25" s="376"/>
      <c r="AX25" s="376"/>
      <c r="AY25" s="376"/>
      <c r="AZ25" s="376"/>
      <c r="BA25" s="376"/>
      <c r="BB25" s="376"/>
      <c r="BC25" s="376"/>
      <c r="BD25" s="376"/>
      <c r="BE25" s="376"/>
      <c r="BF25" s="376"/>
      <c r="BG25" s="376"/>
      <c r="BH25" s="376"/>
      <c r="BI25" s="376"/>
    </row>
    <row r="26" spans="4:61">
      <c r="D26" s="917"/>
      <c r="E26" s="917"/>
      <c r="F26" s="908" t="s">
        <v>317</v>
      </c>
      <c r="G26" s="908"/>
      <c r="H26" s="908"/>
      <c r="I26" s="908"/>
      <c r="J26" s="908"/>
      <c r="K26" s="412"/>
      <c r="L26" s="136"/>
      <c r="M26" s="913"/>
      <c r="N26" s="914"/>
      <c r="O26" s="908" t="s">
        <v>311</v>
      </c>
      <c r="P26" s="908"/>
      <c r="Q26" s="908" t="s">
        <v>311</v>
      </c>
      <c r="R26" s="421"/>
      <c r="Z26" s="376" t="str" cm="1">
        <f t="array" aca="1" ref="Z26" ca="1">IFERROR(OFFSET(BASECG!$B$4,0,MATCH(0,COUNTIF($Z$15:Z25,BASECG!$C$4:'BASECG'!$OG$4))),"")</f>
        <v>AXA</v>
      </c>
      <c r="AA26" s="376" t="str" cm="1">
        <f t="array" aca="1" ref="AA26:AY26" ca="1">IFERROR(_xlfn._xlws.FILTER(BASECG!$C$5:'BASECG'!$OG$5,BASECG!$C$4:'BASECG'!$OG$4=Z26),"")</f>
        <v>ART83- 4G STRATEGIE RETRAITE</v>
      </c>
      <c r="AB26" s="376" t="str">
        <f ca="1"/>
        <v>ART83- QUANTILE RETRAITE SECURITE</v>
      </c>
      <c r="AC26" s="376" t="str">
        <f ca="1"/>
        <v>ART83- RETRAITE 4 G</v>
      </c>
      <c r="AD26" s="376" t="str">
        <f ca="1"/>
        <v>ART83- RETRAITE ENTREPRISE A ADHÉSION OBLIGATOIRE</v>
      </c>
      <c r="AE26" s="376" t="str">
        <f ca="1"/>
        <v>ART83- RETRAITE ENTREPRISE GESTION PROGRAMMEE</v>
      </c>
      <c r="AF26" s="376" t="str">
        <f ca="1"/>
        <v>ART83- RETRAITE ENTREPRISE PÈRE</v>
      </c>
      <c r="AG26" s="376" t="str">
        <f ca="1"/>
        <v>ART83- SOLERE 83</v>
      </c>
      <c r="AH26" s="376" t="str">
        <f ca="1"/>
        <v>PERP- PERP CONFORT</v>
      </c>
      <c r="AI26" s="376" t="str">
        <f ca="1"/>
        <v>PERP- PERP REFERENCE</v>
      </c>
      <c r="AJ26" s="376" t="str">
        <f ca="1"/>
        <v>MADELIN- AGRISSIAL</v>
      </c>
      <c r="AK26" s="376" t="str">
        <f ca="1"/>
        <v>MADELIN- COLIADE RETRAITE INDEPENDANT</v>
      </c>
      <c r="AL26" s="376" t="str">
        <f ca="1"/>
        <v>MADELIN- CORALIS INDEPENDANTS</v>
      </c>
      <c r="AM26" s="376" t="str">
        <f ca="1"/>
        <v>MADELIN- CORETIS</v>
      </c>
      <c r="AN26" s="376" t="str">
        <f ca="1"/>
        <v>MADELIN- GERANT MAJORITAIRE RETRAITE</v>
      </c>
      <c r="AO26" s="376" t="str">
        <f ca="1"/>
        <v>MADELIN- NOVIAL AVENIR</v>
      </c>
      <c r="AP26" s="376" t="str">
        <f ca="1"/>
        <v>MADELIN- ORIAL</v>
      </c>
      <c r="AQ26" s="376" t="str">
        <f ca="1"/>
        <v>MADELIN- PLANISSIM</v>
      </c>
      <c r="AR26" s="376" t="str">
        <f ca="1"/>
        <v>MADELIN- REGULARITE RETRAITE PRO / EURACTIEL DES PROFESSIONNELS</v>
      </c>
      <c r="AS26" s="376" t="str">
        <f ca="1"/>
        <v>MADELIN- RETRAITE DES PROFESSIONNELS - AGRICOLES</v>
      </c>
      <c r="AT26" s="376" t="str">
        <f ca="1"/>
        <v>MADELIN- RETRAITE DES PROFESSIONNELS - NON AGRICOLES</v>
      </c>
      <c r="AU26" s="376" t="str">
        <f ca="1"/>
        <v>PERIN- AXA MA RETRAITE</v>
      </c>
      <c r="AV26" s="376" t="str">
        <f ca="1"/>
        <v>PERIN- PER AMADEO</v>
      </c>
      <c r="AW26" s="376" t="str">
        <f ca="1"/>
        <v>PERIN- PER CORALIS</v>
      </c>
      <c r="AX26" s="376" t="str">
        <f ca="1"/>
        <v>PERCO- EPARGNE SALARIALE PEI / PERCO-I</v>
      </c>
      <c r="AY26" s="376" t="str">
        <f ca="1"/>
        <v>PERCO- PEE - PERCO AXA</v>
      </c>
      <c r="AZ26" s="376"/>
      <c r="BA26" s="376"/>
      <c r="BB26" s="376"/>
      <c r="BC26" s="376"/>
      <c r="BD26" s="376"/>
      <c r="BE26" s="376"/>
      <c r="BF26" s="376"/>
      <c r="BG26" s="376"/>
      <c r="BH26" s="376"/>
      <c r="BI26" s="376"/>
    </row>
    <row r="27" spans="4:61">
      <c r="D27" s="917"/>
      <c r="E27" s="917"/>
      <c r="F27" s="918" t="s">
        <v>297</v>
      </c>
      <c r="G27" s="918"/>
      <c r="H27" s="918"/>
      <c r="I27" s="918"/>
      <c r="J27" s="918"/>
      <c r="K27" s="413"/>
      <c r="L27" s="136"/>
      <c r="M27" s="913"/>
      <c r="N27" s="914"/>
      <c r="O27" s="908" t="s">
        <v>312</v>
      </c>
      <c r="P27" s="908"/>
      <c r="Q27" s="908" t="s">
        <v>312</v>
      </c>
      <c r="R27" s="421"/>
      <c r="S27" s="457"/>
      <c r="Z27" s="376" t="str" cm="1">
        <f t="array" aca="1" ref="Z27" ca="1">IFERROR(OFFSET(BASECG!$B$4,0,MATCH(0,COUNTIF($Z$15:Z26,BASECG!$C$4:'BASECG'!$OG$4))),"")</f>
        <v>BANQUE_POPULAIRE</v>
      </c>
      <c r="AA27" s="376" t="str" cm="1">
        <f t="array" aca="1" ref="AA27:AP27" ca="1">IFERROR(_xlfn._xlws.FILTER(BASECG!$C$5:'BASECG'!$OG$5,BASECG!$C$4:'BASECG'!$OG$4=Z27),"")</f>
        <v>ART83- CAPI RESSOURCES</v>
      </c>
      <c r="AB27" s="376" t="str">
        <f ca="1"/>
        <v>ART83- RESSOURCES SÉLECTION VIE</v>
      </c>
      <c r="AC27" s="376" t="str">
        <f ca="1"/>
        <v>ART83- RESSOURCES SELECTION VIE II</v>
      </c>
      <c r="AD27" s="376" t="str">
        <f ca="1"/>
        <v>PERP- PER BP</v>
      </c>
      <c r="AE27" s="376" t="str">
        <f ca="1"/>
        <v>PERP- PERP CM</v>
      </c>
      <c r="AF27" s="376" t="str">
        <f ca="1"/>
        <v>PERP- PERP DUETTO RETRAITE</v>
      </c>
      <c r="AG27" s="376" t="str">
        <f ca="1"/>
        <v>PERP- SOLUTION PERP</v>
      </c>
      <c r="AH27" s="376" t="str">
        <f ca="1"/>
        <v>MADELIN- FRUCTI - AGRI</v>
      </c>
      <c r="AI27" s="376" t="str">
        <f ca="1"/>
        <v>MADELIN- FRUCTI-PROFESSIONNEL</v>
      </c>
      <c r="AJ27" s="376" t="str">
        <f ca="1"/>
        <v>MADELIN- PREPAR PRO</v>
      </c>
      <c r="AK27" s="376" t="str">
        <f ca="1"/>
        <v>MADELIN- PREPAR'SERENITE - GARANTIE RETRAITE</v>
      </c>
      <c r="AL27" s="376" t="str">
        <f ca="1"/>
        <v>PERIN- PERI BRED</v>
      </c>
      <c r="AM27" s="376" t="str">
        <f ca="1"/>
        <v>PERIN- PLAN EPARGNE RETRAITE</v>
      </c>
      <c r="AN27" s="376" t="str">
        <f ca="1"/>
        <v>PERCO-ES - PL</v>
      </c>
      <c r="AO27" s="376" t="str">
        <f ca="1"/>
        <v>PERCO- FRUCTI DUO - FRUCTI EPARGNE PLUS</v>
      </c>
      <c r="AP27" s="376" t="str">
        <f ca="1"/>
        <v>PERCO- FRUCTI OPTIMUM</v>
      </c>
      <c r="AQ27" s="376"/>
      <c r="AR27" s="376"/>
      <c r="AS27" s="376"/>
      <c r="AT27" s="376"/>
      <c r="AU27" s="376"/>
      <c r="AV27" s="376"/>
      <c r="AW27" s="376"/>
      <c r="AX27" s="376"/>
      <c r="AY27" s="376"/>
      <c r="AZ27" s="376"/>
      <c r="BA27" s="376"/>
      <c r="BB27" s="376"/>
      <c r="BC27" s="376"/>
      <c r="BD27" s="376"/>
      <c r="BE27" s="376"/>
      <c r="BF27" s="376"/>
      <c r="BG27" s="376"/>
      <c r="BH27" s="376"/>
      <c r="BI27" s="376"/>
    </row>
    <row r="28" spans="4:61">
      <c r="D28" s="917"/>
      <c r="E28" s="917"/>
      <c r="F28" s="908" t="s">
        <v>298</v>
      </c>
      <c r="G28" s="908"/>
      <c r="H28" s="908"/>
      <c r="I28" s="908"/>
      <c r="J28" s="908"/>
      <c r="K28" s="414"/>
      <c r="L28" s="136"/>
      <c r="M28" s="913"/>
      <c r="N28" s="914"/>
      <c r="O28" s="908" t="s">
        <v>313</v>
      </c>
      <c r="P28" s="908"/>
      <c r="Q28" s="908" t="s">
        <v>313</v>
      </c>
      <c r="R28" s="418"/>
      <c r="S28" s="427"/>
      <c r="Z28" s="376" t="str" cm="1">
        <f t="array" aca="1" ref="Z28" ca="1">IFERROR(OFFSET(BASECG!$B$4,0,MATCH(0,COUNTIF($Z$15:Z27,BASECG!$C$4:'BASECG'!$OG$4))),"")</f>
        <v>BNP</v>
      </c>
      <c r="AA28" s="376" t="str" cm="1">
        <f t="array" aca="1" ref="AA28:AL28" ca="1">IFERROR(_xlfn._xlws.FILTER(BASECG!$C$5:'BASECG'!$OG$5,BASECG!$C$4:'BASECG'!$OG$4=Z28),"")</f>
        <v>ART83- PARTENAIRE PER ENTREPRISES</v>
      </c>
      <c r="AB28" s="376" t="str">
        <f ca="1"/>
        <v>ART83- PREFERENCE PER ENTREPRISES</v>
      </c>
      <c r="AC28" s="376" t="str">
        <f ca="1"/>
        <v>ART83- PRÉFÉRENCE RETRAITE</v>
      </c>
      <c r="AD28" s="376" t="str">
        <f ca="1"/>
        <v>PERP- PLAN D'EPARGNE RETRAITE DES PARTICULIERS (PERP)</v>
      </c>
      <c r="AE28" s="376" t="str">
        <f ca="1"/>
        <v>MADELIN- NATIO VIE MULTIHORIZONS PROFESSIONNEL</v>
      </c>
      <c r="AF28" s="376" t="str">
        <f ca="1"/>
        <v>MADELIN- PLAN D'EPARGNE RETRAITE LOI MADELIN</v>
      </c>
      <c r="AG28" s="376" t="str">
        <f ca="1"/>
        <v>PERIN- BNP PARIBAS MULTIPLACEMENTS PER</v>
      </c>
      <c r="AH28" s="376" t="str">
        <f ca="1"/>
        <v>PERIN- PRÉFÉRENCE PER OBLIGATOIRE</v>
      </c>
      <c r="AI28" s="376" t="str">
        <f ca="1"/>
        <v>PERIN- BNP PARIBAS MULTIPLACEMENTS PRIVILÈGE PER</v>
      </c>
      <c r="AJ28" s="376" t="str">
        <f ca="1"/>
        <v>PERCO- AMPLISSIM EPARGNE SALARIALE</v>
      </c>
      <c r="AK28" s="376" t="str">
        <f ca="1"/>
        <v>PERCO- PARTENAIRE EPARGNE SALARIALE</v>
      </c>
      <c r="AL28" s="376" t="str">
        <f ca="1"/>
        <v>PERCO- PERCOI EFFIGIE</v>
      </c>
      <c r="AM28" s="376"/>
      <c r="AN28" s="376"/>
      <c r="AO28" s="376"/>
      <c r="AP28" s="376"/>
      <c r="AQ28" s="376"/>
      <c r="AR28" s="376"/>
      <c r="AS28" s="376"/>
      <c r="AT28" s="376"/>
      <c r="AU28" s="376"/>
      <c r="AV28" s="376"/>
      <c r="AW28" s="376"/>
      <c r="AX28" s="376"/>
      <c r="AY28" s="376"/>
      <c r="AZ28" s="376"/>
      <c r="BA28" s="376"/>
      <c r="BB28" s="376"/>
      <c r="BC28" s="376"/>
      <c r="BD28" s="376"/>
      <c r="BE28" s="376"/>
      <c r="BF28" s="376"/>
      <c r="BG28" s="376"/>
      <c r="BH28" s="376"/>
      <c r="BI28" s="376"/>
    </row>
    <row r="29" spans="4:61">
      <c r="D29" s="917"/>
      <c r="E29" s="917"/>
      <c r="F29" s="908" t="s">
        <v>408</v>
      </c>
      <c r="G29" s="908"/>
      <c r="H29" s="908"/>
      <c r="I29" s="908"/>
      <c r="J29" s="908"/>
      <c r="K29" s="415"/>
      <c r="L29" s="136"/>
      <c r="M29" s="913"/>
      <c r="N29" s="914"/>
      <c r="O29" s="908" t="s">
        <v>314</v>
      </c>
      <c r="P29" s="908"/>
      <c r="Q29" s="908" t="s">
        <v>314</v>
      </c>
      <c r="R29" s="418"/>
      <c r="Z29" s="376" t="str" cm="1">
        <f t="array" aca="1" ref="Z29" ca="1">IFERROR(OFFSET(BASECG!$B$4,0,MATCH(0,COUNTIF($Z$15:Z28,BASECG!$C$4:'BASECG'!$OG$4))),"")</f>
        <v>CAISSE_D_EPARGNE</v>
      </c>
      <c r="AA29" s="376" t="str" cm="1">
        <f t="array" aca="1" ref="AA29:AG29" ca="1">IFERROR(_xlfn._xlws.FILTER(BASECG!$C$5:'BASECG'!$OG$5,BASECG!$C$4:'BASECG'!$OG$4=Z29),"")</f>
        <v>PERP- ASSYLIO</v>
      </c>
      <c r="AB29" s="376" t="str">
        <f ca="1"/>
        <v>PERP- PERP CAISSE D'EPARGNE</v>
      </c>
      <c r="AC29" s="376" t="str">
        <f ca="1"/>
        <v>PERP- SOLUTION PERP</v>
      </c>
      <c r="AD29" s="376" t="str">
        <f ca="1"/>
        <v>MADELIN- ECUREUIL RETRAITE PRO</v>
      </c>
      <c r="AE29" s="376" t="str">
        <f ca="1"/>
        <v>PERIN- MILLEVIE PER</v>
      </c>
      <c r="AF29" s="376" t="str">
        <f ca="1"/>
        <v>PERIN- PER CE</v>
      </c>
      <c r="AG29" s="376" t="str">
        <f ca="1"/>
        <v>PERCO- BOX OFFICE PERCOI</v>
      </c>
      <c r="AH29" s="376"/>
      <c r="AI29" s="376"/>
      <c r="AJ29" s="376"/>
      <c r="AK29" s="376"/>
      <c r="AL29" s="376"/>
      <c r="AM29" s="376"/>
      <c r="AN29" s="376"/>
      <c r="AO29" s="376"/>
      <c r="AP29" s="376"/>
      <c r="AQ29" s="376"/>
      <c r="AR29" s="376"/>
      <c r="AS29" s="376"/>
      <c r="AT29" s="376"/>
      <c r="AU29" s="376"/>
      <c r="AV29" s="376"/>
      <c r="AW29" s="376"/>
      <c r="AX29" s="376"/>
      <c r="AY29" s="376"/>
      <c r="AZ29" s="376"/>
      <c r="BA29" s="376"/>
      <c r="BB29" s="376"/>
      <c r="BC29" s="376"/>
      <c r="BD29" s="376"/>
      <c r="BE29" s="376"/>
      <c r="BF29" s="376"/>
      <c r="BG29" s="376"/>
      <c r="BH29" s="376"/>
      <c r="BI29" s="376"/>
    </row>
    <row r="30" spans="4:61">
      <c r="D30" s="917"/>
      <c r="E30" s="917"/>
      <c r="F30" s="908" t="s">
        <v>299</v>
      </c>
      <c r="G30" s="908"/>
      <c r="H30" s="908"/>
      <c r="I30" s="908"/>
      <c r="J30" s="908"/>
      <c r="K30" s="415"/>
      <c r="L30" s="136"/>
      <c r="M30" s="913"/>
      <c r="N30" s="914"/>
      <c r="O30" s="908" t="s">
        <v>319</v>
      </c>
      <c r="P30" s="908"/>
      <c r="Q30" s="908"/>
      <c r="R30" s="422"/>
      <c r="Z30" s="376" t="str" cm="1">
        <f t="array" aca="1" ref="Z30" ca="1">IFERROR(OFFSET(BASECG!$B$4,0,MATCH(0,COUNTIF($Z$15:Z29,BASECG!$C$4:'BASECG'!$OG$4))),"")</f>
        <v>CARDIF</v>
      </c>
      <c r="AA30" s="376" t="str" cm="1">
        <f t="array" aca="1" ref="AA30:AH30" ca="1">IFERROR(_xlfn._xlws.FILTER(BASECG!$C$5:'BASECG'!$OG$5,BASECG!$C$4:'BASECG'!$OG$4=Z30),"")</f>
        <v>ART83- CARDIF RETRAITE 83</v>
      </c>
      <c r="AB30" s="376" t="str">
        <f ca="1"/>
        <v>PERP- CARDIF MULTIPLUS PERP</v>
      </c>
      <c r="AC30" s="376" t="str">
        <f ca="1"/>
        <v>MADELIN- CARDIF AMBITION RETRAITE PROFESSIONNELS</v>
      </c>
      <c r="AD30" s="376" t="str">
        <f ca="1"/>
        <v>MADELIN- CARDIF RETRAITE MADELIN</v>
      </c>
      <c r="AE30" s="376" t="str">
        <f ca="1"/>
        <v>MADELIN- CARDIF RETRAITE PROFESSIONNELS</v>
      </c>
      <c r="AF30" s="376" t="str">
        <f ca="1"/>
        <v>MADELIN- INITIATIVE RETRAITE</v>
      </c>
      <c r="AG30" s="376" t="str">
        <f ca="1"/>
        <v>PERIN- CARDIF ELITE RETRAITE</v>
      </c>
      <c r="AH30" s="376" t="str">
        <f ca="1"/>
        <v>PERIN- CARDIF ESSENTIEL RETRAITE</v>
      </c>
      <c r="AI30" s="376"/>
      <c r="AJ30" s="376"/>
      <c r="AK30" s="376"/>
      <c r="AL30" s="376"/>
      <c r="AM30" s="376"/>
      <c r="AN30" s="376"/>
      <c r="AO30" s="376"/>
      <c r="AP30" s="376"/>
      <c r="AQ30" s="376"/>
      <c r="AR30" s="376"/>
      <c r="AS30" s="376"/>
      <c r="AT30" s="376"/>
      <c r="AU30" s="376"/>
      <c r="AV30" s="376"/>
      <c r="AW30" s="376"/>
      <c r="AX30" s="376"/>
      <c r="AY30" s="376"/>
      <c r="AZ30" s="376"/>
      <c r="BA30" s="376"/>
      <c r="BB30" s="376"/>
      <c r="BC30" s="376"/>
      <c r="BD30" s="376"/>
      <c r="BE30" s="376"/>
      <c r="BF30" s="376"/>
      <c r="BG30" s="376"/>
      <c r="BH30" s="376"/>
      <c r="BI30" s="376"/>
    </row>
    <row r="31" spans="4:61">
      <c r="D31" s="917"/>
      <c r="E31" s="917"/>
      <c r="F31" s="908" t="s">
        <v>407</v>
      </c>
      <c r="G31" s="908"/>
      <c r="H31" s="908"/>
      <c r="I31" s="908"/>
      <c r="J31" s="908"/>
      <c r="K31" s="416"/>
      <c r="L31" s="136"/>
      <c r="M31" s="913"/>
      <c r="N31" s="914"/>
      <c r="O31" s="363" t="s">
        <v>1318</v>
      </c>
      <c r="P31" s="388"/>
      <c r="Q31" s="364" t="s">
        <v>1492</v>
      </c>
      <c r="R31" s="423"/>
      <c r="S31" s="513" t="str">
        <f>IF(P31="","Obligatoire",IF(AND(R31="",OR(K12=Données!H50,K12=Données!H51,K12=Données!H55,K12=Données!H56)),"Obligatoire",""))</f>
        <v>Obligatoire</v>
      </c>
      <c r="Z31" s="376" t="str" cm="1">
        <f t="array" aca="1" ref="Z31" ca="1">IFERROR(OFFSET(BASECG!$B$4,0,MATCH(0,COUNTIF($Z$15:Z30,BASECG!$C$4:'BASECG'!$OG$4))),"")</f>
        <v>CREDIT_AGRICOLE</v>
      </c>
      <c r="AA31" s="376" t="str" cm="1">
        <f t="array" aca="1" ref="AA31:AP31" ca="1">IFERROR(_xlfn._xlws.FILTER(BASECG!$C$5:'BASECG'!$OG$5,BASECG!$C$4:'BASECG'!$OG$4=Z31),"")</f>
        <v>ART83- EXTENSION RETRAITE MAITRISEE</v>
      </c>
      <c r="AB31" s="376" t="str">
        <f ca="1"/>
        <v>ART83- EXTENSION RETRAITE SUPPLEMENTAIRE EURO</v>
      </c>
      <c r="AC31" s="376" t="str">
        <f ca="1"/>
        <v>ART83- EXTENSION RETRAITE SUPPLÉMENTAIRE MULTISUPPORT</v>
      </c>
      <c r="AD31" s="376" t="str">
        <f ca="1"/>
        <v>ART83- EXTENSION RETRAITE VOLONTAIRE</v>
      </c>
      <c r="AE31" s="376" t="str">
        <f ca="1"/>
        <v>PERP- PLAN VERT AVENIR</v>
      </c>
      <c r="AF31" s="376" t="str">
        <f ca="1"/>
        <v>PERP- PLAN VERT VITALITE</v>
      </c>
      <c r="AG31" s="376" t="str">
        <f ca="1"/>
        <v>MADELIN- ACCORDANCE</v>
      </c>
      <c r="AH31" s="376" t="str">
        <f ca="1"/>
        <v>MADELIN- ACCORDANCE MULTISUPPORTS</v>
      </c>
      <c r="AI31" s="376" t="str">
        <f ca="1"/>
        <v>MADELIN- PREDIAGRI POINTS RETRAITE</v>
      </c>
      <c r="AJ31" s="376" t="str">
        <f ca="1"/>
        <v>MADELIN- PREDIAGRI RETRAITE</v>
      </c>
      <c r="AK31" s="376" t="str">
        <f ca="1"/>
        <v>PERIN- EXTENSION RETRAITE MAÎTRISÉE PACTE 2019 ERM PACTE 2019</v>
      </c>
      <c r="AL31" s="376" t="str">
        <f ca="1"/>
        <v>PERIN- PER ASSURANCE PERSPECTIVE</v>
      </c>
      <c r="AM31" s="376" t="str">
        <f ca="1"/>
        <v>PERCO- ALIM 'ÉPARGNE</v>
      </c>
      <c r="AN31" s="376" t="str">
        <f ca="1"/>
        <v>PERCO- FAST'AMUNDI</v>
      </c>
      <c r="AO31" s="376" t="str">
        <f ca="1"/>
        <v>PERCO- L'EPARGNE SALARIALE</v>
      </c>
      <c r="AP31" s="376" t="str">
        <f ca="1"/>
        <v>PERCO- PER CONVERGENCE</v>
      </c>
      <c r="AQ31" s="376"/>
      <c r="AR31" s="376"/>
      <c r="AS31" s="376"/>
      <c r="AT31" s="376"/>
      <c r="AU31" s="376"/>
      <c r="AV31" s="376"/>
      <c r="AW31" s="376"/>
      <c r="AX31" s="376"/>
      <c r="AY31" s="376"/>
      <c r="AZ31" s="376"/>
      <c r="BA31" s="376"/>
      <c r="BB31" s="376"/>
      <c r="BC31" s="376"/>
      <c r="BD31" s="376"/>
      <c r="BE31" s="376"/>
      <c r="BF31" s="376"/>
      <c r="BG31" s="376"/>
      <c r="BH31" s="376"/>
      <c r="BI31" s="376"/>
    </row>
    <row r="32" spans="4:61">
      <c r="D32" s="917"/>
      <c r="E32" s="917"/>
      <c r="F32" s="909" t="s">
        <v>300</v>
      </c>
      <c r="G32" s="909"/>
      <c r="H32" s="909"/>
      <c r="I32" s="909"/>
      <c r="J32" s="909"/>
      <c r="K32" s="412"/>
      <c r="L32" s="136"/>
      <c r="M32" s="906" t="s">
        <v>1525</v>
      </c>
      <c r="N32" s="906"/>
      <c r="O32" s="906"/>
      <c r="P32" s="906"/>
      <c r="Q32" s="906"/>
      <c r="R32" s="906"/>
      <c r="Z32" s="376" t="str" cm="1">
        <f t="array" aca="1" ref="Z32" ca="1">IFERROR(OFFSET(BASECG!$B$4,0,MATCH(0,COUNTIF($Z$15:Z31,BASECG!$C$4:'BASECG'!$OG$4))),"")</f>
        <v>CREDIT_DU_NORD</v>
      </c>
      <c r="AA32" s="376" t="str" cm="1">
        <f t="array" aca="1" ref="AA32:AC32" ca="1">IFERROR(_xlfn._xlws.FILTER(BASECG!$C$5:'BASECG'!$OG$5,BASECG!$C$4:'BASECG'!$OG$4=Z32),"")</f>
        <v>PERP- ANTARIUS PERP</v>
      </c>
      <c r="AB32" s="376" t="str">
        <f ca="1"/>
        <v>MADELIN- ANTARIUS RETRAITE « MADELIN »</v>
      </c>
      <c r="AC32" s="376" t="str">
        <f ca="1"/>
        <v>PERIN- ANTARIUS PERin</v>
      </c>
      <c r="AD32" s="376"/>
      <c r="AE32" s="376"/>
      <c r="AF32" s="376"/>
      <c r="AG32" s="376"/>
      <c r="AH32" s="376"/>
      <c r="AI32" s="376"/>
      <c r="AJ32" s="376"/>
      <c r="AK32" s="376"/>
      <c r="AL32" s="376"/>
      <c r="AM32" s="376"/>
      <c r="AN32" s="376"/>
      <c r="AO32" s="376"/>
      <c r="AP32" s="376"/>
      <c r="AQ32" s="376"/>
      <c r="AR32" s="376"/>
      <c r="AS32" s="376"/>
      <c r="AT32" s="376"/>
      <c r="AU32" s="376"/>
      <c r="AV32" s="376"/>
      <c r="AW32" s="376"/>
      <c r="AX32" s="376"/>
      <c r="AY32" s="376"/>
      <c r="AZ32" s="376"/>
      <c r="BA32" s="376"/>
      <c r="BB32" s="376"/>
      <c r="BC32" s="376"/>
      <c r="BD32" s="376"/>
      <c r="BE32" s="376"/>
      <c r="BF32" s="376"/>
      <c r="BG32" s="376"/>
      <c r="BH32" s="376"/>
      <c r="BI32" s="376"/>
    </row>
    <row r="33" spans="4:61">
      <c r="D33" s="917"/>
      <c r="E33" s="917"/>
      <c r="F33" s="910" t="s">
        <v>301</v>
      </c>
      <c r="G33" s="910"/>
      <c r="H33" s="910"/>
      <c r="I33" s="910"/>
      <c r="J33" s="910"/>
      <c r="K33" s="412"/>
      <c r="L33" s="136"/>
      <c r="M33" s="906"/>
      <c r="N33" s="906"/>
      <c r="O33" s="906"/>
      <c r="P33" s="906"/>
      <c r="Q33" s="906"/>
      <c r="R33" s="906"/>
      <c r="Z33" s="376" t="str" cm="1">
        <f t="array" aca="1" ref="Z33" ca="1">IFERROR(OFFSET(BASECG!$B$4,0,MATCH(0,COUNTIF($Z$15:Z32,BASECG!$C$4:'BASECG'!$OG$4))),"")</f>
        <v>CREDIT_MUTUEL</v>
      </c>
      <c r="AA33" s="376" t="str" cm="1">
        <f t="array" aca="1" ref="AA33:AZ33" ca="1">IFERROR(_xlfn._xlws.FILTER(BASECG!$C$5:'BASECG'!$OG$5,BASECG!$C$4:'BASECG'!$OG$4=Z33),"")</f>
        <v>ART83- RETRAITE ENTREPRISE MONOSUPPORT</v>
      </c>
      <c r="AB33" s="376" t="str">
        <f ca="1"/>
        <v>ART83- RETRAITE ENTREPRISE MULTISUPPORT</v>
      </c>
      <c r="AC33" s="376" t="str">
        <f ca="1"/>
        <v>ART83- RETRAITE ENTREPRISE P.E.R.E.</v>
      </c>
      <c r="AD33" s="376" t="str">
        <f ca="1"/>
        <v>ART83- RETRAITE ENTREPRISE UC P.E.R.E.</v>
      </c>
      <c r="AE33" s="376" t="str">
        <f ca="1"/>
        <v>ART83- RETRAITE SUPPLEMENTAIRE 83</v>
      </c>
      <c r="AF33" s="376" t="str">
        <f ca="1"/>
        <v>ART83- RETRAITE SUPPLEMENTAIRE 83 EN EUROS (ex Prévi Retraite Entreprises)</v>
      </c>
      <c r="AG33" s="376" t="str">
        <f ca="1"/>
        <v>ART83- TRIADYS RETRAITE 83</v>
      </c>
      <c r="AH33" s="376" t="str">
        <f ca="1"/>
        <v>ART83- GAN RETRAITE PERFORMANCE ENTREPRISE</v>
      </c>
      <c r="AI33" s="376" t="str">
        <f ca="1"/>
        <v>PERP- LE PERP INDEPENDANT</v>
      </c>
      <c r="AJ33" s="376" t="str">
        <f ca="1"/>
        <v>PERP- PLAN RETRAITE REVENUS</v>
      </c>
      <c r="AK33" s="376" t="str">
        <f ca="1"/>
        <v>PERP- MYRIALIS PERP</v>
      </c>
      <c r="AL33" s="376" t="str">
        <f ca="1"/>
        <v>PERP- PREVI - HORIZONS</v>
      </c>
      <c r="AM33" s="376" t="str">
        <f ca="1"/>
        <v>MADELIN- PERENIAL PENSION HORIZONS</v>
      </c>
      <c r="AN33" s="376" t="str">
        <f ca="1"/>
        <v>MADELIN- PERENIAL PENSION RETRAITE</v>
      </c>
      <c r="AO33" s="376" t="str">
        <f ca="1"/>
        <v>MADELIN- PLAN ASSUR HORIZONS PRO</v>
      </c>
      <c r="AP33" s="376" t="str">
        <f ca="1"/>
        <v>MADELIN- PLAN ASSURANCE VIE PRO</v>
      </c>
      <c r="AQ33" s="376" t="str">
        <f ca="1"/>
        <v>MADELIN- PREVI-RETRAITE INDEPENDANTS</v>
      </c>
      <c r="AR33" s="376" t="str">
        <f ca="1"/>
        <v>MADELIN- PREVI-RETRAITE INDEPENDANTS AGRI</v>
      </c>
      <c r="AS33" s="376" t="str">
        <f ca="1"/>
        <v>MADELIN- PREVI-RETRAITE INDEPENDANTS PROS</v>
      </c>
      <c r="AT33" s="376" t="str">
        <f ca="1"/>
        <v>PERIN- PER ASSURANCE RETRAITE</v>
      </c>
      <c r="AU33" s="376" t="str">
        <f ca="1"/>
        <v>PERIN- PER ASSURANCE RETRAITE CORPORATE</v>
      </c>
      <c r="AV33" s="376" t="str">
        <f ca="1"/>
        <v>PERIN- PER ASSURANCE RETRAITE ENTREPRISE</v>
      </c>
      <c r="AW33" s="376" t="str">
        <f ca="1"/>
        <v>PERIN- PROJECTION RETRAITE</v>
      </c>
      <c r="AX33" s="376" t="str">
        <f ca="1"/>
        <v>PERIN- PERTINENCE RETRAITE</v>
      </c>
      <c r="AY33" s="376" t="str">
        <f ca="1"/>
        <v>PERIN- SURAVENIR PER</v>
      </c>
      <c r="AZ33" s="376" t="str">
        <f ca="1"/>
        <v>PERCO- ACTIVEPARGNE RETRAITE - PERCOI</v>
      </c>
      <c r="BA33" s="376"/>
      <c r="BB33" s="376"/>
      <c r="BC33" s="376"/>
      <c r="BD33" s="376"/>
      <c r="BE33" s="376"/>
      <c r="BF33" s="376"/>
      <c r="BG33" s="376"/>
      <c r="BH33" s="376"/>
      <c r="BI33" s="376"/>
    </row>
    <row r="34" spans="4:61">
      <c r="M34" s="906"/>
      <c r="N34" s="906"/>
      <c r="O34" s="906"/>
      <c r="P34" s="906"/>
      <c r="Q34" s="906"/>
      <c r="R34" s="906"/>
      <c r="Z34" s="376" t="str" cm="1">
        <f t="array" aca="1" ref="Z34" ca="1">IFERROR(OFFSET(BASECG!$B$4,0,MATCH(0,COUNTIF($Z$15:Z33,BASECG!$C$4:'BASECG'!$OG$4))),"")</f>
        <v>EPSENS</v>
      </c>
      <c r="AA34" s="376" t="str" cm="1">
        <f t="array" aca="1" ref="AA34" ca="1">IFERROR(_xlfn._xlws.FILTER(BASECG!$C$5:'BASECG'!$OG$5,BASECG!$C$4:'BASECG'!$OG$4=Z34),"")</f>
        <v>PERCO- OFFRE SUR MESURE EPSENS</v>
      </c>
      <c r="AB34" s="376"/>
      <c r="AC34" s="376"/>
      <c r="AD34" s="376"/>
      <c r="AE34" s="376"/>
      <c r="AF34" s="376"/>
      <c r="AG34" s="376"/>
      <c r="AH34" s="376"/>
      <c r="AI34" s="376"/>
      <c r="AJ34" s="376"/>
      <c r="AK34" s="376"/>
      <c r="AL34" s="376"/>
      <c r="AM34" s="376"/>
      <c r="AN34" s="376"/>
      <c r="AO34" s="376"/>
      <c r="AP34" s="376"/>
      <c r="AQ34" s="376"/>
      <c r="AR34" s="376"/>
      <c r="AS34" s="376"/>
      <c r="AT34" s="376"/>
      <c r="AU34" s="376"/>
      <c r="AV34" s="376"/>
      <c r="AW34" s="376"/>
      <c r="AX34" s="376"/>
      <c r="AY34" s="376"/>
      <c r="AZ34" s="376"/>
      <c r="BA34" s="376"/>
      <c r="BB34" s="376"/>
      <c r="BC34" s="376"/>
      <c r="BD34" s="376"/>
      <c r="BE34" s="376"/>
      <c r="BF34" s="376"/>
      <c r="BG34" s="376"/>
      <c r="BH34" s="376"/>
      <c r="BI34" s="376"/>
    </row>
    <row r="35" spans="4:61">
      <c r="D35" s="921" t="s">
        <v>1200</v>
      </c>
      <c r="E35" s="921"/>
      <c r="F35" s="921"/>
      <c r="G35" s="921"/>
      <c r="H35" s="921"/>
      <c r="I35" s="921"/>
      <c r="J35" s="921"/>
      <c r="K35" s="921"/>
      <c r="Z35" s="376" t="str" cm="1">
        <f t="array" aca="1" ref="Z35" ca="1">IFERROR(OFFSET(BASECG!$B$4,0,MATCH(0,COUNTIF($Z$15:Z34,BASECG!$C$4:'BASECG'!$OG$4))),"")</f>
        <v>EPSOR</v>
      </c>
      <c r="AA35" s="376" t="str" cm="1">
        <f t="array" aca="1" ref="AA35" ca="1">IFERROR(_xlfn._xlws.FILTER(BASECG!$C$5:'BASECG'!$OG$5,BASECG!$C$4:'BASECG'!$OG$4=Z35),"")</f>
        <v>PERCO- PEI-PERCOI EPSOR - EPSOR</v>
      </c>
      <c r="AB35" s="376"/>
      <c r="AC35" s="376"/>
      <c r="AD35" s="376"/>
      <c r="AE35" s="376"/>
      <c r="AF35" s="376"/>
      <c r="AG35" s="376"/>
      <c r="AH35" s="376"/>
      <c r="AI35" s="376"/>
      <c r="AJ35" s="376"/>
      <c r="AK35" s="376"/>
      <c r="AL35" s="376"/>
      <c r="AM35" s="376"/>
      <c r="AN35" s="376"/>
      <c r="AO35" s="376"/>
      <c r="AP35" s="376"/>
      <c r="AQ35" s="376"/>
      <c r="AR35" s="376"/>
      <c r="AS35" s="376"/>
      <c r="AT35" s="376"/>
      <c r="AU35" s="376"/>
      <c r="AV35" s="376"/>
      <c r="AW35" s="376"/>
      <c r="AX35" s="376"/>
      <c r="AY35" s="376"/>
      <c r="AZ35" s="376"/>
      <c r="BA35" s="376"/>
      <c r="BB35" s="376"/>
      <c r="BC35" s="376"/>
      <c r="BD35" s="376"/>
      <c r="BE35" s="376"/>
      <c r="BF35" s="376"/>
      <c r="BG35" s="376"/>
      <c r="BH35" s="376"/>
      <c r="BI35" s="376"/>
    </row>
    <row r="36" spans="4:61">
      <c r="Z36" s="376" t="str" cm="1">
        <f t="array" aca="1" ref="Z36" ca="1">IFERROR(OFFSET(BASECG!$B$4,0,MATCH(0,COUNTIF($Z$15:Z35,BASECG!$C$4:'BASECG'!$OG$4))),"")</f>
        <v>ERES</v>
      </c>
      <c r="AA36" s="376" t="str" cm="1">
        <f t="array" aca="1" ref="AA36:AG36" ca="1">IFERROR(_xlfn._xlws.FILTER(BASECG!$C$5:'BASECG'!$OG$5,BASECG!$C$4:'BASECG'!$OG$4=Z36),"")</f>
        <v>ART83- ERES RETRAITE 83</v>
      </c>
      <c r="AB36" s="376" t="str">
        <f ca="1"/>
        <v>PERP- LE PERP ERES 163X</v>
      </c>
      <c r="AC36" s="376" t="str">
        <f ca="1"/>
        <v>PERIN- LE PER</v>
      </c>
      <c r="AD36" s="376" t="str">
        <f ca="1"/>
        <v>PERIN- LE PER ERES BY SPIRICA</v>
      </c>
      <c r="AE36" s="376" t="str">
        <f ca="1"/>
        <v>PERCO- ERES SELECTION 2 - PEI / PERCOI</v>
      </c>
      <c r="AF36" s="376" t="str">
        <f ca="1"/>
        <v>PERCO- ERES SELECTION 7</v>
      </c>
      <c r="AG36" s="376" t="str">
        <f ca="1"/>
        <v>PERCO- PEI PERCOI ERES SELECTION 4</v>
      </c>
      <c r="AH36" s="376"/>
      <c r="AI36" s="376"/>
      <c r="AJ36" s="376"/>
      <c r="AK36" s="376"/>
      <c r="AL36" s="376"/>
      <c r="AM36" s="376"/>
      <c r="AN36" s="376"/>
      <c r="AO36" s="376"/>
      <c r="AP36" s="376"/>
      <c r="AQ36" s="376"/>
      <c r="AR36" s="376"/>
      <c r="AS36" s="376"/>
      <c r="AT36" s="376"/>
      <c r="AU36" s="376"/>
      <c r="AV36" s="376"/>
      <c r="AW36" s="376"/>
      <c r="AX36" s="376"/>
      <c r="AY36" s="376"/>
      <c r="AZ36" s="376"/>
      <c r="BA36" s="376"/>
      <c r="BB36" s="376"/>
      <c r="BC36" s="376"/>
      <c r="BD36" s="376"/>
      <c r="BE36" s="376"/>
      <c r="BF36" s="376"/>
      <c r="BG36" s="376"/>
      <c r="BH36" s="376"/>
      <c r="BI36" s="376"/>
    </row>
    <row r="37" spans="4:61" ht="15" customHeight="1">
      <c r="Z37" s="376" t="str" cm="1">
        <f t="array" aca="1" ref="Z37" ca="1">IFERROR(OFFSET(BASECG!$B$4,0,MATCH(0,COUNTIF($Z$15:Z36,BASECG!$C$4:'BASECG'!$OG$4))),"")</f>
        <v>GAN</v>
      </c>
      <c r="AA37" s="376" t="str" cm="1">
        <f t="array" aca="1" ref="AA37:AZ37" ca="1">IFERROR(_xlfn._xlws.FILTER(BASECG!$C$5:'BASECG'!$OG$5,BASECG!$C$4:'BASECG'!$OG$4=Z37),"")</f>
        <v>ART83- DIMENSION RETRAITE ACTIF</v>
      </c>
      <c r="AB37" s="376" t="str">
        <f ca="1"/>
        <v>ART83- DIMENSION RETRAITE ENERGIE</v>
      </c>
      <c r="AC37" s="376" t="str">
        <f ca="1"/>
        <v>ART83- DIMENSION RETRAITE ENTREPRISES</v>
      </c>
      <c r="AD37" s="376" t="str">
        <f ca="1"/>
        <v>ART83- EXCELLENCE RETRAITE ENTREPRISE</v>
      </c>
      <c r="AE37" s="376" t="str">
        <f ca="1"/>
        <v>ART83- GALYA RETRAITE ENTREPRISE</v>
      </c>
      <c r="AF37" s="376" t="str">
        <f ca="1"/>
        <v>ART83- GALYA RETRAITE GARANTIE</v>
      </c>
      <c r="AG37" s="376" t="str">
        <f ca="1"/>
        <v>ART83- GAN RETRAITE ENTREPRISE</v>
      </c>
      <c r="AH37" s="376" t="str">
        <f ca="1"/>
        <v>ART83- GAN RETRAITE PERFORMANCE ENTREPRISE TPE</v>
      </c>
      <c r="AI37" s="376" t="str">
        <f ca="1"/>
        <v>ART83- GROUPAMA DIMENSION RETRAITE ENTREPRISES</v>
      </c>
      <c r="AJ37" s="376" t="str">
        <f ca="1"/>
        <v>ART83- RECORD-VERSION B</v>
      </c>
      <c r="AK37" s="376" t="str">
        <f ca="1"/>
        <v>ART83- GAN RETRAITE PERFORMANCE ENTREPRISE</v>
      </c>
      <c r="AL37" s="376" t="str">
        <f ca="1"/>
        <v>PERP- GAN INITIATIVE RETRAITE</v>
      </c>
      <c r="AM37" s="376" t="str">
        <f ca="1"/>
        <v>PERP- GAN RETRAITE GARANTIE</v>
      </c>
      <c r="AN37" s="376" t="str">
        <f ca="1"/>
        <v>PERP- GAN RETRAITE PERP</v>
      </c>
      <c r="AO37" s="376" t="str">
        <f ca="1"/>
        <v>MADELIN- DIMENSION AVENIR AGRICULTEUR II</v>
      </c>
      <c r="AP37" s="376" t="str">
        <f ca="1"/>
        <v>MADELIN- DIMENSION AVENIR PROFESSIONNELS II</v>
      </c>
      <c r="AQ37" s="376" t="str">
        <f ca="1"/>
        <v>MADELIN- GALYA RETRAITE MADELIN</v>
      </c>
      <c r="AR37" s="376" t="str">
        <f ca="1"/>
        <v>MADELIN- GAN PATRIMOINE INDEPENDANTS</v>
      </c>
      <c r="AS37" s="376" t="str">
        <f ca="1"/>
        <v>MADELIN- GAN PATRIMOINE MADELIN RETRAITE</v>
      </c>
      <c r="AT37" s="376" t="str">
        <f ca="1"/>
        <v>MADELIN- GAN PERFORMANCE RETRAITE PRO</v>
      </c>
      <c r="AU37" s="376" t="str">
        <f ca="1"/>
        <v>MADELIN- GAN PREVOYANCE RETRAITE INDEPENDANT</v>
      </c>
      <c r="AV37" s="376" t="str">
        <f ca="1"/>
        <v>MADELIN- GAN PREVOYANCE RETRAITE MADELIN</v>
      </c>
      <c r="AW37" s="376" t="str">
        <f ca="1"/>
        <v>MADELIN- GAN RETRAITE INDEPENDANT</v>
      </c>
      <c r="AX37" s="376" t="str">
        <f ca="1"/>
        <v>PERIN- GAN ASSURANCE NOUVELLE VIE</v>
      </c>
      <c r="AY37" s="376" t="str">
        <f ca="1"/>
        <v>PERIN- GAN PATRIMOINE NOUVELLE VIE</v>
      </c>
      <c r="AZ37" s="376" t="str">
        <f ca="1"/>
        <v>PERIN- GAN PREVOYANCE NOUVELLE VIE</v>
      </c>
      <c r="BA37" s="376"/>
      <c r="BB37" s="376"/>
      <c r="BC37" s="376"/>
      <c r="BD37" s="376"/>
      <c r="BE37" s="376"/>
      <c r="BF37" s="376"/>
      <c r="BG37" s="376"/>
      <c r="BH37" s="376"/>
      <c r="BI37" s="376"/>
    </row>
    <row r="38" spans="4:61">
      <c r="Z38" s="376" t="str" cm="1">
        <f t="array" aca="1" ref="Z38" ca="1">IFERROR(OFFSET(BASECG!$B$4,0,MATCH(0,COUNTIF($Z$15:Z37,BASECG!$C$4:'BASECG'!$OG$4))),"")</f>
        <v>GARANCE</v>
      </c>
      <c r="AA38" s="376" t="str" cm="1">
        <f t="array" aca="1" ref="AA38:AC38" ca="1">IFERROR(_xlfn._xlws.FILTER(BASECG!$C$5:'BASECG'!$OG$5,BASECG!$C$4:'BASECG'!$OG$4=Z38),"")</f>
        <v>PERP- GARANCE RETRAITE PERP</v>
      </c>
      <c r="AB38" s="376" t="str">
        <f ca="1"/>
        <v>MADELIN- ARIA GROUPE / ARIA EVOLUTION</v>
      </c>
      <c r="AC38" s="376" t="str">
        <f ca="1"/>
        <v>PERIN- GARANCE SÉRÉNITÉ</v>
      </c>
      <c r="AD38" s="376"/>
      <c r="AE38" s="376"/>
      <c r="AF38" s="376"/>
      <c r="AG38" s="376"/>
      <c r="AH38" s="376"/>
      <c r="AI38" s="376"/>
      <c r="AJ38" s="376"/>
      <c r="AK38" s="376"/>
      <c r="AL38" s="376"/>
      <c r="AM38" s="376"/>
      <c r="AN38" s="376"/>
      <c r="AO38" s="376"/>
      <c r="AP38" s="376"/>
      <c r="AQ38" s="376"/>
      <c r="AR38" s="376"/>
      <c r="AS38" s="376"/>
      <c r="AT38" s="376"/>
      <c r="AU38" s="376"/>
      <c r="AV38" s="376"/>
      <c r="AW38" s="376"/>
      <c r="AX38" s="376"/>
      <c r="AY38" s="376"/>
      <c r="AZ38" s="376"/>
      <c r="BA38" s="376"/>
      <c r="BB38" s="376"/>
      <c r="BC38" s="376"/>
      <c r="BD38" s="376"/>
      <c r="BE38" s="376"/>
      <c r="BF38" s="376"/>
      <c r="BG38" s="376"/>
      <c r="BH38" s="376"/>
      <c r="BI38" s="376"/>
    </row>
    <row r="39" spans="4:61">
      <c r="Z39" s="376" t="str" cm="1">
        <f t="array" aca="1" ref="Z39" ca="1">IFERROR(OFFSET(BASECG!$B$4,0,MATCH(0,COUNTIF($Z$15:Z38,BASECG!$C$4:'BASECG'!$OG$4))),"")</f>
        <v>GENERALI</v>
      </c>
      <c r="AA39" s="376" t="str" cm="1">
        <f t="array" aca="1" ref="AA39:BH39" ca="1">IFERROR(_xlfn._xlws.FILTER(BASECG!$C$5:'BASECG'!$OG$5,BASECG!$C$4:'BASECG'!$OG$4=Z39),"")</f>
        <v>ART83- FRANCE PROFIL RETRAITE</v>
      </c>
      <c r="AB39" s="376" t="str">
        <f ca="1"/>
        <v>ART83- FRANCE PROFIL RETRAITE MULTISUPPORTS 2008</v>
      </c>
      <c r="AC39" s="376" t="str">
        <f ca="1"/>
        <v>ART83- LA RETRAITE 15</v>
      </c>
      <c r="AD39" s="376" t="str">
        <f ca="1"/>
        <v>ART83- LA RETRAITE 94 - ARTICLE 83</v>
      </c>
      <c r="AE39" s="376" t="str">
        <f ca="1"/>
        <v>ART83- LEADER SUPPLEMENT RETRAITE</v>
      </c>
      <c r="AF39" s="376" t="str">
        <f ca="1"/>
        <v>ART83- SCENARIO RETRAITE</v>
      </c>
      <c r="AG39" s="376" t="str">
        <f ca="1"/>
        <v>ART83- SERENIDAD RETRAITE ARTICLE 83</v>
      </c>
      <c r="AH39" s="376" t="str">
        <f ca="1"/>
        <v>ART83- XAELIDIA RETRAITE ENTREPRISE</v>
      </c>
      <c r="AI39" s="376" t="str">
        <f ca="1"/>
        <v>PERP- ANTHOLOGIE</v>
      </c>
      <c r="AJ39" s="376" t="str">
        <f ca="1"/>
        <v>PERP- GPA PERP</v>
      </c>
      <c r="AK39" s="376" t="str">
        <f ca="1"/>
        <v>PERP- GRAFIC</v>
      </c>
      <c r="AL39" s="376" t="str">
        <f ca="1"/>
        <v>PERP- SERENIDAD PERP</v>
      </c>
      <c r="AM39" s="376" t="str">
        <f ca="1"/>
        <v>PERP- LE PERP GENERALI PATRIMOINE</v>
      </c>
      <c r="AN39" s="376" t="str">
        <f ca="1"/>
        <v>MADELIN- ESPACE INVEST MADELIN</v>
      </c>
      <c r="AO39" s="376" t="str">
        <f ca="1"/>
        <v>MADELIN- GPA RETRAITE PRO</v>
      </c>
      <c r="AP39" s="376" t="str">
        <f ca="1"/>
        <v>MADELIN- GPA RETRAITE PRO DUO</v>
      </c>
      <c r="AQ39" s="376" t="str">
        <f ca="1"/>
        <v>MADELIN- GPA RETRAITE PRO HORIZON</v>
      </c>
      <c r="AR39" s="376" t="str">
        <f ca="1"/>
        <v>MADELIN- LEADER PROTECTION RETRAITE INDEPENDANTS</v>
      </c>
      <c r="AS39" s="376" t="str">
        <f ca="1"/>
        <v>MADELIN- PRISM MULTISUPPORTS</v>
      </c>
      <c r="AT39" s="376" t="str">
        <f ca="1"/>
        <v>MADELIN- SCENARIO RETRAITE - MADELIN</v>
      </c>
      <c r="AU39" s="376" t="str">
        <f ca="1"/>
        <v>MADELIN- SERENIDAD RETRAITE MADELIN</v>
      </c>
      <c r="AV39" s="376" t="str">
        <f ca="1"/>
        <v>MADELIN- XAELIDIA RETRAITE INDIVIDUELLE</v>
      </c>
      <c r="AW39" s="376" t="str">
        <f ca="1"/>
        <v>MADELIN- La retraite 94</v>
      </c>
      <c r="AX39" s="376" t="str">
        <f ca="1"/>
        <v xml:space="preserve">MADELIN- La retraite 08 </v>
      </c>
      <c r="AY39" s="376" t="str">
        <f ca="1"/>
        <v xml:space="preserve">MADELIN- La retraite 08 - V2010 
</v>
      </c>
      <c r="AZ39" s="376" t="str">
        <f ca="1"/>
        <v>MADELIN-La retraite 13</v>
      </c>
      <c r="BA39" s="376" t="str">
        <f ca="1"/>
        <v>MADELIN- La retraite 15</v>
      </c>
      <c r="BB39" s="376" t="str">
        <f ca="1"/>
        <v>PERIN- La retraite 20</v>
      </c>
      <c r="BC39" s="376" t="str">
        <f ca="1"/>
        <v>PERIN- PER Générali Patrimoine</v>
      </c>
      <c r="BD39" s="376" t="str">
        <f ca="1"/>
        <v>PERCO- ESSENZIO</v>
      </c>
      <c r="BE39" s="376" t="str">
        <f ca="1"/>
        <v>PERCO- ESSENZIO 2</v>
      </c>
      <c r="BF39" s="376" t="str">
        <f ca="1"/>
        <v>PERCO- ESSENZIO 3 PLUS</v>
      </c>
      <c r="BG39" s="376" t="str">
        <f ca="1"/>
        <v>PERCO- GAELIA - PERCOI</v>
      </c>
      <c r="BH39" s="376" t="str">
        <f ca="1"/>
        <v>PERCO- GENERALI EPARGNE SALARIALE</v>
      </c>
      <c r="BI39" s="376"/>
    </row>
    <row r="40" spans="4:61">
      <c r="Z40" s="376" t="str" cm="1">
        <f t="array" aca="1" ref="Z40" ca="1">IFERROR(OFFSET(BASECG!$B$4,0,MATCH(0,COUNTIF($Z$15:Z39,BASECG!$C$4:'BASECG'!$OG$4))),"")</f>
        <v>GO_EPARGNE</v>
      </c>
      <c r="AA40" s="376" t="str" cm="1">
        <f t="array" aca="1" ref="AA40" ca="1">IFERROR(_xlfn._xlws.FILTER(BASECG!$C$5:'BASECG'!$OG$5,BASECG!$C$4:'BASECG'!$OG$4=Z40),"")</f>
        <v>PERCO- JUST GO</v>
      </c>
      <c r="AB40" s="376"/>
      <c r="AC40" s="376"/>
      <c r="AD40" s="376"/>
      <c r="AE40" s="376"/>
      <c r="AF40" s="376"/>
      <c r="AG40" s="376"/>
      <c r="AH40" s="376"/>
      <c r="AI40" s="376"/>
      <c r="AJ40" s="376"/>
      <c r="AK40" s="376"/>
      <c r="AL40" s="376"/>
      <c r="AM40" s="376"/>
      <c r="AN40" s="376"/>
      <c r="AO40" s="376"/>
      <c r="AP40" s="376"/>
      <c r="AQ40" s="376"/>
      <c r="AR40" s="376"/>
      <c r="AS40" s="376"/>
      <c r="AT40" s="376"/>
      <c r="AU40" s="376"/>
      <c r="AV40" s="376"/>
      <c r="AW40" s="376"/>
      <c r="AX40" s="376"/>
      <c r="AY40" s="376"/>
      <c r="AZ40" s="376"/>
      <c r="BA40" s="376"/>
      <c r="BB40" s="376"/>
      <c r="BC40" s="376"/>
      <c r="BD40" s="376"/>
      <c r="BE40" s="376"/>
      <c r="BF40" s="376"/>
      <c r="BG40" s="376"/>
      <c r="BH40" s="376"/>
      <c r="BI40" s="376"/>
    </row>
    <row r="41" spans="4:61">
      <c r="Z41" s="376" t="str" cm="1">
        <f t="array" aca="1" ref="Z41" ca="1">IFERROR(OFFSET(BASECG!$B$4,0,MATCH(0,COUNTIF($Z$15:Z40,BASECG!$C$4:'BASECG'!$OG$4))),"")</f>
        <v>GROUPAMA</v>
      </c>
      <c r="AA41" s="376" t="str" cm="1">
        <f t="array" aca="1" ref="AA41:AJ41" ca="1">IFERROR(_xlfn._xlws.FILTER(BASECG!$C$5:'BASECG'!$OG$5,BASECG!$C$4:'BASECG'!$OG$4=Z41),"")</f>
        <v>ART83- GROUPAMA DIMENSION RETRAITE ENTREPRISES</v>
      </c>
      <c r="AB41" s="376" t="str">
        <f ca="1"/>
        <v>ART83- GROUPAMA RETRAITE PERFORMANCE</v>
      </c>
      <c r="AC41" s="376" t="str">
        <f ca="1"/>
        <v>ART83- SYNERGIE RETRAITE ENTREPRISE</v>
      </c>
      <c r="AD41" s="376" t="str">
        <f ca="1"/>
        <v>ART83- SYNERGIE RETRAITE LIBERTE</v>
      </c>
      <c r="AE41" s="376" t="str">
        <f ca="1"/>
        <v>ART83- SYNERGIE RETRAITE SERENITE</v>
      </c>
      <c r="AF41" s="376" t="str">
        <f ca="1"/>
        <v>PERP- GROUPAMA RETRAITE ACTIVE</v>
      </c>
      <c r="AG41" s="376" t="str">
        <f ca="1"/>
        <v>MADELIN- AGRI RETRAITE ACTIVE</v>
      </c>
      <c r="AH41" s="376" t="str">
        <f ca="1"/>
        <v>MADELIN- ENERGIE RETRAITE ACTIVE</v>
      </c>
      <c r="AI41" s="376" t="str">
        <f ca="1"/>
        <v>MADELIN- GROUPAMA AGRI-RETRAITE POINTS</v>
      </c>
      <c r="AJ41" s="376" t="str">
        <f ca="1"/>
        <v>PERIN- GROUPAMA NOUVELLE VIE</v>
      </c>
      <c r="AK41" s="376"/>
      <c r="AL41" s="376"/>
      <c r="AM41" s="376"/>
      <c r="AN41" s="376"/>
      <c r="AO41" s="376"/>
      <c r="AP41" s="376"/>
      <c r="AQ41" s="376"/>
      <c r="AR41" s="376"/>
      <c r="AS41" s="376"/>
      <c r="AT41" s="376"/>
      <c r="AU41" s="376"/>
      <c r="AV41" s="376"/>
      <c r="AW41" s="376"/>
      <c r="AX41" s="376"/>
      <c r="AY41" s="376"/>
      <c r="AZ41" s="376"/>
      <c r="BA41" s="376"/>
      <c r="BB41" s="376"/>
      <c r="BC41" s="376"/>
      <c r="BD41" s="376"/>
      <c r="BE41" s="376"/>
      <c r="BF41" s="376"/>
      <c r="BG41" s="376"/>
      <c r="BH41" s="376"/>
      <c r="BI41" s="376"/>
    </row>
    <row r="42" spans="4:61">
      <c r="Z42" s="376" t="str" cm="1">
        <f t="array" aca="1" ref="Z42" ca="1">IFERROR(OFFSET(BASECG!$B$4,0,MATCH(0,COUNTIF($Z$15:Z41,BASECG!$C$4:'BASECG'!$OG$4))),"")</f>
        <v>HARMONIE_MUTUELLE</v>
      </c>
      <c r="AA42" s="376" t="str" cm="1">
        <f t="array" aca="1" ref="AA42:AB42" ca="1">IFERROR(_xlfn._xlws.FILTER(BASECG!$C$5:'BASECG'!$OG$5,BASECG!$C$4:'BASECG'!$OG$4=Z42),"")</f>
        <v>PERIN- PER INDIVIDUEL SOLUTION GROUPE VYV</v>
      </c>
      <c r="AB42" s="376" t="str">
        <f ca="1"/>
        <v>PERIN- PER ENTREPRISE OBLIGATOIRE</v>
      </c>
      <c r="AC42" s="376"/>
      <c r="AD42" s="376"/>
      <c r="AE42" s="376"/>
      <c r="AF42" s="376"/>
      <c r="AG42" s="376"/>
      <c r="AH42" s="376"/>
      <c r="AI42" s="376"/>
      <c r="AJ42" s="376"/>
      <c r="AK42" s="376"/>
      <c r="AL42" s="376"/>
      <c r="AM42" s="376"/>
      <c r="AN42" s="376"/>
      <c r="AO42" s="376"/>
      <c r="AP42" s="376"/>
      <c r="AQ42" s="376"/>
      <c r="AR42" s="376"/>
      <c r="AS42" s="376"/>
      <c r="AT42" s="376"/>
      <c r="AU42" s="376"/>
      <c r="AV42" s="376"/>
      <c r="AW42" s="376"/>
      <c r="AX42" s="376"/>
      <c r="AY42" s="376"/>
      <c r="AZ42" s="376"/>
      <c r="BA42" s="376"/>
      <c r="BB42" s="376"/>
      <c r="BC42" s="376"/>
      <c r="BD42" s="376"/>
      <c r="BE42" s="376"/>
      <c r="BF42" s="376"/>
      <c r="BG42" s="376"/>
      <c r="BH42" s="376"/>
      <c r="BI42" s="376"/>
    </row>
    <row r="43" spans="4:61">
      <c r="Z43" s="376" t="str" cm="1">
        <f t="array" aca="1" ref="Z43" ca="1">IFERROR(OFFSET(BASECG!$B$4,0,MATCH(0,COUNTIF($Z$15:Z42,BASECG!$C$4:'BASECG'!$OG$4))),"")</f>
        <v>HSBC</v>
      </c>
      <c r="AA43" s="376" t="str" cm="1">
        <f t="array" aca="1" ref="AA43:AE43" ca="1">IFERROR(_xlfn._xlws.FILTER(BASECG!$C$5:'BASECG'!$OG$5,BASECG!$C$4:'BASECG'!$OG$4=Z43),"")</f>
        <v>ART83- ELYS RETRAITE 83</v>
      </c>
      <c r="AB43" s="376" t="str">
        <f ca="1"/>
        <v>ART83- HSBC RETRAITE 83</v>
      </c>
      <c r="AC43" s="376" t="str">
        <f ca="1"/>
        <v>PERP- PLAN ELYSEES RETRAITE PATRIMOINE</v>
      </c>
      <c r="AD43" s="376" t="str">
        <f ca="1"/>
        <v>MADELIN- ELYSEES RETRAITE INDEPENDANTS</v>
      </c>
      <c r="AE43" s="376" t="str">
        <f ca="1"/>
        <v>PERIN- HSBC STRATEGIE RETRAITE</v>
      </c>
      <c r="AF43" s="376"/>
      <c r="AG43" s="376"/>
      <c r="AH43" s="376"/>
      <c r="AI43" s="376"/>
      <c r="AJ43" s="376"/>
      <c r="AK43" s="376"/>
      <c r="AL43" s="376"/>
      <c r="AM43" s="376"/>
      <c r="AN43" s="376"/>
      <c r="AO43" s="376"/>
      <c r="AP43" s="376"/>
      <c r="AQ43" s="376"/>
      <c r="AR43" s="376"/>
      <c r="AS43" s="376"/>
      <c r="AT43" s="376"/>
      <c r="AU43" s="376"/>
      <c r="AV43" s="376"/>
      <c r="AW43" s="376"/>
      <c r="AX43" s="376"/>
      <c r="AY43" s="376"/>
      <c r="AZ43" s="376"/>
      <c r="BA43" s="376"/>
      <c r="BB43" s="376"/>
      <c r="BC43" s="376"/>
      <c r="BD43" s="376"/>
      <c r="BE43" s="376"/>
      <c r="BF43" s="376"/>
      <c r="BG43" s="376"/>
      <c r="BH43" s="376"/>
      <c r="BI43" s="376"/>
    </row>
    <row r="44" spans="4:61">
      <c r="Z44" s="376" t="str" cm="1">
        <f t="array" aca="1" ref="Z44" ca="1">IFERROR(OFFSET(BASECG!$B$4,0,MATCH(0,COUNTIF($Z$15:Z43,BASECG!$C$4:'BASECG'!$OG$4))),"")</f>
        <v>LA_BANQUE_POSTALE</v>
      </c>
      <c r="AA44" s="376" t="str" cm="1">
        <f t="array" aca="1" ref="AA44:AE44" ca="1">IFERROR(_xlfn._xlws.FILTER(BASECG!$C$5:'BASECG'!$OG$5,BASECG!$C$4:'BASECG'!$OG$4=Z44),"")</f>
        <v>ART83- PERE MULTISUPPORTS</v>
      </c>
      <c r="AB44" s="376" t="str">
        <f ca="1"/>
        <v>ART83- RETRAITE 83</v>
      </c>
      <c r="AC44" s="376" t="str">
        <f ca="1"/>
        <v>PERP- SOLESIO PERP EVOLUTION</v>
      </c>
      <c r="AD44" s="376" t="str">
        <f ca="1"/>
        <v>PERP- SOLESIO PERP HORIZON</v>
      </c>
      <c r="AE44" s="376" t="str">
        <f ca="1"/>
        <v>PERIN- CACHEMIRE PER</v>
      </c>
      <c r="AF44" s="376"/>
      <c r="AG44" s="376"/>
      <c r="AH44" s="376"/>
      <c r="AI44" s="376"/>
      <c r="AJ44" s="376"/>
      <c r="AK44" s="376"/>
      <c r="AL44" s="376"/>
      <c r="AM44" s="376"/>
      <c r="AN44" s="376"/>
      <c r="AO44" s="376"/>
      <c r="AP44" s="376"/>
      <c r="AQ44" s="376"/>
      <c r="AR44" s="376"/>
      <c r="AS44" s="376"/>
      <c r="AT44" s="376"/>
      <c r="AU44" s="376"/>
      <c r="AV44" s="376"/>
      <c r="AW44" s="376"/>
      <c r="AX44" s="376"/>
      <c r="AY44" s="376"/>
      <c r="AZ44" s="376"/>
      <c r="BA44" s="376"/>
      <c r="BB44" s="376"/>
      <c r="BC44" s="376"/>
      <c r="BD44" s="376"/>
      <c r="BE44" s="376"/>
      <c r="BF44" s="376"/>
      <c r="BG44" s="376"/>
      <c r="BH44" s="376"/>
      <c r="BI44" s="376"/>
    </row>
    <row r="45" spans="4:61">
      <c r="Z45" s="376" t="str" cm="1">
        <f t="array" aca="1" ref="Z45" ca="1">IFERROR(OFFSET(BASECG!$B$4,0,MATCH(0,COUNTIF($Z$15:Z44,BASECG!$C$4:'BASECG'!$OG$4))),"")</f>
        <v>LA_MEDICALE</v>
      </c>
      <c r="AA45" s="376" t="str" cm="1">
        <f t="array" aca="1" ref="AA45:AE45" ca="1">IFERROR(_xlfn._xlws.FILTER(BASECG!$C$5:'BASECG'!$OG$5,BASECG!$C$4:'BASECG'!$OG$4=Z45),"")</f>
        <v>MADELIN- MEDICALE HORIZON MADELIN 2</v>
      </c>
      <c r="AB45" s="376" t="str">
        <f ca="1"/>
        <v>MADELIN- MEDICALE RETRAITE</v>
      </c>
      <c r="AC45" s="376" t="str">
        <f ca="1"/>
        <v>MADELIN- MEDICALE HORIZON MADELIN</v>
      </c>
      <c r="AD45" s="376" t="str">
        <f ca="1"/>
        <v>MADELIN- LA MEDICALE SERENITE</v>
      </c>
      <c r="AE45" s="376" t="str">
        <f ca="1"/>
        <v>PERIN- LA MEDICALE PERENNITE</v>
      </c>
      <c r="AF45" s="376"/>
      <c r="AG45" s="376"/>
      <c r="AH45" s="376"/>
      <c r="AI45" s="376"/>
      <c r="AJ45" s="376"/>
      <c r="AK45" s="376"/>
      <c r="AL45" s="376"/>
      <c r="AM45" s="376"/>
      <c r="AN45" s="376"/>
      <c r="AO45" s="376"/>
      <c r="AP45" s="376"/>
      <c r="AQ45" s="376"/>
      <c r="AR45" s="376"/>
      <c r="AS45" s="376"/>
      <c r="AT45" s="376"/>
      <c r="AU45" s="376"/>
      <c r="AV45" s="376"/>
      <c r="AW45" s="376"/>
      <c r="AX45" s="376"/>
      <c r="AY45" s="376"/>
      <c r="AZ45" s="376"/>
      <c r="BA45" s="376"/>
      <c r="BB45" s="376"/>
      <c r="BC45" s="376"/>
      <c r="BD45" s="376"/>
      <c r="BE45" s="376"/>
      <c r="BF45" s="376"/>
      <c r="BG45" s="376"/>
      <c r="BH45" s="376"/>
      <c r="BI45" s="376"/>
    </row>
    <row r="46" spans="4:61">
      <c r="Z46" s="376" t="str" cm="1">
        <f t="array" aca="1" ref="Z46" ca="1">IFERROR(OFFSET(BASECG!$B$4,0,MATCH(0,COUNTIF($Z$15:Z45,BASECG!$C$4:'BASECG'!$OG$4))),"")</f>
        <v>LCL</v>
      </c>
      <c r="AA46" s="376" t="str" cm="1">
        <f t="array" aca="1" ref="AA46:AH46" ca="1">IFERROR(_xlfn._xlws.FILTER(BASECG!$C$5:'BASECG'!$OG$5,BASECG!$C$4:'BASECG'!$OG$4=Z46),"")</f>
        <v>ART83- LCL RETRAITE 83</v>
      </c>
      <c r="AB46" s="376" t="str">
        <f ca="1"/>
        <v>ART83- LCL RETRAITE MAITRISEE</v>
      </c>
      <c r="AC46" s="376" t="str">
        <f ca="1"/>
        <v>ART83- LCL RETRAITE VOLONTAIRE</v>
      </c>
      <c r="AD46" s="376" t="str">
        <f ca="1"/>
        <v>PERP- VELOURS</v>
      </c>
      <c r="AE46" s="376" t="str">
        <f ca="1"/>
        <v>MADELIN- PRO LIGNES DE VIE</v>
      </c>
      <c r="AF46" s="376" t="str">
        <f ca="1"/>
        <v>PERIN- LCL RETRAITE PER</v>
      </c>
      <c r="AG46" s="376" t="str">
        <f ca="1"/>
        <v>PERCO- ALIM 'ÉPARGNE</v>
      </c>
      <c r="AH46" s="376" t="str">
        <f ca="1"/>
        <v>PERCO- ES - PL</v>
      </c>
      <c r="AI46" s="376"/>
      <c r="AJ46" s="376"/>
      <c r="AK46" s="376"/>
      <c r="AL46" s="376"/>
      <c r="AM46" s="376"/>
      <c r="AN46" s="376"/>
      <c r="AO46" s="376"/>
      <c r="AP46" s="376"/>
      <c r="AQ46" s="376"/>
      <c r="AR46" s="376"/>
      <c r="AS46" s="376"/>
      <c r="AT46" s="376"/>
      <c r="AU46" s="376"/>
      <c r="AV46" s="376"/>
      <c r="AW46" s="376"/>
      <c r="AX46" s="376"/>
      <c r="AY46" s="376"/>
      <c r="AZ46" s="376"/>
      <c r="BA46" s="376"/>
      <c r="BB46" s="376"/>
      <c r="BC46" s="376"/>
      <c r="BD46" s="376"/>
      <c r="BE46" s="376"/>
      <c r="BF46" s="376"/>
      <c r="BG46" s="376"/>
      <c r="BH46" s="376"/>
      <c r="BI46" s="376"/>
    </row>
    <row r="47" spans="4:61">
      <c r="Z47" s="376" t="str" cm="1">
        <f t="array" aca="1" ref="Z47" ca="1">IFERROR(OFFSET(BASECG!$B$4,0,MATCH(0,COUNTIF($Z$15:Z46,BASECG!$C$4:'BASECG'!$OG$4))),"")</f>
        <v>LPA</v>
      </c>
      <c r="AA47" s="376" t="str" cm="1">
        <f t="array" aca="1" ref="AA47" ca="1">IFERROR(_xlfn._xlws.FILTER(BASECG!$C$5:'BASECG'!$OG$5,BASECG!$C$4:'BASECG'!$OG$4=Z47),"")</f>
        <v>MADELIN- AVOCAPI</v>
      </c>
      <c r="AB47" s="376"/>
      <c r="AC47" s="376"/>
      <c r="AD47" s="376"/>
      <c r="AE47" s="376"/>
      <c r="AF47" s="376"/>
      <c r="AG47" s="376"/>
      <c r="AH47" s="376"/>
      <c r="AI47" s="376"/>
      <c r="AJ47" s="376"/>
      <c r="AK47" s="376"/>
      <c r="AL47" s="376"/>
      <c r="AM47" s="376"/>
      <c r="AN47" s="376"/>
      <c r="AO47" s="376"/>
      <c r="AP47" s="376"/>
      <c r="AQ47" s="376"/>
      <c r="AR47" s="376"/>
      <c r="AS47" s="376"/>
      <c r="AT47" s="376"/>
      <c r="AU47" s="376"/>
      <c r="AV47" s="376"/>
      <c r="AW47" s="376"/>
      <c r="AX47" s="376"/>
      <c r="AY47" s="376"/>
      <c r="AZ47" s="376"/>
      <c r="BA47" s="376"/>
      <c r="BB47" s="376"/>
      <c r="BC47" s="376"/>
      <c r="BD47" s="376"/>
      <c r="BE47" s="376"/>
      <c r="BF47" s="376"/>
      <c r="BG47" s="376"/>
      <c r="BH47" s="376"/>
      <c r="BI47" s="376"/>
    </row>
    <row r="48" spans="4:61" hidden="1">
      <c r="Z48" s="376" t="str" cm="1">
        <f t="array" aca="1" ref="Z48" ca="1">IFERROR(OFFSET(BASECG!$B$4,0,MATCH(0,COUNTIF($Z$15:Z47,BASECG!$C$4:'BASECG'!$OG$4))),"")</f>
        <v>MAAF</v>
      </c>
      <c r="AA48" s="376" t="str" cm="1">
        <f t="array" aca="1" ref="AA48:AG48" ca="1">IFERROR(_xlfn._xlws.FILTER(BASECG!$C$5:'BASECG'!$OG$5,BASECG!$C$4:'BASECG'!$OG$4=Z48),"")</f>
        <v>ART83- MAAF 83</v>
      </c>
      <c r="AB48" s="376" t="str">
        <f ca="1"/>
        <v>PERP- WINNEO RETRAITE</v>
      </c>
      <c r="AC48" s="376" t="str">
        <f ca="1"/>
        <v>MADELIN- DYNALTO PRO</v>
      </c>
      <c r="AD48" s="376" t="str">
        <f ca="1"/>
        <v>MADELIN- MAAF 41</v>
      </c>
      <c r="AE48" s="376" t="str">
        <f ca="1"/>
        <v>MADELIN- WINALTO PRO</v>
      </c>
      <c r="AF48" s="376" t="str">
        <f ca="1"/>
        <v>MADELIN- WINNEO PRO</v>
      </c>
      <c r="AG48" s="376" t="str">
        <f ca="1"/>
        <v>PERIN- PER WINALTO RETRAITE</v>
      </c>
      <c r="AH48" s="376"/>
      <c r="AI48" s="376"/>
      <c r="AJ48" s="376"/>
      <c r="AK48" s="376"/>
      <c r="AL48" s="376"/>
      <c r="AM48" s="376"/>
      <c r="AN48" s="376"/>
      <c r="AO48" s="376"/>
      <c r="AP48" s="376"/>
      <c r="AQ48" s="376"/>
      <c r="AR48" s="376"/>
      <c r="AS48" s="376"/>
      <c r="AT48" s="376"/>
      <c r="AU48" s="376"/>
      <c r="AV48" s="376"/>
      <c r="AW48" s="376"/>
      <c r="AX48" s="376"/>
      <c r="AY48" s="376"/>
      <c r="AZ48" s="376"/>
      <c r="BA48" s="376"/>
      <c r="BB48" s="376"/>
      <c r="BC48" s="376"/>
      <c r="BD48" s="376"/>
      <c r="BE48" s="376"/>
      <c r="BF48" s="376"/>
      <c r="BG48" s="376"/>
      <c r="BH48" s="376"/>
      <c r="BI48" s="376"/>
    </row>
    <row r="49" spans="4:61" hidden="1">
      <c r="F49" s="912" t="s">
        <v>1223</v>
      </c>
      <c r="G49" s="912"/>
      <c r="H49" s="912"/>
      <c r="I49" s="912"/>
      <c r="J49" s="912"/>
      <c r="K49" s="389">
        <f>IFERROR(INDEX(BASECG!C1:OG1,MATCH("Oui",BASECG!C3:OG3,0)),0)</f>
        <v>0</v>
      </c>
      <c r="Z49" s="376" t="str" cm="1">
        <f t="array" aca="1" ref="Z49" ca="1">IFERROR(OFFSET(BASECG!$B$4,0,MATCH(0,COUNTIF($Z$15:Z48,BASECG!$C$4:'BASECG'!$OG$4))),"")</f>
        <v>MACIF</v>
      </c>
      <c r="AA49" s="376" t="str" cm="1">
        <f t="array" aca="1" ref="AA49:AF49" ca="1">IFERROR(_xlfn._xlws.FILTER(BASECG!$C$5:'BASECG'!$OG$5,BASECG!$C$4:'BASECG'!$OG$4=Z49),"")</f>
        <v>ART83- ACTIPLUS RETRAITE ENTREPRISE</v>
      </c>
      <c r="AB49" s="376" t="str">
        <f ca="1"/>
        <v>PERP- MULTI PERP</v>
      </c>
      <c r="AC49" s="376" t="str">
        <f ca="1"/>
        <v>MADELIN- MEDICIS RETRAITE MADELIN</v>
      </c>
      <c r="AD49" s="376" t="str">
        <f ca="1"/>
        <v>MADELIN- ACTIFONDS RETRAITE</v>
      </c>
      <c r="AE49" s="376" t="str">
        <f ca="1"/>
        <v>MADELIN- ACTIPLUS RETRAITE</v>
      </c>
      <c r="AF49" s="376" t="str">
        <f ca="1"/>
        <v>PERIN- MULTI HORIZON RETRAITE - MUTAVIE</v>
      </c>
      <c r="AG49" s="376"/>
      <c r="AH49" s="376"/>
      <c r="AI49" s="376"/>
      <c r="AJ49" s="376"/>
      <c r="AK49" s="376"/>
      <c r="AL49" s="376"/>
      <c r="AM49" s="376"/>
      <c r="AN49" s="376"/>
      <c r="AO49" s="376"/>
      <c r="AP49" s="376"/>
      <c r="AQ49" s="376"/>
      <c r="AR49" s="376"/>
      <c r="AS49" s="376"/>
      <c r="AT49" s="376"/>
      <c r="AU49" s="376"/>
      <c r="AV49" s="376"/>
      <c r="AW49" s="376"/>
      <c r="AX49" s="376"/>
      <c r="AY49" s="376"/>
      <c r="AZ49" s="376"/>
      <c r="BA49" s="376"/>
      <c r="BB49" s="376"/>
      <c r="BC49" s="376"/>
      <c r="BD49" s="376"/>
      <c r="BE49" s="376"/>
      <c r="BF49" s="376"/>
      <c r="BG49" s="376"/>
      <c r="BH49" s="376"/>
      <c r="BI49" s="376"/>
    </row>
    <row r="50" spans="4:61" ht="15" hidden="1" customHeight="1">
      <c r="D50" s="917" t="s">
        <v>292</v>
      </c>
      <c r="E50" s="917"/>
      <c r="F50" s="910" t="s">
        <v>293</v>
      </c>
      <c r="G50" s="910"/>
      <c r="H50" s="910"/>
      <c r="I50" s="910"/>
      <c r="J50" s="910"/>
      <c r="K50" s="390"/>
      <c r="Z50" s="376" t="str" cm="1">
        <f t="array" aca="1" ref="Z50" ca="1">IFERROR(OFFSET(BASECG!$B$4,0,MATCH(0,COUNTIF($Z$15:Z49,BASECG!$C$4:'BASECG'!$OG$4))),"")</f>
        <v>MACSF</v>
      </c>
      <c r="AA50" s="376" t="str" cm="1">
        <f t="array" aca="1" ref="AA50:AC50" ca="1">IFERROR(_xlfn._xlws.FILTER(BASECG!$C$5:'BASECG'!$OG$5,BASECG!$C$4:'BASECG'!$OG$4=Z50),"")</f>
        <v>PERP- PERP'S (Plan d'Epargne Retraite des Professions de Santé)</v>
      </c>
      <c r="AB50" s="376" t="str">
        <f ca="1"/>
        <v>MADELIN- RFPA RETRAITE MADELIN (RES FONDS DE PENSION AVENIR)</v>
      </c>
      <c r="AC50" s="376" t="str">
        <f ca="1"/>
        <v>PERIN- RES RETRAITE</v>
      </c>
      <c r="AD50" s="376"/>
      <c r="AE50" s="376"/>
      <c r="AF50" s="376"/>
      <c r="AG50" s="376"/>
      <c r="AH50" s="376"/>
      <c r="AI50" s="376"/>
      <c r="AJ50" s="376"/>
      <c r="AK50" s="376"/>
      <c r="AL50" s="376"/>
      <c r="AM50" s="376"/>
      <c r="AN50" s="376"/>
      <c r="AO50" s="376"/>
      <c r="AP50" s="376"/>
      <c r="AQ50" s="376"/>
      <c r="AR50" s="376"/>
      <c r="AS50" s="376"/>
      <c r="AT50" s="376"/>
      <c r="AU50" s="376"/>
      <c r="AV50" s="376"/>
      <c r="AW50" s="376"/>
      <c r="AX50" s="376"/>
      <c r="AY50" s="376"/>
      <c r="AZ50" s="376"/>
      <c r="BA50" s="376"/>
      <c r="BB50" s="376"/>
      <c r="BC50" s="376"/>
      <c r="BD50" s="376"/>
      <c r="BE50" s="376"/>
      <c r="BF50" s="376"/>
      <c r="BG50" s="376"/>
      <c r="BH50" s="376"/>
      <c r="BI50" s="376"/>
    </row>
    <row r="51" spans="4:61" ht="15" hidden="1" customHeight="1">
      <c r="D51" s="917"/>
      <c r="E51" s="917"/>
      <c r="F51" s="910" t="s">
        <v>294</v>
      </c>
      <c r="G51" s="910"/>
      <c r="H51" s="910"/>
      <c r="I51" s="910"/>
      <c r="J51" s="910"/>
      <c r="K51" s="391"/>
      <c r="Z51" s="376" t="str" cm="1">
        <f t="array" aca="1" ref="Z51" ca="1">IFERROR(OFFSET(BASECG!$B$4,0,MATCH(0,COUNTIF($Z$15:Z50,BASECG!$C$4:'BASECG'!$OG$4))),"")</f>
        <v>MAIF</v>
      </c>
      <c r="AA51" s="376" t="str" cm="1">
        <f t="array" aca="1" ref="AA51:AB51" ca="1">IFERROR(_xlfn._xlws.FILTER(BASECG!$C$5:'BASECG'!$OG$5,BASECG!$C$4:'BASECG'!$OG$4=Z51),"")</f>
        <v>PERP- PERP MAIF</v>
      </c>
      <c r="AB51" s="376" t="str">
        <f ca="1"/>
        <v>PERIN- PER RESPONSABLE ET SOLIDAIRE</v>
      </c>
      <c r="AC51" s="376"/>
      <c r="AD51" s="376"/>
      <c r="AE51" s="376"/>
      <c r="AF51" s="376"/>
      <c r="AG51" s="376"/>
      <c r="AH51" s="376"/>
      <c r="AI51" s="376"/>
      <c r="AJ51" s="376"/>
      <c r="AK51" s="376"/>
      <c r="AL51" s="376"/>
      <c r="AM51" s="376"/>
      <c r="AN51" s="376"/>
      <c r="AO51" s="376"/>
      <c r="AP51" s="376"/>
      <c r="AQ51" s="376"/>
      <c r="AR51" s="376"/>
      <c r="AS51" s="376"/>
      <c r="AT51" s="376"/>
      <c r="AU51" s="376"/>
      <c r="AV51" s="376"/>
      <c r="AW51" s="376"/>
      <c r="AX51" s="376"/>
      <c r="AY51" s="376"/>
      <c r="AZ51" s="376"/>
      <c r="BA51" s="376"/>
      <c r="BB51" s="376"/>
      <c r="BC51" s="376"/>
      <c r="BD51" s="376"/>
      <c r="BE51" s="376"/>
      <c r="BF51" s="376"/>
      <c r="BG51" s="376"/>
      <c r="BH51" s="376"/>
      <c r="BI51" s="376"/>
    </row>
    <row r="52" spans="4:61" ht="15" hidden="1" customHeight="1">
      <c r="D52" s="917"/>
      <c r="E52" s="917"/>
      <c r="F52" s="918" t="s">
        <v>1186</v>
      </c>
      <c r="G52" s="918"/>
      <c r="H52" s="918"/>
      <c r="I52" s="918"/>
      <c r="J52" s="918"/>
      <c r="K52" s="392" t="str">
        <f>IF(K49=0,"",HLOOKUP(K49,BASECG!$C$1:$OG$31,8,FALSE))</f>
        <v/>
      </c>
      <c r="Z52" s="376" t="str" cm="1">
        <f t="array" aca="1" ref="Z52" ca="1">IFERROR(OFFSET(BASECG!$B$4,0,MATCH(0,COUNTIF($Z$15:Z51,BASECG!$C$4:'BASECG'!$OG$4))),"")</f>
        <v>MALAKOFF_HUMANIS</v>
      </c>
      <c r="AA52" s="376" t="str" cm="1">
        <f t="array" aca="1" ref="AA52:AB52" ca="1">IFERROR(_xlfn._xlws.FILTER(BASECG!$C$5:'BASECG'!$OG$5,BASECG!$C$4:'BASECG'!$OG$4=Z52),"")</f>
        <v>MADELIN- RADIANCE HUMANIS RETRAITE PRO</v>
      </c>
      <c r="AB52" s="376" t="str">
        <f ca="1"/>
        <v>PERIN- PER OBLIGATOIRE PATRIMONIAL</v>
      </c>
      <c r="AC52" s="376"/>
      <c r="AD52" s="376"/>
      <c r="AE52" s="376"/>
      <c r="AF52" s="376"/>
      <c r="AG52" s="376"/>
      <c r="AH52" s="376"/>
      <c r="AI52" s="376"/>
      <c r="AJ52" s="376"/>
      <c r="AK52" s="376"/>
      <c r="AL52" s="376"/>
      <c r="AM52" s="376"/>
      <c r="AN52" s="376"/>
      <c r="AO52" s="376"/>
      <c r="AP52" s="376"/>
      <c r="AQ52" s="376"/>
      <c r="AR52" s="376"/>
      <c r="AS52" s="376"/>
      <c r="AT52" s="376"/>
      <c r="AU52" s="376"/>
      <c r="AV52" s="376"/>
      <c r="AW52" s="376"/>
      <c r="AX52" s="376"/>
      <c r="AY52" s="376"/>
      <c r="AZ52" s="376"/>
      <c r="BA52" s="376"/>
      <c r="BB52" s="376"/>
      <c r="BC52" s="376"/>
      <c r="BD52" s="376"/>
      <c r="BE52" s="376"/>
      <c r="BF52" s="376"/>
      <c r="BG52" s="376"/>
      <c r="BH52" s="376"/>
      <c r="BI52" s="376"/>
    </row>
    <row r="53" spans="4:61" ht="15" hidden="1" customHeight="1">
      <c r="D53" s="917"/>
      <c r="E53" s="917"/>
      <c r="F53" s="909" t="s">
        <v>295</v>
      </c>
      <c r="G53" s="909"/>
      <c r="H53" s="909"/>
      <c r="I53" s="909"/>
      <c r="J53" s="909"/>
      <c r="K53" s="393"/>
      <c r="Z53" s="376" t="str" cm="1">
        <f t="array" aca="1" ref="Z53" ca="1">IFERROR(OFFSET(BASECG!$B$4,0,MATCH(0,COUNTIF($Z$15:Z52,BASECG!$C$4:'BASECG'!$OG$4))),"")</f>
        <v>MAPA</v>
      </c>
      <c r="AA53" s="376" t="str" cm="1">
        <f t="array" aca="1" ref="AA53:AB53" ca="1">IFERROR(_xlfn._xlws.FILTER(BASECG!$C$5:'BASECG'!$OG$5,BASECG!$C$4:'BASECG'!$OG$4=Z53),"")</f>
        <v>MADELIN- ACTIFONDS RETRAITE</v>
      </c>
      <c r="AB53" s="376" t="str">
        <f ca="1"/>
        <v>MADELIN- MEDICIS RETRAITE MADELIN</v>
      </c>
      <c r="AC53" s="376"/>
      <c r="AD53" s="376"/>
      <c r="AE53" s="376"/>
      <c r="AF53" s="376"/>
      <c r="AG53" s="376"/>
      <c r="AH53" s="376"/>
      <c r="AI53" s="376"/>
      <c r="AJ53" s="376"/>
      <c r="AK53" s="376"/>
      <c r="AL53" s="376"/>
      <c r="AM53" s="376"/>
      <c r="AN53" s="376"/>
      <c r="AO53" s="376"/>
      <c r="AP53" s="376"/>
      <c r="AQ53" s="376"/>
      <c r="AR53" s="376"/>
      <c r="AS53" s="376"/>
      <c r="AT53" s="376"/>
      <c r="AU53" s="376"/>
      <c r="AV53" s="376"/>
      <c r="AW53" s="376"/>
      <c r="AX53" s="376"/>
      <c r="AY53" s="376"/>
      <c r="AZ53" s="376"/>
      <c r="BA53" s="376"/>
      <c r="BB53" s="376"/>
      <c r="BC53" s="376"/>
      <c r="BD53" s="376"/>
      <c r="BE53" s="376"/>
      <c r="BF53" s="376"/>
      <c r="BG53" s="376"/>
      <c r="BH53" s="376"/>
      <c r="BI53" s="376"/>
    </row>
    <row r="54" spans="4:61" ht="15" hidden="1" customHeight="1">
      <c r="D54" s="917"/>
      <c r="E54" s="917"/>
      <c r="F54" s="911" t="s">
        <v>316</v>
      </c>
      <c r="G54" s="911"/>
      <c r="H54" s="911"/>
      <c r="I54" s="911"/>
      <c r="J54" s="911"/>
      <c r="K54" s="394"/>
      <c r="Z54" s="376" t="str" cm="1">
        <f t="array" aca="1" ref="Z54" ca="1">IFERROR(OFFSET(BASECG!$B$4,0,MATCH(0,COUNTIF($Z$15:Z53,BASECG!$C$4:'BASECG'!$OG$4))),"")</f>
        <v>MATMUT</v>
      </c>
      <c r="AA54" s="376" t="str" cm="1">
        <f t="array" aca="1" ref="AA54" ca="1">IFERROR(_xlfn._xlws.FILTER(BASECG!$C$5:'BASECG'!$OG$5,BASECG!$C$4:'BASECG'!$OG$4=Z54),"")</f>
        <v>PERIN- COMPLICE RETRAITE</v>
      </c>
      <c r="AB54" s="376"/>
      <c r="AC54" s="376"/>
      <c r="AD54" s="376"/>
      <c r="AE54" s="376"/>
      <c r="AF54" s="376"/>
      <c r="AG54" s="376"/>
      <c r="AH54" s="376"/>
      <c r="AI54" s="376"/>
      <c r="AJ54" s="376"/>
      <c r="AK54" s="376"/>
      <c r="AL54" s="376"/>
      <c r="AM54" s="376"/>
      <c r="AN54" s="376"/>
      <c r="AO54" s="376"/>
      <c r="AP54" s="376"/>
      <c r="AQ54" s="376"/>
      <c r="AR54" s="376"/>
      <c r="AS54" s="376"/>
      <c r="AT54" s="376"/>
      <c r="AU54" s="376"/>
      <c r="AV54" s="376"/>
      <c r="AW54" s="376"/>
      <c r="AX54" s="376"/>
      <c r="AY54" s="376"/>
      <c r="AZ54" s="376"/>
      <c r="BA54" s="376"/>
      <c r="BB54" s="376"/>
      <c r="BC54" s="376"/>
      <c r="BD54" s="376"/>
      <c r="BE54" s="376"/>
      <c r="BF54" s="376"/>
      <c r="BG54" s="376"/>
      <c r="BH54" s="376"/>
      <c r="BI54" s="376"/>
    </row>
    <row r="55" spans="4:61" ht="15" hidden="1" customHeight="1">
      <c r="D55" s="917"/>
      <c r="E55" s="917"/>
      <c r="F55" s="919" t="s">
        <v>296</v>
      </c>
      <c r="G55" s="919"/>
      <c r="H55" s="919"/>
      <c r="I55" s="919"/>
      <c r="J55" s="919"/>
      <c r="K55" s="395" t="str">
        <f>IF(K49=0,"",HLOOKUP(K49,BASECG!$C$1:$OG$31,11,FALSE))</f>
        <v/>
      </c>
      <c r="Z55" s="376" t="str" cm="1">
        <f t="array" aca="1" ref="Z55" ca="1">IFERROR(OFFSET(BASECG!$B$4,0,MATCH(0,COUNTIF($Z$15:Z54,BASECG!$C$4:'BASECG'!$OG$4))),"")</f>
        <v>MEDICIS</v>
      </c>
      <c r="AA55" s="376" t="str" cm="1">
        <f t="array" aca="1" ref="AA55:AE55" ca="1">IFERROR(_xlfn._xlws.FILTER(BASECG!$C$5:'BASECG'!$OG$5,BASECG!$C$4:'BASECG'!$OG$4=Z55),"")</f>
        <v>PERP- PERP MEDICIS</v>
      </c>
      <c r="AB55" s="376" t="str">
        <f ca="1"/>
        <v>MADELIN- MEDICIS RETRAITE MADELIN</v>
      </c>
      <c r="AC55" s="376" t="str">
        <f ca="1"/>
        <v>PERIN- PER MEDICIS MULTISUPPORT</v>
      </c>
      <c r="AD55" s="376" t="str">
        <f ca="1"/>
        <v>PERIN- PER MEDICIS PATRIMONIAL</v>
      </c>
      <c r="AE55" s="376" t="str">
        <f ca="1"/>
        <v>PERIN- PER MEDICIS PRODUIT EN POINTS</v>
      </c>
      <c r="AF55" s="376"/>
      <c r="AG55" s="376"/>
      <c r="AH55" s="376"/>
      <c r="AI55" s="376"/>
      <c r="AJ55" s="376"/>
      <c r="AK55" s="376"/>
      <c r="AL55" s="376"/>
      <c r="AM55" s="376"/>
      <c r="AN55" s="376"/>
      <c r="AO55" s="376"/>
      <c r="AP55" s="376"/>
      <c r="AQ55" s="376"/>
      <c r="AR55" s="376"/>
      <c r="AS55" s="376"/>
      <c r="AT55" s="376"/>
      <c r="AU55" s="376"/>
      <c r="AV55" s="376"/>
      <c r="AW55" s="376"/>
      <c r="AX55" s="376"/>
      <c r="AY55" s="376"/>
      <c r="AZ55" s="376"/>
      <c r="BA55" s="376"/>
      <c r="BB55" s="376"/>
      <c r="BC55" s="376"/>
      <c r="BD55" s="376"/>
      <c r="BE55" s="376"/>
      <c r="BF55" s="376"/>
      <c r="BG55" s="376"/>
      <c r="BH55" s="376"/>
      <c r="BI55" s="376"/>
    </row>
    <row r="56" spans="4:61" ht="15" hidden="1" customHeight="1">
      <c r="D56" s="917"/>
      <c r="E56" s="917"/>
      <c r="F56" s="908" t="s">
        <v>317</v>
      </c>
      <c r="G56" s="908"/>
      <c r="H56" s="908"/>
      <c r="I56" s="908"/>
      <c r="J56" s="908"/>
      <c r="K56" s="395"/>
      <c r="Z56" s="376" t="str" cm="1">
        <f t="array" aca="1" ref="Z56" ca="1">IFERROR(OFFSET(BASECG!$B$4,0,MATCH(0,COUNTIF($Z$15:Z55,BASECG!$C$4:'BASECG'!$OG$4))),"")</f>
        <v>MMA</v>
      </c>
      <c r="AA56" s="376" t="str" cm="1">
        <f t="array" aca="1" ref="AA56:AO56" ca="1">IFERROR(_xlfn._xlws.FILTER(BASECG!$C$5:'BASECG'!$OG$5,BASECG!$C$4:'BASECG'!$OG$4=Z56),"")</f>
        <v>ART83- MMA RETRAITE 83 (ancien MDM RETRAITE 83)</v>
      </c>
      <c r="AB56" s="376" t="str">
        <f ca="1"/>
        <v>PERP- MULTISUPPORTS PERP</v>
      </c>
      <c r="AC56" s="376" t="str">
        <f ca="1"/>
        <v>MADELIN- MMA MULTISUPPORTS RETRAITE INDEPENDANTS</v>
      </c>
      <c r="AD56" s="376" t="str">
        <f ca="1"/>
        <v>MADELIN- MMA RETRAITE PRO</v>
      </c>
      <c r="AE56" s="376" t="str">
        <f ca="1"/>
        <v>MADELIN- MMA SOLUTIONS RETRAITE AGRI</v>
      </c>
      <c r="AF56" s="376" t="str">
        <f ca="1"/>
        <v>MADELIN- MMA SOLUTIONS RETRAITE AGRI +</v>
      </c>
      <c r="AG56" s="376" t="str">
        <f ca="1"/>
        <v>MADELIN- MMA SOLUTIONS RETRAITE PRO</v>
      </c>
      <c r="AH56" s="376" t="str">
        <f ca="1"/>
        <v>MADELIN- MMA SOLUTIONS RETRAITE PRO +</v>
      </c>
      <c r="AI56" s="376" t="str">
        <f ca="1"/>
        <v>MADELIN- MULTISTRATEGIES RETRAITE AGRI</v>
      </c>
      <c r="AJ56" s="376" t="str">
        <f ca="1"/>
        <v>MADELIN- MULTISTRATEGIES RETRAITE PRO</v>
      </c>
      <c r="AK56" s="376" t="str">
        <f ca="1"/>
        <v>MADELIN- PLAN MDM RETRAITE INDEPENDANTS</v>
      </c>
      <c r="AL56" s="376" t="str">
        <f ca="1"/>
        <v>MADELIN- SIGNATURE RETRAITE AGRI</v>
      </c>
      <c r="AM56" s="376" t="str">
        <f ca="1"/>
        <v>MADELIN- SIGNATURE RETRAITE PRO</v>
      </c>
      <c r="AN56" s="376" t="str">
        <f ca="1"/>
        <v>PERIN- SIGNATURE PER</v>
      </c>
      <c r="AO56" s="376" t="str">
        <f ca="1"/>
        <v>PERIN- MMA PER AVENIR</v>
      </c>
      <c r="AP56" s="376"/>
      <c r="AQ56" s="376"/>
      <c r="AR56" s="376"/>
      <c r="AS56" s="376"/>
      <c r="AT56" s="376"/>
      <c r="AU56" s="376"/>
      <c r="AV56" s="376"/>
      <c r="AW56" s="376"/>
      <c r="AX56" s="376"/>
      <c r="AY56" s="376"/>
      <c r="AZ56" s="376"/>
      <c r="BA56" s="376"/>
      <c r="BB56" s="376"/>
      <c r="BC56" s="376"/>
      <c r="BD56" s="376"/>
      <c r="BE56" s="376"/>
      <c r="BF56" s="376"/>
      <c r="BG56" s="376"/>
      <c r="BH56" s="376"/>
      <c r="BI56" s="376"/>
    </row>
    <row r="57" spans="4:61" ht="15" hidden="1" customHeight="1">
      <c r="D57" s="917"/>
      <c r="E57" s="917"/>
      <c r="F57" s="918" t="s">
        <v>297</v>
      </c>
      <c r="G57" s="918"/>
      <c r="H57" s="918"/>
      <c r="I57" s="918"/>
      <c r="J57" s="918"/>
      <c r="K57" s="396" t="str">
        <f>IF(K49=0,"",HLOOKUP(K49,BASECG!$C$1:$OG$31,13,FALSE))</f>
        <v/>
      </c>
      <c r="Z57" s="376" t="str" cm="1">
        <f t="array" aca="1" ref="Z57" ca="1">IFERROR(OFFSET(BASECG!$B$4,0,MATCH(0,COUNTIF($Z$15:Z56,BASECG!$C$4:'BASECG'!$OG$4))),"")</f>
        <v>MNRA</v>
      </c>
      <c r="AA57" s="376" t="str" cm="1">
        <f t="array" aca="1" ref="AA57" ca="1">IFERROR(_xlfn._xlws.FILTER(BASECG!$C$5:'BASECG'!$OG$5,BASECG!$C$4:'BASECG'!$OG$4=Z57),"")</f>
        <v>MADELIN- ARIA GROUPE / ARIA EVOLUTION</v>
      </c>
      <c r="AB57" s="376"/>
      <c r="AC57" s="376"/>
      <c r="AD57" s="376"/>
      <c r="AE57" s="376"/>
      <c r="AF57" s="376"/>
      <c r="AG57" s="376"/>
      <c r="AH57" s="376"/>
      <c r="AI57" s="376"/>
      <c r="AJ57" s="376"/>
      <c r="AK57" s="376"/>
      <c r="AL57" s="376"/>
      <c r="AM57" s="376"/>
      <c r="AN57" s="376"/>
      <c r="AO57" s="376"/>
      <c r="AP57" s="376"/>
      <c r="AQ57" s="376"/>
      <c r="AR57" s="376"/>
      <c r="AS57" s="376"/>
      <c r="AT57" s="376"/>
      <c r="AU57" s="376"/>
      <c r="AV57" s="376"/>
      <c r="AW57" s="376"/>
      <c r="AX57" s="376"/>
      <c r="AY57" s="376"/>
      <c r="AZ57" s="376"/>
      <c r="BA57" s="376"/>
      <c r="BB57" s="376"/>
      <c r="BC57" s="376"/>
      <c r="BD57" s="376"/>
      <c r="BE57" s="376"/>
      <c r="BF57" s="376"/>
      <c r="BG57" s="376"/>
      <c r="BH57" s="376"/>
      <c r="BI57" s="376"/>
    </row>
    <row r="58" spans="4:61" ht="15" hidden="1" customHeight="1">
      <c r="D58" s="917"/>
      <c r="E58" s="917"/>
      <c r="F58" s="908" t="s">
        <v>298</v>
      </c>
      <c r="G58" s="908"/>
      <c r="H58" s="908"/>
      <c r="I58" s="908"/>
      <c r="J58" s="908"/>
      <c r="K58" s="397" t="str">
        <f>IF(K49=0,"",HLOOKUP(K49,BASECG!$C$1:$OG$31,14,FALSE))</f>
        <v/>
      </c>
      <c r="Z58" s="376" t="str" cm="1">
        <f t="array" aca="1" ref="Z58" ca="1">IFERROR(OFFSET(BASECG!$B$4,0,MATCH(0,COUNTIF($Z$15:Z57,BASECG!$C$4:'BASECG'!$OG$4))),"")</f>
        <v>NORTIA</v>
      </c>
      <c r="AA58" s="376" t="str" cm="1">
        <f t="array" aca="1" ref="AA58:AE58" ca="1">IFERROR(_xlfn._xlws.FILTER(BASECG!$C$5:'BASECG'!$OG$5,BASECG!$C$4:'BASECG'!$OG$4=Z58),"")</f>
        <v>PERP- COMPLEMENT EPARGNE RETRAITE</v>
      </c>
      <c r="AB58" s="376" t="str">
        <f ca="1"/>
        <v>MADELIN- QUADRANCE</v>
      </c>
      <c r="AC58" s="376" t="str">
        <f ca="1"/>
        <v>PERIN- PER PANTHEA</v>
      </c>
      <c r="AD58" s="376" t="str">
        <f ca="1"/>
        <v>PERIN- PER ENEDIA</v>
      </c>
      <c r="AE58" s="376" t="str">
        <f ca="1"/>
        <v>PERIN- PER PRIVATE</v>
      </c>
      <c r="AF58" s="376"/>
      <c r="AG58" s="376"/>
      <c r="AH58" s="376"/>
      <c r="AI58" s="376"/>
      <c r="AJ58" s="376"/>
      <c r="AK58" s="376"/>
      <c r="AL58" s="376"/>
      <c r="AM58" s="376"/>
      <c r="AN58" s="376"/>
      <c r="AO58" s="376"/>
      <c r="AP58" s="376"/>
      <c r="AQ58" s="376"/>
      <c r="AR58" s="376"/>
      <c r="AS58" s="376"/>
      <c r="AT58" s="376"/>
      <c r="AU58" s="376"/>
      <c r="AV58" s="376"/>
      <c r="AW58" s="376"/>
      <c r="AX58" s="376"/>
      <c r="AY58" s="376"/>
      <c r="AZ58" s="376"/>
      <c r="BA58" s="376"/>
      <c r="BB58" s="376"/>
      <c r="BC58" s="376"/>
      <c r="BD58" s="376"/>
      <c r="BE58" s="376"/>
      <c r="BF58" s="376"/>
      <c r="BG58" s="376"/>
      <c r="BH58" s="376"/>
      <c r="BI58" s="376"/>
    </row>
    <row r="59" spans="4:61" ht="15" hidden="1" customHeight="1">
      <c r="D59" s="917"/>
      <c r="E59" s="917"/>
      <c r="F59" s="908" t="s">
        <v>408</v>
      </c>
      <c r="G59" s="908"/>
      <c r="H59" s="908"/>
      <c r="I59" s="908"/>
      <c r="J59" s="908"/>
      <c r="K59" s="398" t="str">
        <f>IF(K49=0,"",HLOOKUP(K49,BASECG!$C$1:$OG$31,15,FALSE))</f>
        <v/>
      </c>
      <c r="Z59" s="376" t="str" cm="1">
        <f t="array" aca="1" ref="Z59" ca="1">IFERROR(OFFSET(BASECG!$B$4,0,MATCH(0,COUNTIF($Z$15:Z58,BASECG!$C$4:'BASECG'!$OG$4))),"")</f>
        <v>ORADEA</v>
      </c>
      <c r="AA59" s="376" t="str" cm="1">
        <f t="array" aca="1" ref="AA59:AB59" ca="1">IFERROR(_xlfn._xlws.FILTER(BASECG!$C$5:'BASECG'!$OG$5,BASECG!$C$4:'BASECG'!$OG$4=Z59),"")</f>
        <v>PERP- PERP LIGNAGE</v>
      </c>
      <c r="AB59" s="376" t="str">
        <f ca="1"/>
        <v>PERIN- PER LIGNAGE</v>
      </c>
      <c r="AC59" s="376"/>
      <c r="AD59" s="376"/>
      <c r="AE59" s="376"/>
      <c r="AF59" s="376"/>
      <c r="AG59" s="376"/>
      <c r="AH59" s="376"/>
      <c r="AI59" s="376"/>
      <c r="AJ59" s="376"/>
      <c r="AK59" s="376"/>
      <c r="AL59" s="376"/>
      <c r="AM59" s="376"/>
      <c r="AN59" s="376"/>
      <c r="AO59" s="376"/>
      <c r="AP59" s="376"/>
      <c r="AQ59" s="376"/>
      <c r="AR59" s="376"/>
      <c r="AS59" s="376"/>
      <c r="AT59" s="376"/>
      <c r="AU59" s="376"/>
      <c r="AV59" s="376"/>
      <c r="AW59" s="376"/>
      <c r="AX59" s="376"/>
      <c r="AY59" s="376"/>
      <c r="AZ59" s="376"/>
      <c r="BA59" s="376"/>
      <c r="BB59" s="376"/>
      <c r="BC59" s="376"/>
      <c r="BD59" s="376"/>
      <c r="BE59" s="376"/>
      <c r="BF59" s="376"/>
      <c r="BG59" s="376"/>
      <c r="BH59" s="376"/>
      <c r="BI59" s="376"/>
    </row>
    <row r="60" spans="4:61" ht="15" hidden="1" customHeight="1">
      <c r="D60" s="917"/>
      <c r="E60" s="917"/>
      <c r="F60" s="908" t="s">
        <v>299</v>
      </c>
      <c r="G60" s="908"/>
      <c r="H60" s="908"/>
      <c r="I60" s="908"/>
      <c r="J60" s="908"/>
      <c r="K60" s="398" t="str">
        <f>IF(K49=0,"",HLOOKUP(K49,BASECG!$C$1:$OG$31,16,FALSE))</f>
        <v/>
      </c>
      <c r="Z60" s="376" t="str" cm="1">
        <f t="array" aca="1" ref="Z60" ca="1">IFERROR(OFFSET(BASECG!$B$4,0,MATCH(0,COUNTIF($Z$15:Z59,BASECG!$C$4:'BASECG'!$OG$4))),"")</f>
        <v>PREFON</v>
      </c>
      <c r="AA60" s="376" t="str" cm="1">
        <f t="array" aca="1" ref="AA60:AB60" ca="1">IFERROR(_xlfn._xlws.FILTER(BASECG!$C$5:'BASECG'!$OG$5,BASECG!$C$4:'BASECG'!$OG$4=Z60),"")</f>
        <v>PERP- PREFON-RETRAITE</v>
      </c>
      <c r="AB60" s="376" t="str">
        <f ca="1"/>
        <v>PERIN- PER PREFON RETRAITE</v>
      </c>
      <c r="AC60" s="376"/>
      <c r="AD60" s="376"/>
      <c r="AE60" s="376"/>
      <c r="AF60" s="376"/>
      <c r="AG60" s="376"/>
      <c r="AH60" s="376"/>
      <c r="AI60" s="376"/>
      <c r="AJ60" s="376"/>
      <c r="AK60" s="376"/>
      <c r="AL60" s="376"/>
      <c r="AM60" s="376"/>
      <c r="AN60" s="376"/>
      <c r="AO60" s="376"/>
      <c r="AP60" s="376"/>
      <c r="AQ60" s="376"/>
      <c r="AR60" s="376"/>
      <c r="AS60" s="376"/>
      <c r="AT60" s="376"/>
      <c r="AU60" s="376"/>
      <c r="AV60" s="376"/>
      <c r="AW60" s="376"/>
      <c r="AX60" s="376"/>
      <c r="AY60" s="376"/>
      <c r="AZ60" s="376"/>
      <c r="BA60" s="376"/>
      <c r="BB60" s="376"/>
      <c r="BC60" s="376"/>
      <c r="BD60" s="376"/>
      <c r="BE60" s="376"/>
      <c r="BF60" s="376"/>
      <c r="BG60" s="376"/>
      <c r="BH60" s="376"/>
      <c r="BI60" s="376"/>
    </row>
    <row r="61" spans="4:61" ht="15" hidden="1" customHeight="1">
      <c r="D61" s="917"/>
      <c r="E61" s="917"/>
      <c r="F61" s="908" t="s">
        <v>407</v>
      </c>
      <c r="G61" s="908"/>
      <c r="H61" s="908"/>
      <c r="I61" s="908"/>
      <c r="J61" s="908"/>
      <c r="K61" s="399" t="str">
        <f>IF(K49=0,"",HLOOKUP(K49,BASECG!$C$1:$OG$31,17,FALSE))</f>
        <v/>
      </c>
      <c r="Z61" s="376" t="str" cm="1">
        <f t="array" aca="1" ref="Z61" ca="1">IFERROR(OFFSET(BASECG!$B$4,0,MATCH(0,COUNTIF($Z$15:Z60,BASECG!$C$4:'BASECG'!$OG$4))),"")</f>
        <v>PREVOIR</v>
      </c>
      <c r="AA61" s="376" t="str" cm="1">
        <f t="array" aca="1" ref="AA61:AC61" ca="1">IFERROR(_xlfn._xlws.FILTER(BASECG!$C$5:'BASECG'!$OG$5,BASECG!$C$4:'BASECG'!$OG$4=Z61),"")</f>
        <v>PERP- PERP LIGNAGE</v>
      </c>
      <c r="AB61" s="376" t="str">
        <f ca="1"/>
        <v>MADELIN- PREVOIR PRO RETRAITE</v>
      </c>
      <c r="AC61" s="376" t="str">
        <f ca="1"/>
        <v>PERIN- SOLUTION PLAN EPARGNE RETRAITE</v>
      </c>
      <c r="AD61" s="376"/>
      <c r="AE61" s="376"/>
      <c r="AF61" s="376"/>
      <c r="AG61" s="376"/>
      <c r="AH61" s="376"/>
      <c r="AI61" s="376"/>
      <c r="AJ61" s="376"/>
      <c r="AK61" s="376"/>
      <c r="AL61" s="376"/>
      <c r="AM61" s="376"/>
      <c r="AN61" s="376"/>
      <c r="AO61" s="376"/>
      <c r="AP61" s="376"/>
      <c r="AQ61" s="376"/>
      <c r="AR61" s="376"/>
      <c r="AS61" s="376"/>
      <c r="AT61" s="376"/>
      <c r="AU61" s="376"/>
      <c r="AV61" s="376"/>
      <c r="AW61" s="376"/>
      <c r="AX61" s="376"/>
      <c r="AY61" s="376"/>
      <c r="AZ61" s="376"/>
      <c r="BA61" s="376"/>
      <c r="BB61" s="376"/>
      <c r="BC61" s="376"/>
      <c r="BD61" s="376"/>
      <c r="BE61" s="376"/>
      <c r="BF61" s="376"/>
      <c r="BG61" s="376"/>
      <c r="BH61" s="376"/>
      <c r="BI61" s="376"/>
    </row>
    <row r="62" spans="4:61" ht="15" hidden="1" customHeight="1">
      <c r="D62" s="917"/>
      <c r="E62" s="917"/>
      <c r="F62" s="909" t="s">
        <v>300</v>
      </c>
      <c r="G62" s="909"/>
      <c r="H62" s="909"/>
      <c r="I62" s="909"/>
      <c r="J62" s="909"/>
      <c r="K62" s="400" t="str">
        <f>IF(K49=0,"",HLOOKUP(K49,BASECG!$C$1:$OG$31,18,FALSE))</f>
        <v/>
      </c>
      <c r="Z62" s="376" t="str" cm="1">
        <f t="array" aca="1" ref="Z62" ca="1">IFERROR(OFFSET(BASECG!$B$4,0,MATCH(0,COUNTIF($Z$15:Z61,BASECG!$C$4:'BASECG'!$OG$4))),"")</f>
        <v>PRIMONIAL</v>
      </c>
      <c r="AA62" s="376" t="str" cm="1">
        <f t="array" aca="1" ref="AA62:AC62" ca="1">IFERROR(_xlfn._xlws.FILTER(BASECG!$C$5:'BASECG'!$OG$5,BASECG!$C$4:'BASECG'!$OG$4=Z62),"")</f>
        <v>MADELIN- GESTION PRIVEE PROMADELIN</v>
      </c>
      <c r="AB62" s="376" t="str">
        <f ca="1"/>
        <v>MADELIN- CARDIF RETRAITE PROFESSIONNELS ( PATRIMOINE MANAGEMENT ET ASSOCIES)</v>
      </c>
      <c r="AC62" s="376" t="str">
        <f ca="1"/>
        <v>PERIN- PRIMOPER</v>
      </c>
      <c r="AD62" s="376"/>
      <c r="AE62" s="376"/>
      <c r="AF62" s="376"/>
      <c r="AG62" s="376"/>
      <c r="AH62" s="376"/>
      <c r="AI62" s="376"/>
      <c r="AJ62" s="376"/>
      <c r="AK62" s="376"/>
      <c r="AL62" s="376"/>
      <c r="AM62" s="376"/>
      <c r="AN62" s="376"/>
      <c r="AO62" s="376"/>
      <c r="AP62" s="376"/>
      <c r="AQ62" s="376"/>
      <c r="AR62" s="376"/>
      <c r="AS62" s="376"/>
      <c r="AT62" s="376"/>
      <c r="AU62" s="376"/>
      <c r="AV62" s="376"/>
      <c r="AW62" s="376"/>
      <c r="AX62" s="376"/>
      <c r="AY62" s="376"/>
      <c r="AZ62" s="376"/>
      <c r="BA62" s="376"/>
      <c r="BB62" s="376"/>
      <c r="BC62" s="376"/>
      <c r="BD62" s="376"/>
      <c r="BE62" s="376"/>
      <c r="BF62" s="376"/>
      <c r="BG62" s="376"/>
      <c r="BH62" s="376"/>
      <c r="BI62" s="376"/>
    </row>
    <row r="63" spans="4:61" ht="15" hidden="1" customHeight="1">
      <c r="D63" s="917"/>
      <c r="E63" s="917"/>
      <c r="F63" s="910" t="s">
        <v>301</v>
      </c>
      <c r="G63" s="910"/>
      <c r="H63" s="910"/>
      <c r="I63" s="910"/>
      <c r="J63" s="910"/>
      <c r="K63" s="400" t="str">
        <f>IF(K49=0,"",HLOOKUP(K49,BASECG!$C$1:$OG$31,19,FALSE))</f>
        <v/>
      </c>
      <c r="Z63" s="376" t="str" cm="1">
        <f t="array" aca="1" ref="Z63" ca="1">IFERROR(OFFSET(BASECG!$B$4,0,MATCH(0,COUNTIF($Z$15:Z62,BASECG!$C$4:'BASECG'!$OG$4))),"")</f>
        <v>PRO_BTP</v>
      </c>
      <c r="AA63" s="376" t="str" cm="1">
        <f t="array" aca="1" ref="AA63:AC63" ca="1">IFERROR(_xlfn._xlws.FILTER(BASECG!$C$5:'BASECG'!$OG$5,BASECG!$C$4:'BASECG'!$OG$4=Z63),"")</f>
        <v>PERP- PERP CONFIANCE BTP</v>
      </c>
      <c r="AB63" s="376" t="str">
        <f ca="1"/>
        <v>MADELIN- RETRAITE SUPPLEMENTAIRE DES ARTISANS</v>
      </c>
      <c r="AC63" s="376" t="str">
        <f ca="1"/>
        <v>PERIN- PER INDIVIDUEL CONFIANCE</v>
      </c>
      <c r="AD63" s="376"/>
      <c r="AE63" s="376"/>
      <c r="AF63" s="376"/>
      <c r="AG63" s="376"/>
      <c r="AH63" s="376"/>
      <c r="AI63" s="376"/>
      <c r="AJ63" s="376"/>
      <c r="AK63" s="376"/>
      <c r="AL63" s="376"/>
      <c r="AM63" s="376"/>
      <c r="AN63" s="376"/>
      <c r="AO63" s="376"/>
      <c r="AP63" s="376"/>
      <c r="AQ63" s="376"/>
      <c r="AR63" s="376"/>
      <c r="AS63" s="376"/>
      <c r="AT63" s="376"/>
      <c r="AU63" s="376"/>
      <c r="AV63" s="376"/>
      <c r="AW63" s="376"/>
      <c r="AX63" s="376"/>
      <c r="AY63" s="376"/>
      <c r="AZ63" s="376"/>
      <c r="BA63" s="376"/>
      <c r="BB63" s="376"/>
      <c r="BC63" s="376"/>
      <c r="BD63" s="376"/>
      <c r="BE63" s="376"/>
      <c r="BF63" s="376"/>
      <c r="BG63" s="376"/>
      <c r="BH63" s="376"/>
      <c r="BI63" s="376"/>
    </row>
    <row r="64" spans="4:61" ht="15" hidden="1" customHeight="1">
      <c r="D64" s="913" t="s">
        <v>302</v>
      </c>
      <c r="E64" s="365"/>
      <c r="F64" s="907" t="s">
        <v>306</v>
      </c>
      <c r="G64" s="907"/>
      <c r="H64" s="907"/>
      <c r="I64" s="907"/>
      <c r="J64" s="907"/>
      <c r="K64" s="401" t="str">
        <f>IF(K49=0,"",HLOOKUP(K49,BASECG!$C$1:$OG$31,20,FALSE))</f>
        <v/>
      </c>
      <c r="Z64" s="376" t="str" cm="1">
        <f t="array" aca="1" ref="Z64" ca="1">IFERROR(OFFSET(BASECG!$B$4,0,MATCH(0,COUNTIF($Z$15:Z63,BASECG!$C$4:'BASECG'!$OG$4))),"")</f>
        <v>SMA</v>
      </c>
      <c r="AA64" s="376" t="str" cm="1">
        <f t="array" aca="1" ref="AA64" ca="1">IFERROR(_xlfn._xlws.FILTER(BASECG!$C$5:'BASECG'!$OG$5,BASECG!$C$4:'BASECG'!$OG$4=Z64),"")</f>
        <v>PERIN- PER INDIVIDUEL SMAVIE</v>
      </c>
      <c r="AB64" s="376"/>
      <c r="AC64" s="376"/>
      <c r="AD64" s="376"/>
      <c r="AE64" s="376"/>
      <c r="AF64" s="376"/>
      <c r="AG64" s="376"/>
      <c r="AH64" s="376"/>
      <c r="AI64" s="376"/>
      <c r="AJ64" s="376"/>
      <c r="AK64" s="376"/>
      <c r="AL64" s="376"/>
      <c r="AM64" s="376"/>
      <c r="AN64" s="376"/>
      <c r="AO64" s="376"/>
      <c r="AP64" s="376"/>
      <c r="AQ64" s="376"/>
      <c r="AR64" s="376"/>
      <c r="AS64" s="376"/>
      <c r="AT64" s="376"/>
      <c r="AU64" s="376"/>
      <c r="AV64" s="376"/>
      <c r="AW64" s="376"/>
      <c r="AX64" s="376"/>
      <c r="AY64" s="376"/>
      <c r="AZ64" s="376"/>
      <c r="BA64" s="376"/>
      <c r="BB64" s="376"/>
      <c r="BC64" s="376"/>
      <c r="BD64" s="376"/>
      <c r="BE64" s="376"/>
      <c r="BF64" s="376"/>
      <c r="BG64" s="376"/>
      <c r="BH64" s="376"/>
      <c r="BI64" s="376"/>
    </row>
    <row r="65" spans="4:61" ht="15" hidden="1" customHeight="1">
      <c r="D65" s="913"/>
      <c r="E65" s="914" t="s">
        <v>303</v>
      </c>
      <c r="F65" s="910" t="s">
        <v>1199</v>
      </c>
      <c r="G65" s="910"/>
      <c r="H65" s="910"/>
      <c r="I65" s="910"/>
      <c r="J65" s="910"/>
      <c r="K65" s="395" t="str">
        <f>IF(K49=0,"",HLOOKUP(K49,BASECG!$C$1:$OG$31,21,FALSE))</f>
        <v/>
      </c>
      <c r="Z65" s="376" t="str" cm="1">
        <f t="array" aca="1" ref="Z65" ca="1">IFERROR(OFFSET(BASECG!$B$4,0,MATCH(0,COUNTIF($Z$15:Z64,BASECG!$C$4:'BASECG'!$OG$4))),"")</f>
        <v>SOCIETE_GENERALE</v>
      </c>
      <c r="AA65" s="376" t="str" cm="1">
        <f t="array" aca="1" ref="AA65:AE65" ca="1">IFERROR(_xlfn._xlws.FILTER(BASECG!$C$5:'BASECG'!$OG$5,BASECG!$C$4:'BASECG'!$OG$4=Z65),"")</f>
        <v>ART83- PALISSANDRE ENTREPRISES</v>
      </c>
      <c r="AB65" s="376" t="str">
        <f ca="1"/>
        <v>PERP- PERP EPICEA</v>
      </c>
      <c r="AC65" s="376" t="str">
        <f ca="1"/>
        <v>MADELIN- PALISSANDRE</v>
      </c>
      <c r="AD65" s="376" t="str">
        <f ca="1"/>
        <v>PERIN- PER ACACIA</v>
      </c>
      <c r="AE65" s="376" t="str">
        <f ca="1"/>
        <v>PERCO- EPARGNE SALARIALE ARCANCIA V</v>
      </c>
      <c r="AF65" s="376"/>
      <c r="AG65" s="376"/>
      <c r="AH65" s="376"/>
      <c r="AI65" s="376"/>
      <c r="AJ65" s="376"/>
      <c r="AK65" s="376"/>
      <c r="AL65" s="376"/>
      <c r="AM65" s="376"/>
      <c r="AN65" s="376"/>
      <c r="AO65" s="376"/>
      <c r="AP65" s="376"/>
      <c r="AQ65" s="376"/>
      <c r="AR65" s="376"/>
      <c r="AS65" s="376"/>
      <c r="AT65" s="376"/>
      <c r="AU65" s="376"/>
      <c r="AV65" s="376"/>
      <c r="AW65" s="376"/>
      <c r="AX65" s="376"/>
      <c r="AY65" s="376"/>
      <c r="AZ65" s="376"/>
      <c r="BA65" s="376"/>
      <c r="BB65" s="376"/>
      <c r="BC65" s="376"/>
      <c r="BD65" s="376"/>
      <c r="BE65" s="376"/>
      <c r="BF65" s="376"/>
      <c r="BG65" s="376"/>
      <c r="BH65" s="376"/>
      <c r="BI65" s="376"/>
    </row>
    <row r="66" spans="4:61" ht="15" hidden="1" customHeight="1">
      <c r="D66" s="913"/>
      <c r="E66" s="914"/>
      <c r="F66" s="911" t="s">
        <v>305</v>
      </c>
      <c r="G66" s="911"/>
      <c r="H66" s="911"/>
      <c r="I66" s="911"/>
      <c r="J66" s="911"/>
      <c r="K66" s="402" t="str">
        <f>IF(K49=0,"",HLOOKUP(K49,BASECG!$C$1:$OG$31,22,FALSE))</f>
        <v/>
      </c>
      <c r="Z66" s="376" t="str" cm="1">
        <f t="array" aca="1" ref="Z66" ca="1">IFERROR(OFFSET(BASECG!$B$4,0,MATCH(0,COUNTIF($Z$15:Z65,BASECG!$C$4:'BASECG'!$OG$4))),"")</f>
        <v>SWISSLIFE</v>
      </c>
      <c r="AA66" s="376" t="str" cm="1">
        <f t="array" aca="1" ref="AA66:AO66" ca="1">IFERROR(_xlfn._xlws.FILTER(BASECG!$C$5:'BASECG'!$OG$5,BASECG!$C$4:'BASECG'!$OG$4=Z66),"")</f>
        <v>ART83- GARANTIE RETRAITE ENTREPRISE 2000</v>
      </c>
      <c r="AB66" s="376" t="str">
        <f ca="1"/>
        <v>ART83- GARANTIE RETRAITE ENTREPRISES</v>
      </c>
      <c r="AC66" s="376" t="str">
        <f ca="1"/>
        <v>ART83- SWISSLIFE PLAN D'EPARGNE RETRAITE ENTREPRISES</v>
      </c>
      <c r="AD66" s="376" t="str">
        <f ca="1"/>
        <v>ART83- SWISSLIFE PREPARATION RETRAITE</v>
      </c>
      <c r="AE66" s="376" t="str">
        <f ca="1"/>
        <v>ART83- SWISSLIFE RETRAITE ARTICLE 83</v>
      </c>
      <c r="AF66" s="376" t="str">
        <f ca="1"/>
        <v>ART83- SWISSLIFE RETRAITE ENTREPRISES</v>
      </c>
      <c r="AG66" s="376" t="str">
        <f ca="1"/>
        <v>PERP- SWISSLIFE PERP</v>
      </c>
      <c r="AH66" s="376" t="str">
        <f ca="1"/>
        <v>MADELIN- GARANTIE RETRAITE INDEPENDANTS</v>
      </c>
      <c r="AI66" s="376" t="str">
        <f ca="1"/>
        <v>MADELIN- SWISSLIFE RETRAITE AGRICOLE</v>
      </c>
      <c r="AJ66" s="376" t="str">
        <f ca="1"/>
        <v>MADELIN- SWISSLIFE RETRAITE INDEPENDANTS</v>
      </c>
      <c r="AK66" s="376" t="str">
        <f ca="1"/>
        <v>MADELIN- SWISSLIFE RETRAITE MADELIN</v>
      </c>
      <c r="AL66" s="376" t="str">
        <f ca="1"/>
        <v>MADELIN- SWISSLIFE RETRAITE SELECTION</v>
      </c>
      <c r="AM66" s="376" t="str">
        <f ca="1"/>
        <v>PERIN- PER EXPERT</v>
      </c>
      <c r="AN66" s="376" t="str">
        <f ca="1"/>
        <v>PERIN- SWISSLIFE PER INDIVIDUEL</v>
      </c>
      <c r="AO66" s="376" t="str">
        <f ca="1"/>
        <v>PERCO- SWISSLIFE PER COLLECTIF</v>
      </c>
      <c r="AP66" s="376"/>
      <c r="AQ66" s="376"/>
      <c r="AR66" s="376"/>
      <c r="AS66" s="376"/>
      <c r="AT66" s="376"/>
      <c r="AU66" s="376"/>
      <c r="AV66" s="376"/>
      <c r="AW66" s="376"/>
      <c r="AX66" s="376"/>
      <c r="AY66" s="376"/>
      <c r="AZ66" s="376"/>
      <c r="BA66" s="376"/>
      <c r="BB66" s="376"/>
      <c r="BC66" s="376"/>
      <c r="BD66" s="376"/>
      <c r="BE66" s="376"/>
      <c r="BF66" s="376"/>
      <c r="BG66" s="376"/>
      <c r="BH66" s="376"/>
      <c r="BI66" s="376"/>
    </row>
    <row r="67" spans="4:61" hidden="1">
      <c r="D67" s="913"/>
      <c r="E67" s="915"/>
      <c r="F67" s="907" t="s">
        <v>307</v>
      </c>
      <c r="G67" s="907"/>
      <c r="H67" s="907"/>
      <c r="I67" s="907"/>
      <c r="J67" s="907"/>
      <c r="K67" s="403" t="str">
        <f>IF(K49=0,"",HLOOKUP(K49,BASECG!$C$1:$OG$31,23,FALSE))</f>
        <v/>
      </c>
      <c r="Z67" s="376" t="str" cm="1">
        <f t="array" aca="1" ref="Z67" ca="1">IFERROR(OFFSET(BASECG!$B$4,0,MATCH(0,COUNTIF($Z$15:Z66,BASECG!$C$4:'BASECG'!$OG$4))),"")</f>
        <v>UFF</v>
      </c>
      <c r="AA67" s="376" t="str" cm="1">
        <f t="array" aca="1" ref="AA67:AE67" ca="1">IFERROR(_xlfn._xlws.FILTER(BASECG!$C$5:'BASECG'!$OG$5,BASECG!$C$4:'BASECG'!$OG$4=Z67),"")</f>
        <v>ART83- UFF 83</v>
      </c>
      <c r="AB67" s="376" t="str">
        <f ca="1"/>
        <v>ART83- UFF RETRAITE ENTREPRISE</v>
      </c>
      <c r="AC67" s="376" t="str">
        <f ca="1"/>
        <v>ART83- UFF RETRAITE ENTREPRISE PLUS</v>
      </c>
      <c r="AD67" s="376" t="str">
        <f ca="1"/>
        <v>MADELIN- UFF RETRAITE MADELIN</v>
      </c>
      <c r="AE67" s="376" t="str">
        <f ca="1"/>
        <v>MADELIN-UFF RETRAITE INDEPENDANT</v>
      </c>
      <c r="AF67" s="376"/>
      <c r="AG67" s="376"/>
      <c r="AH67" s="376"/>
      <c r="AI67" s="376"/>
      <c r="AJ67" s="376"/>
      <c r="AK67" s="376"/>
      <c r="AL67" s="376"/>
      <c r="AM67" s="376"/>
      <c r="AN67" s="376"/>
      <c r="AO67" s="376"/>
      <c r="AP67" s="376"/>
      <c r="AQ67" s="376"/>
      <c r="AR67" s="376"/>
      <c r="AS67" s="376"/>
      <c r="AT67" s="376"/>
      <c r="AU67" s="376"/>
      <c r="AV67" s="376"/>
      <c r="AW67" s="376"/>
      <c r="AX67" s="376"/>
      <c r="AY67" s="376"/>
      <c r="AZ67" s="376"/>
      <c r="BA67" s="376"/>
      <c r="BB67" s="376"/>
      <c r="BC67" s="376"/>
      <c r="BD67" s="376"/>
      <c r="BE67" s="376"/>
      <c r="BF67" s="376"/>
      <c r="BG67" s="376"/>
      <c r="BH67" s="376"/>
      <c r="BI67" s="376"/>
    </row>
    <row r="68" spans="4:61" ht="15" hidden="1" customHeight="1">
      <c r="D68" s="913"/>
      <c r="E68" s="916" t="s">
        <v>308</v>
      </c>
      <c r="F68" s="911" t="s">
        <v>309</v>
      </c>
      <c r="G68" s="911"/>
      <c r="H68" s="911"/>
      <c r="I68" s="911"/>
      <c r="J68" s="911"/>
      <c r="K68" s="395" t="str">
        <f>IF(K49=0,"",HLOOKUP(K49,BASECG!$C$1:$OG$31,24,FALSE))</f>
        <v/>
      </c>
      <c r="Z68" s="376" t="str" cm="1">
        <f t="array" aca="1" ref="Z68" ca="1">IFERROR(OFFSET(BASECG!$B$4,0,MATCH(0,COUNTIF($Z$15:Z67,BASECG!$C$4:'BASECG'!$OG$4))),"")</f>
        <v>UMR</v>
      </c>
      <c r="AA68" s="376" t="str" cm="1">
        <f t="array" aca="1" ref="AA68:AE68" ca="1">IFERROR(_xlfn._xlws.FILTER(BASECG!$C$5:'BASECG'!$OG$5,BASECG!$C$4:'BASECG'!$OG$4=Z68),"")</f>
        <v>ART83- COREM CO</v>
      </c>
      <c r="AB68" s="376" t="str">
        <f ca="1"/>
        <v>PERIN- ORIGINEO BY CRYSTAL</v>
      </c>
      <c r="AC68" s="376" t="str">
        <f ca="1"/>
        <v>PERIN-COREM</v>
      </c>
      <c r="AD68" s="376" t="str">
        <f ca="1"/>
        <v>PERIN- PERIVIE</v>
      </c>
      <c r="AE68" s="376" t="str">
        <f ca="1"/>
        <v>PERIN- PLACEMENT-DIRECT RETRAITE ISR</v>
      </c>
      <c r="AF68" s="376"/>
      <c r="AG68" s="376"/>
      <c r="AH68" s="376"/>
      <c r="AI68" s="376"/>
      <c r="AJ68" s="376"/>
      <c r="AK68" s="376"/>
      <c r="AL68" s="376"/>
      <c r="AM68" s="376"/>
      <c r="AN68" s="376"/>
      <c r="AO68" s="376"/>
      <c r="AP68" s="376"/>
      <c r="AQ68" s="376"/>
      <c r="AR68" s="376"/>
      <c r="AS68" s="376"/>
      <c r="AT68" s="376"/>
      <c r="AU68" s="376"/>
      <c r="AV68" s="376"/>
      <c r="AW68" s="376"/>
      <c r="AX68" s="376"/>
      <c r="AY68" s="376"/>
      <c r="AZ68" s="376"/>
      <c r="BA68" s="376"/>
      <c r="BB68" s="376"/>
      <c r="BC68" s="376"/>
      <c r="BD68" s="376"/>
      <c r="BE68" s="376"/>
      <c r="BF68" s="376"/>
      <c r="BG68" s="376"/>
      <c r="BH68" s="376"/>
      <c r="BI68" s="376"/>
    </row>
    <row r="69" spans="4:61" ht="15" hidden="1" customHeight="1">
      <c r="D69" s="913"/>
      <c r="E69" s="914"/>
      <c r="F69" s="911" t="s">
        <v>310</v>
      </c>
      <c r="G69" s="911"/>
      <c r="H69" s="911" t="s">
        <v>310</v>
      </c>
      <c r="I69" s="911"/>
      <c r="J69" s="911"/>
      <c r="K69" s="402" t="str">
        <f>IF(K49=0,"",HLOOKUP(K49,BASECG!$C$1:$OG$31,25,FALSE))</f>
        <v/>
      </c>
    </row>
    <row r="70" spans="4:61" ht="15" hidden="1" customHeight="1">
      <c r="D70" s="913"/>
      <c r="E70" s="914"/>
      <c r="F70" s="911" t="s">
        <v>311</v>
      </c>
      <c r="G70" s="911"/>
      <c r="H70" s="911" t="s">
        <v>311</v>
      </c>
      <c r="I70" s="911"/>
      <c r="J70" s="911"/>
      <c r="K70" s="404" t="str">
        <f>IF(K49=0,"",HLOOKUP(K49,BASECG!$C$1:$OG$31,26,FALSE))</f>
        <v/>
      </c>
    </row>
    <row r="71" spans="4:61" ht="15" hidden="1" customHeight="1">
      <c r="D71" s="913"/>
      <c r="E71" s="914"/>
      <c r="F71" s="911" t="s">
        <v>312</v>
      </c>
      <c r="G71" s="911"/>
      <c r="H71" s="911" t="s">
        <v>312</v>
      </c>
      <c r="I71" s="911"/>
      <c r="J71" s="911"/>
      <c r="K71" s="404" t="str">
        <f>IF(K49=0,"",HLOOKUP(K49,BASECG!$C$1:$OG$31,27,FALSE))</f>
        <v/>
      </c>
    </row>
    <row r="72" spans="4:61" ht="15" hidden="1" customHeight="1">
      <c r="D72" s="913"/>
      <c r="E72" s="914"/>
      <c r="F72" s="911" t="s">
        <v>313</v>
      </c>
      <c r="G72" s="911"/>
      <c r="H72" s="911" t="s">
        <v>313</v>
      </c>
      <c r="I72" s="911"/>
      <c r="J72" s="911"/>
      <c r="K72" s="402" t="str">
        <f>IF(K49=0,"",HLOOKUP(K49,BASECG!$C$1:$OG$31,28,FALSE))</f>
        <v/>
      </c>
    </row>
    <row r="73" spans="4:61" ht="15" hidden="1" customHeight="1">
      <c r="D73" s="913"/>
      <c r="E73" s="914"/>
      <c r="F73" s="911" t="s">
        <v>314</v>
      </c>
      <c r="G73" s="911"/>
      <c r="H73" s="911" t="s">
        <v>314</v>
      </c>
      <c r="I73" s="911"/>
      <c r="J73" s="911"/>
      <c r="K73" s="402" t="str">
        <f>IF(K49=0,"",HLOOKUP(K49,BASECG!$C$1:$OG$31,29,FALSE))</f>
        <v/>
      </c>
    </row>
    <row r="74" spans="4:61" ht="15" hidden="1" customHeight="1">
      <c r="D74" s="913"/>
      <c r="E74" s="914"/>
      <c r="F74" s="907" t="s">
        <v>319</v>
      </c>
      <c r="G74" s="907"/>
      <c r="H74" s="907"/>
      <c r="I74" s="907"/>
      <c r="J74" s="907"/>
      <c r="K74" s="403" t="str">
        <f>IF(K49=0,"",HLOOKUP(K49,BASECG!$C$1:$OG$31,30,FALSE))</f>
        <v/>
      </c>
    </row>
    <row r="75" spans="4:61" hidden="1">
      <c r="D75" s="913"/>
      <c r="E75" s="914"/>
      <c r="F75" s="363" t="s">
        <v>315</v>
      </c>
      <c r="G75" s="405"/>
      <c r="H75" s="920" t="s">
        <v>51</v>
      </c>
      <c r="I75" s="920"/>
      <c r="J75" s="920"/>
      <c r="K75" s="406"/>
    </row>
    <row r="76" spans="4:61" hidden="1"/>
  </sheetData>
  <sheetProtection selectLockedCells="1"/>
  <mergeCells count="70">
    <mergeCell ref="K17:Q17"/>
    <mergeCell ref="N21:N23"/>
    <mergeCell ref="M20:M31"/>
    <mergeCell ref="F14:H14"/>
    <mergeCell ref="F16:H16"/>
    <mergeCell ref="O27:Q27"/>
    <mergeCell ref="O28:Q28"/>
    <mergeCell ref="O29:Q29"/>
    <mergeCell ref="O30:Q30"/>
    <mergeCell ref="O21:Q21"/>
    <mergeCell ref="O22:Q22"/>
    <mergeCell ref="O20:Q20"/>
    <mergeCell ref="O23:Q23"/>
    <mergeCell ref="O24:Q24"/>
    <mergeCell ref="O25:Q25"/>
    <mergeCell ref="F32:J32"/>
    <mergeCell ref="F33:J33"/>
    <mergeCell ref="F20:J20"/>
    <mergeCell ref="F21:J21"/>
    <mergeCell ref="F22:J22"/>
    <mergeCell ref="F23:J23"/>
    <mergeCell ref="F26:J26"/>
    <mergeCell ref="H75:J75"/>
    <mergeCell ref="D35:K35"/>
    <mergeCell ref="F12:H12"/>
    <mergeCell ref="K12:Q12"/>
    <mergeCell ref="F25:J25"/>
    <mergeCell ref="K16:Q16"/>
    <mergeCell ref="K14:Q14"/>
    <mergeCell ref="O26:Q26"/>
    <mergeCell ref="N24:N31"/>
    <mergeCell ref="F27:J27"/>
    <mergeCell ref="D20:E33"/>
    <mergeCell ref="F24:J24"/>
    <mergeCell ref="F28:J28"/>
    <mergeCell ref="F29:J29"/>
    <mergeCell ref="F30:J30"/>
    <mergeCell ref="F31:J31"/>
    <mergeCell ref="F72:J72"/>
    <mergeCell ref="D64:D75"/>
    <mergeCell ref="E65:E67"/>
    <mergeCell ref="E68:E75"/>
    <mergeCell ref="D50:E63"/>
    <mergeCell ref="F50:J50"/>
    <mergeCell ref="F51:J51"/>
    <mergeCell ref="F52:J52"/>
    <mergeCell ref="F53:J53"/>
    <mergeCell ref="F54:J54"/>
    <mergeCell ref="F55:J55"/>
    <mergeCell ref="F56:J56"/>
    <mergeCell ref="F57:J57"/>
    <mergeCell ref="F58:J58"/>
    <mergeCell ref="F59:J59"/>
    <mergeCell ref="F60:J60"/>
    <mergeCell ref="L9:Q10"/>
    <mergeCell ref="M32:R34"/>
    <mergeCell ref="F74:J74"/>
    <mergeCell ref="F61:J61"/>
    <mergeCell ref="F62:J62"/>
    <mergeCell ref="F63:J63"/>
    <mergeCell ref="F73:J73"/>
    <mergeCell ref="F64:J64"/>
    <mergeCell ref="F65:J65"/>
    <mergeCell ref="F66:J66"/>
    <mergeCell ref="F67:J67"/>
    <mergeCell ref="F68:J68"/>
    <mergeCell ref="F49:J49"/>
    <mergeCell ref="F69:J69"/>
    <mergeCell ref="F70:J70"/>
    <mergeCell ref="F71:J71"/>
  </mergeCells>
  <conditionalFormatting sqref="K20:K21 K23:K24">
    <cfRule type="cellIs" dxfId="144" priority="9" operator="equal">
      <formula>""</formula>
    </cfRule>
  </conditionalFormatting>
  <conditionalFormatting sqref="K12:Q12">
    <cfRule type="containsBlanks" dxfId="143" priority="4">
      <formula>LEN(TRIM(K12))=0</formula>
    </cfRule>
  </conditionalFormatting>
  <conditionalFormatting sqref="K14:Q14">
    <cfRule type="containsBlanks" dxfId="142" priority="6">
      <formula>LEN(TRIM(K14))=0</formula>
    </cfRule>
  </conditionalFormatting>
  <conditionalFormatting sqref="K16:Q16">
    <cfRule type="containsBlanks" dxfId="141" priority="5">
      <formula>LEN(TRIM(K16))=0</formula>
    </cfRule>
  </conditionalFormatting>
  <conditionalFormatting sqref="P31">
    <cfRule type="cellIs" dxfId="140" priority="7" operator="equal">
      <formula>""</formula>
    </cfRule>
  </conditionalFormatting>
  <conditionalFormatting sqref="R31">
    <cfRule type="cellIs" dxfId="139" priority="8" operator="equal">
      <formula>""</formula>
    </cfRule>
  </conditionalFormatting>
  <conditionalFormatting sqref="U4">
    <cfRule type="expression" dxfId="138" priority="11">
      <formula>$B$5-$U$4&gt;7</formula>
    </cfRule>
  </conditionalFormatting>
  <dataValidations count="8">
    <dataValidation type="whole" allowBlank="1" showInputMessage="1" showErrorMessage="1" sqref="G75" xr:uid="{8A7D7145-26CC-4F17-A4AD-E539835B57EE}">
      <formula1>60</formula1>
      <formula2>80</formula2>
    </dataValidation>
    <dataValidation type="list" allowBlank="1" showInputMessage="1" sqref="K14:Q14" xr:uid="{39C84A49-0448-4630-826F-01A4AFD3BFE8}">
      <formula1>Compagnies</formula1>
    </dataValidation>
    <dataValidation type="list" allowBlank="1" showInputMessage="1" sqref="K16:Q16" xr:uid="{D58A71D3-9E5E-4429-A806-129EB6DC735F}">
      <formula1>INDIRECT($K$14)</formula1>
    </dataValidation>
    <dataValidation type="list" allowBlank="1" showInputMessage="1" showErrorMessage="1" sqref="R23" xr:uid="{26CA7E9E-42F6-43A8-8336-A6B2781826A0}">
      <formula1>"Oui,Non,NC"</formula1>
    </dataValidation>
    <dataValidation type="whole" allowBlank="1" showInputMessage="1" showErrorMessage="1" sqref="K23:K24" xr:uid="{711420A0-C722-409A-9D13-BCF3516FFB30}">
      <formula1>0</formula1>
      <formula2>100000000</formula2>
    </dataValidation>
    <dataValidation type="whole" allowBlank="1" showInputMessage="1" showErrorMessage="1" sqref="K20 R31" xr:uid="{9753A4C3-B89C-4A8A-9FD9-C826331766FD}">
      <formula1>0</formula1>
      <formula2>500000</formula2>
    </dataValidation>
    <dataValidation type="date" allowBlank="1" showInputMessage="1" showErrorMessage="1" sqref="K21" xr:uid="{7865BA1F-86B9-43A8-9867-7F89AF826A41}">
      <formula1>1</formula1>
      <formula2>TODAY()</formula2>
    </dataValidation>
    <dataValidation type="whole" allowBlank="1" showInputMessage="1" showErrorMessage="1" sqref="P31" xr:uid="{C49E9EDA-6870-4211-9AC7-7F6814DA68EE}">
      <formula1>55</formula1>
      <formula2>85</formula2>
    </dataValidation>
  </dataValidations>
  <pageMargins left="0.7" right="0.7" top="0.75" bottom="0.75" header="0.3" footer="0.3"/>
  <pageSetup paperSize="9" orientation="portrait" verticalDpi="0" r:id="rId1"/>
  <drawing r:id="rId2"/>
  <legacyDrawing r:id="rId3"/>
  <controls>
    <mc:AlternateContent xmlns:mc="http://schemas.openxmlformats.org/markup-compatibility/2006">
      <mc:Choice Requires="x14">
        <control shapeId="27699" r:id="rId4" name="Evolution_PER">
          <controlPr locked="0" defaultSize="0" autoLine="0" linkedCell="S16" r:id="rId5">
            <anchor moveWithCells="1">
              <from>
                <xdr:col>17</xdr:col>
                <xdr:colOff>182880</xdr:colOff>
                <xdr:row>15</xdr:row>
                <xdr:rowOff>30480</xdr:rowOff>
              </from>
              <to>
                <xdr:col>17</xdr:col>
                <xdr:colOff>1242060</xdr:colOff>
                <xdr:row>16</xdr:row>
                <xdr:rowOff>38100</xdr:rowOff>
              </to>
            </anchor>
          </controlPr>
        </control>
      </mc:Choice>
      <mc:Fallback>
        <control shapeId="27699" r:id="rId4" name="Evolution_PER"/>
      </mc:Fallback>
    </mc:AlternateContent>
  </controls>
  <extLst>
    <ext xmlns:x14="http://schemas.microsoft.com/office/spreadsheetml/2009/9/main" uri="{CCE6A557-97BC-4b89-ADB6-D9C93CAAB3DF}">
      <x14:dataValidations xmlns:xm="http://schemas.microsoft.com/office/excel/2006/main" count="1">
        <x14:dataValidation type="list" allowBlank="1" showInputMessage="1" showErrorMessage="1" xr:uid="{A942F1BE-28E3-475F-AF61-574624EB4CE0}">
          <x14:formula1>
            <xm:f>Données!$H$50:$H$57</xm:f>
          </x14:formula1>
          <xm:sqref>K12:Q12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D79F-2E9A-475E-A34B-0DB559D5CBDC}">
  <sheetPr codeName="Feuil3">
    <tabColor theme="9" tint="0.39997558519241921"/>
  </sheetPr>
  <dimension ref="A1:OG49"/>
  <sheetViews>
    <sheetView workbookViewId="0">
      <pane xSplit="2" ySplit="5" topLeftCell="HR19" activePane="bottomRight" state="frozen"/>
      <selection pane="topRight" activeCell="C1" sqref="C1"/>
      <selection pane="bottomLeft" activeCell="A6" sqref="A6"/>
      <selection pane="bottomRight" activeCell="HU25" sqref="HU25"/>
    </sheetView>
  </sheetViews>
  <sheetFormatPr baseColWidth="10" defaultRowHeight="14.4"/>
  <cols>
    <col min="2" max="2" width="40.6640625" bestFit="1" customWidth="1"/>
    <col min="3" max="63" width="11.44140625" style="366" customWidth="1"/>
  </cols>
  <sheetData>
    <row r="1" spans="1:397" ht="28.8">
      <c r="A1" t="s">
        <v>1698</v>
      </c>
      <c r="B1" s="367"/>
      <c r="C1" s="368" t="s">
        <v>409</v>
      </c>
      <c r="D1" s="368" t="s">
        <v>410</v>
      </c>
      <c r="E1" s="368" t="s">
        <v>411</v>
      </c>
      <c r="F1" s="368" t="s">
        <v>412</v>
      </c>
      <c r="G1" s="368" t="s">
        <v>413</v>
      </c>
      <c r="H1" s="368" t="s">
        <v>414</v>
      </c>
      <c r="I1" s="368" t="s">
        <v>415</v>
      </c>
      <c r="J1" s="368" t="s">
        <v>416</v>
      </c>
      <c r="K1" s="368" t="s">
        <v>417</v>
      </c>
      <c r="L1" s="368" t="s">
        <v>418</v>
      </c>
      <c r="M1" s="368" t="s">
        <v>419</v>
      </c>
      <c r="N1" s="368" t="s">
        <v>420</v>
      </c>
      <c r="O1" s="368" t="s">
        <v>421</v>
      </c>
      <c r="P1" s="368" t="s">
        <v>422</v>
      </c>
      <c r="Q1" s="368" t="s">
        <v>423</v>
      </c>
      <c r="R1" s="368" t="s">
        <v>424</v>
      </c>
      <c r="S1" s="368" t="s">
        <v>425</v>
      </c>
      <c r="T1" s="368" t="s">
        <v>426</v>
      </c>
      <c r="U1" s="368" t="s">
        <v>427</v>
      </c>
      <c r="V1" s="368" t="s">
        <v>428</v>
      </c>
      <c r="W1" s="368" t="s">
        <v>429</v>
      </c>
      <c r="X1" s="368" t="s">
        <v>430</v>
      </c>
      <c r="Y1" s="368" t="s">
        <v>431</v>
      </c>
      <c r="Z1" s="368" t="s">
        <v>432</v>
      </c>
      <c r="AA1" s="368" t="s">
        <v>433</v>
      </c>
      <c r="AB1" s="368" t="s">
        <v>434</v>
      </c>
      <c r="AC1" s="368" t="s">
        <v>435</v>
      </c>
      <c r="AD1" s="368" t="s">
        <v>436</v>
      </c>
      <c r="AE1" s="368" t="s">
        <v>437</v>
      </c>
      <c r="AF1" s="368" t="s">
        <v>438</v>
      </c>
      <c r="AG1" s="368" t="s">
        <v>439</v>
      </c>
      <c r="AH1" s="368" t="s">
        <v>440</v>
      </c>
      <c r="AI1" s="368" t="s">
        <v>441</v>
      </c>
      <c r="AJ1" s="368" t="s">
        <v>442</v>
      </c>
      <c r="AK1" s="368" t="s">
        <v>443</v>
      </c>
      <c r="AL1" s="368" t="s">
        <v>444</v>
      </c>
      <c r="AM1" s="368" t="s">
        <v>445</v>
      </c>
      <c r="AN1" s="368" t="s">
        <v>446</v>
      </c>
      <c r="AO1" s="368" t="s">
        <v>447</v>
      </c>
      <c r="AP1" s="368" t="s">
        <v>448</v>
      </c>
      <c r="AQ1" s="368" t="s">
        <v>449</v>
      </c>
      <c r="AR1" s="368" t="s">
        <v>450</v>
      </c>
      <c r="AS1" s="368" t="s">
        <v>451</v>
      </c>
      <c r="AT1" s="368" t="s">
        <v>452</v>
      </c>
      <c r="AU1" s="368" t="s">
        <v>453</v>
      </c>
      <c r="AV1" s="368" t="s">
        <v>454</v>
      </c>
      <c r="AW1" s="368" t="s">
        <v>455</v>
      </c>
      <c r="AX1" s="368" t="s">
        <v>456</v>
      </c>
      <c r="AY1" s="368" t="s">
        <v>457</v>
      </c>
      <c r="AZ1" s="368" t="s">
        <v>458</v>
      </c>
      <c r="BA1" s="368" t="s">
        <v>459</v>
      </c>
      <c r="BB1" s="368" t="s">
        <v>460</v>
      </c>
      <c r="BC1" s="368" t="s">
        <v>461</v>
      </c>
      <c r="BD1" s="368" t="s">
        <v>462</v>
      </c>
      <c r="BE1" s="368" t="s">
        <v>463</v>
      </c>
      <c r="BF1" s="368" t="s">
        <v>464</v>
      </c>
      <c r="BG1" s="368" t="s">
        <v>465</v>
      </c>
      <c r="BH1" s="368" t="s">
        <v>466</v>
      </c>
      <c r="BI1" s="368" t="s">
        <v>467</v>
      </c>
      <c r="BJ1" s="368" t="s">
        <v>468</v>
      </c>
      <c r="BK1" s="368" t="s">
        <v>877</v>
      </c>
      <c r="BL1" s="368" t="s">
        <v>878</v>
      </c>
      <c r="BM1" s="368" t="s">
        <v>879</v>
      </c>
      <c r="BN1" s="368" t="s">
        <v>880</v>
      </c>
      <c r="BO1" s="368" t="s">
        <v>881</v>
      </c>
      <c r="BP1" s="368" t="s">
        <v>882</v>
      </c>
      <c r="BQ1" s="368" t="s">
        <v>883</v>
      </c>
      <c r="BR1" s="368" t="s">
        <v>884</v>
      </c>
      <c r="BS1" s="368" t="s">
        <v>885</v>
      </c>
      <c r="BT1" s="368" t="s">
        <v>886</v>
      </c>
      <c r="BU1" s="368" t="s">
        <v>887</v>
      </c>
      <c r="BV1" s="368" t="s">
        <v>888</v>
      </c>
      <c r="BW1" s="368" t="s">
        <v>889</v>
      </c>
      <c r="BX1" s="368" t="s">
        <v>890</v>
      </c>
      <c r="BY1" s="368" t="s">
        <v>891</v>
      </c>
      <c r="BZ1" s="368" t="s">
        <v>892</v>
      </c>
      <c r="CA1" s="368" t="s">
        <v>893</v>
      </c>
      <c r="CB1" s="368" t="s">
        <v>894</v>
      </c>
      <c r="CC1" s="368" t="s">
        <v>895</v>
      </c>
      <c r="CD1" s="368" t="s">
        <v>896</v>
      </c>
      <c r="CE1" s="368" t="s">
        <v>897</v>
      </c>
      <c r="CF1" s="368" t="s">
        <v>898</v>
      </c>
      <c r="CG1" s="368" t="s">
        <v>899</v>
      </c>
      <c r="CH1" s="368" t="s">
        <v>900</v>
      </c>
      <c r="CI1" s="368" t="s">
        <v>901</v>
      </c>
      <c r="CJ1" s="368" t="s">
        <v>902</v>
      </c>
      <c r="CK1" s="368" t="s">
        <v>903</v>
      </c>
      <c r="CL1" s="368" t="s">
        <v>904</v>
      </c>
      <c r="CM1" s="368" t="s">
        <v>905</v>
      </c>
      <c r="CN1" s="368" t="s">
        <v>906</v>
      </c>
      <c r="CO1" s="368" t="s">
        <v>907</v>
      </c>
      <c r="CP1" s="368" t="s">
        <v>908</v>
      </c>
      <c r="CQ1" s="368" t="s">
        <v>909</v>
      </c>
      <c r="CR1" s="368" t="s">
        <v>910</v>
      </c>
      <c r="CS1" s="368" t="s">
        <v>911</v>
      </c>
      <c r="CT1" s="368" t="s">
        <v>912</v>
      </c>
      <c r="CU1" s="368" t="s">
        <v>913</v>
      </c>
      <c r="CV1" s="368" t="s">
        <v>914</v>
      </c>
      <c r="CW1" s="368" t="s">
        <v>915</v>
      </c>
      <c r="CX1" s="368" t="s">
        <v>916</v>
      </c>
      <c r="CY1" s="368" t="s">
        <v>917</v>
      </c>
      <c r="CZ1" s="368" t="s">
        <v>918</v>
      </c>
      <c r="DA1" s="368" t="s">
        <v>919</v>
      </c>
      <c r="DB1" s="368" t="s">
        <v>920</v>
      </c>
      <c r="DC1" s="368" t="s">
        <v>921</v>
      </c>
      <c r="DD1" s="368" t="s">
        <v>922</v>
      </c>
      <c r="DE1" s="368" t="s">
        <v>923</v>
      </c>
      <c r="DF1" s="368" t="s">
        <v>924</v>
      </c>
      <c r="DG1" s="368" t="s">
        <v>925</v>
      </c>
      <c r="DH1" s="368" t="s">
        <v>926</v>
      </c>
      <c r="DI1" s="368" t="s">
        <v>927</v>
      </c>
      <c r="DJ1" s="368" t="s">
        <v>928</v>
      </c>
      <c r="DK1" s="368" t="s">
        <v>929</v>
      </c>
      <c r="DL1" s="368" t="s">
        <v>930</v>
      </c>
      <c r="DM1" s="368" t="s">
        <v>931</v>
      </c>
      <c r="DN1" s="368" t="s">
        <v>932</v>
      </c>
      <c r="DO1" s="368" t="s">
        <v>933</v>
      </c>
      <c r="DP1" s="368" t="s">
        <v>934</v>
      </c>
      <c r="DQ1" s="368" t="s">
        <v>935</v>
      </c>
      <c r="DR1" s="368" t="s">
        <v>936</v>
      </c>
      <c r="DS1" s="368" t="s">
        <v>937</v>
      </c>
      <c r="DT1" s="368" t="s">
        <v>938</v>
      </c>
      <c r="DU1" s="368" t="s">
        <v>939</v>
      </c>
      <c r="DV1" s="368" t="s">
        <v>940</v>
      </c>
      <c r="DW1" s="368" t="s">
        <v>941</v>
      </c>
      <c r="DX1" s="368" t="s">
        <v>942</v>
      </c>
      <c r="DY1" s="368" t="s">
        <v>943</v>
      </c>
      <c r="DZ1" s="368" t="s">
        <v>944</v>
      </c>
      <c r="EA1" s="368" t="s">
        <v>945</v>
      </c>
      <c r="EB1" s="368" t="s">
        <v>946</v>
      </c>
      <c r="EC1" s="368" t="s">
        <v>947</v>
      </c>
      <c r="ED1" s="368" t="s">
        <v>948</v>
      </c>
      <c r="EE1" s="368" t="s">
        <v>949</v>
      </c>
      <c r="EF1" s="368" t="s">
        <v>950</v>
      </c>
      <c r="EG1" s="368" t="s">
        <v>951</v>
      </c>
      <c r="EH1" s="368" t="s">
        <v>952</v>
      </c>
      <c r="EI1" s="368" t="s">
        <v>953</v>
      </c>
      <c r="EJ1" s="368" t="s">
        <v>954</v>
      </c>
      <c r="EK1" s="368" t="s">
        <v>955</v>
      </c>
      <c r="EL1" s="368" t="s">
        <v>956</v>
      </c>
      <c r="EM1" s="368" t="s">
        <v>957</v>
      </c>
      <c r="EN1" s="368" t="s">
        <v>958</v>
      </c>
      <c r="EO1" s="368" t="s">
        <v>959</v>
      </c>
      <c r="EP1" s="368" t="s">
        <v>960</v>
      </c>
      <c r="EQ1" s="368" t="s">
        <v>961</v>
      </c>
      <c r="ER1" s="368" t="s">
        <v>962</v>
      </c>
      <c r="ES1" s="368" t="s">
        <v>963</v>
      </c>
      <c r="ET1" s="368" t="s">
        <v>964</v>
      </c>
      <c r="EU1" s="368" t="s">
        <v>965</v>
      </c>
      <c r="EV1" s="368" t="s">
        <v>966</v>
      </c>
      <c r="EW1" s="368" t="s">
        <v>967</v>
      </c>
      <c r="EX1" s="368" t="s">
        <v>968</v>
      </c>
      <c r="EY1" s="368" t="s">
        <v>969</v>
      </c>
      <c r="EZ1" s="368" t="s">
        <v>970</v>
      </c>
      <c r="FA1" s="368" t="s">
        <v>971</v>
      </c>
      <c r="FB1" s="368" t="s">
        <v>972</v>
      </c>
      <c r="FC1" s="368" t="s">
        <v>973</v>
      </c>
      <c r="FD1" s="368" t="s">
        <v>974</v>
      </c>
      <c r="FE1" s="368" t="s">
        <v>975</v>
      </c>
      <c r="FF1" s="368" t="s">
        <v>976</v>
      </c>
      <c r="FG1" s="368" t="s">
        <v>977</v>
      </c>
      <c r="FH1" s="368" t="s">
        <v>978</v>
      </c>
      <c r="FI1" s="368" t="s">
        <v>979</v>
      </c>
      <c r="FJ1" s="368" t="s">
        <v>980</v>
      </c>
      <c r="FK1" s="368" t="s">
        <v>981</v>
      </c>
      <c r="FL1" s="368" t="s">
        <v>982</v>
      </c>
      <c r="FM1" s="368" t="s">
        <v>983</v>
      </c>
      <c r="FN1" s="368" t="s">
        <v>984</v>
      </c>
      <c r="FO1" s="368" t="s">
        <v>985</v>
      </c>
      <c r="FP1" s="368" t="s">
        <v>986</v>
      </c>
      <c r="FQ1" s="368" t="s">
        <v>987</v>
      </c>
      <c r="FR1" s="368" t="s">
        <v>988</v>
      </c>
      <c r="FS1" s="368" t="s">
        <v>989</v>
      </c>
      <c r="FT1" s="368" t="s">
        <v>990</v>
      </c>
      <c r="FU1" s="368" t="s">
        <v>991</v>
      </c>
      <c r="FV1" s="368" t="s">
        <v>992</v>
      </c>
      <c r="FW1" s="368" t="s">
        <v>993</v>
      </c>
      <c r="FX1" s="368" t="s">
        <v>994</v>
      </c>
      <c r="FY1" s="368" t="s">
        <v>995</v>
      </c>
      <c r="FZ1" s="368" t="s">
        <v>996</v>
      </c>
      <c r="GA1" s="368" t="s">
        <v>997</v>
      </c>
      <c r="GB1" s="368" t="s">
        <v>998</v>
      </c>
      <c r="GC1" s="368" t="s">
        <v>999</v>
      </c>
      <c r="GD1" s="368" t="s">
        <v>1000</v>
      </c>
      <c r="GE1" s="368" t="s">
        <v>1001</v>
      </c>
      <c r="GF1" s="368" t="s">
        <v>1002</v>
      </c>
      <c r="GG1" s="368" t="s">
        <v>1003</v>
      </c>
      <c r="GH1" s="368" t="s">
        <v>1004</v>
      </c>
      <c r="GI1" s="368" t="s">
        <v>1005</v>
      </c>
      <c r="GJ1" s="368" t="s">
        <v>1006</v>
      </c>
      <c r="GK1" s="368" t="s">
        <v>1007</v>
      </c>
      <c r="GL1" s="368" t="s">
        <v>1008</v>
      </c>
      <c r="GM1" s="368" t="s">
        <v>1009</v>
      </c>
      <c r="GN1" s="368" t="s">
        <v>1010</v>
      </c>
      <c r="GO1" s="368" t="s">
        <v>1011</v>
      </c>
      <c r="GP1" s="368" t="s">
        <v>1012</v>
      </c>
      <c r="GQ1" s="368" t="s">
        <v>1013</v>
      </c>
      <c r="GR1" s="368" t="s">
        <v>1014</v>
      </c>
      <c r="GS1" s="368" t="s">
        <v>1015</v>
      </c>
      <c r="GT1" s="368" t="s">
        <v>1016</v>
      </c>
      <c r="GU1" s="368" t="s">
        <v>1017</v>
      </c>
      <c r="GV1" s="368" t="s">
        <v>1018</v>
      </c>
      <c r="GW1" s="368" t="s">
        <v>1019</v>
      </c>
      <c r="GX1" s="368" t="s">
        <v>1020</v>
      </c>
      <c r="GY1" s="368" t="s">
        <v>1021</v>
      </c>
      <c r="GZ1" s="368" t="s">
        <v>1022</v>
      </c>
      <c r="HA1" s="368" t="s">
        <v>1023</v>
      </c>
      <c r="HB1" s="368" t="s">
        <v>1024</v>
      </c>
      <c r="HC1" s="368" t="s">
        <v>1025</v>
      </c>
      <c r="HD1" s="368" t="s">
        <v>1026</v>
      </c>
      <c r="HE1" s="368" t="s">
        <v>1027</v>
      </c>
      <c r="HF1" s="368" t="s">
        <v>1028</v>
      </c>
      <c r="HG1" s="368" t="s">
        <v>1029</v>
      </c>
      <c r="HH1" s="368" t="s">
        <v>1030</v>
      </c>
      <c r="HI1" s="368" t="s">
        <v>1031</v>
      </c>
      <c r="HJ1" s="368" t="s">
        <v>1032</v>
      </c>
      <c r="HK1" s="368" t="s">
        <v>1033</v>
      </c>
      <c r="HL1" s="368" t="s">
        <v>1034</v>
      </c>
      <c r="HM1" s="368" t="s">
        <v>1035</v>
      </c>
      <c r="HN1" s="368" t="s">
        <v>1036</v>
      </c>
      <c r="HO1" s="368" t="s">
        <v>1037</v>
      </c>
      <c r="HP1" s="368" t="s">
        <v>1038</v>
      </c>
      <c r="HQ1" s="368" t="s">
        <v>1039</v>
      </c>
      <c r="HR1" s="368" t="s">
        <v>1040</v>
      </c>
      <c r="HS1" s="368" t="s">
        <v>1041</v>
      </c>
      <c r="HT1" s="368" t="s">
        <v>1042</v>
      </c>
      <c r="HU1" s="368" t="s">
        <v>1043</v>
      </c>
      <c r="HV1" s="368" t="s">
        <v>1044</v>
      </c>
      <c r="HW1" s="368" t="s">
        <v>1045</v>
      </c>
      <c r="HX1" s="368" t="s">
        <v>1046</v>
      </c>
      <c r="HY1" s="368" t="s">
        <v>1047</v>
      </c>
      <c r="HZ1" s="368" t="s">
        <v>1048</v>
      </c>
      <c r="IA1" s="368" t="s">
        <v>1049</v>
      </c>
      <c r="IB1" s="368" t="s">
        <v>1050</v>
      </c>
      <c r="IC1" s="368" t="s">
        <v>1051</v>
      </c>
      <c r="ID1" s="368" t="s">
        <v>1052</v>
      </c>
      <c r="IE1" s="368" t="s">
        <v>1053</v>
      </c>
      <c r="IF1" s="368" t="s">
        <v>1054</v>
      </c>
      <c r="IG1" s="368" t="s">
        <v>1055</v>
      </c>
      <c r="IH1" s="368" t="s">
        <v>1056</v>
      </c>
      <c r="II1" s="368" t="s">
        <v>1057</v>
      </c>
      <c r="IJ1" s="368" t="s">
        <v>1058</v>
      </c>
      <c r="IK1" s="368" t="s">
        <v>1059</v>
      </c>
      <c r="IL1" s="368" t="s">
        <v>1060</v>
      </c>
      <c r="IM1" s="368" t="s">
        <v>1061</v>
      </c>
      <c r="IN1" s="368" t="s">
        <v>1062</v>
      </c>
      <c r="IO1" s="368" t="s">
        <v>1063</v>
      </c>
      <c r="IP1" s="368" t="s">
        <v>1064</v>
      </c>
      <c r="IQ1" s="368" t="s">
        <v>1065</v>
      </c>
      <c r="IR1" s="368" t="s">
        <v>1066</v>
      </c>
      <c r="IS1" s="368" t="s">
        <v>1067</v>
      </c>
      <c r="IT1" s="368" t="s">
        <v>1068</v>
      </c>
      <c r="IU1" s="368" t="s">
        <v>1069</v>
      </c>
      <c r="IV1" s="368" t="s">
        <v>1070</v>
      </c>
      <c r="IW1" s="368" t="s">
        <v>1071</v>
      </c>
      <c r="IX1" s="368" t="s">
        <v>1072</v>
      </c>
      <c r="IY1" s="368" t="s">
        <v>1073</v>
      </c>
      <c r="IZ1" s="368" t="s">
        <v>1074</v>
      </c>
      <c r="JA1" s="368" t="s">
        <v>1075</v>
      </c>
      <c r="JB1" s="368" t="s">
        <v>1076</v>
      </c>
      <c r="JC1" s="368" t="s">
        <v>1077</v>
      </c>
      <c r="JD1" s="368" t="s">
        <v>1078</v>
      </c>
      <c r="JE1" s="368" t="s">
        <v>1079</v>
      </c>
      <c r="JF1" s="368" t="s">
        <v>1080</v>
      </c>
      <c r="JG1" s="368" t="s">
        <v>1081</v>
      </c>
      <c r="JH1" s="368" t="s">
        <v>1082</v>
      </c>
      <c r="JI1" s="368" t="s">
        <v>1083</v>
      </c>
      <c r="JJ1" s="368" t="s">
        <v>1084</v>
      </c>
      <c r="JK1" s="368" t="s">
        <v>1085</v>
      </c>
      <c r="JL1" s="368" t="s">
        <v>1086</v>
      </c>
      <c r="JM1" s="368" t="s">
        <v>1087</v>
      </c>
      <c r="JN1" s="368" t="s">
        <v>1088</v>
      </c>
      <c r="JO1" s="368" t="s">
        <v>1089</v>
      </c>
      <c r="JP1" s="368" t="s">
        <v>1090</v>
      </c>
      <c r="JQ1" s="368" t="s">
        <v>1091</v>
      </c>
      <c r="JR1" s="368" t="s">
        <v>1092</v>
      </c>
      <c r="JS1" s="368" t="s">
        <v>1093</v>
      </c>
      <c r="JT1" s="368" t="s">
        <v>1094</v>
      </c>
      <c r="JU1" s="368" t="s">
        <v>1095</v>
      </c>
      <c r="JV1" s="368" t="s">
        <v>1096</v>
      </c>
      <c r="JW1" s="368" t="s">
        <v>1097</v>
      </c>
      <c r="JX1" s="368" t="s">
        <v>1098</v>
      </c>
      <c r="JY1" s="368" t="s">
        <v>1099</v>
      </c>
      <c r="JZ1" s="368" t="s">
        <v>1100</v>
      </c>
      <c r="KA1" s="368" t="s">
        <v>1101</v>
      </c>
      <c r="KB1" s="368" t="s">
        <v>1102</v>
      </c>
      <c r="KC1" s="368" t="s">
        <v>1103</v>
      </c>
      <c r="KD1" s="368" t="s">
        <v>1104</v>
      </c>
      <c r="KE1" s="368" t="s">
        <v>1105</v>
      </c>
      <c r="KF1" s="368" t="s">
        <v>1106</v>
      </c>
      <c r="KG1" s="368" t="s">
        <v>1107</v>
      </c>
      <c r="KH1" s="368" t="s">
        <v>1108</v>
      </c>
      <c r="KI1" s="368" t="s">
        <v>1109</v>
      </c>
      <c r="KJ1" s="368" t="s">
        <v>1110</v>
      </c>
      <c r="KK1" s="368" t="s">
        <v>1111</v>
      </c>
      <c r="KL1" s="368" t="s">
        <v>1112</v>
      </c>
      <c r="KM1" s="368" t="s">
        <v>1113</v>
      </c>
      <c r="KN1" s="368" t="s">
        <v>1114</v>
      </c>
      <c r="KO1" s="368" t="s">
        <v>1115</v>
      </c>
      <c r="KP1" s="368" t="s">
        <v>1116</v>
      </c>
      <c r="KQ1" s="368" t="s">
        <v>1117</v>
      </c>
      <c r="KR1" s="368" t="s">
        <v>1118</v>
      </c>
      <c r="KS1" s="368" t="s">
        <v>1119</v>
      </c>
      <c r="KT1" s="368" t="s">
        <v>1120</v>
      </c>
      <c r="KU1" s="368" t="s">
        <v>1121</v>
      </c>
      <c r="KV1" s="368" t="s">
        <v>1122</v>
      </c>
      <c r="KW1" s="368" t="s">
        <v>1123</v>
      </c>
      <c r="KX1" s="368" t="s">
        <v>1124</v>
      </c>
      <c r="KY1" s="368" t="s">
        <v>1125</v>
      </c>
      <c r="KZ1" s="368" t="s">
        <v>1126</v>
      </c>
      <c r="LA1" s="368" t="s">
        <v>1127</v>
      </c>
      <c r="LB1" s="368" t="s">
        <v>1128</v>
      </c>
      <c r="LC1" s="368" t="s">
        <v>1129</v>
      </c>
      <c r="LD1" s="368" t="s">
        <v>1130</v>
      </c>
      <c r="LE1" s="368" t="s">
        <v>1131</v>
      </c>
      <c r="LF1" s="368" t="s">
        <v>1132</v>
      </c>
      <c r="LG1" s="368" t="s">
        <v>1133</v>
      </c>
      <c r="LH1" s="368" t="s">
        <v>1134</v>
      </c>
      <c r="LI1" s="368" t="s">
        <v>1135</v>
      </c>
      <c r="LJ1" s="368" t="s">
        <v>1136</v>
      </c>
      <c r="LK1" s="368" t="s">
        <v>1137</v>
      </c>
      <c r="LL1" s="368" t="s">
        <v>1138</v>
      </c>
      <c r="LM1" s="368" t="s">
        <v>1139</v>
      </c>
      <c r="LN1" s="368" t="s">
        <v>1140</v>
      </c>
      <c r="LO1" s="368" t="s">
        <v>1141</v>
      </c>
      <c r="LP1" s="368" t="s">
        <v>1142</v>
      </c>
      <c r="LQ1" s="368" t="s">
        <v>1143</v>
      </c>
      <c r="LR1" s="368" t="s">
        <v>1144</v>
      </c>
      <c r="LS1" s="368" t="s">
        <v>1145</v>
      </c>
      <c r="LT1" s="368" t="s">
        <v>1146</v>
      </c>
      <c r="LU1" s="368" t="s">
        <v>1147</v>
      </c>
      <c r="LV1" s="368" t="s">
        <v>1148</v>
      </c>
      <c r="LW1" s="368" t="s">
        <v>1149</v>
      </c>
      <c r="LX1" s="368" t="s">
        <v>1150</v>
      </c>
      <c r="LY1" s="368" t="s">
        <v>1151</v>
      </c>
      <c r="LZ1" s="368" t="s">
        <v>1152</v>
      </c>
      <c r="MA1" s="368" t="s">
        <v>1153</v>
      </c>
      <c r="MB1" s="368" t="s">
        <v>1154</v>
      </c>
      <c r="MC1" s="368" t="s">
        <v>1155</v>
      </c>
      <c r="MD1" s="368" t="s">
        <v>1156</v>
      </c>
      <c r="ME1" s="368" t="s">
        <v>1157</v>
      </c>
      <c r="MF1" s="368" t="s">
        <v>1158</v>
      </c>
      <c r="MG1" s="368" t="s">
        <v>1159</v>
      </c>
      <c r="MH1" s="368" t="s">
        <v>1160</v>
      </c>
      <c r="MI1" s="368" t="s">
        <v>1161</v>
      </c>
      <c r="MJ1" s="368" t="s">
        <v>1162</v>
      </c>
      <c r="MK1" s="368" t="s">
        <v>1163</v>
      </c>
      <c r="ML1" s="368" t="s">
        <v>1164</v>
      </c>
      <c r="MM1" s="368" t="s">
        <v>1165</v>
      </c>
      <c r="MN1" s="368" t="s">
        <v>1166</v>
      </c>
      <c r="MO1" s="368" t="s">
        <v>1167</v>
      </c>
      <c r="MP1" s="368" t="s">
        <v>1168</v>
      </c>
      <c r="MQ1" s="368" t="s">
        <v>1169</v>
      </c>
      <c r="MR1" s="368" t="s">
        <v>1170</v>
      </c>
      <c r="MS1" s="368" t="s">
        <v>1171</v>
      </c>
      <c r="MT1" s="368" t="s">
        <v>1172</v>
      </c>
      <c r="MU1" s="368" t="s">
        <v>1173</v>
      </c>
      <c r="MV1" s="368" t="s">
        <v>1174</v>
      </c>
      <c r="MW1" s="368" t="s">
        <v>1175</v>
      </c>
      <c r="MX1" s="368" t="s">
        <v>1176</v>
      </c>
      <c r="MY1" s="368" t="s">
        <v>1177</v>
      </c>
      <c r="MZ1" s="368" t="s">
        <v>1178</v>
      </c>
      <c r="NA1" s="368" t="s">
        <v>1179</v>
      </c>
      <c r="NB1" s="368" t="s">
        <v>1180</v>
      </c>
      <c r="NC1" s="368" t="s">
        <v>1181</v>
      </c>
      <c r="ND1" s="368" t="s">
        <v>1182</v>
      </c>
      <c r="NE1" s="368" t="s">
        <v>1183</v>
      </c>
      <c r="NF1" s="368" t="s">
        <v>1348</v>
      </c>
      <c r="NG1" s="368" t="s">
        <v>1349</v>
      </c>
      <c r="NH1" s="368" t="s">
        <v>1350</v>
      </c>
      <c r="NI1" s="368" t="s">
        <v>1351</v>
      </c>
      <c r="NJ1" s="368" t="s">
        <v>1352</v>
      </c>
      <c r="NK1" s="368" t="s">
        <v>1353</v>
      </c>
      <c r="NL1" s="368" t="s">
        <v>1354</v>
      </c>
      <c r="NM1" s="368" t="s">
        <v>1355</v>
      </c>
      <c r="NN1" s="368" t="s">
        <v>1356</v>
      </c>
      <c r="NO1" s="368" t="s">
        <v>1357</v>
      </c>
      <c r="NP1" s="368" t="s">
        <v>1358</v>
      </c>
      <c r="NQ1" s="368" t="s">
        <v>1359</v>
      </c>
      <c r="NR1" s="368" t="s">
        <v>1360</v>
      </c>
      <c r="NS1" s="368" t="s">
        <v>1361</v>
      </c>
      <c r="NT1" s="368" t="s">
        <v>1362</v>
      </c>
      <c r="NU1" s="368" t="s">
        <v>1363</v>
      </c>
      <c r="NV1" s="368" t="s">
        <v>1364</v>
      </c>
      <c r="NW1" s="368" t="s">
        <v>1365</v>
      </c>
      <c r="NX1" s="368" t="s">
        <v>1366</v>
      </c>
      <c r="NY1" s="368" t="s">
        <v>1367</v>
      </c>
      <c r="NZ1" s="368" t="s">
        <v>1368</v>
      </c>
      <c r="OA1" s="368" t="s">
        <v>1369</v>
      </c>
      <c r="OB1" s="368" t="s">
        <v>1370</v>
      </c>
      <c r="OC1" s="368" t="s">
        <v>1371</v>
      </c>
      <c r="OD1" s="368" t="s">
        <v>1372</v>
      </c>
      <c r="OE1" s="368" t="s">
        <v>1373</v>
      </c>
      <c r="OF1" s="368" t="s">
        <v>1374</v>
      </c>
      <c r="OG1" s="368" t="s">
        <v>1375</v>
      </c>
    </row>
    <row r="2" spans="1:397">
      <c r="A2">
        <f>COUNTA(C8:OG8)</f>
        <v>161</v>
      </c>
      <c r="B2" s="297"/>
      <c r="C2" s="387" t="str">
        <f>IF('CT à Transf'!$K$14=C4,"Oui","")</f>
        <v/>
      </c>
      <c r="D2" s="387" t="str">
        <f>IF('CT à Transf'!$K$14=D4,"Oui","")</f>
        <v/>
      </c>
      <c r="E2" s="387" t="str">
        <f>IF('CT à Transf'!$K$14=E4,"Oui","")</f>
        <v/>
      </c>
      <c r="F2" s="387" t="str">
        <f>IF('CT à Transf'!$K$14=F4,"Oui","")</f>
        <v/>
      </c>
      <c r="G2" s="387" t="str">
        <f>IF('CT à Transf'!$K$14=G4,"Oui","")</f>
        <v/>
      </c>
      <c r="H2" s="387" t="str">
        <f>IF('CT à Transf'!$K$14=H4,"Oui","")</f>
        <v/>
      </c>
      <c r="I2" s="387" t="str">
        <f>IF('CT à Transf'!$K$14=I4,"Oui","")</f>
        <v/>
      </c>
      <c r="J2" s="387" t="str">
        <f>IF('CT à Transf'!$K$14=J4,"Oui","")</f>
        <v/>
      </c>
      <c r="K2" s="387" t="str">
        <f>IF('CT à Transf'!$K$14=K4,"Oui","")</f>
        <v/>
      </c>
      <c r="L2" s="387" t="str">
        <f>IF('CT à Transf'!$K$14=L4,"Oui","")</f>
        <v/>
      </c>
      <c r="M2" s="387" t="str">
        <f>IF('CT à Transf'!$K$14=M4,"Oui","")</f>
        <v/>
      </c>
      <c r="N2" s="387" t="str">
        <f>IF('CT à Transf'!$K$14=N4,"Oui","")</f>
        <v/>
      </c>
      <c r="O2" s="387" t="str">
        <f>IF('CT à Transf'!$K$14=O4,"Oui","")</f>
        <v/>
      </c>
      <c r="P2" s="387" t="str">
        <f>IF('CT à Transf'!$K$14=P4,"Oui","")</f>
        <v/>
      </c>
      <c r="Q2" s="387" t="str">
        <f>IF('CT à Transf'!$K$14=Q4,"Oui","")</f>
        <v/>
      </c>
      <c r="R2" s="387" t="str">
        <f>IF('CT à Transf'!$K$14=R4,"Oui","")</f>
        <v/>
      </c>
      <c r="S2" s="387" t="str">
        <f>IF('CT à Transf'!$K$14=S4,"Oui","")</f>
        <v/>
      </c>
      <c r="T2" s="387" t="str">
        <f>IF('CT à Transf'!$K$14=T4,"Oui","")</f>
        <v/>
      </c>
      <c r="U2" s="387" t="str">
        <f>IF('CT à Transf'!$K$14=U4,"Oui","")</f>
        <v/>
      </c>
      <c r="V2" s="387" t="str">
        <f>IF('CT à Transf'!$K$14=V4,"Oui","")</f>
        <v/>
      </c>
      <c r="W2" s="387" t="str">
        <f>IF('CT à Transf'!$K$14=W4,"Oui","")</f>
        <v/>
      </c>
      <c r="X2" s="387" t="str">
        <f>IF('CT à Transf'!$K$14=X4,"Oui","")</f>
        <v/>
      </c>
      <c r="Y2" s="387" t="str">
        <f>IF('CT à Transf'!$K$14=Y4,"Oui","")</f>
        <v/>
      </c>
      <c r="Z2" s="387" t="str">
        <f>IF('CT à Transf'!$K$14=Z4,"Oui","")</f>
        <v/>
      </c>
      <c r="AA2" s="387" t="str">
        <f>IF('CT à Transf'!$K$14=AA4,"Oui","")</f>
        <v/>
      </c>
      <c r="AB2" s="387" t="str">
        <f>IF('CT à Transf'!$K$14=AB4,"Oui","")</f>
        <v/>
      </c>
      <c r="AC2" s="387" t="str">
        <f>IF('CT à Transf'!$K$14=AC4,"Oui","")</f>
        <v/>
      </c>
      <c r="AD2" s="387" t="str">
        <f>IF('CT à Transf'!$K$14=AD4,"Oui","")</f>
        <v/>
      </c>
      <c r="AE2" s="387" t="str">
        <f>IF('CT à Transf'!$K$14=AE4,"Oui","")</f>
        <v/>
      </c>
      <c r="AF2" s="387" t="str">
        <f>IF('CT à Transf'!$K$14=AF4,"Oui","")</f>
        <v/>
      </c>
      <c r="AG2" s="387" t="str">
        <f>IF('CT à Transf'!$K$14=AG4,"Oui","")</f>
        <v/>
      </c>
      <c r="AH2" s="387" t="str">
        <f>IF('CT à Transf'!$K$14=AH4,"Oui","")</f>
        <v/>
      </c>
      <c r="AI2" s="387" t="str">
        <f>IF('CT à Transf'!$K$14=AI4,"Oui","")</f>
        <v/>
      </c>
      <c r="AJ2" s="387" t="str">
        <f>IF('CT à Transf'!$K$14=AJ4,"Oui","")</f>
        <v/>
      </c>
      <c r="AK2" s="387" t="str">
        <f>IF('CT à Transf'!$K$14=AK4,"Oui","")</f>
        <v/>
      </c>
      <c r="AL2" s="387" t="str">
        <f>IF('CT à Transf'!$K$14=AL4,"Oui","")</f>
        <v/>
      </c>
      <c r="AM2" s="387" t="str">
        <f>IF('CT à Transf'!$K$14=AM4,"Oui","")</f>
        <v/>
      </c>
      <c r="AN2" s="387" t="str">
        <f>IF('CT à Transf'!$K$14=AN4,"Oui","")</f>
        <v/>
      </c>
      <c r="AO2" s="387" t="str">
        <f>IF('CT à Transf'!$K$14=AO4,"Oui","")</f>
        <v/>
      </c>
      <c r="AP2" s="387" t="str">
        <f>IF('CT à Transf'!$K$14=AP4,"Oui","")</f>
        <v/>
      </c>
      <c r="AQ2" s="387" t="str">
        <f>IF('CT à Transf'!$K$14=AQ4,"Oui","")</f>
        <v/>
      </c>
      <c r="AR2" s="387" t="str">
        <f>IF('CT à Transf'!$K$14=AR4,"Oui","")</f>
        <v/>
      </c>
      <c r="AS2" s="387" t="str">
        <f>IF('CT à Transf'!$K$14=AS4,"Oui","")</f>
        <v/>
      </c>
      <c r="AT2" s="387" t="str">
        <f>IF('CT à Transf'!$K$14=AT4,"Oui","")</f>
        <v/>
      </c>
      <c r="AU2" s="387" t="str">
        <f>IF('CT à Transf'!$K$14=AU4,"Oui","")</f>
        <v/>
      </c>
      <c r="AV2" s="387" t="str">
        <f>IF('CT à Transf'!$K$14=AV4,"Oui","")</f>
        <v/>
      </c>
      <c r="AW2" s="387" t="str">
        <f>IF('CT à Transf'!$K$14=AW4,"Oui","")</f>
        <v/>
      </c>
      <c r="AX2" s="387" t="str">
        <f>IF('CT à Transf'!$K$14=AX4,"Oui","")</f>
        <v/>
      </c>
      <c r="AY2" s="387" t="str">
        <f>IF('CT à Transf'!$K$14=AY4,"Oui","")</f>
        <v/>
      </c>
      <c r="AZ2" s="387" t="str">
        <f>IF('CT à Transf'!$K$14=AZ4,"Oui","")</f>
        <v/>
      </c>
      <c r="BA2" s="387" t="str">
        <f>IF('CT à Transf'!$K$14=BA4,"Oui","")</f>
        <v/>
      </c>
      <c r="BB2" s="387" t="str">
        <f>IF('CT à Transf'!$K$14=BB4,"Oui","")</f>
        <v/>
      </c>
      <c r="BC2" s="387" t="str">
        <f>IF('CT à Transf'!$K$14=BC4,"Oui","")</f>
        <v/>
      </c>
      <c r="BD2" s="387" t="str">
        <f>IF('CT à Transf'!$K$14=BD4,"Oui","")</f>
        <v/>
      </c>
      <c r="BE2" s="387" t="str">
        <f>IF('CT à Transf'!$K$14=BE4,"Oui","")</f>
        <v/>
      </c>
      <c r="BF2" s="387" t="str">
        <f>IF('CT à Transf'!$K$14=BF4,"Oui","")</f>
        <v/>
      </c>
      <c r="BG2" s="387" t="str">
        <f>IF('CT à Transf'!$K$14=BG4,"Oui","")</f>
        <v/>
      </c>
      <c r="BH2" s="387" t="str">
        <f>IF('CT à Transf'!$K$14=BH4,"Oui","")</f>
        <v/>
      </c>
      <c r="BI2" s="387" t="str">
        <f>IF('CT à Transf'!$K$14=BI4,"Oui","")</f>
        <v/>
      </c>
      <c r="BJ2" s="387" t="str">
        <f>IF('CT à Transf'!$K$14=BJ4,"Oui","")</f>
        <v/>
      </c>
      <c r="BK2" s="387" t="str">
        <f>IF('CT à Transf'!$K$14=BK4,"Oui","")</f>
        <v/>
      </c>
      <c r="BL2" s="387" t="str">
        <f>IF('CT à Transf'!$K$14=BL4,"Oui","")</f>
        <v/>
      </c>
      <c r="BM2" s="387" t="str">
        <f>IF('CT à Transf'!$K$14=BM4,"Oui","")</f>
        <v/>
      </c>
      <c r="BN2" s="387" t="str">
        <f>IF('CT à Transf'!$K$14=BN4,"Oui","")</f>
        <v/>
      </c>
      <c r="BO2" s="387" t="str">
        <f>IF('CT à Transf'!$K$14=BO4,"Oui","")</f>
        <v/>
      </c>
      <c r="BP2" s="387" t="str">
        <f>IF('CT à Transf'!$K$14=BP4,"Oui","")</f>
        <v/>
      </c>
      <c r="BQ2" s="387" t="str">
        <f>IF('CT à Transf'!$K$14=BQ4,"Oui","")</f>
        <v/>
      </c>
      <c r="BR2" s="387" t="str">
        <f>IF('CT à Transf'!$K$14=BR4,"Oui","")</f>
        <v/>
      </c>
      <c r="BS2" s="387" t="str">
        <f>IF('CT à Transf'!$K$14=BS4,"Oui","")</f>
        <v/>
      </c>
      <c r="BT2" s="387" t="str">
        <f>IF('CT à Transf'!$K$14=BT4,"Oui","")</f>
        <v/>
      </c>
      <c r="BU2" s="387" t="str">
        <f>IF('CT à Transf'!$K$14=BU4,"Oui","")</f>
        <v/>
      </c>
      <c r="BV2" s="387" t="str">
        <f>IF('CT à Transf'!$K$14=BV4,"Oui","")</f>
        <v/>
      </c>
      <c r="BW2" s="387" t="str">
        <f>IF('CT à Transf'!$K$14=BW4,"Oui","")</f>
        <v/>
      </c>
      <c r="BX2" s="387" t="str">
        <f>IF('CT à Transf'!$K$14=BX4,"Oui","")</f>
        <v/>
      </c>
      <c r="BY2" s="387" t="str">
        <f>IF('CT à Transf'!$K$14=BY4,"Oui","")</f>
        <v/>
      </c>
      <c r="BZ2" s="387" t="str">
        <f>IF('CT à Transf'!$K$14=BZ4,"Oui","")</f>
        <v/>
      </c>
      <c r="CA2" s="387" t="str">
        <f>IF('CT à Transf'!$K$14=CA4,"Oui","")</f>
        <v/>
      </c>
      <c r="CB2" s="387" t="str">
        <f>IF('CT à Transf'!$K$14=CB4,"Oui","")</f>
        <v/>
      </c>
      <c r="CC2" s="387" t="str">
        <f>IF('CT à Transf'!$K$14=CC4,"Oui","")</f>
        <v/>
      </c>
      <c r="CD2" s="387" t="str">
        <f>IF('CT à Transf'!$K$14=CD4,"Oui","")</f>
        <v/>
      </c>
      <c r="CE2" s="387" t="str">
        <f>IF('CT à Transf'!$K$14=CE4,"Oui","")</f>
        <v/>
      </c>
      <c r="CF2" s="387" t="str">
        <f>IF('CT à Transf'!$K$14=CF4,"Oui","")</f>
        <v/>
      </c>
      <c r="CG2" s="387" t="str">
        <f>IF('CT à Transf'!$K$14=CG4,"Oui","")</f>
        <v/>
      </c>
      <c r="CH2" s="387" t="str">
        <f>IF('CT à Transf'!$K$14=CH4,"Oui","")</f>
        <v/>
      </c>
      <c r="CI2" s="387" t="str">
        <f>IF('CT à Transf'!$K$14=CI4,"Oui","")</f>
        <v/>
      </c>
      <c r="CJ2" s="387" t="str">
        <f>IF('CT à Transf'!$K$14=CJ4,"Oui","")</f>
        <v/>
      </c>
      <c r="CK2" s="387" t="str">
        <f>IF('CT à Transf'!$K$14=CK4,"Oui","")</f>
        <v/>
      </c>
      <c r="CL2" s="387" t="str">
        <f>IF('CT à Transf'!$K$14=CL4,"Oui","")</f>
        <v/>
      </c>
      <c r="CM2" s="387" t="str">
        <f>IF('CT à Transf'!$K$14=CM4,"Oui","")</f>
        <v/>
      </c>
      <c r="CN2" s="387" t="str">
        <f>IF('CT à Transf'!$K$14=CN4,"Oui","")</f>
        <v/>
      </c>
      <c r="CO2" s="387" t="str">
        <f>IF('CT à Transf'!$K$14=CO4,"Oui","")</f>
        <v/>
      </c>
      <c r="CP2" s="387" t="str">
        <f>IF('CT à Transf'!$K$14=CP4,"Oui","")</f>
        <v/>
      </c>
      <c r="CQ2" s="387" t="str">
        <f>IF('CT à Transf'!$K$14=CQ4,"Oui","")</f>
        <v/>
      </c>
      <c r="CR2" s="387" t="str">
        <f>IF('CT à Transf'!$K$14=CR4,"Oui","")</f>
        <v/>
      </c>
      <c r="CS2" s="387" t="str">
        <f>IF('CT à Transf'!$K$14=CS4,"Oui","")</f>
        <v/>
      </c>
      <c r="CT2" s="387" t="str">
        <f>IF('CT à Transf'!$K$14=CT4,"Oui","")</f>
        <v/>
      </c>
      <c r="CU2" s="387" t="str">
        <f>IF('CT à Transf'!$K$14=CU4,"Oui","")</f>
        <v/>
      </c>
      <c r="CV2" s="387" t="str">
        <f>IF('CT à Transf'!$K$14=CV4,"Oui","")</f>
        <v/>
      </c>
      <c r="CW2" s="387" t="str">
        <f>IF('CT à Transf'!$K$14=CW4,"Oui","")</f>
        <v/>
      </c>
      <c r="CX2" s="387" t="str">
        <f>IF('CT à Transf'!$K$14=CX4,"Oui","")</f>
        <v/>
      </c>
      <c r="CY2" s="387" t="str">
        <f>IF('CT à Transf'!$K$14=CY4,"Oui","")</f>
        <v/>
      </c>
      <c r="CZ2" s="387" t="str">
        <f>IF('CT à Transf'!$K$14=CZ4,"Oui","")</f>
        <v/>
      </c>
      <c r="DA2" s="387" t="str">
        <f>IF('CT à Transf'!$K$14=DA4,"Oui","")</f>
        <v/>
      </c>
      <c r="DB2" s="387" t="str">
        <f>IF('CT à Transf'!$K$14=DB4,"Oui","")</f>
        <v/>
      </c>
      <c r="DC2" s="387" t="str">
        <f>IF('CT à Transf'!$K$14=DC4,"Oui","")</f>
        <v/>
      </c>
      <c r="DD2" s="387" t="str">
        <f>IF('CT à Transf'!$K$14=DD4,"Oui","")</f>
        <v/>
      </c>
      <c r="DE2" s="387" t="str">
        <f>IF('CT à Transf'!$K$14=DE4,"Oui","")</f>
        <v/>
      </c>
      <c r="DF2" s="387" t="str">
        <f>IF('CT à Transf'!$K$14=DF4,"Oui","")</f>
        <v/>
      </c>
      <c r="DG2" s="387" t="str">
        <f>IF('CT à Transf'!$K$14=DG4,"Oui","")</f>
        <v/>
      </c>
      <c r="DH2" s="387" t="str">
        <f>IF('CT à Transf'!$K$14=DH4,"Oui","")</f>
        <v/>
      </c>
      <c r="DI2" s="387" t="str">
        <f>IF('CT à Transf'!$K$14=DI4,"Oui","")</f>
        <v/>
      </c>
      <c r="DJ2" s="387" t="str">
        <f>IF('CT à Transf'!$K$14=DJ4,"Oui","")</f>
        <v/>
      </c>
      <c r="DK2" s="387" t="str">
        <f>IF('CT à Transf'!$K$14=DK4,"Oui","")</f>
        <v/>
      </c>
      <c r="DL2" s="387" t="str">
        <f>IF('CT à Transf'!$K$14=DL4,"Oui","")</f>
        <v/>
      </c>
      <c r="DM2" s="387" t="str">
        <f>IF('CT à Transf'!$K$14=DM4,"Oui","")</f>
        <v/>
      </c>
      <c r="DN2" s="387" t="str">
        <f>IF('CT à Transf'!$K$14=DN4,"Oui","")</f>
        <v/>
      </c>
      <c r="DO2" s="387" t="str">
        <f>IF('CT à Transf'!$K$14=DO4,"Oui","")</f>
        <v/>
      </c>
      <c r="DP2" s="387" t="str">
        <f>IF('CT à Transf'!$K$14=DP4,"Oui","")</f>
        <v/>
      </c>
      <c r="DQ2" s="387" t="str">
        <f>IF('CT à Transf'!$K$14=DQ4,"Oui","")</f>
        <v/>
      </c>
      <c r="DR2" s="387" t="str">
        <f>IF('CT à Transf'!$K$14=DR4,"Oui","")</f>
        <v/>
      </c>
      <c r="DS2" s="387" t="str">
        <f>IF('CT à Transf'!$K$14=DS4,"Oui","")</f>
        <v/>
      </c>
      <c r="DT2" s="387" t="str">
        <f>IF('CT à Transf'!$K$14=DT4,"Oui","")</f>
        <v/>
      </c>
      <c r="DU2" s="387" t="str">
        <f>IF('CT à Transf'!$K$14=DU4,"Oui","")</f>
        <v/>
      </c>
      <c r="DV2" s="387" t="str">
        <f>IF('CT à Transf'!$K$14=DV4,"Oui","")</f>
        <v/>
      </c>
      <c r="DW2" s="387" t="str">
        <f>IF('CT à Transf'!$K$14=DW4,"Oui","")</f>
        <v/>
      </c>
      <c r="DX2" s="387" t="str">
        <f>IF('CT à Transf'!$K$14=DX4,"Oui","")</f>
        <v/>
      </c>
      <c r="DY2" s="387" t="str">
        <f>IF('CT à Transf'!$K$14=DY4,"Oui","")</f>
        <v/>
      </c>
      <c r="DZ2" s="387" t="str">
        <f>IF('CT à Transf'!$K$14=DZ4,"Oui","")</f>
        <v/>
      </c>
      <c r="EA2" s="387" t="str">
        <f>IF('CT à Transf'!$K$14=EA4,"Oui","")</f>
        <v/>
      </c>
      <c r="EB2" s="387" t="str">
        <f>IF('CT à Transf'!$K$14=EB4,"Oui","")</f>
        <v/>
      </c>
      <c r="EC2" s="387" t="str">
        <f>IF('CT à Transf'!$K$14=EC4,"Oui","")</f>
        <v/>
      </c>
      <c r="ED2" s="387" t="str">
        <f>IF('CT à Transf'!$K$14=ED4,"Oui","")</f>
        <v/>
      </c>
      <c r="EE2" s="387" t="str">
        <f>IF('CT à Transf'!$K$14=EE4,"Oui","")</f>
        <v/>
      </c>
      <c r="EF2" s="387" t="str">
        <f>IF('CT à Transf'!$K$14=EF4,"Oui","")</f>
        <v/>
      </c>
      <c r="EG2" s="387" t="str">
        <f>IF('CT à Transf'!$K$14=EG4,"Oui","")</f>
        <v/>
      </c>
      <c r="EH2" s="387" t="str">
        <f>IF('CT à Transf'!$K$14=EH4,"Oui","")</f>
        <v/>
      </c>
      <c r="EI2" s="387" t="str">
        <f>IF('CT à Transf'!$K$14=EI4,"Oui","")</f>
        <v/>
      </c>
      <c r="EJ2" s="387" t="str">
        <f>IF('CT à Transf'!$K$14=EJ4,"Oui","")</f>
        <v/>
      </c>
      <c r="EK2" s="387" t="str">
        <f>IF('CT à Transf'!$K$14=EK4,"Oui","")</f>
        <v/>
      </c>
      <c r="EL2" s="387" t="str">
        <f>IF('CT à Transf'!$K$14=EL4,"Oui","")</f>
        <v/>
      </c>
      <c r="EM2" s="387" t="str">
        <f>IF('CT à Transf'!$K$14=EM4,"Oui","")</f>
        <v/>
      </c>
      <c r="EN2" s="387" t="str">
        <f>IF('CT à Transf'!$K$14=EN4,"Oui","")</f>
        <v/>
      </c>
      <c r="EO2" s="387" t="str">
        <f>IF('CT à Transf'!$K$14=EO4,"Oui","")</f>
        <v/>
      </c>
      <c r="EP2" s="387" t="str">
        <f>IF('CT à Transf'!$K$14=EP4,"Oui","")</f>
        <v/>
      </c>
      <c r="EQ2" s="387" t="str">
        <f>IF('CT à Transf'!$K$14=EQ4,"Oui","")</f>
        <v/>
      </c>
      <c r="ER2" s="387" t="str">
        <f>IF('CT à Transf'!$K$14=ER4,"Oui","")</f>
        <v/>
      </c>
      <c r="ES2" s="387" t="str">
        <f>IF('CT à Transf'!$K$14=ES4,"Oui","")</f>
        <v/>
      </c>
      <c r="ET2" s="387" t="str">
        <f>IF('CT à Transf'!$K$14=ET4,"Oui","")</f>
        <v/>
      </c>
      <c r="EU2" s="387" t="str">
        <f>IF('CT à Transf'!$K$14=EU4,"Oui","")</f>
        <v/>
      </c>
      <c r="EV2" s="387" t="str">
        <f>IF('CT à Transf'!$K$14=EV4,"Oui","")</f>
        <v/>
      </c>
      <c r="EW2" s="387" t="str">
        <f>IF('CT à Transf'!$K$14=EW4,"Oui","")</f>
        <v/>
      </c>
      <c r="EX2" s="387" t="str">
        <f>IF('CT à Transf'!$K$14=EX4,"Oui","")</f>
        <v/>
      </c>
      <c r="EY2" s="387" t="str">
        <f>IF('CT à Transf'!$K$14=EY4,"Oui","")</f>
        <v/>
      </c>
      <c r="EZ2" s="387" t="str">
        <f>IF('CT à Transf'!$K$14=EZ4,"Oui","")</f>
        <v/>
      </c>
      <c r="FA2" s="387" t="str">
        <f>IF('CT à Transf'!$K$14=FA4,"Oui","")</f>
        <v/>
      </c>
      <c r="FB2" s="387" t="str">
        <f>IF('CT à Transf'!$K$14=FB4,"Oui","")</f>
        <v/>
      </c>
      <c r="FC2" s="387" t="str">
        <f>IF('CT à Transf'!$K$14=FC4,"Oui","")</f>
        <v/>
      </c>
      <c r="FD2" s="387" t="str">
        <f>IF('CT à Transf'!$K$14=FD4,"Oui","")</f>
        <v/>
      </c>
      <c r="FE2" s="387" t="str">
        <f>IF('CT à Transf'!$K$14=FE4,"Oui","")</f>
        <v/>
      </c>
      <c r="FF2" s="387" t="str">
        <f>IF('CT à Transf'!$K$14=FF4,"Oui","")</f>
        <v/>
      </c>
      <c r="FG2" s="387" t="str">
        <f>IF('CT à Transf'!$K$14=FG4,"Oui","")</f>
        <v/>
      </c>
      <c r="FH2" s="387" t="str">
        <f>IF('CT à Transf'!$K$14=FH4,"Oui","")</f>
        <v/>
      </c>
      <c r="FI2" s="387" t="str">
        <f>IF('CT à Transf'!$K$14=FI4,"Oui","")</f>
        <v/>
      </c>
      <c r="FJ2" s="387" t="str">
        <f>IF('CT à Transf'!$K$14=FJ4,"Oui","")</f>
        <v/>
      </c>
      <c r="FK2" s="387" t="str">
        <f>IF('CT à Transf'!$K$14=FK4,"Oui","")</f>
        <v/>
      </c>
      <c r="FL2" s="387" t="str">
        <f>IF('CT à Transf'!$K$14=FL4,"Oui","")</f>
        <v/>
      </c>
      <c r="FM2" s="387" t="str">
        <f>IF('CT à Transf'!$K$14=FM4,"Oui","")</f>
        <v/>
      </c>
      <c r="FN2" s="387" t="str">
        <f>IF('CT à Transf'!$K$14=FN4,"Oui","")</f>
        <v/>
      </c>
      <c r="FO2" s="387" t="str">
        <f>IF('CT à Transf'!$K$14=FO4,"Oui","")</f>
        <v/>
      </c>
      <c r="FP2" s="387" t="str">
        <f>IF('CT à Transf'!$K$14=FP4,"Oui","")</f>
        <v/>
      </c>
      <c r="FQ2" s="387" t="str">
        <f>IF('CT à Transf'!$K$14=FQ4,"Oui","")</f>
        <v/>
      </c>
      <c r="FR2" s="387" t="str">
        <f>IF('CT à Transf'!$K$14=FR4,"Oui","")</f>
        <v/>
      </c>
      <c r="FS2" s="387" t="str">
        <f>IF('CT à Transf'!$K$14=FS4,"Oui","")</f>
        <v/>
      </c>
      <c r="FT2" s="387" t="str">
        <f>IF('CT à Transf'!$K$14=FT4,"Oui","")</f>
        <v/>
      </c>
      <c r="FU2" s="387" t="str">
        <f>IF('CT à Transf'!$K$14=FU4,"Oui","")</f>
        <v/>
      </c>
      <c r="FV2" s="387" t="str">
        <f>IF('CT à Transf'!$K$14=FV4,"Oui","")</f>
        <v/>
      </c>
      <c r="FW2" s="387" t="str">
        <f>IF('CT à Transf'!$K$14=FW4,"Oui","")</f>
        <v/>
      </c>
      <c r="FX2" s="387" t="str">
        <f>IF('CT à Transf'!$K$14=FX4,"Oui","")</f>
        <v/>
      </c>
      <c r="FY2" s="387" t="str">
        <f>IF('CT à Transf'!$K$14=FY4,"Oui","")</f>
        <v/>
      </c>
      <c r="FZ2" s="387" t="str">
        <f>IF('CT à Transf'!$K$14=FZ4,"Oui","")</f>
        <v/>
      </c>
      <c r="GA2" s="387" t="str">
        <f>IF('CT à Transf'!$K$14=GA4,"Oui","")</f>
        <v/>
      </c>
      <c r="GB2" s="387" t="str">
        <f>IF('CT à Transf'!$K$14=GB4,"Oui","")</f>
        <v/>
      </c>
      <c r="GC2" s="387" t="str">
        <f>IF('CT à Transf'!$K$14=GC4,"Oui","")</f>
        <v/>
      </c>
      <c r="GD2" s="387" t="str">
        <f>IF('CT à Transf'!$K$14=GD4,"Oui","")</f>
        <v/>
      </c>
      <c r="GE2" s="387" t="str">
        <f>IF('CT à Transf'!$K$14=GE4,"Oui","")</f>
        <v/>
      </c>
      <c r="GF2" s="387" t="str">
        <f>IF('CT à Transf'!$K$14=GF4,"Oui","")</f>
        <v/>
      </c>
      <c r="GG2" s="387" t="str">
        <f>IF('CT à Transf'!$K$14=GG4,"Oui","")</f>
        <v/>
      </c>
      <c r="GH2" s="387" t="str">
        <f>IF('CT à Transf'!$K$14=GH4,"Oui","")</f>
        <v/>
      </c>
      <c r="GI2" s="387" t="str">
        <f>IF('CT à Transf'!$K$14=GI4,"Oui","")</f>
        <v/>
      </c>
      <c r="GJ2" s="387" t="str">
        <f>IF('CT à Transf'!$K$14=GJ4,"Oui","")</f>
        <v/>
      </c>
      <c r="GK2" s="387" t="str">
        <f>IF('CT à Transf'!$K$14=GK4,"Oui","")</f>
        <v/>
      </c>
      <c r="GL2" s="387" t="str">
        <f>IF('CT à Transf'!$K$14=GL4,"Oui","")</f>
        <v/>
      </c>
      <c r="GM2" s="387" t="str">
        <f>IF('CT à Transf'!$K$14=GM4,"Oui","")</f>
        <v/>
      </c>
      <c r="GN2" s="387" t="str">
        <f>IF('CT à Transf'!$K$14=GN4,"Oui","")</f>
        <v/>
      </c>
      <c r="GO2" s="387" t="str">
        <f>IF('CT à Transf'!$K$14=GO4,"Oui","")</f>
        <v/>
      </c>
      <c r="GP2" s="387" t="str">
        <f>IF('CT à Transf'!$K$14=GP4,"Oui","")</f>
        <v/>
      </c>
      <c r="GQ2" s="387" t="str">
        <f>IF('CT à Transf'!$K$14=GQ4,"Oui","")</f>
        <v/>
      </c>
      <c r="GR2" s="387" t="str">
        <f>IF('CT à Transf'!$K$14=GR4,"Oui","")</f>
        <v/>
      </c>
      <c r="GS2" s="387" t="str">
        <f>IF('CT à Transf'!$K$14=GS4,"Oui","")</f>
        <v/>
      </c>
      <c r="GT2" s="387" t="str">
        <f>IF('CT à Transf'!$K$14=GT4,"Oui","")</f>
        <v/>
      </c>
      <c r="GU2" s="387" t="str">
        <f>IF('CT à Transf'!$K$14=GU4,"Oui","")</f>
        <v/>
      </c>
      <c r="GV2" s="387" t="str">
        <f>IF('CT à Transf'!$K$14=GV4,"Oui","")</f>
        <v/>
      </c>
      <c r="GW2" s="387" t="str">
        <f>IF('CT à Transf'!$K$14=GW4,"Oui","")</f>
        <v/>
      </c>
      <c r="GX2" s="387" t="str">
        <f>IF('CT à Transf'!$K$14=GX4,"Oui","")</f>
        <v/>
      </c>
      <c r="GY2" s="387" t="str">
        <f>IF('CT à Transf'!$K$14=GY4,"Oui","")</f>
        <v/>
      </c>
      <c r="GZ2" s="387" t="str">
        <f>IF('CT à Transf'!$K$14=GZ4,"Oui","")</f>
        <v/>
      </c>
      <c r="HA2" s="387" t="str">
        <f>IF('CT à Transf'!$K$14=HA4,"Oui","")</f>
        <v/>
      </c>
      <c r="HB2" s="387" t="str">
        <f>IF('CT à Transf'!$K$14=HB4,"Oui","")</f>
        <v/>
      </c>
      <c r="HC2" s="387" t="str">
        <f>IF('CT à Transf'!$K$14=HC4,"Oui","")</f>
        <v/>
      </c>
      <c r="HD2" s="387" t="str">
        <f>IF('CT à Transf'!$K$14=HD4,"Oui","")</f>
        <v/>
      </c>
      <c r="HE2" s="387" t="str">
        <f>IF('CT à Transf'!$K$14=HE4,"Oui","")</f>
        <v/>
      </c>
      <c r="HF2" s="387" t="str">
        <f>IF('CT à Transf'!$K$14=HF4,"Oui","")</f>
        <v/>
      </c>
      <c r="HG2" s="387" t="str">
        <f>IF('CT à Transf'!$K$14=HG4,"Oui","")</f>
        <v/>
      </c>
      <c r="HH2" s="387" t="str">
        <f>IF('CT à Transf'!$K$14=HH4,"Oui","")</f>
        <v/>
      </c>
      <c r="HI2" s="387" t="str">
        <f>IF('CT à Transf'!$K$14=HI4,"Oui","")</f>
        <v/>
      </c>
      <c r="HJ2" s="387" t="str">
        <f>IF('CT à Transf'!$K$14=HJ4,"Oui","")</f>
        <v/>
      </c>
      <c r="HK2" s="387" t="str">
        <f>IF('CT à Transf'!$K$14=HK4,"Oui","")</f>
        <v/>
      </c>
      <c r="HL2" s="387" t="str">
        <f>IF('CT à Transf'!$K$14=HL4,"Oui","")</f>
        <v/>
      </c>
      <c r="HM2" s="387" t="str">
        <f>IF('CT à Transf'!$K$14=HM4,"Oui","")</f>
        <v/>
      </c>
      <c r="HN2" s="387" t="str">
        <f>IF('CT à Transf'!$K$14=HN4,"Oui","")</f>
        <v/>
      </c>
      <c r="HO2" s="387" t="str">
        <f>IF('CT à Transf'!$K$14=HO4,"Oui","")</f>
        <v/>
      </c>
      <c r="HP2" s="387" t="str">
        <f>IF('CT à Transf'!$K$14=HP4,"Oui","")</f>
        <v/>
      </c>
      <c r="HQ2" s="387" t="str">
        <f>IF('CT à Transf'!$K$14=HQ4,"Oui","")</f>
        <v/>
      </c>
      <c r="HR2" s="387" t="str">
        <f>IF('CT à Transf'!$K$14=HR4,"Oui","")</f>
        <v/>
      </c>
      <c r="HS2" s="387" t="str">
        <f>IF('CT à Transf'!$K$14=HS4,"Oui","")</f>
        <v/>
      </c>
      <c r="HT2" s="387" t="str">
        <f>IF('CT à Transf'!$K$14=HT4,"Oui","")</f>
        <v/>
      </c>
      <c r="HU2" s="387" t="str">
        <f>IF('CT à Transf'!$K$14=HU4,"Oui","")</f>
        <v/>
      </c>
      <c r="HV2" s="387" t="str">
        <f>IF('CT à Transf'!$K$14=HV4,"Oui","")</f>
        <v/>
      </c>
      <c r="HW2" s="387" t="str">
        <f>IF('CT à Transf'!$K$14=HW4,"Oui","")</f>
        <v/>
      </c>
      <c r="HX2" s="387" t="str">
        <f>IF('CT à Transf'!$K$14=HX4,"Oui","")</f>
        <v/>
      </c>
      <c r="HY2" s="387" t="str">
        <f>IF('CT à Transf'!$K$14=HY4,"Oui","")</f>
        <v/>
      </c>
      <c r="HZ2" s="387" t="str">
        <f>IF('CT à Transf'!$K$14=HZ4,"Oui","")</f>
        <v/>
      </c>
      <c r="IA2" s="387" t="str">
        <f>IF('CT à Transf'!$K$14=IA4,"Oui","")</f>
        <v/>
      </c>
      <c r="IB2" s="387" t="str">
        <f>IF('CT à Transf'!$K$14=IB4,"Oui","")</f>
        <v/>
      </c>
      <c r="IC2" s="387" t="str">
        <f>IF('CT à Transf'!$K$14=IC4,"Oui","")</f>
        <v/>
      </c>
      <c r="ID2" s="387" t="str">
        <f>IF('CT à Transf'!$K$14=ID4,"Oui","")</f>
        <v/>
      </c>
      <c r="IE2" s="387" t="str">
        <f>IF('CT à Transf'!$K$14=IE4,"Oui","")</f>
        <v/>
      </c>
      <c r="IF2" s="387" t="str">
        <f>IF('CT à Transf'!$K$14=IF4,"Oui","")</f>
        <v/>
      </c>
      <c r="IG2" s="387" t="str">
        <f>IF('CT à Transf'!$K$14=IG4,"Oui","")</f>
        <v/>
      </c>
      <c r="IH2" s="387" t="str">
        <f>IF('CT à Transf'!$K$14=IH4,"Oui","")</f>
        <v/>
      </c>
      <c r="II2" s="387" t="str">
        <f>IF('CT à Transf'!$K$14=II4,"Oui","")</f>
        <v/>
      </c>
      <c r="IJ2" s="387" t="str">
        <f>IF('CT à Transf'!$K$14=IJ4,"Oui","")</f>
        <v/>
      </c>
      <c r="IK2" s="387" t="str">
        <f>IF('CT à Transf'!$K$14=IK4,"Oui","")</f>
        <v/>
      </c>
      <c r="IL2" s="387" t="str">
        <f>IF('CT à Transf'!$K$14=IL4,"Oui","")</f>
        <v/>
      </c>
      <c r="IM2" s="387" t="str">
        <f>IF('CT à Transf'!$K$14=IM4,"Oui","")</f>
        <v/>
      </c>
      <c r="IN2" s="387" t="str">
        <f>IF('CT à Transf'!$K$14=IN4,"Oui","")</f>
        <v/>
      </c>
      <c r="IO2" s="387" t="str">
        <f>IF('CT à Transf'!$K$14=IO4,"Oui","")</f>
        <v/>
      </c>
      <c r="IP2" s="387" t="str">
        <f>IF('CT à Transf'!$K$14=IP4,"Oui","")</f>
        <v/>
      </c>
      <c r="IQ2" s="387" t="str">
        <f>IF('CT à Transf'!$K$14=IQ4,"Oui","")</f>
        <v/>
      </c>
      <c r="IR2" s="387" t="str">
        <f>IF('CT à Transf'!$K$14=IR4,"Oui","")</f>
        <v/>
      </c>
      <c r="IS2" s="387" t="str">
        <f>IF('CT à Transf'!$K$14=IS4,"Oui","")</f>
        <v/>
      </c>
      <c r="IT2" s="387" t="str">
        <f>IF('CT à Transf'!$K$14=IT4,"Oui","")</f>
        <v/>
      </c>
      <c r="IU2" s="387" t="str">
        <f>IF('CT à Transf'!$K$14=IU4,"Oui","")</f>
        <v/>
      </c>
      <c r="IV2" s="387" t="str">
        <f>IF('CT à Transf'!$K$14=IV4,"Oui","")</f>
        <v/>
      </c>
      <c r="IW2" s="387" t="str">
        <f>IF('CT à Transf'!$K$14=IW4,"Oui","")</f>
        <v/>
      </c>
      <c r="IX2" s="387" t="str">
        <f>IF('CT à Transf'!$K$14=IX4,"Oui","")</f>
        <v/>
      </c>
      <c r="IY2" s="387" t="str">
        <f>IF('CT à Transf'!$K$14=IY4,"Oui","")</f>
        <v/>
      </c>
      <c r="IZ2" s="387" t="str">
        <f>IF('CT à Transf'!$K$14=IZ4,"Oui","")</f>
        <v/>
      </c>
      <c r="JA2" s="387" t="str">
        <f>IF('CT à Transf'!$K$14=JA4,"Oui","")</f>
        <v/>
      </c>
      <c r="JB2" s="387" t="str">
        <f>IF('CT à Transf'!$K$14=JB4,"Oui","")</f>
        <v/>
      </c>
      <c r="JC2" s="387" t="str">
        <f>IF('CT à Transf'!$K$14=JC4,"Oui","")</f>
        <v/>
      </c>
      <c r="JD2" s="387" t="str">
        <f>IF('CT à Transf'!$K$14=JD4,"Oui","")</f>
        <v/>
      </c>
      <c r="JE2" s="387" t="str">
        <f>IF('CT à Transf'!$K$14=JE4,"Oui","")</f>
        <v/>
      </c>
      <c r="JF2" s="387" t="str">
        <f>IF('CT à Transf'!$K$14=JF4,"Oui","")</f>
        <v/>
      </c>
      <c r="JG2" s="387" t="str">
        <f>IF('CT à Transf'!$K$14=JG4,"Oui","")</f>
        <v/>
      </c>
      <c r="JH2" s="387" t="str">
        <f>IF('CT à Transf'!$K$14=JH4,"Oui","")</f>
        <v/>
      </c>
      <c r="JI2" s="387" t="str">
        <f>IF('CT à Transf'!$K$14=JI4,"Oui","")</f>
        <v/>
      </c>
      <c r="JJ2" s="387" t="str">
        <f>IF('CT à Transf'!$K$14=JJ4,"Oui","")</f>
        <v/>
      </c>
      <c r="JK2" s="387" t="str">
        <f>IF('CT à Transf'!$K$14=JK4,"Oui","")</f>
        <v/>
      </c>
      <c r="JL2" s="387" t="str">
        <f>IF('CT à Transf'!$K$14=JL4,"Oui","")</f>
        <v/>
      </c>
      <c r="JM2" s="387" t="str">
        <f>IF('CT à Transf'!$K$14=JM4,"Oui","")</f>
        <v/>
      </c>
      <c r="JN2" s="387" t="str">
        <f>IF('CT à Transf'!$K$14=JN4,"Oui","")</f>
        <v/>
      </c>
      <c r="JO2" s="387" t="str">
        <f>IF('CT à Transf'!$K$14=JO4,"Oui","")</f>
        <v/>
      </c>
      <c r="JP2" s="387" t="str">
        <f>IF('CT à Transf'!$K$14=JP4,"Oui","")</f>
        <v/>
      </c>
      <c r="JQ2" s="387" t="str">
        <f>IF('CT à Transf'!$K$14=JQ4,"Oui","")</f>
        <v/>
      </c>
      <c r="JR2" s="387" t="str">
        <f>IF('CT à Transf'!$K$14=JR4,"Oui","")</f>
        <v/>
      </c>
      <c r="JS2" s="387" t="str">
        <f>IF('CT à Transf'!$K$14=JS4,"Oui","")</f>
        <v/>
      </c>
      <c r="JT2" s="387" t="str">
        <f>IF('CT à Transf'!$K$14=JT4,"Oui","")</f>
        <v/>
      </c>
      <c r="JU2" s="387" t="str">
        <f>IF('CT à Transf'!$K$14=JU4,"Oui","")</f>
        <v/>
      </c>
      <c r="JV2" s="387" t="str">
        <f>IF('CT à Transf'!$K$14=JV4,"Oui","")</f>
        <v/>
      </c>
      <c r="JW2" s="387" t="str">
        <f>IF('CT à Transf'!$K$14=JW4,"Oui","")</f>
        <v/>
      </c>
      <c r="JX2" s="387" t="str">
        <f>IF('CT à Transf'!$K$14=JX4,"Oui","")</f>
        <v/>
      </c>
      <c r="JY2" s="387" t="str">
        <f>IF('CT à Transf'!$K$14=JY4,"Oui","")</f>
        <v/>
      </c>
      <c r="JZ2" s="387" t="str">
        <f>IF('CT à Transf'!$K$14=JZ4,"Oui","")</f>
        <v/>
      </c>
      <c r="KA2" s="387" t="str">
        <f>IF('CT à Transf'!$K$14=KA4,"Oui","")</f>
        <v/>
      </c>
      <c r="KB2" s="387" t="str">
        <f>IF('CT à Transf'!$K$14=KB4,"Oui","")</f>
        <v/>
      </c>
      <c r="KC2" s="387" t="str">
        <f>IF('CT à Transf'!$K$14=KC4,"Oui","")</f>
        <v/>
      </c>
      <c r="KD2" s="387" t="str">
        <f>IF('CT à Transf'!$K$14=KD4,"Oui","")</f>
        <v/>
      </c>
      <c r="KE2" s="387" t="str">
        <f>IF('CT à Transf'!$K$14=KE4,"Oui","")</f>
        <v/>
      </c>
      <c r="KF2" s="387" t="str">
        <f>IF('CT à Transf'!$K$14=KF4,"Oui","")</f>
        <v/>
      </c>
      <c r="KG2" s="387" t="str">
        <f>IF('CT à Transf'!$K$14=KG4,"Oui","")</f>
        <v/>
      </c>
      <c r="KH2" s="387" t="str">
        <f>IF('CT à Transf'!$K$14=KH4,"Oui","")</f>
        <v/>
      </c>
      <c r="KI2" s="387" t="str">
        <f>IF('CT à Transf'!$K$14=KI4,"Oui","")</f>
        <v/>
      </c>
      <c r="KJ2" s="387" t="str">
        <f>IF('CT à Transf'!$K$14=KJ4,"Oui","")</f>
        <v/>
      </c>
      <c r="KK2" s="387" t="str">
        <f>IF('CT à Transf'!$K$14=KK4,"Oui","")</f>
        <v/>
      </c>
      <c r="KL2" s="387" t="str">
        <f>IF('CT à Transf'!$K$14=KL4,"Oui","")</f>
        <v/>
      </c>
      <c r="KM2" s="387" t="str">
        <f>IF('CT à Transf'!$K$14=KM4,"Oui","")</f>
        <v/>
      </c>
      <c r="KN2" s="387" t="str">
        <f>IF('CT à Transf'!$K$14=KN4,"Oui","")</f>
        <v/>
      </c>
      <c r="KO2" s="387" t="str">
        <f>IF('CT à Transf'!$K$14=KO4,"Oui","")</f>
        <v/>
      </c>
      <c r="KP2" s="387" t="str">
        <f>IF('CT à Transf'!$K$14=KP4,"Oui","")</f>
        <v/>
      </c>
      <c r="KQ2" s="387" t="str">
        <f>IF('CT à Transf'!$K$14=KQ4,"Oui","")</f>
        <v/>
      </c>
      <c r="KR2" s="387" t="str">
        <f>IF('CT à Transf'!$K$14=KR4,"Oui","")</f>
        <v/>
      </c>
      <c r="KS2" s="387" t="str">
        <f>IF('CT à Transf'!$K$14=KS4,"Oui","")</f>
        <v/>
      </c>
      <c r="KT2" s="387" t="str">
        <f>IF('CT à Transf'!$K$14=KT4,"Oui","")</f>
        <v/>
      </c>
      <c r="KU2" s="387" t="str">
        <f>IF('CT à Transf'!$K$14=KU4,"Oui","")</f>
        <v/>
      </c>
      <c r="KV2" s="387" t="str">
        <f>IF('CT à Transf'!$K$14=KV4,"Oui","")</f>
        <v/>
      </c>
      <c r="KW2" s="387" t="str">
        <f>IF('CT à Transf'!$K$14=KW4,"Oui","")</f>
        <v/>
      </c>
      <c r="KX2" s="387" t="str">
        <f>IF('CT à Transf'!$K$14=KX4,"Oui","")</f>
        <v/>
      </c>
      <c r="KY2" s="387" t="str">
        <f>IF('CT à Transf'!$K$14=KY4,"Oui","")</f>
        <v/>
      </c>
      <c r="KZ2" s="387" t="str">
        <f>IF('CT à Transf'!$K$14=KZ4,"Oui","")</f>
        <v/>
      </c>
      <c r="LA2" s="387" t="str">
        <f>IF('CT à Transf'!$K$14=LA4,"Oui","")</f>
        <v/>
      </c>
      <c r="LB2" s="387" t="str">
        <f>IF('CT à Transf'!$K$14=LB4,"Oui","")</f>
        <v/>
      </c>
      <c r="LC2" s="387" t="str">
        <f>IF('CT à Transf'!$K$14=LC4,"Oui","")</f>
        <v/>
      </c>
      <c r="LD2" s="387" t="str">
        <f>IF('CT à Transf'!$K$14=LD4,"Oui","")</f>
        <v/>
      </c>
      <c r="LE2" s="387" t="str">
        <f>IF('CT à Transf'!$K$14=LE4,"Oui","")</f>
        <v/>
      </c>
      <c r="LF2" s="387" t="str">
        <f>IF('CT à Transf'!$K$14=LF4,"Oui","")</f>
        <v/>
      </c>
      <c r="LG2" s="387" t="str">
        <f>IF('CT à Transf'!$K$14=LG4,"Oui","")</f>
        <v/>
      </c>
      <c r="LH2" s="387" t="str">
        <f>IF('CT à Transf'!$K$14=LH4,"Oui","")</f>
        <v/>
      </c>
      <c r="LI2" s="387" t="str">
        <f>IF('CT à Transf'!$K$14=LI4,"Oui","")</f>
        <v/>
      </c>
      <c r="LJ2" s="387" t="str">
        <f>IF('CT à Transf'!$K$14=LJ4,"Oui","")</f>
        <v/>
      </c>
      <c r="LK2" s="387" t="str">
        <f>IF('CT à Transf'!$K$14=LK4,"Oui","")</f>
        <v/>
      </c>
      <c r="LL2" s="387" t="str">
        <f>IF('CT à Transf'!$K$14=LL4,"Oui","")</f>
        <v/>
      </c>
      <c r="LM2" s="387" t="str">
        <f>IF('CT à Transf'!$K$14=LM4,"Oui","")</f>
        <v/>
      </c>
      <c r="LN2" s="387" t="str">
        <f>IF('CT à Transf'!$K$14=LN4,"Oui","")</f>
        <v/>
      </c>
      <c r="LO2" s="387" t="str">
        <f>IF('CT à Transf'!$K$14=LO4,"Oui","")</f>
        <v/>
      </c>
      <c r="LP2" s="387" t="str">
        <f>IF('CT à Transf'!$K$14=LP4,"Oui","")</f>
        <v/>
      </c>
      <c r="LQ2" s="387" t="str">
        <f>IF('CT à Transf'!$K$14=LQ4,"Oui","")</f>
        <v/>
      </c>
      <c r="LR2" s="387" t="str">
        <f>IF('CT à Transf'!$K$14=LR4,"Oui","")</f>
        <v/>
      </c>
      <c r="LS2" s="387" t="str">
        <f>IF('CT à Transf'!$K$14=LS4,"Oui","")</f>
        <v/>
      </c>
      <c r="LT2" s="387" t="str">
        <f>IF('CT à Transf'!$K$14=LT4,"Oui","")</f>
        <v/>
      </c>
      <c r="LU2" s="387" t="str">
        <f>IF('CT à Transf'!$K$14=LU4,"Oui","")</f>
        <v/>
      </c>
      <c r="LV2" s="387" t="str">
        <f>IF('CT à Transf'!$K$14=LV4,"Oui","")</f>
        <v/>
      </c>
      <c r="LW2" s="387" t="str">
        <f>IF('CT à Transf'!$K$14=LW4,"Oui","")</f>
        <v/>
      </c>
      <c r="LX2" s="387" t="str">
        <f>IF('CT à Transf'!$K$14=LX4,"Oui","")</f>
        <v/>
      </c>
      <c r="LY2" s="387" t="str">
        <f>IF('CT à Transf'!$K$14=LY4,"Oui","")</f>
        <v/>
      </c>
      <c r="LZ2" s="387" t="str">
        <f>IF('CT à Transf'!$K$14=LZ4,"Oui","")</f>
        <v/>
      </c>
      <c r="MA2" s="387" t="str">
        <f>IF('CT à Transf'!$K$14=MA4,"Oui","")</f>
        <v/>
      </c>
      <c r="MB2" s="387" t="str">
        <f>IF('CT à Transf'!$K$14=MB4,"Oui","")</f>
        <v/>
      </c>
      <c r="MC2" s="387" t="str">
        <f>IF('CT à Transf'!$K$14=MC4,"Oui","")</f>
        <v/>
      </c>
      <c r="MD2" s="387" t="str">
        <f>IF('CT à Transf'!$K$14=MD4,"Oui","")</f>
        <v/>
      </c>
      <c r="ME2" s="387" t="str">
        <f>IF('CT à Transf'!$K$14=ME4,"Oui","")</f>
        <v/>
      </c>
      <c r="MF2" s="387" t="str">
        <f>IF('CT à Transf'!$K$14=MF4,"Oui","")</f>
        <v/>
      </c>
      <c r="MG2" s="387" t="str">
        <f>IF('CT à Transf'!$K$14=MG4,"Oui","")</f>
        <v/>
      </c>
      <c r="MH2" s="387" t="str">
        <f>IF('CT à Transf'!$K$14=MH4,"Oui","")</f>
        <v/>
      </c>
      <c r="MI2" s="387" t="str">
        <f>IF('CT à Transf'!$K$14=MI4,"Oui","")</f>
        <v/>
      </c>
      <c r="MJ2" s="387" t="str">
        <f>IF('CT à Transf'!$K$14=MJ4,"Oui","")</f>
        <v/>
      </c>
      <c r="MK2" s="387" t="str">
        <f>IF('CT à Transf'!$K$14=MK4,"Oui","")</f>
        <v/>
      </c>
      <c r="ML2" s="387" t="str">
        <f>IF('CT à Transf'!$K$14=ML4,"Oui","")</f>
        <v/>
      </c>
      <c r="MM2" s="387" t="str">
        <f>IF('CT à Transf'!$K$14=MM4,"Oui","")</f>
        <v/>
      </c>
      <c r="MN2" s="387" t="str">
        <f>IF('CT à Transf'!$K$14=MN4,"Oui","")</f>
        <v/>
      </c>
      <c r="MO2" s="387" t="str">
        <f>IF('CT à Transf'!$K$14=MO4,"Oui","")</f>
        <v/>
      </c>
      <c r="MP2" s="387" t="str">
        <f>IF('CT à Transf'!$K$14=MP4,"Oui","")</f>
        <v/>
      </c>
      <c r="MQ2" s="387" t="str">
        <f>IF('CT à Transf'!$K$14=MQ4,"Oui","")</f>
        <v/>
      </c>
      <c r="MR2" s="387" t="str">
        <f>IF('CT à Transf'!$K$14=MR4,"Oui","")</f>
        <v/>
      </c>
      <c r="MS2" s="387" t="str">
        <f>IF('CT à Transf'!$K$14=MS4,"Oui","")</f>
        <v/>
      </c>
      <c r="MT2" s="387" t="str">
        <f>IF('CT à Transf'!$K$14=MT4,"Oui","")</f>
        <v/>
      </c>
      <c r="MU2" s="387" t="str">
        <f>IF('CT à Transf'!$K$14=MU4,"Oui","")</f>
        <v/>
      </c>
      <c r="MV2" s="387" t="str">
        <f>IF('CT à Transf'!$K$14=MV4,"Oui","")</f>
        <v/>
      </c>
      <c r="MW2" s="387" t="str">
        <f>IF('CT à Transf'!$K$14=MW4,"Oui","")</f>
        <v/>
      </c>
      <c r="MX2" s="387" t="str">
        <f>IF('CT à Transf'!$K$14=MX4,"Oui","")</f>
        <v/>
      </c>
      <c r="MY2" s="387" t="str">
        <f>IF('CT à Transf'!$K$14=MY4,"Oui","")</f>
        <v/>
      </c>
      <c r="MZ2" s="387" t="str">
        <f>IF('CT à Transf'!$K$14=MZ4,"Oui","")</f>
        <v/>
      </c>
      <c r="NA2" s="387" t="str">
        <f>IF('CT à Transf'!$K$14=NA4,"Oui","")</f>
        <v/>
      </c>
      <c r="NB2" s="387" t="str">
        <f>IF('CT à Transf'!$K$14=NB4,"Oui","")</f>
        <v/>
      </c>
      <c r="NC2" s="387" t="str">
        <f>IF('CT à Transf'!$K$14=NC4,"Oui","")</f>
        <v/>
      </c>
      <c r="ND2" s="387" t="str">
        <f>IF('CT à Transf'!$K$14=ND4,"Oui","")</f>
        <v/>
      </c>
      <c r="NE2" s="387" t="str">
        <f>IF('CT à Transf'!$K$14=NE4,"Oui","")</f>
        <v/>
      </c>
      <c r="NF2" s="387" t="str">
        <f>IF('CT à Transf'!$K$14=NF4,"Oui","")</f>
        <v/>
      </c>
      <c r="NG2" s="387" t="str">
        <f>IF('CT à Transf'!$K$14=NG4,"Oui","")</f>
        <v/>
      </c>
      <c r="NH2" s="387" t="str">
        <f>IF('CT à Transf'!$K$14=NH4,"Oui","")</f>
        <v/>
      </c>
      <c r="NI2" s="387" t="str">
        <f>IF('CT à Transf'!$K$14=NI4,"Oui","")</f>
        <v/>
      </c>
      <c r="NJ2" s="387" t="str">
        <f>IF('CT à Transf'!$K$14=NJ4,"Oui","")</f>
        <v/>
      </c>
      <c r="NK2" s="387" t="str">
        <f>IF('CT à Transf'!$K$14=NK4,"Oui","")</f>
        <v/>
      </c>
      <c r="NL2" s="387" t="str">
        <f>IF('CT à Transf'!$K$14=NL4,"Oui","")</f>
        <v/>
      </c>
      <c r="NM2" s="387" t="str">
        <f>IF('CT à Transf'!$K$14=NM4,"Oui","")</f>
        <v/>
      </c>
      <c r="NN2" s="387" t="str">
        <f>IF('CT à Transf'!$K$14=NN4,"Oui","")</f>
        <v/>
      </c>
      <c r="NO2" s="387" t="str">
        <f>IF('CT à Transf'!$K$14=NO4,"Oui","")</f>
        <v/>
      </c>
      <c r="NP2" s="387" t="str">
        <f>IF('CT à Transf'!$K$14=NP4,"Oui","")</f>
        <v/>
      </c>
      <c r="NQ2" s="387" t="str">
        <f>IF('CT à Transf'!$K$14=NQ4,"Oui","")</f>
        <v/>
      </c>
      <c r="NR2" s="387" t="str">
        <f>IF('CT à Transf'!$K$14=NR4,"Oui","")</f>
        <v/>
      </c>
      <c r="NS2" s="387" t="str">
        <f>IF('CT à Transf'!$K$14=NS4,"Oui","")</f>
        <v/>
      </c>
      <c r="NT2" s="387" t="str">
        <f>IF('CT à Transf'!$K$14=NT4,"Oui","")</f>
        <v/>
      </c>
      <c r="NU2" s="387" t="str">
        <f>IF('CT à Transf'!$K$14=NU4,"Oui","")</f>
        <v/>
      </c>
      <c r="NV2" s="387" t="str">
        <f>IF('CT à Transf'!$K$14=NV4,"Oui","")</f>
        <v/>
      </c>
      <c r="NW2" s="387" t="str">
        <f>IF('CT à Transf'!$K$14=NW4,"Oui","")</f>
        <v/>
      </c>
      <c r="NX2" s="387" t="str">
        <f>IF('CT à Transf'!$K$14=NX4,"Oui","")</f>
        <v/>
      </c>
      <c r="NY2" s="387" t="str">
        <f>IF('CT à Transf'!$K$14=NY4,"Oui","")</f>
        <v/>
      </c>
      <c r="NZ2" s="387" t="str">
        <f>IF('CT à Transf'!$K$14=NZ4,"Oui","")</f>
        <v/>
      </c>
      <c r="OA2" s="387" t="str">
        <f>IF('CT à Transf'!$K$14=OA4,"Oui","")</f>
        <v/>
      </c>
      <c r="OB2" s="387" t="str">
        <f>IF('CT à Transf'!$K$14=OB4,"Oui","")</f>
        <v/>
      </c>
      <c r="OC2" s="387" t="str">
        <f>IF('CT à Transf'!$K$14=OC4,"Oui","")</f>
        <v/>
      </c>
      <c r="OD2" s="387" t="str">
        <f>IF('CT à Transf'!$K$14=OD4,"Oui","")</f>
        <v/>
      </c>
      <c r="OE2" s="387" t="str">
        <f>IF('CT à Transf'!$K$14=OE4,"Oui","")</f>
        <v/>
      </c>
      <c r="OF2" s="387" t="str">
        <f>IF('CT à Transf'!$K$14=OF4,"Oui","")</f>
        <v/>
      </c>
      <c r="OG2" s="387" t="str">
        <f>IF('CT à Transf'!$K$14=OG4,"Oui","")</f>
        <v/>
      </c>
    </row>
    <row r="3" spans="1:397">
      <c r="B3" s="367"/>
      <c r="C3" s="368" t="str">
        <f>IF(C2="Oui",IF(C5='CT à Transf'!$K$16,"Oui",""),"")</f>
        <v/>
      </c>
      <c r="D3" s="368" t="str">
        <f>IF(D2="Oui",IF(D5='CT à Transf'!$K$16,"Oui",""),"")</f>
        <v/>
      </c>
      <c r="E3" s="368" t="str">
        <f>IF(E2="Oui",IF(E5='CT à Transf'!$K$16,"Oui",""),"")</f>
        <v/>
      </c>
      <c r="F3" s="368" t="str">
        <f>IF(F2="Oui",IF(F5='CT à Transf'!$K$16,"Oui",""),"")</f>
        <v/>
      </c>
      <c r="G3" s="368" t="str">
        <f>IF(G2="Oui",IF(G5='CT à Transf'!$K$16,"Oui",""),"")</f>
        <v/>
      </c>
      <c r="H3" s="368" t="str">
        <f>IF(H2="Oui",IF(H5='CT à Transf'!$K$16,"Oui",""),"")</f>
        <v/>
      </c>
      <c r="I3" s="368" t="str">
        <f>IF(I2="Oui",IF(I5='CT à Transf'!$K$16,"Oui",""),"")</f>
        <v/>
      </c>
      <c r="J3" s="368" t="str">
        <f>IF(J2="Oui",IF(J5='CT à Transf'!$K$16,"Oui",""),"")</f>
        <v/>
      </c>
      <c r="K3" s="368" t="str">
        <f>IF(K2="Oui",IF(K5='CT à Transf'!$K$16,"Oui",""),"")</f>
        <v/>
      </c>
      <c r="L3" s="368" t="str">
        <f>IF(L2="Oui",IF(L5='CT à Transf'!$K$16,"Oui",""),"")</f>
        <v/>
      </c>
      <c r="M3" s="368" t="str">
        <f>IF(M2="Oui",IF(M5='CT à Transf'!$K$16,"Oui",""),"")</f>
        <v/>
      </c>
      <c r="N3" s="368" t="str">
        <f>IF(N2="Oui",IF(N5='CT à Transf'!$K$16,"Oui",""),"")</f>
        <v/>
      </c>
      <c r="O3" s="368" t="str">
        <f>IF(O2="Oui",IF(O5='CT à Transf'!$K$16,"Oui",""),"")</f>
        <v/>
      </c>
      <c r="P3" s="368" t="str">
        <f>IF(P2="Oui",IF(P5='CT à Transf'!$K$16,"Oui",""),"")</f>
        <v/>
      </c>
      <c r="Q3" s="368" t="str">
        <f>IF(Q2="Oui",IF(Q5='CT à Transf'!$K$16,"Oui",""),"")</f>
        <v/>
      </c>
      <c r="R3" s="368" t="str">
        <f>IF(R2="Oui",IF(R5='CT à Transf'!$K$16,"Oui",""),"")</f>
        <v/>
      </c>
      <c r="S3" s="368" t="str">
        <f>IF(S2="Oui",IF(S5='CT à Transf'!$K$16,"Oui",""),"")</f>
        <v/>
      </c>
      <c r="T3" s="368" t="str">
        <f>IF(T2="Oui",IF(T5='CT à Transf'!$K$16,"Oui",""),"")</f>
        <v/>
      </c>
      <c r="U3" s="368" t="str">
        <f>IF(U2="Oui",IF(U5='CT à Transf'!$K$16,"Oui",""),"")</f>
        <v/>
      </c>
      <c r="V3" s="368" t="str">
        <f>IF(V2="Oui",IF(V5='CT à Transf'!$K$16,"Oui",""),"")</f>
        <v/>
      </c>
      <c r="W3" s="368" t="str">
        <f>IF(W2="Oui",IF(W5='CT à Transf'!$K$16,"Oui",""),"")</f>
        <v/>
      </c>
      <c r="X3" s="368" t="str">
        <f>IF(X2="Oui",IF(X5='CT à Transf'!$K$16,"Oui",""),"")</f>
        <v/>
      </c>
      <c r="Y3" s="368" t="str">
        <f>IF(Y2="Oui",IF(Y5='CT à Transf'!$K$16,"Oui",""),"")</f>
        <v/>
      </c>
      <c r="Z3" s="368" t="str">
        <f>IF(Z2="Oui",IF(Z5='CT à Transf'!$K$16,"Oui",""),"")</f>
        <v/>
      </c>
      <c r="AA3" s="368" t="str">
        <f>IF(AA2="Oui",IF(AA5='CT à Transf'!$K$16,"Oui",""),"")</f>
        <v/>
      </c>
      <c r="AB3" s="368" t="str">
        <f>IF(AB2="Oui",IF(AB5='CT à Transf'!$K$16,"Oui",""),"")</f>
        <v/>
      </c>
      <c r="AC3" s="368" t="str">
        <f>IF(AC2="Oui",IF(AC5='CT à Transf'!$K$16,"Oui",""),"")</f>
        <v/>
      </c>
      <c r="AD3" s="368" t="str">
        <f>IF(AD2="Oui",IF(AD5='CT à Transf'!$K$16,"Oui",""),"")</f>
        <v/>
      </c>
      <c r="AE3" s="368" t="str">
        <f>IF(AE2="Oui",IF(AE5='CT à Transf'!$K$16,"Oui",""),"")</f>
        <v/>
      </c>
      <c r="AF3" s="368" t="str">
        <f>IF(AF2="Oui",IF(AF5='CT à Transf'!$K$16,"Oui",""),"")</f>
        <v/>
      </c>
      <c r="AG3" s="368" t="str">
        <f>IF(AG2="Oui",IF(AG5='CT à Transf'!$K$16,"Oui",""),"")</f>
        <v/>
      </c>
      <c r="AH3" s="368" t="str">
        <f>IF(AH2="Oui",IF(AH5='CT à Transf'!$K$16,"Oui",""),"")</f>
        <v/>
      </c>
      <c r="AI3" s="368" t="str">
        <f>IF(AI2="Oui",IF(AI5='CT à Transf'!$K$16,"Oui",""),"")</f>
        <v/>
      </c>
      <c r="AJ3" s="368" t="str">
        <f>IF(AJ2="Oui",IF(AJ5='CT à Transf'!$K$16,"Oui",""),"")</f>
        <v/>
      </c>
      <c r="AK3" s="368" t="str">
        <f>IF(AK2="Oui",IF(AK5='CT à Transf'!$K$16,"Oui",""),"")</f>
        <v/>
      </c>
      <c r="AL3" s="368" t="str">
        <f>IF(AL2="Oui",IF(AL5='CT à Transf'!$K$16,"Oui",""),"")</f>
        <v/>
      </c>
      <c r="AM3" s="368" t="str">
        <f>IF(AM2="Oui",IF(AM5='CT à Transf'!$K$16,"Oui",""),"")</f>
        <v/>
      </c>
      <c r="AN3" s="368" t="str">
        <f>IF(AN2="Oui",IF(AN5='CT à Transf'!$K$16,"Oui",""),"")</f>
        <v/>
      </c>
      <c r="AO3" s="368" t="str">
        <f>IF(AO2="Oui",IF(AO5='CT à Transf'!$K$16,"Oui",""),"")</f>
        <v/>
      </c>
      <c r="AP3" s="368" t="str">
        <f>IF(AP2="Oui",IF(AP5='CT à Transf'!$K$16,"Oui",""),"")</f>
        <v/>
      </c>
      <c r="AQ3" s="368" t="str">
        <f>IF(AQ2="Oui",IF(AQ5='CT à Transf'!$K$16,"Oui",""),"")</f>
        <v/>
      </c>
      <c r="AR3" s="368" t="str">
        <f>IF(AR2="Oui",IF(AR5='CT à Transf'!$K$16,"Oui",""),"")</f>
        <v/>
      </c>
      <c r="AS3" s="368" t="str">
        <f>IF(AS2="Oui",IF(AS5='CT à Transf'!$K$16,"Oui",""),"")</f>
        <v/>
      </c>
      <c r="AT3" s="368" t="str">
        <f>IF(AT2="Oui",IF(AT5='CT à Transf'!$K$16,"Oui",""),"")</f>
        <v/>
      </c>
      <c r="AU3" s="368" t="str">
        <f>IF(AU2="Oui",IF(AU5='CT à Transf'!$K$16,"Oui",""),"")</f>
        <v/>
      </c>
      <c r="AV3" s="368" t="str">
        <f>IF(AV2="Oui",IF(AV5='CT à Transf'!$K$16,"Oui",""),"")</f>
        <v/>
      </c>
      <c r="AW3" s="368" t="str">
        <f>IF(AW2="Oui",IF(AW5='CT à Transf'!$K$16,"Oui",""),"")</f>
        <v/>
      </c>
      <c r="AX3" s="368" t="str">
        <f>IF(AX2="Oui",IF(AX5='CT à Transf'!$K$16,"Oui",""),"")</f>
        <v/>
      </c>
      <c r="AY3" s="368" t="str">
        <f>IF(AY2="Oui",IF(AY5='CT à Transf'!$K$16,"Oui",""),"")</f>
        <v/>
      </c>
      <c r="AZ3" s="368" t="str">
        <f>IF(AZ2="Oui",IF(AZ5='CT à Transf'!$K$16,"Oui",""),"")</f>
        <v/>
      </c>
      <c r="BA3" s="368" t="str">
        <f>IF(BA2="Oui",IF(BA5='CT à Transf'!$K$16,"Oui",""),"")</f>
        <v/>
      </c>
      <c r="BB3" s="368" t="str">
        <f>IF(BB2="Oui",IF(BB5='CT à Transf'!$K$16,"Oui",""),"")</f>
        <v/>
      </c>
      <c r="BC3" s="368" t="str">
        <f>IF(BC2="Oui",IF(BC5='CT à Transf'!$K$16,"Oui",""),"")</f>
        <v/>
      </c>
      <c r="BD3" s="368" t="str">
        <f>IF(BD2="Oui",IF(BD5='CT à Transf'!$K$16,"Oui",""),"")</f>
        <v/>
      </c>
      <c r="BE3" s="368" t="str">
        <f>IF(BE2="Oui",IF(BE5='CT à Transf'!$K$16,"Oui",""),"")</f>
        <v/>
      </c>
      <c r="BF3" s="368" t="str">
        <f>IF(BF2="Oui",IF(BF5='CT à Transf'!$K$16,"Oui",""),"")</f>
        <v/>
      </c>
      <c r="BG3" s="368" t="str">
        <f>IF(BG2="Oui",IF(BG5='CT à Transf'!$K$16,"Oui",""),"")</f>
        <v/>
      </c>
      <c r="BH3" s="368" t="str">
        <f>IF(BH2="Oui",IF(BH5='CT à Transf'!$K$16,"Oui",""),"")</f>
        <v/>
      </c>
      <c r="BI3" s="368" t="str">
        <f>IF(BI2="Oui",IF(BI5='CT à Transf'!$K$16,"Oui",""),"")</f>
        <v/>
      </c>
      <c r="BJ3" s="368" t="str">
        <f>IF(BJ2="Oui",IF(BJ5='CT à Transf'!$K$16,"Oui",""),"")</f>
        <v/>
      </c>
      <c r="BK3" s="368" t="str">
        <f>IF(BK2="Oui",IF(BK5='CT à Transf'!$K$16,"Oui",""),"")</f>
        <v/>
      </c>
      <c r="BL3" s="368" t="str">
        <f>IF(BL2="Oui",IF(BL5='CT à Transf'!$K$16,"Oui",""),"")</f>
        <v/>
      </c>
      <c r="BM3" s="368" t="str">
        <f>IF(BM2="Oui",IF(BM5='CT à Transf'!$K$16,"Oui",""),"")</f>
        <v/>
      </c>
      <c r="BN3" s="368" t="str">
        <f>IF(BN2="Oui",IF(BN5='CT à Transf'!$K$16,"Oui",""),"")</f>
        <v/>
      </c>
      <c r="BO3" s="368" t="str">
        <f>IF(BO2="Oui",IF(BO5='CT à Transf'!$K$16,"Oui",""),"")</f>
        <v/>
      </c>
      <c r="BP3" s="368" t="str">
        <f>IF(BP2="Oui",IF(BP5='CT à Transf'!$K$16,"Oui",""),"")</f>
        <v/>
      </c>
      <c r="BQ3" s="368" t="str">
        <f>IF(BQ2="Oui",IF(BQ5='CT à Transf'!$K$16,"Oui",""),"")</f>
        <v/>
      </c>
      <c r="BR3" s="368" t="str">
        <f>IF(BR2="Oui",IF(BR5='CT à Transf'!$K$16,"Oui",""),"")</f>
        <v/>
      </c>
      <c r="BS3" s="368" t="str">
        <f>IF(BS2="Oui",IF(BS5='CT à Transf'!$K$16,"Oui",""),"")</f>
        <v/>
      </c>
      <c r="BT3" s="368" t="str">
        <f>IF(BT2="Oui",IF(BT5='CT à Transf'!$K$16,"Oui",""),"")</f>
        <v/>
      </c>
      <c r="BU3" s="368" t="str">
        <f>IF(BU2="Oui",IF(BU5='CT à Transf'!$K$16,"Oui",""),"")</f>
        <v/>
      </c>
      <c r="BV3" s="368" t="str">
        <f>IF(BV2="Oui",IF(BV5='CT à Transf'!$K$16,"Oui",""),"")</f>
        <v/>
      </c>
      <c r="BW3" s="368" t="str">
        <f>IF(BW2="Oui",IF(BW5='CT à Transf'!$K$16,"Oui",""),"")</f>
        <v/>
      </c>
      <c r="BX3" s="368" t="str">
        <f>IF(BX2="Oui",IF(BX5='CT à Transf'!$K$16,"Oui",""),"")</f>
        <v/>
      </c>
      <c r="BY3" s="368" t="str">
        <f>IF(BY2="Oui",IF(BY5='CT à Transf'!$K$16,"Oui",""),"")</f>
        <v/>
      </c>
      <c r="BZ3" s="368" t="str">
        <f>IF(BZ2="Oui",IF(BZ5='CT à Transf'!$K$16,"Oui",""),"")</f>
        <v/>
      </c>
      <c r="CA3" s="368" t="str">
        <f>IF(CA2="Oui",IF(CA5='CT à Transf'!$K$16,"Oui",""),"")</f>
        <v/>
      </c>
      <c r="CB3" s="368" t="str">
        <f>IF(CB2="Oui",IF(CB5='CT à Transf'!$K$16,"Oui",""),"")</f>
        <v/>
      </c>
      <c r="CC3" s="368" t="str">
        <f>IF(CC2="Oui",IF(CC5='CT à Transf'!$K$16,"Oui",""),"")</f>
        <v/>
      </c>
      <c r="CD3" s="368" t="str">
        <f>IF(CD2="Oui",IF(CD5='CT à Transf'!$K$16,"Oui",""),"")</f>
        <v/>
      </c>
      <c r="CE3" s="368" t="str">
        <f>IF(CE2="Oui",IF(CE5='CT à Transf'!$K$16,"Oui",""),"")</f>
        <v/>
      </c>
      <c r="CF3" s="368" t="str">
        <f>IF(CF2="Oui",IF(CF5='CT à Transf'!$K$16,"Oui",""),"")</f>
        <v/>
      </c>
      <c r="CG3" s="368" t="str">
        <f>IF(CG2="Oui",IF(CG5='CT à Transf'!$K$16,"Oui",""),"")</f>
        <v/>
      </c>
      <c r="CH3" s="368" t="str">
        <f>IF(CH2="Oui",IF(CH5='CT à Transf'!$K$16,"Oui",""),"")</f>
        <v/>
      </c>
      <c r="CI3" s="368" t="str">
        <f>IF(CI2="Oui",IF(CI5='CT à Transf'!$K$16,"Oui",""),"")</f>
        <v/>
      </c>
      <c r="CJ3" s="368" t="str">
        <f>IF(CJ2="Oui",IF(CJ5='CT à Transf'!$K$16,"Oui",""),"")</f>
        <v/>
      </c>
      <c r="CK3" s="368" t="str">
        <f>IF(CK2="Oui",IF(CK5='CT à Transf'!$K$16,"Oui",""),"")</f>
        <v/>
      </c>
      <c r="CL3" s="368" t="str">
        <f>IF(CL2="Oui",IF(CL5='CT à Transf'!$K$16,"Oui",""),"")</f>
        <v/>
      </c>
      <c r="CM3" s="368" t="str">
        <f>IF(CM2="Oui",IF(CM5='CT à Transf'!$K$16,"Oui",""),"")</f>
        <v/>
      </c>
      <c r="CN3" s="368" t="str">
        <f>IF(CN2="Oui",IF(CN5='CT à Transf'!$K$16,"Oui",""),"")</f>
        <v/>
      </c>
      <c r="CO3" s="368" t="str">
        <f>IF(CO2="Oui",IF(CO5='CT à Transf'!$K$16,"Oui",""),"")</f>
        <v/>
      </c>
      <c r="CP3" s="368" t="str">
        <f>IF(CP2="Oui",IF(CP5='CT à Transf'!$K$16,"Oui",""),"")</f>
        <v/>
      </c>
      <c r="CQ3" s="368" t="str">
        <f>IF(CQ2="Oui",IF(CQ5='CT à Transf'!$K$16,"Oui",""),"")</f>
        <v/>
      </c>
      <c r="CR3" s="368" t="str">
        <f>IF(CR2="Oui",IF(CR5='CT à Transf'!$K$16,"Oui",""),"")</f>
        <v/>
      </c>
      <c r="CS3" s="368" t="str">
        <f>IF(CS2="Oui",IF(CS5='CT à Transf'!$K$16,"Oui",""),"")</f>
        <v/>
      </c>
      <c r="CT3" s="368" t="str">
        <f>IF(CT2="Oui",IF(CT5='CT à Transf'!$K$16,"Oui",""),"")</f>
        <v/>
      </c>
      <c r="CU3" s="368" t="str">
        <f>IF(CU2="Oui",IF(CU5='CT à Transf'!$K$16,"Oui",""),"")</f>
        <v/>
      </c>
      <c r="CV3" s="368" t="str">
        <f>IF(CV2="Oui",IF(CV5='CT à Transf'!$K$16,"Oui",""),"")</f>
        <v/>
      </c>
      <c r="CW3" s="368" t="str">
        <f>IF(CW2="Oui",IF(CW5='CT à Transf'!$K$16,"Oui",""),"")</f>
        <v/>
      </c>
      <c r="CX3" s="368" t="str">
        <f>IF(CX2="Oui",IF(CX5='CT à Transf'!$K$16,"Oui",""),"")</f>
        <v/>
      </c>
      <c r="CY3" s="368" t="str">
        <f>IF(CY2="Oui",IF(CY5='CT à Transf'!$K$16,"Oui",""),"")</f>
        <v/>
      </c>
      <c r="CZ3" s="368" t="str">
        <f>IF(CZ2="Oui",IF(CZ5='CT à Transf'!$K$16,"Oui",""),"")</f>
        <v/>
      </c>
      <c r="DA3" s="368" t="str">
        <f>IF(DA2="Oui",IF(DA5='CT à Transf'!$K$16,"Oui",""),"")</f>
        <v/>
      </c>
      <c r="DB3" s="368" t="str">
        <f>IF(DB2="Oui",IF(DB5='CT à Transf'!$K$16,"Oui",""),"")</f>
        <v/>
      </c>
      <c r="DC3" s="368" t="str">
        <f>IF(DC2="Oui",IF(DC5='CT à Transf'!$K$16,"Oui",""),"")</f>
        <v/>
      </c>
      <c r="DD3" s="368" t="str">
        <f>IF(DD2="Oui",IF(DD5='CT à Transf'!$K$16,"Oui",""),"")</f>
        <v/>
      </c>
      <c r="DE3" s="368" t="str">
        <f>IF(DE2="Oui",IF(DE5='CT à Transf'!$K$16,"Oui",""),"")</f>
        <v/>
      </c>
      <c r="DF3" s="368" t="str">
        <f>IF(DF2="Oui",IF(DF5='CT à Transf'!$K$16,"Oui",""),"")</f>
        <v/>
      </c>
      <c r="DG3" s="368" t="str">
        <f>IF(DG2="Oui",IF(DG5='CT à Transf'!$K$16,"Oui",""),"")</f>
        <v/>
      </c>
      <c r="DH3" s="368" t="str">
        <f>IF(DH2="Oui",IF(DH5='CT à Transf'!$K$16,"Oui",""),"")</f>
        <v/>
      </c>
      <c r="DI3" s="368" t="str">
        <f>IF(DI2="Oui",IF(DI5='CT à Transf'!$K$16,"Oui",""),"")</f>
        <v/>
      </c>
      <c r="DJ3" s="368" t="str">
        <f>IF(DJ2="Oui",IF(DJ5='CT à Transf'!$K$16,"Oui",""),"")</f>
        <v/>
      </c>
      <c r="DK3" s="368" t="str">
        <f>IF(DK2="Oui",IF(DK5='CT à Transf'!$K$16,"Oui",""),"")</f>
        <v/>
      </c>
      <c r="DL3" s="368" t="str">
        <f>IF(DL2="Oui",IF(DL5='CT à Transf'!$K$16,"Oui",""),"")</f>
        <v/>
      </c>
      <c r="DM3" s="368" t="str">
        <f>IF(DM2="Oui",IF(DM5='CT à Transf'!$K$16,"Oui",""),"")</f>
        <v/>
      </c>
      <c r="DN3" s="368" t="str">
        <f>IF(DN2="Oui",IF(DN5='CT à Transf'!$K$16,"Oui",""),"")</f>
        <v/>
      </c>
      <c r="DO3" s="368" t="str">
        <f>IF(DO2="Oui",IF(DO5='CT à Transf'!$K$16,"Oui",""),"")</f>
        <v/>
      </c>
      <c r="DP3" s="368" t="str">
        <f>IF(DP2="Oui",IF(DP5='CT à Transf'!$K$16,"Oui",""),"")</f>
        <v/>
      </c>
      <c r="DQ3" s="368" t="str">
        <f>IF(DQ2="Oui",IF(DQ5='CT à Transf'!$K$16,"Oui",""),"")</f>
        <v/>
      </c>
      <c r="DR3" s="368" t="str">
        <f>IF(DR2="Oui",IF(DR5='CT à Transf'!$K$16,"Oui",""),"")</f>
        <v/>
      </c>
      <c r="DS3" s="368" t="str">
        <f>IF(DS2="Oui",IF(DS5='CT à Transf'!$K$16,"Oui",""),"")</f>
        <v/>
      </c>
      <c r="DT3" s="368" t="str">
        <f>IF(DT2="Oui",IF(DT5='CT à Transf'!$K$16,"Oui",""),"")</f>
        <v/>
      </c>
      <c r="DU3" s="368" t="str">
        <f>IF(DU2="Oui",IF(DU5='CT à Transf'!$K$16,"Oui",""),"")</f>
        <v/>
      </c>
      <c r="DV3" s="368" t="str">
        <f>IF(DV2="Oui",IF(DV5='CT à Transf'!$K$16,"Oui",""),"")</f>
        <v/>
      </c>
      <c r="DW3" s="368" t="str">
        <f>IF(DW2="Oui",IF(DW5='CT à Transf'!$K$16,"Oui",""),"")</f>
        <v/>
      </c>
      <c r="DX3" s="368" t="str">
        <f>IF(DX2="Oui",IF(DX5='CT à Transf'!$K$16,"Oui",""),"")</f>
        <v/>
      </c>
      <c r="DY3" s="368" t="str">
        <f>IF(DY2="Oui",IF(DY5='CT à Transf'!$K$16,"Oui",""),"")</f>
        <v/>
      </c>
      <c r="DZ3" s="368" t="str">
        <f>IF(DZ2="Oui",IF(DZ5='CT à Transf'!$K$16,"Oui",""),"")</f>
        <v/>
      </c>
      <c r="EA3" s="368" t="str">
        <f>IF(EA2="Oui",IF(EA5='CT à Transf'!$K$16,"Oui",""),"")</f>
        <v/>
      </c>
      <c r="EB3" s="368" t="str">
        <f>IF(EB2="Oui",IF(EB5='CT à Transf'!$K$16,"Oui",""),"")</f>
        <v/>
      </c>
      <c r="EC3" s="368" t="str">
        <f>IF(EC2="Oui",IF(EC5='CT à Transf'!$K$16,"Oui",""),"")</f>
        <v/>
      </c>
      <c r="ED3" s="368" t="str">
        <f>IF(ED2="Oui",IF(ED5='CT à Transf'!$K$16,"Oui",""),"")</f>
        <v/>
      </c>
      <c r="EE3" s="368" t="str">
        <f>IF(EE2="Oui",IF(EE5='CT à Transf'!$K$16,"Oui",""),"")</f>
        <v/>
      </c>
      <c r="EF3" s="368" t="str">
        <f>IF(EF2="Oui",IF(EF5='CT à Transf'!$K$16,"Oui",""),"")</f>
        <v/>
      </c>
      <c r="EG3" s="368" t="str">
        <f>IF(EG2="Oui",IF(EG5='CT à Transf'!$K$16,"Oui",""),"")</f>
        <v/>
      </c>
      <c r="EH3" s="368" t="str">
        <f>IF(EH2="Oui",IF(EH5='CT à Transf'!$K$16,"Oui",""),"")</f>
        <v/>
      </c>
      <c r="EI3" s="368" t="str">
        <f>IF(EI2="Oui",IF(EI5='CT à Transf'!$K$16,"Oui",""),"")</f>
        <v/>
      </c>
      <c r="EJ3" s="368" t="str">
        <f>IF(EJ2="Oui",IF(EJ5='CT à Transf'!$K$16,"Oui",""),"")</f>
        <v/>
      </c>
      <c r="EK3" s="368" t="str">
        <f>IF(EK2="Oui",IF(EK5='CT à Transf'!$K$16,"Oui",""),"")</f>
        <v/>
      </c>
      <c r="EL3" s="368" t="str">
        <f>IF(EL2="Oui",IF(EL5='CT à Transf'!$K$16,"Oui",""),"")</f>
        <v/>
      </c>
      <c r="EM3" s="368" t="str">
        <f>IF(EM2="Oui",IF(EM5='CT à Transf'!$K$16,"Oui",""),"")</f>
        <v/>
      </c>
      <c r="EN3" s="368" t="str">
        <f>IF(EN2="Oui",IF(EN5='CT à Transf'!$K$16,"Oui",""),"")</f>
        <v/>
      </c>
      <c r="EO3" s="368" t="str">
        <f>IF(EO2="Oui",IF(EO5='CT à Transf'!$K$16,"Oui",""),"")</f>
        <v/>
      </c>
      <c r="EP3" s="368" t="str">
        <f>IF(EP2="Oui",IF(EP5='CT à Transf'!$K$16,"Oui",""),"")</f>
        <v/>
      </c>
      <c r="EQ3" s="368" t="str">
        <f>IF(EQ2="Oui",IF(EQ5='CT à Transf'!$K$16,"Oui",""),"")</f>
        <v/>
      </c>
      <c r="ER3" s="368" t="str">
        <f>IF(ER2="Oui",IF(ER5='CT à Transf'!$K$16,"Oui",""),"")</f>
        <v/>
      </c>
      <c r="ES3" s="368" t="str">
        <f>IF(ES2="Oui",IF(ES5='CT à Transf'!$K$16,"Oui",""),"")</f>
        <v/>
      </c>
      <c r="ET3" s="368" t="str">
        <f>IF(ET2="Oui",IF(ET5='CT à Transf'!$K$16,"Oui",""),"")</f>
        <v/>
      </c>
      <c r="EU3" s="368" t="str">
        <f>IF(EU2="Oui",IF(EU5='CT à Transf'!$K$16,"Oui",""),"")</f>
        <v/>
      </c>
      <c r="EV3" s="368" t="str">
        <f>IF(EV2="Oui",IF(EV5='CT à Transf'!$K$16,"Oui",""),"")</f>
        <v/>
      </c>
      <c r="EW3" s="368" t="str">
        <f>IF(EW2="Oui",IF(EW5='CT à Transf'!$K$16,"Oui",""),"")</f>
        <v/>
      </c>
      <c r="EX3" s="368" t="str">
        <f>IF(EX2="Oui",IF(EX5='CT à Transf'!$K$16,"Oui",""),"")</f>
        <v/>
      </c>
      <c r="EY3" s="368" t="str">
        <f>IF(EY2="Oui",IF(EY5='CT à Transf'!$K$16,"Oui",""),"")</f>
        <v/>
      </c>
      <c r="EZ3" s="368" t="str">
        <f>IF(EZ2="Oui",IF(EZ5='CT à Transf'!$K$16,"Oui",""),"")</f>
        <v/>
      </c>
      <c r="FA3" s="368" t="str">
        <f>IF(FA2="Oui",IF(FA5='CT à Transf'!$K$16,"Oui",""),"")</f>
        <v/>
      </c>
      <c r="FB3" s="368" t="str">
        <f>IF(FB2="Oui",IF(FB5='CT à Transf'!$K$16,"Oui",""),"")</f>
        <v/>
      </c>
      <c r="FC3" s="368" t="str">
        <f>IF(FC2="Oui",IF(FC5='CT à Transf'!$K$16,"Oui",""),"")</f>
        <v/>
      </c>
      <c r="FD3" s="368" t="str">
        <f>IF(FD2="Oui",IF(FD5='CT à Transf'!$K$16,"Oui",""),"")</f>
        <v/>
      </c>
      <c r="FE3" s="368" t="str">
        <f>IF(FE2="Oui",IF(FE5='CT à Transf'!$K$16,"Oui",""),"")</f>
        <v/>
      </c>
      <c r="FF3" s="368" t="str">
        <f>IF(FF2="Oui",IF(FF5='CT à Transf'!$K$16,"Oui",""),"")</f>
        <v/>
      </c>
      <c r="FG3" s="368" t="str">
        <f>IF(FG2="Oui",IF(FG5='CT à Transf'!$K$16,"Oui",""),"")</f>
        <v/>
      </c>
      <c r="FH3" s="368" t="str">
        <f>IF(FH2="Oui",IF(FH5='CT à Transf'!$K$16,"Oui",""),"")</f>
        <v/>
      </c>
      <c r="FI3" s="368" t="str">
        <f>IF(FI2="Oui",IF(FI5='CT à Transf'!$K$16,"Oui",""),"")</f>
        <v/>
      </c>
      <c r="FJ3" s="368" t="str">
        <f>IF(FJ2="Oui",IF(FJ5='CT à Transf'!$K$16,"Oui",""),"")</f>
        <v/>
      </c>
      <c r="FK3" s="368" t="str">
        <f>IF(FK2="Oui",IF(FK5='CT à Transf'!$K$16,"Oui",""),"")</f>
        <v/>
      </c>
      <c r="FL3" s="368" t="str">
        <f>IF(FL2="Oui",IF(FL5='CT à Transf'!$K$16,"Oui",""),"")</f>
        <v/>
      </c>
      <c r="FM3" s="368" t="str">
        <f>IF(FM2="Oui",IF(FM5='CT à Transf'!$K$16,"Oui",""),"")</f>
        <v/>
      </c>
      <c r="FN3" s="368" t="str">
        <f>IF(FN2="Oui",IF(FN5='CT à Transf'!$K$16,"Oui",""),"")</f>
        <v/>
      </c>
      <c r="FO3" s="368" t="str">
        <f>IF(FO2="Oui",IF(FO5='CT à Transf'!$K$16,"Oui",""),"")</f>
        <v/>
      </c>
      <c r="FP3" s="368" t="str">
        <f>IF(FP2="Oui",IF(FP5='CT à Transf'!$K$16,"Oui",""),"")</f>
        <v/>
      </c>
      <c r="FQ3" s="368" t="str">
        <f>IF(FQ2="Oui",IF(FQ5='CT à Transf'!$K$16,"Oui",""),"")</f>
        <v/>
      </c>
      <c r="FR3" s="368" t="str">
        <f>IF(FR2="Oui",IF(FR5='CT à Transf'!$K$16,"Oui",""),"")</f>
        <v/>
      </c>
      <c r="FS3" s="368" t="str">
        <f>IF(FS2="Oui",IF(FS5='CT à Transf'!$K$16,"Oui",""),"")</f>
        <v/>
      </c>
      <c r="FT3" s="368" t="str">
        <f>IF(FT2="Oui",IF(FT5='CT à Transf'!$K$16,"Oui",""),"")</f>
        <v/>
      </c>
      <c r="FU3" s="368" t="str">
        <f>IF(FU2="Oui",IF(FU5='CT à Transf'!$K$16,"Oui",""),"")</f>
        <v/>
      </c>
      <c r="FV3" s="368" t="str">
        <f>IF(FV2="Oui",IF(FV5='CT à Transf'!$K$16,"Oui",""),"")</f>
        <v/>
      </c>
      <c r="FW3" s="368" t="str">
        <f>IF(FW2="Oui",IF(FW5='CT à Transf'!$K$16,"Oui",""),"")</f>
        <v/>
      </c>
      <c r="FX3" s="368" t="str">
        <f>IF(FX2="Oui",IF(FX5='CT à Transf'!$K$16,"Oui",""),"")</f>
        <v/>
      </c>
      <c r="FY3" s="368" t="str">
        <f>IF(FY2="Oui",IF(FY5='CT à Transf'!$K$16,"Oui",""),"")</f>
        <v/>
      </c>
      <c r="FZ3" s="368" t="str">
        <f>IF(FZ2="Oui",IF(FZ5='CT à Transf'!$K$16,"Oui",""),"")</f>
        <v/>
      </c>
      <c r="GA3" s="368" t="str">
        <f>IF(GA2="Oui",IF(GA5='CT à Transf'!$K$16,"Oui",""),"")</f>
        <v/>
      </c>
      <c r="GB3" s="368" t="str">
        <f>IF(GB2="Oui",IF(GB5='CT à Transf'!$K$16,"Oui",""),"")</f>
        <v/>
      </c>
      <c r="GC3" s="368" t="str">
        <f>IF(GC2="Oui",IF(GC5='CT à Transf'!$K$16,"Oui",""),"")</f>
        <v/>
      </c>
      <c r="GD3" s="368" t="str">
        <f>IF(GD2="Oui",IF(GD5='CT à Transf'!$K$16,"Oui",""),"")</f>
        <v/>
      </c>
      <c r="GE3" s="368" t="str">
        <f>IF(GE2="Oui",IF(GE5='CT à Transf'!$K$16,"Oui",""),"")</f>
        <v/>
      </c>
      <c r="GF3" s="368" t="str">
        <f>IF(GF2="Oui",IF(GF5='CT à Transf'!$K$16,"Oui",""),"")</f>
        <v/>
      </c>
      <c r="GG3" s="368" t="str">
        <f>IF(GG2="Oui",IF(GG5='CT à Transf'!$K$16,"Oui",""),"")</f>
        <v/>
      </c>
      <c r="GH3" s="368" t="str">
        <f>IF(GH2="Oui",IF(GH5='CT à Transf'!$K$16,"Oui",""),"")</f>
        <v/>
      </c>
      <c r="GI3" s="368" t="str">
        <f>IF(GI2="Oui",IF(GI5='CT à Transf'!$K$16,"Oui",""),"")</f>
        <v/>
      </c>
      <c r="GJ3" s="368" t="str">
        <f>IF(GJ2="Oui",IF(GJ5='CT à Transf'!$K$16,"Oui",""),"")</f>
        <v/>
      </c>
      <c r="GK3" s="368" t="str">
        <f>IF(GK2="Oui",IF(GK5='CT à Transf'!$K$16,"Oui",""),"")</f>
        <v/>
      </c>
      <c r="GL3" s="368" t="str">
        <f>IF(GL2="Oui",IF(GL5='CT à Transf'!$K$16,"Oui",""),"")</f>
        <v/>
      </c>
      <c r="GM3" s="368" t="str">
        <f>IF(GM2="Oui",IF(GM5='CT à Transf'!$K$16,"Oui",""),"")</f>
        <v/>
      </c>
      <c r="GN3" s="368" t="str">
        <f>IF(GN2="Oui",IF(GN5='CT à Transf'!$K$16,"Oui",""),"")</f>
        <v/>
      </c>
      <c r="GO3" s="368" t="str">
        <f>IF(GO2="Oui",IF(GO5='CT à Transf'!$K$16,"Oui",""),"")</f>
        <v/>
      </c>
      <c r="GP3" s="368" t="str">
        <f>IF(GP2="Oui",IF(GP5='CT à Transf'!$K$16,"Oui",""),"")</f>
        <v/>
      </c>
      <c r="GQ3" s="368" t="str">
        <f>IF(GQ2="Oui",IF(GQ5='CT à Transf'!$K$16,"Oui",""),"")</f>
        <v/>
      </c>
      <c r="GR3" s="368" t="str">
        <f>IF(GR2="Oui",IF(GR5='CT à Transf'!$K$16,"Oui",""),"")</f>
        <v/>
      </c>
      <c r="GS3" s="368" t="str">
        <f>IF(GS2="Oui",IF(GS5='CT à Transf'!$K$16,"Oui",""),"")</f>
        <v/>
      </c>
      <c r="GT3" s="368" t="str">
        <f>IF(GT2="Oui",IF(GT5='CT à Transf'!$K$16,"Oui",""),"")</f>
        <v/>
      </c>
      <c r="GU3" s="368" t="str">
        <f>IF(GU2="Oui",IF(GU5='CT à Transf'!$K$16,"Oui",""),"")</f>
        <v/>
      </c>
      <c r="GV3" s="368" t="str">
        <f>IF(GV2="Oui",IF(GV5='CT à Transf'!$K$16,"Oui",""),"")</f>
        <v/>
      </c>
      <c r="GW3" s="368" t="str">
        <f>IF(GW2="Oui",IF(GW5='CT à Transf'!$K$16,"Oui",""),"")</f>
        <v/>
      </c>
      <c r="GX3" s="368" t="str">
        <f>IF(GX2="Oui",IF(GX5='CT à Transf'!$K$16,"Oui",""),"")</f>
        <v/>
      </c>
      <c r="GY3" s="368" t="str">
        <f>IF(GY2="Oui",IF(GY5='CT à Transf'!$K$16,"Oui",""),"")</f>
        <v/>
      </c>
      <c r="GZ3" s="368" t="str">
        <f>IF(GZ2="Oui",IF(GZ5='CT à Transf'!$K$16,"Oui",""),"")</f>
        <v/>
      </c>
      <c r="HA3" s="368" t="str">
        <f>IF(HA2="Oui",IF(HA5='CT à Transf'!$K$16,"Oui",""),"")</f>
        <v/>
      </c>
      <c r="HB3" s="368" t="str">
        <f>IF(HB2="Oui",IF(HB5='CT à Transf'!$K$16,"Oui",""),"")</f>
        <v/>
      </c>
      <c r="HC3" s="368" t="str">
        <f>IF(HC2="Oui",IF(HC5='CT à Transf'!$K$16,"Oui",""),"")</f>
        <v/>
      </c>
      <c r="HD3" s="368" t="str">
        <f>IF(HD2="Oui",IF(HD5='CT à Transf'!$K$16,"Oui",""),"")</f>
        <v/>
      </c>
      <c r="HE3" s="368" t="str">
        <f>IF(HE2="Oui",IF(HE5='CT à Transf'!$K$16,"Oui",""),"")</f>
        <v/>
      </c>
      <c r="HF3" s="368" t="str">
        <f>IF(HF2="Oui",IF(HF5='CT à Transf'!$K$16,"Oui",""),"")</f>
        <v/>
      </c>
      <c r="HG3" s="368" t="str">
        <f>IF(HG2="Oui",IF(HG5='CT à Transf'!$K$16,"Oui",""),"")</f>
        <v/>
      </c>
      <c r="HH3" s="368" t="str">
        <f>IF(HH2="Oui",IF(HH5='CT à Transf'!$K$16,"Oui",""),"")</f>
        <v/>
      </c>
      <c r="HI3" s="368" t="str">
        <f>IF(HI2="Oui",IF(HI5='CT à Transf'!$K$16,"Oui",""),"")</f>
        <v/>
      </c>
      <c r="HJ3" s="368" t="str">
        <f>IF(HJ2="Oui",IF(HJ5='CT à Transf'!$K$16,"Oui",""),"")</f>
        <v/>
      </c>
      <c r="HK3" s="368" t="str">
        <f>IF(HK2="Oui",IF(HK5='CT à Transf'!$K$16,"Oui",""),"")</f>
        <v/>
      </c>
      <c r="HL3" s="368" t="str">
        <f>IF(HL2="Oui",IF(HL5='CT à Transf'!$K$16,"Oui",""),"")</f>
        <v/>
      </c>
      <c r="HM3" s="368" t="str">
        <f>IF(HM2="Oui",IF(HM5='CT à Transf'!$K$16,"Oui",""),"")</f>
        <v/>
      </c>
      <c r="HN3" s="368" t="str">
        <f>IF(HN2="Oui",IF(HN5='CT à Transf'!$K$16,"Oui",""),"")</f>
        <v/>
      </c>
      <c r="HO3" s="368" t="str">
        <f>IF(HO2="Oui",IF(HO5='CT à Transf'!$K$16,"Oui",""),"")</f>
        <v/>
      </c>
      <c r="HP3" s="368" t="str">
        <f>IF(HP2="Oui",IF(HP5='CT à Transf'!$K$16,"Oui",""),"")</f>
        <v/>
      </c>
      <c r="HQ3" s="368" t="str">
        <f>IF(HQ2="Oui",IF(HQ5='CT à Transf'!$K$16,"Oui",""),"")</f>
        <v/>
      </c>
      <c r="HR3" s="368" t="str">
        <f>IF(HR2="Oui",IF(HR5='CT à Transf'!$K$16,"Oui",""),"")</f>
        <v/>
      </c>
      <c r="HS3" s="368" t="str">
        <f>IF(HS2="Oui",IF(HS5='CT à Transf'!$K$16,"Oui",""),"")</f>
        <v/>
      </c>
      <c r="HT3" s="368" t="str">
        <f>IF(HT2="Oui",IF(HT5='CT à Transf'!$K$16,"Oui",""),"")</f>
        <v/>
      </c>
      <c r="HU3" s="368" t="str">
        <f>IF(HU2="Oui",IF(HU5='CT à Transf'!$K$16,"Oui",""),"")</f>
        <v/>
      </c>
      <c r="HV3" s="368" t="str">
        <f>IF(HV2="Oui",IF(HV5='CT à Transf'!$K$16,"Oui",""),"")</f>
        <v/>
      </c>
      <c r="HW3" s="368" t="str">
        <f>IF(HW2="Oui",IF(HW5='CT à Transf'!$K$16,"Oui",""),"")</f>
        <v/>
      </c>
      <c r="HX3" s="368" t="str">
        <f>IF(HX2="Oui",IF(HX5='CT à Transf'!$K$16,"Oui",""),"")</f>
        <v/>
      </c>
      <c r="HY3" s="368" t="str">
        <f>IF(HY2="Oui",IF(HY5='CT à Transf'!$K$16,"Oui",""),"")</f>
        <v/>
      </c>
      <c r="HZ3" s="368" t="str">
        <f>IF(HZ2="Oui",IF(HZ5='CT à Transf'!$K$16,"Oui",""),"")</f>
        <v/>
      </c>
      <c r="IA3" s="368" t="str">
        <f>IF(IA2="Oui",IF(IA5='CT à Transf'!$K$16,"Oui",""),"")</f>
        <v/>
      </c>
      <c r="IB3" s="368" t="str">
        <f>IF(IB2="Oui",IF(IB5='CT à Transf'!$K$16,"Oui",""),"")</f>
        <v/>
      </c>
      <c r="IC3" s="368" t="str">
        <f>IF(IC2="Oui",IF(IC5='CT à Transf'!$K$16,"Oui",""),"")</f>
        <v/>
      </c>
      <c r="ID3" s="368" t="str">
        <f>IF(ID2="Oui",IF(ID5='CT à Transf'!$K$16,"Oui",""),"")</f>
        <v/>
      </c>
      <c r="IE3" s="368" t="str">
        <f>IF(IE2="Oui",IF(IE5='CT à Transf'!$K$16,"Oui",""),"")</f>
        <v/>
      </c>
      <c r="IF3" s="368" t="str">
        <f>IF(IF2="Oui",IF(IF5='CT à Transf'!$K$16,"Oui",""),"")</f>
        <v/>
      </c>
      <c r="IG3" s="368" t="str">
        <f>IF(IG2="Oui",IF(IG5='CT à Transf'!$K$16,"Oui",""),"")</f>
        <v/>
      </c>
      <c r="IH3" s="368" t="str">
        <f>IF(IH2="Oui",IF(IH5='CT à Transf'!$K$16,"Oui",""),"")</f>
        <v/>
      </c>
      <c r="II3" s="368" t="str">
        <f>IF(II2="Oui",IF(II5='CT à Transf'!$K$16,"Oui",""),"")</f>
        <v/>
      </c>
      <c r="IJ3" s="368" t="str">
        <f>IF(IJ2="Oui",IF(IJ5='CT à Transf'!$K$16,"Oui",""),"")</f>
        <v/>
      </c>
      <c r="IK3" s="368" t="str">
        <f>IF(IK2="Oui",IF(IK5='CT à Transf'!$K$16,"Oui",""),"")</f>
        <v/>
      </c>
      <c r="IL3" s="368" t="str">
        <f>IF(IL2="Oui",IF(IL5='CT à Transf'!$K$16,"Oui",""),"")</f>
        <v/>
      </c>
      <c r="IM3" s="368" t="str">
        <f>IF(IM2="Oui",IF(IM5='CT à Transf'!$K$16,"Oui",""),"")</f>
        <v/>
      </c>
      <c r="IN3" s="368" t="str">
        <f>IF(IN2="Oui",IF(IN5='CT à Transf'!$K$16,"Oui",""),"")</f>
        <v/>
      </c>
      <c r="IO3" s="368" t="str">
        <f>IF(IO2="Oui",IF(IO5='CT à Transf'!$K$16,"Oui",""),"")</f>
        <v/>
      </c>
      <c r="IP3" s="368" t="str">
        <f>IF(IP2="Oui",IF(IP5='CT à Transf'!$K$16,"Oui",""),"")</f>
        <v/>
      </c>
      <c r="IQ3" s="368" t="str">
        <f>IF(IQ2="Oui",IF(IQ5='CT à Transf'!$K$16,"Oui",""),"")</f>
        <v/>
      </c>
      <c r="IR3" s="368" t="str">
        <f>IF(IR2="Oui",IF(IR5='CT à Transf'!$K$16,"Oui",""),"")</f>
        <v/>
      </c>
      <c r="IS3" s="368" t="str">
        <f>IF(IS2="Oui",IF(IS5='CT à Transf'!$K$16,"Oui",""),"")</f>
        <v/>
      </c>
      <c r="IT3" s="368" t="str">
        <f>IF(IT2="Oui",IF(IT5='CT à Transf'!$K$16,"Oui",""),"")</f>
        <v/>
      </c>
      <c r="IU3" s="368" t="str">
        <f>IF(IU2="Oui",IF(IU5='CT à Transf'!$K$16,"Oui",""),"")</f>
        <v/>
      </c>
      <c r="IV3" s="368" t="str">
        <f>IF(IV2="Oui",IF(IV5='CT à Transf'!$K$16,"Oui",""),"")</f>
        <v/>
      </c>
      <c r="IW3" s="368" t="str">
        <f>IF(IW2="Oui",IF(IW5='CT à Transf'!$K$16,"Oui",""),"")</f>
        <v/>
      </c>
      <c r="IX3" s="368" t="str">
        <f>IF(IX2="Oui",IF(IX5='CT à Transf'!$K$16,"Oui",""),"")</f>
        <v/>
      </c>
      <c r="IY3" s="368" t="str">
        <f>IF(IY2="Oui",IF(IY5='CT à Transf'!$K$16,"Oui",""),"")</f>
        <v/>
      </c>
      <c r="IZ3" s="368" t="str">
        <f>IF(IZ2="Oui",IF(IZ5='CT à Transf'!$K$16,"Oui",""),"")</f>
        <v/>
      </c>
      <c r="JA3" s="368" t="str">
        <f>IF(JA2="Oui",IF(JA5='CT à Transf'!$K$16,"Oui",""),"")</f>
        <v/>
      </c>
      <c r="JB3" s="368" t="str">
        <f>IF(JB2="Oui",IF(JB5='CT à Transf'!$K$16,"Oui",""),"")</f>
        <v/>
      </c>
      <c r="JC3" s="368" t="str">
        <f>IF(JC2="Oui",IF(JC5='CT à Transf'!$K$16,"Oui",""),"")</f>
        <v/>
      </c>
      <c r="JD3" s="368" t="str">
        <f>IF(JD2="Oui",IF(JD5='CT à Transf'!$K$16,"Oui",""),"")</f>
        <v/>
      </c>
      <c r="JE3" s="368" t="str">
        <f>IF(JE2="Oui",IF(JE5='CT à Transf'!$K$16,"Oui",""),"")</f>
        <v/>
      </c>
      <c r="JF3" s="368" t="str">
        <f>IF(JF2="Oui",IF(JF5='CT à Transf'!$K$16,"Oui",""),"")</f>
        <v/>
      </c>
      <c r="JG3" s="368" t="str">
        <f>IF(JG2="Oui",IF(JG5='CT à Transf'!$K$16,"Oui",""),"")</f>
        <v/>
      </c>
      <c r="JH3" s="368" t="str">
        <f>IF(JH2="Oui",IF(JH5='CT à Transf'!$K$16,"Oui",""),"")</f>
        <v/>
      </c>
      <c r="JI3" s="368" t="str">
        <f>IF(JI2="Oui",IF(JI5='CT à Transf'!$K$16,"Oui",""),"")</f>
        <v/>
      </c>
      <c r="JJ3" s="368" t="str">
        <f>IF(JJ2="Oui",IF(JJ5='CT à Transf'!$K$16,"Oui",""),"")</f>
        <v/>
      </c>
      <c r="JK3" s="368" t="str">
        <f>IF(JK2="Oui",IF(JK5='CT à Transf'!$K$16,"Oui",""),"")</f>
        <v/>
      </c>
      <c r="JL3" s="368" t="str">
        <f>IF(JL2="Oui",IF(JL5='CT à Transf'!$K$16,"Oui",""),"")</f>
        <v/>
      </c>
      <c r="JM3" s="368" t="str">
        <f>IF(JM2="Oui",IF(JM5='CT à Transf'!$K$16,"Oui",""),"")</f>
        <v/>
      </c>
      <c r="JN3" s="368" t="str">
        <f>IF(JN2="Oui",IF(JN5='CT à Transf'!$K$16,"Oui",""),"")</f>
        <v/>
      </c>
      <c r="JO3" s="368" t="str">
        <f>IF(JO2="Oui",IF(JO5='CT à Transf'!$K$16,"Oui",""),"")</f>
        <v/>
      </c>
      <c r="JP3" s="368" t="str">
        <f>IF(JP2="Oui",IF(JP5='CT à Transf'!$K$16,"Oui",""),"")</f>
        <v/>
      </c>
      <c r="JQ3" s="368" t="str">
        <f>IF(JQ2="Oui",IF(JQ5='CT à Transf'!$K$16,"Oui",""),"")</f>
        <v/>
      </c>
      <c r="JR3" s="368" t="str">
        <f>IF(JR2="Oui",IF(JR5='CT à Transf'!$K$16,"Oui",""),"")</f>
        <v/>
      </c>
      <c r="JS3" s="368" t="str">
        <f>IF(JS2="Oui",IF(JS5='CT à Transf'!$K$16,"Oui",""),"")</f>
        <v/>
      </c>
      <c r="JT3" s="368" t="str">
        <f>IF(JT2="Oui",IF(JT5='CT à Transf'!$K$16,"Oui",""),"")</f>
        <v/>
      </c>
      <c r="JU3" s="368" t="str">
        <f>IF(JU2="Oui",IF(JU5='CT à Transf'!$K$16,"Oui",""),"")</f>
        <v/>
      </c>
      <c r="JV3" s="368" t="str">
        <f>IF(JV2="Oui",IF(JV5='CT à Transf'!$K$16,"Oui",""),"")</f>
        <v/>
      </c>
      <c r="JW3" s="368" t="str">
        <f>IF(JW2="Oui",IF(JW5='CT à Transf'!$K$16,"Oui",""),"")</f>
        <v/>
      </c>
      <c r="JX3" s="368" t="str">
        <f>IF(JX2="Oui",IF(JX5='CT à Transf'!$K$16,"Oui",""),"")</f>
        <v/>
      </c>
      <c r="JY3" s="368" t="str">
        <f>IF(JY2="Oui",IF(JY5='CT à Transf'!$K$16,"Oui",""),"")</f>
        <v/>
      </c>
      <c r="JZ3" s="368" t="str">
        <f>IF(JZ2="Oui",IF(JZ5='CT à Transf'!$K$16,"Oui",""),"")</f>
        <v/>
      </c>
      <c r="KA3" s="368" t="str">
        <f>IF(KA2="Oui",IF(KA5='CT à Transf'!$K$16,"Oui",""),"")</f>
        <v/>
      </c>
      <c r="KB3" s="368" t="str">
        <f>IF(KB2="Oui",IF(KB5='CT à Transf'!$K$16,"Oui",""),"")</f>
        <v/>
      </c>
      <c r="KC3" s="368" t="str">
        <f>IF(KC2="Oui",IF(KC5='CT à Transf'!$K$16,"Oui",""),"")</f>
        <v/>
      </c>
      <c r="KD3" s="368" t="str">
        <f>IF(KD2="Oui",IF(KD5='CT à Transf'!$K$16,"Oui",""),"")</f>
        <v/>
      </c>
      <c r="KE3" s="368" t="str">
        <f>IF(KE2="Oui",IF(KE5='CT à Transf'!$K$16,"Oui",""),"")</f>
        <v/>
      </c>
      <c r="KF3" s="368" t="str">
        <f>IF(KF2="Oui",IF(KF5='CT à Transf'!$K$16,"Oui",""),"")</f>
        <v/>
      </c>
      <c r="KG3" s="368" t="str">
        <f>IF(KG2="Oui",IF(KG5='CT à Transf'!$K$16,"Oui",""),"")</f>
        <v/>
      </c>
      <c r="KH3" s="368" t="str">
        <f>IF(KH2="Oui",IF(KH5='CT à Transf'!$K$16,"Oui",""),"")</f>
        <v/>
      </c>
      <c r="KI3" s="368" t="str">
        <f>IF(KI2="Oui",IF(KI5='CT à Transf'!$K$16,"Oui",""),"")</f>
        <v/>
      </c>
      <c r="KJ3" s="368" t="str">
        <f>IF(KJ2="Oui",IF(KJ5='CT à Transf'!$K$16,"Oui",""),"")</f>
        <v/>
      </c>
      <c r="KK3" s="368" t="str">
        <f>IF(KK2="Oui",IF(KK5='CT à Transf'!$K$16,"Oui",""),"")</f>
        <v/>
      </c>
      <c r="KL3" s="368" t="str">
        <f>IF(KL2="Oui",IF(KL5='CT à Transf'!$K$16,"Oui",""),"")</f>
        <v/>
      </c>
      <c r="KM3" s="368" t="str">
        <f>IF(KM2="Oui",IF(KM5='CT à Transf'!$K$16,"Oui",""),"")</f>
        <v/>
      </c>
      <c r="KN3" s="368" t="str">
        <f>IF(KN2="Oui",IF(KN5='CT à Transf'!$K$16,"Oui",""),"")</f>
        <v/>
      </c>
      <c r="KO3" s="368" t="str">
        <f>IF(KO2="Oui",IF(KO5='CT à Transf'!$K$16,"Oui",""),"")</f>
        <v/>
      </c>
      <c r="KP3" s="368" t="str">
        <f>IF(KP2="Oui",IF(KP5='CT à Transf'!$K$16,"Oui",""),"")</f>
        <v/>
      </c>
      <c r="KQ3" s="368" t="str">
        <f>IF(KQ2="Oui",IF(KQ5='CT à Transf'!$K$16,"Oui",""),"")</f>
        <v/>
      </c>
      <c r="KR3" s="368" t="str">
        <f>IF(KR2="Oui",IF(KR5='CT à Transf'!$K$16,"Oui",""),"")</f>
        <v/>
      </c>
      <c r="KS3" s="368" t="str">
        <f>IF(KS2="Oui",IF(KS5='CT à Transf'!$K$16,"Oui",""),"")</f>
        <v/>
      </c>
      <c r="KT3" s="368" t="str">
        <f>IF(KT2="Oui",IF(KT5='CT à Transf'!$K$16,"Oui",""),"")</f>
        <v/>
      </c>
      <c r="KU3" s="368" t="str">
        <f>IF(KU2="Oui",IF(KU5='CT à Transf'!$K$16,"Oui",""),"")</f>
        <v/>
      </c>
      <c r="KV3" s="368" t="str">
        <f>IF(KV2="Oui",IF(KV5='CT à Transf'!$K$16,"Oui",""),"")</f>
        <v/>
      </c>
      <c r="KW3" s="368" t="str">
        <f>IF(KW2="Oui",IF(KW5='CT à Transf'!$K$16,"Oui",""),"")</f>
        <v/>
      </c>
      <c r="KX3" s="368" t="str">
        <f>IF(KX2="Oui",IF(KX5='CT à Transf'!$K$16,"Oui",""),"")</f>
        <v/>
      </c>
      <c r="KY3" s="368" t="str">
        <f>IF(KY2="Oui",IF(KY5='CT à Transf'!$K$16,"Oui",""),"")</f>
        <v/>
      </c>
      <c r="KZ3" s="368" t="str">
        <f>IF(KZ2="Oui",IF(KZ5='CT à Transf'!$K$16,"Oui",""),"")</f>
        <v/>
      </c>
      <c r="LA3" s="368" t="str">
        <f>IF(LA2="Oui",IF(LA5='CT à Transf'!$K$16,"Oui",""),"")</f>
        <v/>
      </c>
      <c r="LB3" s="368" t="str">
        <f>IF(LB2="Oui",IF(LB5='CT à Transf'!$K$16,"Oui",""),"")</f>
        <v/>
      </c>
      <c r="LC3" s="368" t="str">
        <f>IF(LC2="Oui",IF(LC5='CT à Transf'!$K$16,"Oui",""),"")</f>
        <v/>
      </c>
      <c r="LD3" s="368" t="str">
        <f>IF(LD2="Oui",IF(LD5='CT à Transf'!$K$16,"Oui",""),"")</f>
        <v/>
      </c>
      <c r="LE3" s="368" t="str">
        <f>IF(LE2="Oui",IF(LE5='CT à Transf'!$K$16,"Oui",""),"")</f>
        <v/>
      </c>
      <c r="LF3" s="368" t="str">
        <f>IF(LF2="Oui",IF(LF5='CT à Transf'!$K$16,"Oui",""),"")</f>
        <v/>
      </c>
      <c r="LG3" s="368" t="str">
        <f>IF(LG2="Oui",IF(LG5='CT à Transf'!$K$16,"Oui",""),"")</f>
        <v/>
      </c>
      <c r="LH3" s="368" t="str">
        <f>IF(LH2="Oui",IF(LH5='CT à Transf'!$K$16,"Oui",""),"")</f>
        <v/>
      </c>
      <c r="LI3" s="368" t="str">
        <f>IF(LI2="Oui",IF(LI5='CT à Transf'!$K$16,"Oui",""),"")</f>
        <v/>
      </c>
      <c r="LJ3" s="368" t="str">
        <f>IF(LJ2="Oui",IF(LJ5='CT à Transf'!$K$16,"Oui",""),"")</f>
        <v/>
      </c>
      <c r="LK3" s="368" t="str">
        <f>IF(LK2="Oui",IF(LK5='CT à Transf'!$K$16,"Oui",""),"")</f>
        <v/>
      </c>
      <c r="LL3" s="368" t="str">
        <f>IF(LL2="Oui",IF(LL5='CT à Transf'!$K$16,"Oui",""),"")</f>
        <v/>
      </c>
      <c r="LM3" s="368" t="str">
        <f>IF(LM2="Oui",IF(LM5='CT à Transf'!$K$16,"Oui",""),"")</f>
        <v/>
      </c>
      <c r="LN3" s="368" t="str">
        <f>IF(LN2="Oui",IF(LN5='CT à Transf'!$K$16,"Oui",""),"")</f>
        <v/>
      </c>
      <c r="LO3" s="368" t="str">
        <f>IF(LO2="Oui",IF(LO5='CT à Transf'!$K$16,"Oui",""),"")</f>
        <v/>
      </c>
      <c r="LP3" s="368" t="str">
        <f>IF(LP2="Oui",IF(LP5='CT à Transf'!$K$16,"Oui",""),"")</f>
        <v/>
      </c>
      <c r="LQ3" s="368" t="str">
        <f>IF(LQ2="Oui",IF(LQ5='CT à Transf'!$K$16,"Oui",""),"")</f>
        <v/>
      </c>
      <c r="LR3" s="368" t="str">
        <f>IF(LR2="Oui",IF(LR5='CT à Transf'!$K$16,"Oui",""),"")</f>
        <v/>
      </c>
      <c r="LS3" s="368" t="str">
        <f>IF(LS2="Oui",IF(LS5='CT à Transf'!$K$16,"Oui",""),"")</f>
        <v/>
      </c>
      <c r="LT3" s="368" t="str">
        <f>IF(LT2="Oui",IF(LT5='CT à Transf'!$K$16,"Oui",""),"")</f>
        <v/>
      </c>
      <c r="LU3" s="368" t="str">
        <f>IF(LU2="Oui",IF(LU5='CT à Transf'!$K$16,"Oui",""),"")</f>
        <v/>
      </c>
      <c r="LV3" s="368" t="str">
        <f>IF(LV2="Oui",IF(LV5='CT à Transf'!$K$16,"Oui",""),"")</f>
        <v/>
      </c>
      <c r="LW3" s="368" t="str">
        <f>IF(LW2="Oui",IF(LW5='CT à Transf'!$K$16,"Oui",""),"")</f>
        <v/>
      </c>
      <c r="LX3" s="368" t="str">
        <f>IF(LX2="Oui",IF(LX5='CT à Transf'!$K$16,"Oui",""),"")</f>
        <v/>
      </c>
      <c r="LY3" s="368" t="str">
        <f>IF(LY2="Oui",IF(LY5='CT à Transf'!$K$16,"Oui",""),"")</f>
        <v/>
      </c>
      <c r="LZ3" s="368" t="str">
        <f>IF(LZ2="Oui",IF(LZ5='CT à Transf'!$K$16,"Oui",""),"")</f>
        <v/>
      </c>
      <c r="MA3" s="368" t="str">
        <f>IF(MA2="Oui",IF(MA5='CT à Transf'!$K$16,"Oui",""),"")</f>
        <v/>
      </c>
      <c r="MB3" s="368" t="str">
        <f>IF(MB2="Oui",IF(MB5='CT à Transf'!$K$16,"Oui",""),"")</f>
        <v/>
      </c>
      <c r="MC3" s="368" t="str">
        <f>IF(MC2="Oui",IF(MC5='CT à Transf'!$K$16,"Oui",""),"")</f>
        <v/>
      </c>
      <c r="MD3" s="368" t="str">
        <f>IF(MD2="Oui",IF(MD5='CT à Transf'!$K$16,"Oui",""),"")</f>
        <v/>
      </c>
      <c r="ME3" s="368" t="str">
        <f>IF(ME2="Oui",IF(ME5='CT à Transf'!$K$16,"Oui",""),"")</f>
        <v/>
      </c>
      <c r="MF3" s="368" t="str">
        <f>IF(MF2="Oui",IF(MF5='CT à Transf'!$K$16,"Oui",""),"")</f>
        <v/>
      </c>
      <c r="MG3" s="368" t="str">
        <f>IF(MG2="Oui",IF(MG5='CT à Transf'!$K$16,"Oui",""),"")</f>
        <v/>
      </c>
      <c r="MH3" s="368" t="str">
        <f>IF(MH2="Oui",IF(MH5='CT à Transf'!$K$16,"Oui",""),"")</f>
        <v/>
      </c>
      <c r="MI3" s="368" t="str">
        <f>IF(MI2="Oui",IF(MI5='CT à Transf'!$K$16,"Oui",""),"")</f>
        <v/>
      </c>
      <c r="MJ3" s="368" t="str">
        <f>IF(MJ2="Oui",IF(MJ5='CT à Transf'!$K$16,"Oui",""),"")</f>
        <v/>
      </c>
      <c r="MK3" s="368" t="str">
        <f>IF(MK2="Oui",IF(MK5='CT à Transf'!$K$16,"Oui",""),"")</f>
        <v/>
      </c>
      <c r="ML3" s="368" t="str">
        <f>IF(ML2="Oui",IF(ML5='CT à Transf'!$K$16,"Oui",""),"")</f>
        <v/>
      </c>
      <c r="MM3" s="368" t="str">
        <f>IF(MM2="Oui",IF(MM5='CT à Transf'!$K$16,"Oui",""),"")</f>
        <v/>
      </c>
      <c r="MN3" s="368" t="str">
        <f>IF(MN2="Oui",IF(MN5='CT à Transf'!$K$16,"Oui",""),"")</f>
        <v/>
      </c>
      <c r="MO3" s="368" t="str">
        <f>IF(MO2="Oui",IF(MO5='CT à Transf'!$K$16,"Oui",""),"")</f>
        <v/>
      </c>
      <c r="MP3" s="368" t="str">
        <f>IF(MP2="Oui",IF(MP5='CT à Transf'!$K$16,"Oui",""),"")</f>
        <v/>
      </c>
      <c r="MQ3" s="368" t="str">
        <f>IF(MQ2="Oui",IF(MQ5='CT à Transf'!$K$16,"Oui",""),"")</f>
        <v/>
      </c>
      <c r="MR3" s="368" t="str">
        <f>IF(MR2="Oui",IF(MR5='CT à Transf'!$K$16,"Oui",""),"")</f>
        <v/>
      </c>
      <c r="MS3" s="368" t="str">
        <f>IF(MS2="Oui",IF(MS5='CT à Transf'!$K$16,"Oui",""),"")</f>
        <v/>
      </c>
      <c r="MT3" s="368" t="str">
        <f>IF(MT2="Oui",IF(MT5='CT à Transf'!$K$16,"Oui",""),"")</f>
        <v/>
      </c>
      <c r="MU3" s="368" t="str">
        <f>IF(MU2="Oui",IF(MU5='CT à Transf'!$K$16,"Oui",""),"")</f>
        <v/>
      </c>
      <c r="MV3" s="368" t="str">
        <f>IF(MV2="Oui",IF(MV5='CT à Transf'!$K$16,"Oui",""),"")</f>
        <v/>
      </c>
      <c r="MW3" s="368" t="str">
        <f>IF(MW2="Oui",IF(MW5='CT à Transf'!$K$16,"Oui",""),"")</f>
        <v/>
      </c>
      <c r="MX3" s="368" t="str">
        <f>IF(MX2="Oui",IF(MX5='CT à Transf'!$K$16,"Oui",""),"")</f>
        <v/>
      </c>
      <c r="MY3" s="368" t="str">
        <f>IF(MY2="Oui",IF(MY5='CT à Transf'!$K$16,"Oui",""),"")</f>
        <v/>
      </c>
      <c r="MZ3" s="368" t="str">
        <f>IF(MZ2="Oui",IF(MZ5='CT à Transf'!$K$16,"Oui",""),"")</f>
        <v/>
      </c>
      <c r="NA3" s="368" t="str">
        <f>IF(NA2="Oui",IF(NA5='CT à Transf'!$K$16,"Oui",""),"")</f>
        <v/>
      </c>
      <c r="NB3" s="368" t="str">
        <f>IF(NB2="Oui",IF(NB5='CT à Transf'!$K$16,"Oui",""),"")</f>
        <v/>
      </c>
      <c r="NC3" s="368" t="str">
        <f>IF(NC2="Oui",IF(NC5='CT à Transf'!$K$16,"Oui",""),"")</f>
        <v/>
      </c>
      <c r="ND3" s="368" t="str">
        <f>IF(ND2="Oui",IF(ND5='CT à Transf'!$K$16,"Oui",""),"")</f>
        <v/>
      </c>
      <c r="NE3" s="368" t="str">
        <f>IF(NE2="Oui",IF(NE5='CT à Transf'!$K$16,"Oui",""),"")</f>
        <v/>
      </c>
      <c r="NF3" s="368" t="str">
        <f>IF(NF2="Oui",IF(NF5='CT à Transf'!$K$16,"Oui",""),"")</f>
        <v/>
      </c>
      <c r="NG3" s="368" t="str">
        <f>IF(NG2="Oui",IF(NG5='CT à Transf'!$K$16,"Oui",""),"")</f>
        <v/>
      </c>
      <c r="NH3" s="368" t="str">
        <f>IF(NH2="Oui",IF(NH5='CT à Transf'!$K$16,"Oui",""),"")</f>
        <v/>
      </c>
      <c r="NI3" s="368" t="str">
        <f>IF(NI2="Oui",IF(NI5='CT à Transf'!$K$16,"Oui",""),"")</f>
        <v/>
      </c>
      <c r="NJ3" s="368" t="str">
        <f>IF(NJ2="Oui",IF(NJ5='CT à Transf'!$K$16,"Oui",""),"")</f>
        <v/>
      </c>
      <c r="NK3" s="368" t="str">
        <f>IF(NK2="Oui",IF(NK5='CT à Transf'!$K$16,"Oui",""),"")</f>
        <v/>
      </c>
      <c r="NL3" s="368" t="str">
        <f>IF(NL2="Oui",IF(NL5='CT à Transf'!$K$16,"Oui",""),"")</f>
        <v/>
      </c>
      <c r="NM3" s="368" t="str">
        <f>IF(NM2="Oui",IF(NM5='CT à Transf'!$K$16,"Oui",""),"")</f>
        <v/>
      </c>
      <c r="NN3" s="368" t="str">
        <f>IF(NN2="Oui",IF(NN5='CT à Transf'!$K$16,"Oui",""),"")</f>
        <v/>
      </c>
      <c r="NO3" s="368" t="str">
        <f>IF(NO2="Oui",IF(NO5='CT à Transf'!$K$16,"Oui",""),"")</f>
        <v/>
      </c>
      <c r="NP3" s="368" t="str">
        <f>IF(NP2="Oui",IF(NP5='CT à Transf'!$K$16,"Oui",""),"")</f>
        <v/>
      </c>
      <c r="NQ3" s="368" t="str">
        <f>IF(NQ2="Oui",IF(NQ5='CT à Transf'!$K$16,"Oui",""),"")</f>
        <v/>
      </c>
      <c r="NR3" s="368" t="str">
        <f>IF(NR2="Oui",IF(NR5='CT à Transf'!$K$16,"Oui",""),"")</f>
        <v/>
      </c>
      <c r="NS3" s="368" t="str">
        <f>IF(NS2="Oui",IF(NS5='CT à Transf'!$K$16,"Oui",""),"")</f>
        <v/>
      </c>
      <c r="NT3" s="368" t="str">
        <f>IF(NT2="Oui",IF(NT5='CT à Transf'!$K$16,"Oui",""),"")</f>
        <v/>
      </c>
      <c r="NU3" s="368" t="str">
        <f>IF(NU2="Oui",IF(NU5='CT à Transf'!$K$16,"Oui",""),"")</f>
        <v/>
      </c>
      <c r="NV3" s="368" t="str">
        <f>IF(NV2="Oui",IF(NV5='CT à Transf'!$K$16,"Oui",""),"")</f>
        <v/>
      </c>
      <c r="NW3" s="368" t="str">
        <f>IF(NW2="Oui",IF(NW5='CT à Transf'!$K$16,"Oui",""),"")</f>
        <v/>
      </c>
      <c r="NX3" s="368" t="str">
        <f>IF(NX2="Oui",IF(NX5='CT à Transf'!$K$16,"Oui",""),"")</f>
        <v/>
      </c>
      <c r="NY3" s="368" t="str">
        <f>IF(NY2="Oui",IF(NY5='CT à Transf'!$K$16,"Oui",""),"")</f>
        <v/>
      </c>
      <c r="NZ3" s="368" t="str">
        <f>IF(NZ2="Oui",IF(NZ5='CT à Transf'!$K$16,"Oui",""),"")</f>
        <v/>
      </c>
      <c r="OA3" s="368" t="str">
        <f>IF(OA2="Oui",IF(OA5='CT à Transf'!$K$16,"Oui",""),"")</f>
        <v/>
      </c>
      <c r="OB3" s="368" t="str">
        <f>IF(OB2="Oui",IF(OB5='CT à Transf'!$K$16,"Oui",""),"")</f>
        <v/>
      </c>
      <c r="OC3" s="368" t="str">
        <f>IF(OC2="Oui",IF(OC5='CT à Transf'!$K$16,"Oui",""),"")</f>
        <v/>
      </c>
      <c r="OD3" s="368" t="str">
        <f>IF(OD2="Oui",IF(OD5='CT à Transf'!$K$16,"Oui",""),"")</f>
        <v/>
      </c>
      <c r="OE3" s="368" t="str">
        <f>IF(OE2="Oui",IF(OE5='CT à Transf'!$K$16,"Oui",""),"")</f>
        <v/>
      </c>
      <c r="OF3" s="368" t="str">
        <f>IF(OF2="Oui",IF(OF5='CT à Transf'!$K$16,"Oui",""),"")</f>
        <v/>
      </c>
      <c r="OG3" s="368" t="str">
        <f>IF(OG2="Oui",IF(OG5='CT à Transf'!$K$16,"Oui",""),"")</f>
        <v/>
      </c>
    </row>
    <row r="4" spans="1:397" ht="28.8">
      <c r="B4" s="369" t="s">
        <v>290</v>
      </c>
      <c r="C4" s="370" t="s">
        <v>470</v>
      </c>
      <c r="D4" s="370" t="s">
        <v>470</v>
      </c>
      <c r="E4" s="370" t="s">
        <v>470</v>
      </c>
      <c r="F4" s="370" t="s">
        <v>470</v>
      </c>
      <c r="G4" s="370" t="s">
        <v>470</v>
      </c>
      <c r="H4" s="370" t="s">
        <v>475</v>
      </c>
      <c r="I4" s="370" t="s">
        <v>475</v>
      </c>
      <c r="J4" s="370" t="s">
        <v>475</v>
      </c>
      <c r="K4" s="370" t="s">
        <v>475</v>
      </c>
      <c r="L4" s="370" t="s">
        <v>475</v>
      </c>
      <c r="M4" s="370" t="s">
        <v>482</v>
      </c>
      <c r="N4" s="370" t="s">
        <v>482</v>
      </c>
      <c r="O4" s="370" t="s">
        <v>482</v>
      </c>
      <c r="P4" s="370" t="s">
        <v>482</v>
      </c>
      <c r="Q4" s="370" t="s">
        <v>482</v>
      </c>
      <c r="R4" s="370" t="s">
        <v>482</v>
      </c>
      <c r="S4" s="370" t="s">
        <v>482</v>
      </c>
      <c r="T4" s="370" t="s">
        <v>482</v>
      </c>
      <c r="U4" s="370" t="s">
        <v>482</v>
      </c>
      <c r="V4" s="370" t="s">
        <v>482</v>
      </c>
      <c r="W4" s="370" t="s">
        <v>482</v>
      </c>
      <c r="X4" s="370" t="s">
        <v>482</v>
      </c>
      <c r="Y4" s="370" t="s">
        <v>482</v>
      </c>
      <c r="Z4" s="370" t="s">
        <v>482</v>
      </c>
      <c r="AA4" s="370" t="s">
        <v>482</v>
      </c>
      <c r="AB4" s="370" t="s">
        <v>501</v>
      </c>
      <c r="AC4" s="370" t="s">
        <v>501</v>
      </c>
      <c r="AD4" s="370" t="s">
        <v>501</v>
      </c>
      <c r="AE4" s="370" t="s">
        <v>501</v>
      </c>
      <c r="AF4" s="370" t="s">
        <v>501</v>
      </c>
      <c r="AG4" s="370" t="s">
        <v>503</v>
      </c>
      <c r="AH4" s="370" t="s">
        <v>504</v>
      </c>
      <c r="AI4" s="370" t="s">
        <v>504</v>
      </c>
      <c r="AJ4" s="370" t="s">
        <v>504</v>
      </c>
      <c r="AK4" s="370" t="s">
        <v>508</v>
      </c>
      <c r="AL4" s="370" t="s">
        <v>508</v>
      </c>
      <c r="AM4" s="370" t="s">
        <v>508</v>
      </c>
      <c r="AN4" s="370" t="s">
        <v>512</v>
      </c>
      <c r="AO4" s="370" t="s">
        <v>512</v>
      </c>
      <c r="AP4" s="370" t="s">
        <v>512</v>
      </c>
      <c r="AQ4" s="370" t="s">
        <v>516</v>
      </c>
      <c r="AR4" s="370" t="s">
        <v>516</v>
      </c>
      <c r="AS4" s="370" t="s">
        <v>519</v>
      </c>
      <c r="AT4" s="370" t="s">
        <v>519</v>
      </c>
      <c r="AU4" s="370" t="s">
        <v>521</v>
      </c>
      <c r="AV4" s="370" t="s">
        <v>521</v>
      </c>
      <c r="AW4" s="370" t="s">
        <v>521</v>
      </c>
      <c r="AX4" s="370" t="s">
        <v>521</v>
      </c>
      <c r="AY4" s="370" t="s">
        <v>521</v>
      </c>
      <c r="AZ4" s="370" t="s">
        <v>528</v>
      </c>
      <c r="BA4" s="370" t="s">
        <v>529</v>
      </c>
      <c r="BB4" s="370" t="s">
        <v>529</v>
      </c>
      <c r="BC4" s="370" t="s">
        <v>529</v>
      </c>
      <c r="BD4" s="370" t="s">
        <v>529</v>
      </c>
      <c r="BE4" s="370" t="s">
        <v>529</v>
      </c>
      <c r="BF4" s="370" t="s">
        <v>529</v>
      </c>
      <c r="BG4" s="370" t="s">
        <v>529</v>
      </c>
      <c r="BH4" s="370" t="s">
        <v>529</v>
      </c>
      <c r="BI4" s="370" t="s">
        <v>529</v>
      </c>
      <c r="BJ4" s="370" t="s">
        <v>529</v>
      </c>
      <c r="BK4" s="370" t="s">
        <v>529</v>
      </c>
      <c r="BL4" s="370" t="s">
        <v>529</v>
      </c>
      <c r="BM4" s="370" t="s">
        <v>529</v>
      </c>
      <c r="BN4" s="370" t="s">
        <v>529</v>
      </c>
      <c r="BO4" s="370" t="s">
        <v>529</v>
      </c>
      <c r="BP4" s="370" t="s">
        <v>545</v>
      </c>
      <c r="BQ4" s="370" t="s">
        <v>545</v>
      </c>
      <c r="BR4" s="370" t="s">
        <v>545</v>
      </c>
      <c r="BS4" s="370" t="s">
        <v>545</v>
      </c>
      <c r="BT4" s="370" t="s">
        <v>545</v>
      </c>
      <c r="BU4" s="370" t="s">
        <v>551</v>
      </c>
      <c r="BV4" s="370" t="s">
        <v>553</v>
      </c>
      <c r="BW4" s="370" t="s">
        <v>553</v>
      </c>
      <c r="BX4" s="370" t="s">
        <v>555</v>
      </c>
      <c r="BY4" s="370" t="s">
        <v>555</v>
      </c>
      <c r="BZ4" s="370" t="s">
        <v>558</v>
      </c>
      <c r="CA4" s="370" t="s">
        <v>558</v>
      </c>
      <c r="CB4" s="370" t="s">
        <v>561</v>
      </c>
      <c r="CC4" s="370" t="s">
        <v>561</v>
      </c>
      <c r="CD4" s="370" t="s">
        <v>561</v>
      </c>
      <c r="CE4" s="370" t="s">
        <v>565</v>
      </c>
      <c r="CF4" s="370" t="s">
        <v>565</v>
      </c>
      <c r="CG4" s="370" t="s">
        <v>565</v>
      </c>
      <c r="CH4" s="370" t="s">
        <v>565</v>
      </c>
      <c r="CI4" s="370" t="s">
        <v>565</v>
      </c>
      <c r="CJ4" s="370" t="s">
        <v>565</v>
      </c>
      <c r="CK4" s="370" t="s">
        <v>570</v>
      </c>
      <c r="CL4" s="370" t="s">
        <v>570</v>
      </c>
      <c r="CM4" s="370" t="s">
        <v>570</v>
      </c>
      <c r="CN4" s="370" t="s">
        <v>570</v>
      </c>
      <c r="CO4" s="370" t="s">
        <v>570</v>
      </c>
      <c r="CP4" s="370" t="s">
        <v>570</v>
      </c>
      <c r="CQ4" s="370" t="s">
        <v>570</v>
      </c>
      <c r="CR4" s="370" t="s">
        <v>578</v>
      </c>
      <c r="CS4" s="370" t="s">
        <v>580</v>
      </c>
      <c r="CT4" s="370" t="s">
        <v>580</v>
      </c>
      <c r="CU4" s="370" t="s">
        <v>580</v>
      </c>
      <c r="CV4" s="370" t="s">
        <v>580</v>
      </c>
      <c r="CW4" s="370" t="s">
        <v>580</v>
      </c>
      <c r="CX4" s="370" t="s">
        <v>580</v>
      </c>
      <c r="CY4" s="370" t="s">
        <v>580</v>
      </c>
      <c r="CZ4" s="370" t="s">
        <v>580</v>
      </c>
      <c r="DA4" s="370" t="s">
        <v>587</v>
      </c>
      <c r="DB4" s="370" t="s">
        <v>587</v>
      </c>
      <c r="DC4" s="370" t="s">
        <v>587</v>
      </c>
      <c r="DD4" s="370" t="s">
        <v>587</v>
      </c>
      <c r="DE4" s="370" t="s">
        <v>587</v>
      </c>
      <c r="DF4" s="370" t="s">
        <v>593</v>
      </c>
      <c r="DG4" s="370" t="s">
        <v>593</v>
      </c>
      <c r="DH4" s="370" t="s">
        <v>593</v>
      </c>
      <c r="DI4" s="370" t="s">
        <v>593</v>
      </c>
      <c r="DJ4" s="370" t="s">
        <v>593</v>
      </c>
      <c r="DK4" s="370" t="s">
        <v>599</v>
      </c>
      <c r="DL4" s="370" t="s">
        <v>599</v>
      </c>
      <c r="DM4" s="370" t="s">
        <v>599</v>
      </c>
      <c r="DN4" s="370" t="s">
        <v>599</v>
      </c>
      <c r="DO4" s="370" t="s">
        <v>599</v>
      </c>
      <c r="DP4" s="370" t="s">
        <v>605</v>
      </c>
      <c r="DQ4" s="370" t="s">
        <v>605</v>
      </c>
      <c r="DR4" s="370" t="s">
        <v>608</v>
      </c>
      <c r="DS4" s="370" t="s">
        <v>608</v>
      </c>
      <c r="DT4" s="370" t="s">
        <v>608</v>
      </c>
      <c r="DU4" s="370" t="s">
        <v>608</v>
      </c>
      <c r="DV4" s="370" t="s">
        <v>608</v>
      </c>
      <c r="DW4" s="370" t="s">
        <v>608</v>
      </c>
      <c r="DX4" s="370" t="s">
        <v>608</v>
      </c>
      <c r="DY4" s="370" t="s">
        <v>608</v>
      </c>
      <c r="DZ4" s="370" t="s">
        <v>608</v>
      </c>
      <c r="EA4" s="370" t="s">
        <v>608</v>
      </c>
      <c r="EB4" s="370" t="s">
        <v>1376</v>
      </c>
      <c r="EC4" s="370" t="s">
        <v>619</v>
      </c>
      <c r="ED4" s="370" t="s">
        <v>619</v>
      </c>
      <c r="EE4" s="370" t="s">
        <v>619</v>
      </c>
      <c r="EF4" s="370" t="s">
        <v>619</v>
      </c>
      <c r="EG4" s="370" t="s">
        <v>619</v>
      </c>
      <c r="EH4" s="370" t="s">
        <v>619</v>
      </c>
      <c r="EI4" s="370" t="s">
        <v>619</v>
      </c>
      <c r="EJ4" s="370" t="s">
        <v>619</v>
      </c>
      <c r="EK4" s="370" t="s">
        <v>619</v>
      </c>
      <c r="EL4" s="370" t="s">
        <v>619</v>
      </c>
      <c r="EM4" s="370" t="s">
        <v>619</v>
      </c>
      <c r="EN4" s="370" t="s">
        <v>619</v>
      </c>
      <c r="EO4" s="370" t="s">
        <v>619</v>
      </c>
      <c r="EP4" s="370" t="s">
        <v>619</v>
      </c>
      <c r="EQ4" s="370" t="s">
        <v>619</v>
      </c>
      <c r="ER4" s="370" t="s">
        <v>619</v>
      </c>
      <c r="ES4" s="370" t="s">
        <v>619</v>
      </c>
      <c r="ET4" s="370" t="s">
        <v>619</v>
      </c>
      <c r="EU4" s="370" t="s">
        <v>619</v>
      </c>
      <c r="EV4" s="370" t="s">
        <v>619</v>
      </c>
      <c r="EW4" s="370" t="s">
        <v>619</v>
      </c>
      <c r="EX4" s="370" t="s">
        <v>619</v>
      </c>
      <c r="EY4" s="370" t="s">
        <v>619</v>
      </c>
      <c r="EZ4" s="370" t="s">
        <v>619</v>
      </c>
      <c r="FA4" s="370" t="s">
        <v>619</v>
      </c>
      <c r="FB4" s="370" t="s">
        <v>619</v>
      </c>
      <c r="FC4" s="370" t="s">
        <v>619</v>
      </c>
      <c r="FD4" s="370" t="s">
        <v>619</v>
      </c>
      <c r="FE4" s="370" t="s">
        <v>619</v>
      </c>
      <c r="FF4" s="370" t="s">
        <v>619</v>
      </c>
      <c r="FG4" s="370" t="s">
        <v>619</v>
      </c>
      <c r="FH4" s="370" t="s">
        <v>619</v>
      </c>
      <c r="FI4" s="370" t="s">
        <v>619</v>
      </c>
      <c r="FJ4" s="370" t="s">
        <v>619</v>
      </c>
      <c r="FK4" s="370" t="s">
        <v>649</v>
      </c>
      <c r="FL4" s="370" t="s">
        <v>649</v>
      </c>
      <c r="FM4" s="370" t="s">
        <v>649</v>
      </c>
      <c r="FN4" s="370" t="s">
        <v>652</v>
      </c>
      <c r="FO4" s="370" t="s">
        <v>652</v>
      </c>
      <c r="FP4" s="370" t="s">
        <v>652</v>
      </c>
      <c r="FQ4" s="370" t="s">
        <v>652</v>
      </c>
      <c r="FR4" s="370" t="s">
        <v>652</v>
      </c>
      <c r="FS4" s="370" t="s">
        <v>652</v>
      </c>
      <c r="FT4" s="370" t="s">
        <v>652</v>
      </c>
      <c r="FU4" s="370" t="s">
        <v>652</v>
      </c>
      <c r="FV4" s="370" t="s">
        <v>652</v>
      </c>
      <c r="FW4" s="370" t="s">
        <v>652</v>
      </c>
      <c r="FX4" s="370" t="s">
        <v>652</v>
      </c>
      <c r="FY4" s="370" t="s">
        <v>652</v>
      </c>
      <c r="FZ4" s="370" t="s">
        <v>652</v>
      </c>
      <c r="GA4" s="370" t="s">
        <v>652</v>
      </c>
      <c r="GB4" s="370" t="s">
        <v>652</v>
      </c>
      <c r="GC4" s="370" t="s">
        <v>652</v>
      </c>
      <c r="GD4" s="370" t="s">
        <v>652</v>
      </c>
      <c r="GE4" s="370" t="s">
        <v>652</v>
      </c>
      <c r="GF4" s="370" t="s">
        <v>652</v>
      </c>
      <c r="GG4" s="370" t="s">
        <v>652</v>
      </c>
      <c r="GH4" s="370" t="s">
        <v>652</v>
      </c>
      <c r="GI4" s="370" t="s">
        <v>652</v>
      </c>
      <c r="GJ4" s="370" t="s">
        <v>652</v>
      </c>
      <c r="GK4" s="370" t="s">
        <v>652</v>
      </c>
      <c r="GL4" s="370" t="s">
        <v>652</v>
      </c>
      <c r="GM4" s="370" t="s">
        <v>652</v>
      </c>
      <c r="GN4" s="370" t="s">
        <v>678</v>
      </c>
      <c r="GO4" s="370" t="s">
        <v>678</v>
      </c>
      <c r="GP4" s="370" t="s">
        <v>678</v>
      </c>
      <c r="GQ4" s="370" t="s">
        <v>678</v>
      </c>
      <c r="GR4" s="370" t="s">
        <v>678</v>
      </c>
      <c r="GS4" s="370" t="s">
        <v>678</v>
      </c>
      <c r="GT4" s="370" t="s">
        <v>678</v>
      </c>
      <c r="GU4" s="370" t="s">
        <v>1319</v>
      </c>
      <c r="GV4" s="370" t="s">
        <v>1339</v>
      </c>
      <c r="GW4" s="370" t="s">
        <v>683</v>
      </c>
      <c r="GX4" s="370" t="s">
        <v>683</v>
      </c>
      <c r="GY4" s="370" t="s">
        <v>683</v>
      </c>
      <c r="GZ4" s="370" t="s">
        <v>683</v>
      </c>
      <c r="HA4" s="370" t="s">
        <v>683</v>
      </c>
      <c r="HB4" s="370" t="s">
        <v>683</v>
      </c>
      <c r="HC4" s="370" t="s">
        <v>683</v>
      </c>
      <c r="HD4" s="370" t="s">
        <v>683</v>
      </c>
      <c r="HE4" s="370" t="s">
        <v>683</v>
      </c>
      <c r="HF4" s="370" t="s">
        <v>683</v>
      </c>
      <c r="HG4" s="370" t="s">
        <v>683</v>
      </c>
      <c r="HH4" s="370" t="s">
        <v>683</v>
      </c>
      <c r="HI4" s="370" t="s">
        <v>683</v>
      </c>
      <c r="HJ4" s="370" t="s">
        <v>683</v>
      </c>
      <c r="HK4" s="370" t="s">
        <v>683</v>
      </c>
      <c r="HL4" s="370" t="s">
        <v>683</v>
      </c>
      <c r="HM4" s="370" t="s">
        <v>683</v>
      </c>
      <c r="HN4" s="370" t="s">
        <v>683</v>
      </c>
      <c r="HO4" s="370" t="s">
        <v>683</v>
      </c>
      <c r="HP4" s="370" t="s">
        <v>683</v>
      </c>
      <c r="HQ4" s="370" t="s">
        <v>683</v>
      </c>
      <c r="HR4" s="370" t="s">
        <v>683</v>
      </c>
      <c r="HS4" s="370" t="s">
        <v>683</v>
      </c>
      <c r="HT4" s="370" t="s">
        <v>683</v>
      </c>
      <c r="HU4" s="370" t="s">
        <v>683</v>
      </c>
      <c r="HV4" s="370" t="s">
        <v>683</v>
      </c>
      <c r="HW4" s="370" t="s">
        <v>708</v>
      </c>
      <c r="HX4" s="370" t="s">
        <v>708</v>
      </c>
      <c r="HY4" s="370" t="s">
        <v>708</v>
      </c>
      <c r="HZ4" s="370" t="s">
        <v>712</v>
      </c>
      <c r="IA4" s="370" t="s">
        <v>712</v>
      </c>
      <c r="IB4" s="370" t="s">
        <v>712</v>
      </c>
      <c r="IC4" s="370" t="s">
        <v>712</v>
      </c>
      <c r="ID4" s="370" t="s">
        <v>712</v>
      </c>
      <c r="IE4" s="370" t="s">
        <v>712</v>
      </c>
      <c r="IF4" s="370" t="s">
        <v>712</v>
      </c>
      <c r="IG4" s="370" t="s">
        <v>712</v>
      </c>
      <c r="IH4" s="370" t="s">
        <v>712</v>
      </c>
      <c r="II4" s="370" t="s">
        <v>712</v>
      </c>
      <c r="IJ4" s="370" t="s">
        <v>712</v>
      </c>
      <c r="IK4" s="370" t="s">
        <v>712</v>
      </c>
      <c r="IL4" s="370" t="s">
        <v>712</v>
      </c>
      <c r="IM4" s="370" t="s">
        <v>712</v>
      </c>
      <c r="IN4" s="370" t="s">
        <v>712</v>
      </c>
      <c r="IO4" s="370" t="s">
        <v>712</v>
      </c>
      <c r="IP4" s="370" t="s">
        <v>725</v>
      </c>
      <c r="IQ4" s="370" t="s">
        <v>725</v>
      </c>
      <c r="IR4" s="370" t="s">
        <v>725</v>
      </c>
      <c r="IS4" s="370" t="s">
        <v>725</v>
      </c>
      <c r="IT4" s="370" t="s">
        <v>725</v>
      </c>
      <c r="IU4" s="370" t="s">
        <v>725</v>
      </c>
      <c r="IV4" s="370" t="s">
        <v>725</v>
      </c>
      <c r="IW4" s="370" t="s">
        <v>725</v>
      </c>
      <c r="IX4" s="370" t="s">
        <v>734</v>
      </c>
      <c r="IY4" s="370" t="s">
        <v>734</v>
      </c>
      <c r="IZ4" s="370" t="s">
        <v>734</v>
      </c>
      <c r="JA4" s="370" t="s">
        <v>734</v>
      </c>
      <c r="JB4" s="370" t="s">
        <v>734</v>
      </c>
      <c r="JC4" s="370" t="s">
        <v>734</v>
      </c>
      <c r="JD4" s="370" t="s">
        <v>734</v>
      </c>
      <c r="JE4" s="370" t="s">
        <v>741</v>
      </c>
      <c r="JF4" s="370" t="s">
        <v>741</v>
      </c>
      <c r="JG4" s="370" t="s">
        <v>741</v>
      </c>
      <c r="JH4" s="370" t="s">
        <v>741</v>
      </c>
      <c r="JI4" s="370" t="s">
        <v>741</v>
      </c>
      <c r="JJ4" s="370" t="s">
        <v>741</v>
      </c>
      <c r="JK4" s="370" t="s">
        <v>741</v>
      </c>
      <c r="JL4" s="370" t="s">
        <v>741</v>
      </c>
      <c r="JM4" s="370" t="s">
        <v>741</v>
      </c>
      <c r="JN4" s="370" t="s">
        <v>741</v>
      </c>
      <c r="JO4" s="370" t="s">
        <v>741</v>
      </c>
      <c r="JP4" s="370" t="s">
        <v>741</v>
      </c>
      <c r="JQ4" s="370" t="s">
        <v>751</v>
      </c>
      <c r="JR4" s="370" t="s">
        <v>751</v>
      </c>
      <c r="JS4" s="370" t="s">
        <v>751</v>
      </c>
      <c r="JT4" s="370" t="s">
        <v>751</v>
      </c>
      <c r="JU4" s="370" t="s">
        <v>751</v>
      </c>
      <c r="JV4" s="370" t="s">
        <v>751</v>
      </c>
      <c r="JW4" s="370" t="s">
        <v>751</v>
      </c>
      <c r="JX4" s="370" t="s">
        <v>751</v>
      </c>
      <c r="JY4" s="370" t="s">
        <v>751</v>
      </c>
      <c r="JZ4" s="370" t="s">
        <v>751</v>
      </c>
      <c r="KA4" s="370" t="s">
        <v>751</v>
      </c>
      <c r="KB4" s="370" t="s">
        <v>751</v>
      </c>
      <c r="KC4" s="370" t="s">
        <v>751</v>
      </c>
      <c r="KD4" s="370" t="s">
        <v>751</v>
      </c>
      <c r="KE4" s="370" t="s">
        <v>751</v>
      </c>
      <c r="KF4" s="370" t="s">
        <v>751</v>
      </c>
      <c r="KG4" s="370" t="s">
        <v>764</v>
      </c>
      <c r="KH4" s="370" t="s">
        <v>764</v>
      </c>
      <c r="KI4" s="370" t="s">
        <v>764</v>
      </c>
      <c r="KJ4" s="370" t="s">
        <v>764</v>
      </c>
      <c r="KK4" s="370" t="s">
        <v>764</v>
      </c>
      <c r="KL4" s="370" t="s">
        <v>764</v>
      </c>
      <c r="KM4" s="370" t="s">
        <v>764</v>
      </c>
      <c r="KN4" s="370" t="s">
        <v>764</v>
      </c>
      <c r="KO4" s="370" t="s">
        <v>764</v>
      </c>
      <c r="KP4" s="370" t="s">
        <v>764</v>
      </c>
      <c r="KQ4" s="370" t="s">
        <v>764</v>
      </c>
      <c r="KR4" s="370" t="s">
        <v>764</v>
      </c>
      <c r="KS4" s="370" t="s">
        <v>764</v>
      </c>
      <c r="KT4" s="370" t="s">
        <v>764</v>
      </c>
      <c r="KU4" s="370" t="s">
        <v>764</v>
      </c>
      <c r="KV4" s="370" t="s">
        <v>764</v>
      </c>
      <c r="KW4" s="370" t="s">
        <v>764</v>
      </c>
      <c r="KX4" s="370" t="s">
        <v>764</v>
      </c>
      <c r="KY4" s="370" t="s">
        <v>764</v>
      </c>
      <c r="KZ4" s="370" t="s">
        <v>764</v>
      </c>
      <c r="LA4" s="370" t="s">
        <v>764</v>
      </c>
      <c r="LB4" s="370" t="s">
        <v>764</v>
      </c>
      <c r="LC4" s="370" t="s">
        <v>764</v>
      </c>
      <c r="LD4" s="370" t="s">
        <v>764</v>
      </c>
      <c r="LE4" s="370" t="s">
        <v>764</v>
      </c>
      <c r="LF4" s="370" t="s">
        <v>788</v>
      </c>
      <c r="LG4" s="370" t="s">
        <v>788</v>
      </c>
      <c r="LH4" s="370" t="s">
        <v>788</v>
      </c>
      <c r="LI4" s="370" t="s">
        <v>788</v>
      </c>
      <c r="LJ4" s="370" t="s">
        <v>788</v>
      </c>
      <c r="LK4" s="370" t="s">
        <v>788</v>
      </c>
      <c r="LL4" s="370" t="s">
        <v>795</v>
      </c>
      <c r="LM4" s="370" t="s">
        <v>795</v>
      </c>
      <c r="LN4" s="370" t="s">
        <v>795</v>
      </c>
      <c r="LO4" s="370" t="s">
        <v>795</v>
      </c>
      <c r="LP4" s="370" t="s">
        <v>795</v>
      </c>
      <c r="LQ4" s="370" t="s">
        <v>795</v>
      </c>
      <c r="LR4" s="370" t="s">
        <v>795</v>
      </c>
      <c r="LS4" s="370" t="s">
        <v>803</v>
      </c>
      <c r="LT4" s="370" t="s">
        <v>803</v>
      </c>
      <c r="LU4" s="370" t="s">
        <v>803</v>
      </c>
      <c r="LV4" s="370" t="s">
        <v>803</v>
      </c>
      <c r="LW4" s="370" t="s">
        <v>803</v>
      </c>
      <c r="LX4" s="370" t="s">
        <v>803</v>
      </c>
      <c r="LY4" s="370" t="s">
        <v>803</v>
      </c>
      <c r="LZ4" s="370" t="s">
        <v>803</v>
      </c>
      <c r="MA4" s="370" t="s">
        <v>803</v>
      </c>
      <c r="MB4" s="370" t="s">
        <v>803</v>
      </c>
      <c r="MC4" s="370" t="s">
        <v>814</v>
      </c>
      <c r="MD4" s="370" t="s">
        <v>816</v>
      </c>
      <c r="ME4" s="370" t="s">
        <v>816</v>
      </c>
      <c r="MF4" s="370" t="s">
        <v>816</v>
      </c>
      <c r="MG4" s="370" t="s">
        <v>816</v>
      </c>
      <c r="MH4" s="370" t="s">
        <v>816</v>
      </c>
      <c r="MI4" s="370" t="s">
        <v>816</v>
      </c>
      <c r="MJ4" s="370" t="s">
        <v>816</v>
      </c>
      <c r="MK4" s="370" t="s">
        <v>816</v>
      </c>
      <c r="ML4" s="370" t="s">
        <v>816</v>
      </c>
      <c r="MM4" s="370" t="s">
        <v>816</v>
      </c>
      <c r="MN4" s="370" t="s">
        <v>816</v>
      </c>
      <c r="MO4" s="370" t="s">
        <v>816</v>
      </c>
      <c r="MP4" s="370" t="s">
        <v>816</v>
      </c>
      <c r="MQ4" s="370" t="s">
        <v>816</v>
      </c>
      <c r="MR4" s="370" t="s">
        <v>816</v>
      </c>
      <c r="MS4" s="370" t="s">
        <v>816</v>
      </c>
      <c r="MT4" s="370" t="s">
        <v>816</v>
      </c>
      <c r="MU4" s="370" t="s">
        <v>834</v>
      </c>
      <c r="MV4" s="370" t="s">
        <v>834</v>
      </c>
      <c r="MW4" s="370" t="s">
        <v>834</v>
      </c>
      <c r="MX4" s="370" t="s">
        <v>838</v>
      </c>
      <c r="MY4" s="370" t="s">
        <v>840</v>
      </c>
      <c r="MZ4" s="370" t="s">
        <v>840</v>
      </c>
      <c r="NA4" s="370" t="s">
        <v>840</v>
      </c>
      <c r="NB4" s="370" t="s">
        <v>840</v>
      </c>
      <c r="NC4" s="370" t="s">
        <v>840</v>
      </c>
      <c r="ND4" s="370" t="s">
        <v>840</v>
      </c>
      <c r="NE4" s="370" t="s">
        <v>840</v>
      </c>
      <c r="NF4" s="370" t="s">
        <v>840</v>
      </c>
      <c r="NG4" s="370" t="s">
        <v>840</v>
      </c>
      <c r="NH4" s="370" t="s">
        <v>840</v>
      </c>
      <c r="NI4" s="370" t="s">
        <v>840</v>
      </c>
      <c r="NJ4" s="370" t="s">
        <v>840</v>
      </c>
      <c r="NK4" s="370" t="s">
        <v>840</v>
      </c>
      <c r="NL4" s="370" t="s">
        <v>840</v>
      </c>
      <c r="NM4" s="370" t="s">
        <v>840</v>
      </c>
      <c r="NN4" s="370" t="s">
        <v>840</v>
      </c>
      <c r="NO4" s="370" t="s">
        <v>840</v>
      </c>
      <c r="NP4" s="370" t="s">
        <v>840</v>
      </c>
      <c r="NQ4" s="370" t="s">
        <v>840</v>
      </c>
      <c r="NR4" s="370" t="s">
        <v>860</v>
      </c>
      <c r="NS4" s="370" t="s">
        <v>860</v>
      </c>
      <c r="NT4" s="370" t="s">
        <v>860</v>
      </c>
      <c r="NU4" s="370" t="s">
        <v>1184</v>
      </c>
      <c r="NV4" s="370" t="s">
        <v>1184</v>
      </c>
      <c r="NW4" s="370" t="s">
        <v>1184</v>
      </c>
      <c r="NX4" s="370" t="s">
        <v>1184</v>
      </c>
      <c r="NY4" s="370" t="s">
        <v>1184</v>
      </c>
      <c r="NZ4" s="370" t="s">
        <v>1184</v>
      </c>
      <c r="OA4" s="370" t="s">
        <v>1184</v>
      </c>
      <c r="OB4" s="370" t="s">
        <v>1184</v>
      </c>
      <c r="OC4" s="370" t="s">
        <v>1184</v>
      </c>
      <c r="OD4" s="370" t="s">
        <v>1184</v>
      </c>
      <c r="OE4" s="370" t="s">
        <v>1184</v>
      </c>
      <c r="OF4" s="370" t="s">
        <v>1184</v>
      </c>
      <c r="OG4" s="370" t="s">
        <v>1184</v>
      </c>
    </row>
    <row r="5" spans="1:397" ht="144">
      <c r="B5" s="371" t="s">
        <v>469</v>
      </c>
      <c r="C5" s="372" t="s">
        <v>477</v>
      </c>
      <c r="D5" s="372" t="s">
        <v>471</v>
      </c>
      <c r="E5" s="372" t="s">
        <v>472</v>
      </c>
      <c r="F5" s="372" t="s">
        <v>473</v>
      </c>
      <c r="G5" s="372" t="s">
        <v>474</v>
      </c>
      <c r="H5" s="372" t="s">
        <v>476</v>
      </c>
      <c r="I5" s="372" t="s">
        <v>478</v>
      </c>
      <c r="J5" s="372" t="s">
        <v>479</v>
      </c>
      <c r="K5" s="372" t="s">
        <v>480</v>
      </c>
      <c r="L5" s="372" t="s">
        <v>481</v>
      </c>
      <c r="M5" s="372" t="s">
        <v>483</v>
      </c>
      <c r="N5" s="372" t="s">
        <v>484</v>
      </c>
      <c r="O5" s="372" t="s">
        <v>485</v>
      </c>
      <c r="P5" s="372" t="s">
        <v>486</v>
      </c>
      <c r="Q5" s="372" t="s">
        <v>487</v>
      </c>
      <c r="R5" s="372" t="s">
        <v>488</v>
      </c>
      <c r="S5" s="372" t="s">
        <v>489</v>
      </c>
      <c r="T5" s="372" t="s">
        <v>490</v>
      </c>
      <c r="U5" s="372" t="s">
        <v>491</v>
      </c>
      <c r="V5" s="372" t="s">
        <v>492</v>
      </c>
      <c r="W5" s="372" t="s">
        <v>493</v>
      </c>
      <c r="X5" s="372" t="s">
        <v>494</v>
      </c>
      <c r="Y5" s="372" t="s">
        <v>495</v>
      </c>
      <c r="Z5" s="372" t="s">
        <v>496</v>
      </c>
      <c r="AA5" s="372" t="s">
        <v>1347</v>
      </c>
      <c r="AB5" s="372" t="s">
        <v>497</v>
      </c>
      <c r="AC5" s="372" t="s">
        <v>498</v>
      </c>
      <c r="AD5" s="372" t="s">
        <v>499</v>
      </c>
      <c r="AE5" s="372" t="s">
        <v>500</v>
      </c>
      <c r="AF5" s="372" t="s">
        <v>1325</v>
      </c>
      <c r="AG5" s="372" t="s">
        <v>502</v>
      </c>
      <c r="AH5" s="372" t="s">
        <v>505</v>
      </c>
      <c r="AI5" s="372" t="s">
        <v>506</v>
      </c>
      <c r="AJ5" s="372" t="s">
        <v>507</v>
      </c>
      <c r="AK5" s="372" t="s">
        <v>509</v>
      </c>
      <c r="AL5" s="372" t="s">
        <v>510</v>
      </c>
      <c r="AM5" s="372" t="s">
        <v>511</v>
      </c>
      <c r="AN5" s="372" t="s">
        <v>513</v>
      </c>
      <c r="AO5" s="372" t="s">
        <v>514</v>
      </c>
      <c r="AP5" s="372" t="s">
        <v>515</v>
      </c>
      <c r="AQ5" s="372" t="s">
        <v>518</v>
      </c>
      <c r="AR5" s="372" t="s">
        <v>517</v>
      </c>
      <c r="AS5" s="372" t="s">
        <v>513</v>
      </c>
      <c r="AT5" s="372" t="s">
        <v>520</v>
      </c>
      <c r="AU5" s="372" t="s">
        <v>522</v>
      </c>
      <c r="AV5" s="372" t="s">
        <v>523</v>
      </c>
      <c r="AW5" s="372" t="s">
        <v>524</v>
      </c>
      <c r="AX5" s="372" t="s">
        <v>525</v>
      </c>
      <c r="AY5" s="372" t="s">
        <v>526</v>
      </c>
      <c r="AZ5" s="372" t="s">
        <v>527</v>
      </c>
      <c r="BA5" s="372" t="s">
        <v>530</v>
      </c>
      <c r="BB5" s="372" t="s">
        <v>531</v>
      </c>
      <c r="BC5" s="372" t="s">
        <v>532</v>
      </c>
      <c r="BD5" s="372" t="s">
        <v>533</v>
      </c>
      <c r="BE5" s="372" t="s">
        <v>534</v>
      </c>
      <c r="BF5" s="372" t="s">
        <v>535</v>
      </c>
      <c r="BG5" s="372" t="s">
        <v>536</v>
      </c>
      <c r="BH5" s="372" t="s">
        <v>537</v>
      </c>
      <c r="BI5" s="372" t="s">
        <v>538</v>
      </c>
      <c r="BJ5" s="372" t="s">
        <v>539</v>
      </c>
      <c r="BK5" s="372" t="s">
        <v>540</v>
      </c>
      <c r="BL5" s="372" t="s">
        <v>541</v>
      </c>
      <c r="BM5" s="372" t="s">
        <v>542</v>
      </c>
      <c r="BN5" s="372" t="s">
        <v>543</v>
      </c>
      <c r="BO5" s="372" t="s">
        <v>544</v>
      </c>
      <c r="BP5" s="372" t="s">
        <v>546</v>
      </c>
      <c r="BQ5" s="372" t="s">
        <v>547</v>
      </c>
      <c r="BR5" s="372" t="s">
        <v>548</v>
      </c>
      <c r="BS5" s="372" t="s">
        <v>549</v>
      </c>
      <c r="BT5" s="372" t="s">
        <v>550</v>
      </c>
      <c r="BU5" s="372" t="s">
        <v>552</v>
      </c>
      <c r="BV5" s="372" t="s">
        <v>554</v>
      </c>
      <c r="BW5" s="372" t="s">
        <v>547</v>
      </c>
      <c r="BX5" s="372" t="s">
        <v>556</v>
      </c>
      <c r="BY5" s="372" t="s">
        <v>557</v>
      </c>
      <c r="BZ5" s="372" t="s">
        <v>559</v>
      </c>
      <c r="CA5" s="372" t="s">
        <v>560</v>
      </c>
      <c r="CB5" s="372" t="s">
        <v>562</v>
      </c>
      <c r="CC5" s="372" t="s">
        <v>563</v>
      </c>
      <c r="CD5" s="372" t="s">
        <v>564</v>
      </c>
      <c r="CE5" s="372" t="s">
        <v>566</v>
      </c>
      <c r="CF5" s="372" t="s">
        <v>567</v>
      </c>
      <c r="CG5" s="372" t="s">
        <v>547</v>
      </c>
      <c r="CH5" s="372" t="s">
        <v>554</v>
      </c>
      <c r="CI5" s="372" t="s">
        <v>568</v>
      </c>
      <c r="CJ5" s="372" t="s">
        <v>569</v>
      </c>
      <c r="CK5" s="372" t="s">
        <v>571</v>
      </c>
      <c r="CL5" s="372" t="s">
        <v>572</v>
      </c>
      <c r="CM5" s="372" t="s">
        <v>573</v>
      </c>
      <c r="CN5" s="372" t="s">
        <v>574</v>
      </c>
      <c r="CO5" s="372" t="s">
        <v>575</v>
      </c>
      <c r="CP5" s="372" t="s">
        <v>576</v>
      </c>
      <c r="CQ5" s="372" t="s">
        <v>577</v>
      </c>
      <c r="CR5" s="372" t="s">
        <v>579</v>
      </c>
      <c r="CS5" s="372" t="s">
        <v>581</v>
      </c>
      <c r="CT5" s="372" t="s">
        <v>582</v>
      </c>
      <c r="CU5" s="372" t="s">
        <v>583</v>
      </c>
      <c r="CV5" s="372" t="s">
        <v>584</v>
      </c>
      <c r="CW5" s="372" t="s">
        <v>585</v>
      </c>
      <c r="CX5" s="372" t="s">
        <v>586</v>
      </c>
      <c r="CY5" s="372" t="s">
        <v>1322</v>
      </c>
      <c r="CZ5" s="372" t="s">
        <v>1328</v>
      </c>
      <c r="DA5" s="372" t="s">
        <v>588</v>
      </c>
      <c r="DB5" s="372" t="s">
        <v>589</v>
      </c>
      <c r="DC5" s="372" t="s">
        <v>590</v>
      </c>
      <c r="DD5" s="372" t="s">
        <v>591</v>
      </c>
      <c r="DE5" s="372" t="s">
        <v>592</v>
      </c>
      <c r="DF5" s="372" t="s">
        <v>594</v>
      </c>
      <c r="DG5" s="372" t="s">
        <v>595</v>
      </c>
      <c r="DH5" s="372" t="s">
        <v>596</v>
      </c>
      <c r="DI5" s="372" t="s">
        <v>597</v>
      </c>
      <c r="DJ5" s="372" t="s">
        <v>598</v>
      </c>
      <c r="DK5" s="372" t="s">
        <v>600</v>
      </c>
      <c r="DL5" s="372" t="s">
        <v>601</v>
      </c>
      <c r="DM5" s="372" t="s">
        <v>602</v>
      </c>
      <c r="DN5" s="372" t="s">
        <v>603</v>
      </c>
      <c r="DO5" s="372" t="s">
        <v>604</v>
      </c>
      <c r="DP5" s="372" t="s">
        <v>606</v>
      </c>
      <c r="DQ5" s="372" t="s">
        <v>607</v>
      </c>
      <c r="DR5" s="372" t="s">
        <v>609</v>
      </c>
      <c r="DS5" s="372" t="s">
        <v>610</v>
      </c>
      <c r="DT5" s="372" t="s">
        <v>611</v>
      </c>
      <c r="DU5" s="372" t="s">
        <v>612</v>
      </c>
      <c r="DV5" s="372" t="s">
        <v>613</v>
      </c>
      <c r="DW5" s="372" t="s">
        <v>614</v>
      </c>
      <c r="DX5" s="372" t="s">
        <v>615</v>
      </c>
      <c r="DY5" s="372" t="s">
        <v>616</v>
      </c>
      <c r="DZ5" s="372" t="s">
        <v>617</v>
      </c>
      <c r="EA5" s="372" t="s">
        <v>618</v>
      </c>
      <c r="EB5" s="372" t="s">
        <v>1378</v>
      </c>
      <c r="EC5" s="372" t="s">
        <v>620</v>
      </c>
      <c r="ED5" s="372" t="s">
        <v>621</v>
      </c>
      <c r="EE5" s="372" t="s">
        <v>622</v>
      </c>
      <c r="EF5" s="372" t="s">
        <v>623</v>
      </c>
      <c r="EG5" s="372" t="s">
        <v>624</v>
      </c>
      <c r="EH5" s="372" t="s">
        <v>625</v>
      </c>
      <c r="EI5" s="372" t="s">
        <v>626</v>
      </c>
      <c r="EJ5" s="372" t="s">
        <v>627</v>
      </c>
      <c r="EK5" s="372" t="s">
        <v>628</v>
      </c>
      <c r="EL5" s="372" t="s">
        <v>629</v>
      </c>
      <c r="EM5" s="372" t="s">
        <v>630</v>
      </c>
      <c r="EN5" s="372" t="s">
        <v>631</v>
      </c>
      <c r="EO5" s="372" t="s">
        <v>632</v>
      </c>
      <c r="EP5" s="372" t="s">
        <v>633</v>
      </c>
      <c r="EQ5" s="372" t="s">
        <v>634</v>
      </c>
      <c r="ER5" s="372" t="s">
        <v>635</v>
      </c>
      <c r="ES5" s="372" t="s">
        <v>636</v>
      </c>
      <c r="ET5" s="372" t="s">
        <v>637</v>
      </c>
      <c r="EU5" s="372" t="s">
        <v>638</v>
      </c>
      <c r="EV5" s="372" t="s">
        <v>639</v>
      </c>
      <c r="EW5" s="372" t="s">
        <v>640</v>
      </c>
      <c r="EX5" s="372" t="s">
        <v>641</v>
      </c>
      <c r="EY5" s="372" t="s">
        <v>643</v>
      </c>
      <c r="EZ5" s="372" t="s">
        <v>644</v>
      </c>
      <c r="FA5" s="372" t="s">
        <v>646</v>
      </c>
      <c r="FB5" s="372" t="s">
        <v>645</v>
      </c>
      <c r="FC5" s="372" t="s">
        <v>647</v>
      </c>
      <c r="FD5" s="372" t="s">
        <v>648</v>
      </c>
      <c r="FE5" s="372" t="s">
        <v>1185</v>
      </c>
      <c r="FF5" s="372" t="s">
        <v>1330</v>
      </c>
      <c r="FG5" s="372" t="s">
        <v>1331</v>
      </c>
      <c r="FH5" s="372" t="s">
        <v>1332</v>
      </c>
      <c r="FI5" s="372" t="s">
        <v>1336</v>
      </c>
      <c r="FJ5" s="372" t="s">
        <v>1337</v>
      </c>
      <c r="FK5" s="372" t="s">
        <v>650</v>
      </c>
      <c r="FL5" s="372" t="s">
        <v>527</v>
      </c>
      <c r="FM5" s="372" t="s">
        <v>651</v>
      </c>
      <c r="FN5" s="372" t="s">
        <v>653</v>
      </c>
      <c r="FO5" s="372" t="s">
        <v>654</v>
      </c>
      <c r="FP5" s="372" t="s">
        <v>655</v>
      </c>
      <c r="FQ5" s="372" t="s">
        <v>656</v>
      </c>
      <c r="FR5" s="372" t="s">
        <v>657</v>
      </c>
      <c r="FS5" s="372" t="s">
        <v>658</v>
      </c>
      <c r="FT5" s="372" t="s">
        <v>659</v>
      </c>
      <c r="FU5" s="372" t="s">
        <v>660</v>
      </c>
      <c r="FV5" s="372" t="s">
        <v>609</v>
      </c>
      <c r="FW5" s="372" t="s">
        <v>661</v>
      </c>
      <c r="FX5" s="372" t="s">
        <v>662</v>
      </c>
      <c r="FY5" s="372" t="s">
        <v>663</v>
      </c>
      <c r="FZ5" s="372" t="s">
        <v>664</v>
      </c>
      <c r="GA5" s="372" t="s">
        <v>665</v>
      </c>
      <c r="GB5" s="372" t="s">
        <v>666</v>
      </c>
      <c r="GC5" s="372" t="s">
        <v>667</v>
      </c>
      <c r="GD5" s="372" t="s">
        <v>668</v>
      </c>
      <c r="GE5" s="372" t="s">
        <v>669</v>
      </c>
      <c r="GF5" s="372" t="s">
        <v>670</v>
      </c>
      <c r="GG5" s="372" t="s">
        <v>671</v>
      </c>
      <c r="GH5" s="372" t="s">
        <v>672</v>
      </c>
      <c r="GI5" s="372" t="s">
        <v>673</v>
      </c>
      <c r="GJ5" s="372" t="s">
        <v>674</v>
      </c>
      <c r="GK5" s="372" t="s">
        <v>675</v>
      </c>
      <c r="GL5" s="372" t="s">
        <v>676</v>
      </c>
      <c r="GM5" s="372" t="s">
        <v>677</v>
      </c>
      <c r="GN5" s="372" t="s">
        <v>679</v>
      </c>
      <c r="GO5" s="372" t="s">
        <v>680</v>
      </c>
      <c r="GP5" s="372" t="s">
        <v>681</v>
      </c>
      <c r="GQ5" s="372" t="s">
        <v>682</v>
      </c>
      <c r="GR5" s="372" t="s">
        <v>1327</v>
      </c>
      <c r="GS5" s="372" t="s">
        <v>1343</v>
      </c>
      <c r="GT5" s="372" t="s">
        <v>1344</v>
      </c>
      <c r="GU5" s="372" t="s">
        <v>1320</v>
      </c>
      <c r="GV5" s="372" t="s">
        <v>1340</v>
      </c>
      <c r="GW5" s="372" t="s">
        <v>684</v>
      </c>
      <c r="GX5" s="372" t="s">
        <v>685</v>
      </c>
      <c r="GY5" s="372" t="s">
        <v>686</v>
      </c>
      <c r="GZ5" s="372" t="s">
        <v>687</v>
      </c>
      <c r="HA5" s="372" t="s">
        <v>688</v>
      </c>
      <c r="HB5" s="372" t="s">
        <v>689</v>
      </c>
      <c r="HC5" s="372" t="s">
        <v>690</v>
      </c>
      <c r="HD5" s="372" t="s">
        <v>662</v>
      </c>
      <c r="HE5" s="372" t="s">
        <v>691</v>
      </c>
      <c r="HF5" s="372" t="s">
        <v>692</v>
      </c>
      <c r="HG5" s="372" t="s">
        <v>693</v>
      </c>
      <c r="HH5" s="372" t="s">
        <v>694</v>
      </c>
      <c r="HI5" s="372" t="s">
        <v>695</v>
      </c>
      <c r="HJ5" s="372" t="s">
        <v>696</v>
      </c>
      <c r="HK5" s="372" t="s">
        <v>697</v>
      </c>
      <c r="HL5" s="372" t="s">
        <v>698</v>
      </c>
      <c r="HM5" s="372" t="s">
        <v>699</v>
      </c>
      <c r="HN5" s="372" t="s">
        <v>700</v>
      </c>
      <c r="HO5" s="372" t="s">
        <v>701</v>
      </c>
      <c r="HP5" s="372" t="s">
        <v>702</v>
      </c>
      <c r="HQ5" s="372" t="s">
        <v>703</v>
      </c>
      <c r="HR5" s="372" t="s">
        <v>704</v>
      </c>
      <c r="HS5" s="372" t="s">
        <v>705</v>
      </c>
      <c r="HT5" s="372" t="s">
        <v>706</v>
      </c>
      <c r="HU5" s="372" t="s">
        <v>707</v>
      </c>
      <c r="HV5" s="372" t="s">
        <v>1321</v>
      </c>
      <c r="HW5" s="372" t="s">
        <v>709</v>
      </c>
      <c r="HX5" s="372" t="s">
        <v>710</v>
      </c>
      <c r="HY5" s="372" t="s">
        <v>711</v>
      </c>
      <c r="HZ5" s="372" t="s">
        <v>713</v>
      </c>
      <c r="IA5" s="372" t="s">
        <v>714</v>
      </c>
      <c r="IB5" s="372" t="s">
        <v>715</v>
      </c>
      <c r="IC5" s="372" t="s">
        <v>716</v>
      </c>
      <c r="ID5" s="372" t="s">
        <v>717</v>
      </c>
      <c r="IE5" s="372" t="s">
        <v>718</v>
      </c>
      <c r="IF5" s="372" t="s">
        <v>719</v>
      </c>
      <c r="IG5" s="372" t="s">
        <v>720</v>
      </c>
      <c r="IH5" s="372" t="s">
        <v>721</v>
      </c>
      <c r="II5" s="372" t="s">
        <v>722</v>
      </c>
      <c r="IJ5" s="372" t="s">
        <v>723</v>
      </c>
      <c r="IK5" s="372" t="s">
        <v>724</v>
      </c>
      <c r="IL5" s="372" t="s">
        <v>1322</v>
      </c>
      <c r="IM5" s="372" t="s">
        <v>1335</v>
      </c>
      <c r="IN5" s="372" t="s">
        <v>1338</v>
      </c>
      <c r="IO5" s="372" t="s">
        <v>1345</v>
      </c>
      <c r="IP5" s="372" t="s">
        <v>726</v>
      </c>
      <c r="IQ5" s="372" t="s">
        <v>727</v>
      </c>
      <c r="IR5" s="372" t="s">
        <v>728</v>
      </c>
      <c r="IS5" s="372" t="s">
        <v>729</v>
      </c>
      <c r="IT5" s="372" t="s">
        <v>730</v>
      </c>
      <c r="IU5" s="372" t="s">
        <v>731</v>
      </c>
      <c r="IV5" s="372" t="s">
        <v>732</v>
      </c>
      <c r="IW5" s="372" t="s">
        <v>733</v>
      </c>
      <c r="IX5" s="372" t="s">
        <v>735</v>
      </c>
      <c r="IY5" s="372" t="s">
        <v>736</v>
      </c>
      <c r="IZ5" s="372" t="s">
        <v>737</v>
      </c>
      <c r="JA5" s="372" t="s">
        <v>738</v>
      </c>
      <c r="JB5" s="372" t="s">
        <v>739</v>
      </c>
      <c r="JC5" s="372" t="s">
        <v>740</v>
      </c>
      <c r="JD5" s="372" t="s">
        <v>1324</v>
      </c>
      <c r="JE5" s="372" t="s">
        <v>742</v>
      </c>
      <c r="JF5" s="372" t="s">
        <v>743</v>
      </c>
      <c r="JG5" s="372" t="s">
        <v>744</v>
      </c>
      <c r="JH5" s="372" t="s">
        <v>745</v>
      </c>
      <c r="JI5" s="372" t="s">
        <v>746</v>
      </c>
      <c r="JJ5" s="372" t="s">
        <v>747</v>
      </c>
      <c r="JK5" s="372" t="s">
        <v>748</v>
      </c>
      <c r="JL5" s="372" t="s">
        <v>749</v>
      </c>
      <c r="JM5" s="372" t="s">
        <v>750</v>
      </c>
      <c r="JN5" s="372" t="s">
        <v>1323</v>
      </c>
      <c r="JO5" s="372" t="s">
        <v>1341</v>
      </c>
      <c r="JP5" s="372" t="s">
        <v>1346</v>
      </c>
      <c r="JQ5" s="372" t="s">
        <v>752</v>
      </c>
      <c r="JR5" s="372" t="s">
        <v>753</v>
      </c>
      <c r="JS5" s="372" t="s">
        <v>754</v>
      </c>
      <c r="JT5" s="372" t="s">
        <v>755</v>
      </c>
      <c r="JU5" s="372" t="s">
        <v>756</v>
      </c>
      <c r="JV5" s="372" t="s">
        <v>757</v>
      </c>
      <c r="JW5" s="372" t="s">
        <v>737</v>
      </c>
      <c r="JX5" s="372" t="s">
        <v>758</v>
      </c>
      <c r="JY5" s="372" t="s">
        <v>759</v>
      </c>
      <c r="JZ5" s="372" t="s">
        <v>760</v>
      </c>
      <c r="KA5" s="372" t="s">
        <v>761</v>
      </c>
      <c r="KB5" s="372" t="s">
        <v>762</v>
      </c>
      <c r="KC5" s="372" t="s">
        <v>763</v>
      </c>
      <c r="KD5" s="372" t="s">
        <v>1329</v>
      </c>
      <c r="KE5" s="372" t="s">
        <v>1333</v>
      </c>
      <c r="KF5" s="372" t="s">
        <v>1334</v>
      </c>
      <c r="KG5" s="372" t="s">
        <v>765</v>
      </c>
      <c r="KH5" s="372" t="s">
        <v>766</v>
      </c>
      <c r="KI5" s="372" t="s">
        <v>767</v>
      </c>
      <c r="KJ5" s="372" t="s">
        <v>768</v>
      </c>
      <c r="KK5" s="372" t="s">
        <v>769</v>
      </c>
      <c r="KL5" s="372" t="s">
        <v>770</v>
      </c>
      <c r="KM5" s="372" t="s">
        <v>771</v>
      </c>
      <c r="KN5" s="372" t="s">
        <v>772</v>
      </c>
      <c r="KO5" s="372" t="s">
        <v>773</v>
      </c>
      <c r="KP5" s="372" t="s">
        <v>774</v>
      </c>
      <c r="KQ5" s="372" t="s">
        <v>775</v>
      </c>
      <c r="KR5" s="372" t="s">
        <v>776</v>
      </c>
      <c r="KS5" s="372" t="s">
        <v>777</v>
      </c>
      <c r="KT5" s="372" t="s">
        <v>778</v>
      </c>
      <c r="KU5" s="372" t="s">
        <v>779</v>
      </c>
      <c r="KV5" s="372" t="s">
        <v>780</v>
      </c>
      <c r="KW5" s="372" t="s">
        <v>781</v>
      </c>
      <c r="KX5" s="372" t="s">
        <v>782</v>
      </c>
      <c r="KY5" s="372" t="s">
        <v>783</v>
      </c>
      <c r="KZ5" s="372" t="s">
        <v>784</v>
      </c>
      <c r="LA5" s="372" t="s">
        <v>785</v>
      </c>
      <c r="LB5" s="372" t="s">
        <v>786</v>
      </c>
      <c r="LC5" s="372" t="s">
        <v>787</v>
      </c>
      <c r="LD5" s="372" t="s">
        <v>1326</v>
      </c>
      <c r="LE5" s="372" t="s">
        <v>1342</v>
      </c>
      <c r="LF5" s="372" t="s">
        <v>789</v>
      </c>
      <c r="LG5" s="372" t="s">
        <v>790</v>
      </c>
      <c r="LH5" s="372" t="s">
        <v>791</v>
      </c>
      <c r="LI5" s="372" t="s">
        <v>792</v>
      </c>
      <c r="LJ5" s="372" t="s">
        <v>793</v>
      </c>
      <c r="LK5" s="372" t="s">
        <v>794</v>
      </c>
      <c r="LL5" s="372" t="s">
        <v>796</v>
      </c>
      <c r="LM5" s="372" t="s">
        <v>797</v>
      </c>
      <c r="LN5" s="372" t="s">
        <v>798</v>
      </c>
      <c r="LO5" s="372" t="s">
        <v>799</v>
      </c>
      <c r="LP5" s="372" t="s">
        <v>800</v>
      </c>
      <c r="LQ5" s="372" t="s">
        <v>801</v>
      </c>
      <c r="LR5" s="372" t="s">
        <v>802</v>
      </c>
      <c r="LS5" s="372" t="s">
        <v>804</v>
      </c>
      <c r="LT5" s="372" t="s">
        <v>805</v>
      </c>
      <c r="LU5" s="372" t="s">
        <v>806</v>
      </c>
      <c r="LV5" s="372" t="s">
        <v>807</v>
      </c>
      <c r="LW5" s="372" t="s">
        <v>808</v>
      </c>
      <c r="LX5" s="372" t="s">
        <v>809</v>
      </c>
      <c r="LY5" s="372" t="s">
        <v>810</v>
      </c>
      <c r="LZ5" s="372" t="s">
        <v>811</v>
      </c>
      <c r="MA5" s="372" t="s">
        <v>812</v>
      </c>
      <c r="MB5" s="372" t="s">
        <v>813</v>
      </c>
      <c r="MC5" s="372" t="s">
        <v>815</v>
      </c>
      <c r="MD5" s="372" t="s">
        <v>817</v>
      </c>
      <c r="ME5" s="372" t="s">
        <v>818</v>
      </c>
      <c r="MF5" s="372" t="s">
        <v>819</v>
      </c>
      <c r="MG5" s="372" t="s">
        <v>820</v>
      </c>
      <c r="MH5" s="372" t="s">
        <v>821</v>
      </c>
      <c r="MI5" s="372" t="s">
        <v>822</v>
      </c>
      <c r="MJ5" s="372" t="s">
        <v>823</v>
      </c>
      <c r="MK5" s="372" t="s">
        <v>824</v>
      </c>
      <c r="ML5" s="372" t="s">
        <v>825</v>
      </c>
      <c r="MM5" s="372" t="s">
        <v>826</v>
      </c>
      <c r="MN5" s="372" t="s">
        <v>827</v>
      </c>
      <c r="MO5" s="372" t="s">
        <v>828</v>
      </c>
      <c r="MP5" s="372" t="s">
        <v>829</v>
      </c>
      <c r="MQ5" s="372" t="s">
        <v>830</v>
      </c>
      <c r="MR5" s="372" t="s">
        <v>831</v>
      </c>
      <c r="MS5" s="372" t="s">
        <v>832</v>
      </c>
      <c r="MT5" s="372" t="s">
        <v>833</v>
      </c>
      <c r="MU5" s="372" t="s">
        <v>835</v>
      </c>
      <c r="MV5" s="372" t="s">
        <v>836</v>
      </c>
      <c r="MW5" s="372" t="s">
        <v>837</v>
      </c>
      <c r="MX5" s="372" t="s">
        <v>839</v>
      </c>
      <c r="MY5" s="372" t="s">
        <v>841</v>
      </c>
      <c r="MZ5" s="372" t="s">
        <v>842</v>
      </c>
      <c r="NA5" s="372" t="s">
        <v>843</v>
      </c>
      <c r="NB5" s="372" t="s">
        <v>844</v>
      </c>
      <c r="NC5" s="372" t="s">
        <v>845</v>
      </c>
      <c r="ND5" s="372" t="s">
        <v>846</v>
      </c>
      <c r="NE5" s="372" t="s">
        <v>847</v>
      </c>
      <c r="NF5" s="372" t="s">
        <v>848</v>
      </c>
      <c r="NG5" s="372" t="s">
        <v>849</v>
      </c>
      <c r="NH5" s="372" t="s">
        <v>850</v>
      </c>
      <c r="NI5" s="372" t="s">
        <v>851</v>
      </c>
      <c r="NJ5" s="372" t="s">
        <v>852</v>
      </c>
      <c r="NK5" s="372" t="s">
        <v>853</v>
      </c>
      <c r="NL5" s="372" t="s">
        <v>854</v>
      </c>
      <c r="NM5" s="372" t="s">
        <v>855</v>
      </c>
      <c r="NN5" s="372" t="s">
        <v>856</v>
      </c>
      <c r="NO5" s="372" t="s">
        <v>857</v>
      </c>
      <c r="NP5" s="372" t="s">
        <v>858</v>
      </c>
      <c r="NQ5" s="372" t="s">
        <v>859</v>
      </c>
      <c r="NR5" s="372" t="s">
        <v>861</v>
      </c>
      <c r="NS5" s="372" t="s">
        <v>862</v>
      </c>
      <c r="NT5" s="372" t="s">
        <v>863</v>
      </c>
      <c r="NU5" s="372" t="s">
        <v>864</v>
      </c>
      <c r="NV5" s="372" t="s">
        <v>865</v>
      </c>
      <c r="NW5" s="372" t="s">
        <v>866</v>
      </c>
      <c r="NX5" s="372" t="s">
        <v>867</v>
      </c>
      <c r="NY5" s="372" t="s">
        <v>868</v>
      </c>
      <c r="NZ5" s="372" t="s">
        <v>869</v>
      </c>
      <c r="OA5" s="372" t="s">
        <v>870</v>
      </c>
      <c r="OB5" s="372" t="s">
        <v>871</v>
      </c>
      <c r="OC5" s="372" t="s">
        <v>872</v>
      </c>
      <c r="OD5" s="372" t="s">
        <v>873</v>
      </c>
      <c r="OE5" s="372" t="s">
        <v>874</v>
      </c>
      <c r="OF5" s="372" t="s">
        <v>875</v>
      </c>
      <c r="OG5" s="372" t="s">
        <v>876</v>
      </c>
    </row>
    <row r="6" spans="1:397">
      <c r="B6" s="380" t="s">
        <v>293</v>
      </c>
      <c r="C6" s="373"/>
      <c r="D6" s="373"/>
      <c r="E6" s="373"/>
      <c r="F6" s="373"/>
      <c r="G6" s="373"/>
      <c r="H6" s="373"/>
      <c r="I6" s="373"/>
      <c r="J6" s="373"/>
      <c r="K6" s="373"/>
      <c r="L6" s="373"/>
      <c r="M6" s="373"/>
      <c r="N6" s="373"/>
      <c r="O6" s="373"/>
      <c r="P6" s="373"/>
      <c r="Q6" s="373"/>
      <c r="R6" s="373"/>
      <c r="S6" s="373"/>
      <c r="T6" s="373"/>
      <c r="U6" s="373"/>
      <c r="V6" s="373"/>
      <c r="W6" s="373"/>
      <c r="X6" s="373"/>
      <c r="Y6" s="373"/>
      <c r="Z6" s="373"/>
      <c r="AA6" s="373"/>
      <c r="AB6" s="373"/>
      <c r="AC6" s="373"/>
      <c r="AD6" s="373"/>
      <c r="AE6" s="373"/>
      <c r="AF6" s="373"/>
      <c r="AG6" s="373"/>
      <c r="AH6" s="373"/>
      <c r="AI6" s="373"/>
      <c r="AJ6" s="373"/>
      <c r="AK6" s="373"/>
      <c r="AL6" s="373"/>
      <c r="AM6" s="373"/>
      <c r="AN6" s="373"/>
      <c r="AO6" s="373"/>
      <c r="AP6" s="373"/>
      <c r="AQ6" s="373"/>
      <c r="AR6" s="373"/>
      <c r="AS6" s="373"/>
      <c r="AT6" s="373"/>
      <c r="AU6" s="373"/>
      <c r="AV6" s="373"/>
      <c r="AW6" s="373"/>
      <c r="AX6" s="373"/>
      <c r="AY6" s="373"/>
      <c r="AZ6" s="373"/>
      <c r="BA6" s="373"/>
      <c r="BB6" s="373"/>
      <c r="BC6" s="373"/>
      <c r="BD6" s="373"/>
      <c r="BE6" s="373"/>
      <c r="BF6" s="373"/>
      <c r="BG6" s="373"/>
      <c r="BH6" s="373"/>
      <c r="BI6" s="373"/>
      <c r="BJ6" s="373"/>
      <c r="BK6" s="373"/>
      <c r="BL6" s="373"/>
      <c r="BM6" s="373"/>
      <c r="BN6" s="373"/>
      <c r="BO6" s="373"/>
      <c r="BP6" s="373"/>
      <c r="BQ6" s="373"/>
      <c r="BR6" s="373"/>
      <c r="BS6" s="373"/>
      <c r="BT6" s="373"/>
      <c r="BU6" s="373"/>
      <c r="BV6" s="373"/>
      <c r="BW6" s="373"/>
      <c r="BX6" s="373"/>
      <c r="BY6" s="373"/>
      <c r="BZ6" s="373"/>
      <c r="CA6" s="373"/>
      <c r="CB6" s="373"/>
      <c r="CC6" s="373"/>
      <c r="CD6" s="373"/>
      <c r="CE6" s="373"/>
      <c r="CF6" s="373"/>
      <c r="CG6" s="373"/>
      <c r="CH6" s="373"/>
      <c r="CI6" s="373"/>
      <c r="CJ6" s="373"/>
      <c r="CK6" s="373"/>
      <c r="CL6" s="373"/>
      <c r="CM6" s="373"/>
      <c r="CN6" s="373"/>
      <c r="CO6" s="373"/>
      <c r="CP6" s="373"/>
      <c r="CQ6" s="373"/>
      <c r="CR6" s="373"/>
      <c r="CS6" s="373"/>
      <c r="CT6" s="373"/>
      <c r="CU6" s="373"/>
      <c r="CV6" s="373"/>
      <c r="CW6" s="373"/>
      <c r="CX6" s="373"/>
      <c r="CY6" s="373"/>
      <c r="CZ6" s="373"/>
      <c r="DA6" s="373"/>
      <c r="DB6" s="373"/>
      <c r="DC6" s="373"/>
      <c r="DD6" s="373"/>
      <c r="DE6" s="373"/>
      <c r="DF6" s="373"/>
      <c r="DG6" s="373"/>
      <c r="DH6" s="373"/>
      <c r="DI6" s="373"/>
      <c r="DJ6" s="373"/>
      <c r="DK6" s="373"/>
      <c r="DL6" s="373"/>
      <c r="DM6" s="373"/>
      <c r="DN6" s="373"/>
      <c r="DO6" s="373"/>
      <c r="DP6" s="373"/>
      <c r="DQ6" s="373"/>
      <c r="DR6" s="373"/>
      <c r="DS6" s="373"/>
      <c r="DT6" s="373"/>
      <c r="DU6" s="373"/>
      <c r="DV6" s="373"/>
      <c r="DW6" s="373"/>
      <c r="DX6" s="373"/>
      <c r="DY6" s="373"/>
      <c r="DZ6" s="373"/>
      <c r="EA6" s="373"/>
      <c r="EB6" s="373"/>
      <c r="EC6" s="373"/>
      <c r="ED6" s="373"/>
      <c r="EE6" s="373"/>
      <c r="EF6" s="373"/>
      <c r="EG6" s="373"/>
      <c r="EH6" s="373"/>
      <c r="EI6" s="373"/>
      <c r="EJ6" s="373"/>
      <c r="EK6" s="373"/>
      <c r="EL6" s="373"/>
      <c r="EM6" s="373"/>
      <c r="EN6" s="373"/>
      <c r="EO6" s="373"/>
      <c r="EP6" s="373"/>
      <c r="EQ6" s="373"/>
      <c r="ER6" s="373"/>
      <c r="ES6" s="373"/>
      <c r="ET6" s="373"/>
      <c r="EU6" s="373"/>
      <c r="EV6" s="373"/>
      <c r="EW6" s="373"/>
      <c r="EX6" s="373"/>
      <c r="EY6" s="373"/>
      <c r="EZ6" s="373"/>
      <c r="FA6" s="373"/>
      <c r="FB6" s="373"/>
      <c r="FC6" s="373"/>
      <c r="FD6" s="373"/>
      <c r="FE6" s="373"/>
      <c r="FF6" s="373"/>
      <c r="FG6" s="373"/>
      <c r="FH6" s="373"/>
      <c r="FI6" s="373"/>
      <c r="FJ6" s="373"/>
      <c r="FK6" s="373"/>
      <c r="FL6" s="373"/>
      <c r="FM6" s="373"/>
      <c r="FN6" s="373"/>
      <c r="FO6" s="373"/>
      <c r="FP6" s="373"/>
      <c r="FQ6" s="373"/>
      <c r="FR6" s="373"/>
      <c r="FS6" s="373"/>
      <c r="FT6" s="373"/>
      <c r="FU6" s="373"/>
      <c r="FV6" s="373"/>
      <c r="FW6" s="373"/>
      <c r="FX6" s="373"/>
      <c r="FY6" s="373"/>
      <c r="FZ6" s="373"/>
      <c r="GA6" s="373"/>
      <c r="GB6" s="373"/>
      <c r="GC6" s="373"/>
      <c r="GD6" s="373"/>
      <c r="GE6" s="373"/>
      <c r="GF6" s="373"/>
      <c r="GG6" s="373"/>
      <c r="GH6" s="373"/>
      <c r="GI6" s="373"/>
      <c r="GJ6" s="373"/>
      <c r="GK6" s="373"/>
      <c r="GL6" s="373"/>
      <c r="GM6" s="373"/>
      <c r="GN6" s="373"/>
      <c r="GO6" s="373"/>
      <c r="GP6" s="373"/>
      <c r="GQ6" s="373"/>
      <c r="GR6" s="373"/>
      <c r="GS6" s="373"/>
      <c r="GT6" s="373"/>
      <c r="GU6" s="373"/>
      <c r="GV6" s="373"/>
      <c r="GW6" s="373"/>
      <c r="GX6" s="373"/>
      <c r="GY6" s="373"/>
      <c r="GZ6" s="373"/>
      <c r="HA6" s="373"/>
      <c r="HB6" s="373"/>
      <c r="HC6" s="373"/>
      <c r="HD6" s="373"/>
      <c r="HE6" s="373"/>
      <c r="HF6" s="373"/>
      <c r="HG6" s="373"/>
      <c r="HH6" s="373"/>
      <c r="HI6" s="373"/>
      <c r="HJ6" s="373"/>
      <c r="HK6" s="373"/>
      <c r="HL6" s="373"/>
      <c r="HM6" s="373"/>
      <c r="HN6" s="373"/>
      <c r="HO6" s="373"/>
      <c r="HP6" s="373"/>
      <c r="HQ6" s="373"/>
      <c r="HR6" s="373"/>
      <c r="HS6" s="373"/>
      <c r="HT6" s="373"/>
      <c r="HU6" s="373"/>
      <c r="HV6" s="373"/>
      <c r="HW6" s="373"/>
      <c r="HX6" s="373"/>
      <c r="HY6" s="373"/>
      <c r="HZ6" s="373"/>
      <c r="IA6" s="373"/>
      <c r="IB6" s="373"/>
      <c r="IC6" s="373"/>
      <c r="ID6" s="373"/>
      <c r="IE6" s="373"/>
      <c r="IF6" s="373"/>
      <c r="IG6" s="373"/>
      <c r="IH6" s="373"/>
      <c r="II6" s="373"/>
      <c r="IJ6" s="373"/>
      <c r="IK6" s="373"/>
      <c r="IL6" s="373"/>
      <c r="IM6" s="373"/>
      <c r="IN6" s="373"/>
      <c r="IO6" s="373"/>
      <c r="IP6" s="373"/>
      <c r="IQ6" s="373"/>
      <c r="IR6" s="373"/>
      <c r="IS6" s="373"/>
      <c r="IT6" s="373"/>
      <c r="IU6" s="373"/>
      <c r="IV6" s="373"/>
      <c r="IW6" s="373"/>
      <c r="IX6" s="373"/>
      <c r="IY6" s="373"/>
      <c r="IZ6" s="373"/>
      <c r="JA6" s="373"/>
      <c r="JB6" s="373"/>
      <c r="JC6" s="373"/>
      <c r="JD6" s="373"/>
      <c r="JE6" s="373"/>
      <c r="JF6" s="373"/>
      <c r="JG6" s="373"/>
      <c r="JH6" s="373"/>
      <c r="JI6" s="373"/>
      <c r="JJ6" s="373"/>
      <c r="JK6" s="373"/>
      <c r="JL6" s="373"/>
      <c r="JM6" s="373"/>
      <c r="JN6" s="373"/>
      <c r="JO6" s="373"/>
      <c r="JP6" s="373"/>
      <c r="JQ6" s="373"/>
      <c r="JR6" s="373"/>
      <c r="JS6" s="373"/>
      <c r="JT6" s="373"/>
      <c r="JU6" s="373"/>
      <c r="JV6" s="373"/>
      <c r="JW6" s="373"/>
      <c r="JX6" s="373"/>
      <c r="JY6" s="373"/>
      <c r="JZ6" s="373"/>
      <c r="KA6" s="373"/>
      <c r="KB6" s="373"/>
      <c r="KC6" s="373"/>
      <c r="KD6" s="373"/>
      <c r="KE6" s="373"/>
      <c r="KF6" s="373"/>
      <c r="KG6" s="373"/>
      <c r="KH6" s="373"/>
      <c r="KI6" s="373"/>
      <c r="KJ6" s="373"/>
      <c r="KK6" s="373"/>
      <c r="KL6" s="373"/>
      <c r="KM6" s="373"/>
      <c r="KN6" s="373"/>
      <c r="KO6" s="373"/>
      <c r="KP6" s="373"/>
      <c r="KQ6" s="373"/>
      <c r="KR6" s="373"/>
      <c r="KS6" s="373"/>
      <c r="KT6" s="373"/>
      <c r="KU6" s="373"/>
      <c r="KV6" s="373"/>
      <c r="KW6" s="373"/>
      <c r="KX6" s="373"/>
      <c r="KY6" s="373"/>
      <c r="KZ6" s="373"/>
      <c r="LA6" s="373"/>
      <c r="LB6" s="373"/>
      <c r="LC6" s="373"/>
      <c r="LD6" s="373"/>
      <c r="LE6" s="373"/>
      <c r="LF6" s="373"/>
      <c r="LG6" s="373"/>
      <c r="LH6" s="373"/>
      <c r="LI6" s="373"/>
      <c r="LJ6" s="373"/>
      <c r="LK6" s="373"/>
      <c r="LL6" s="373"/>
      <c r="LM6" s="373"/>
      <c r="LN6" s="373"/>
      <c r="LO6" s="373"/>
      <c r="LP6" s="373"/>
      <c r="LQ6" s="373"/>
      <c r="LR6" s="373"/>
      <c r="LS6" s="373"/>
      <c r="LT6" s="373"/>
      <c r="LU6" s="373"/>
      <c r="LV6" s="373"/>
      <c r="LW6" s="373"/>
      <c r="LX6" s="373"/>
      <c r="LY6" s="373"/>
      <c r="LZ6" s="373"/>
      <c r="MA6" s="373"/>
      <c r="MB6" s="373"/>
      <c r="MC6" s="373"/>
      <c r="MD6" s="373"/>
      <c r="ME6" s="373"/>
      <c r="MF6" s="373"/>
      <c r="MG6" s="373"/>
      <c r="MH6" s="373"/>
      <c r="MI6" s="373"/>
      <c r="MJ6" s="373"/>
      <c r="MK6" s="373"/>
      <c r="ML6" s="373"/>
      <c r="MM6" s="373"/>
      <c r="MN6" s="373"/>
      <c r="MO6" s="373"/>
      <c r="MP6" s="373"/>
      <c r="MQ6" s="373"/>
      <c r="MR6" s="373"/>
      <c r="MS6" s="373"/>
      <c r="MT6" s="373"/>
      <c r="MU6" s="373"/>
      <c r="MV6" s="373"/>
      <c r="MW6" s="373"/>
      <c r="MX6" s="373"/>
      <c r="MY6" s="373"/>
      <c r="MZ6" s="373"/>
      <c r="NA6" s="373"/>
      <c r="NB6" s="373"/>
      <c r="NC6" s="373"/>
      <c r="ND6" s="373"/>
      <c r="NE6" s="373"/>
      <c r="NF6" s="373"/>
      <c r="NG6" s="373"/>
      <c r="NH6" s="373"/>
      <c r="NI6" s="373"/>
      <c r="NJ6" s="373"/>
      <c r="NK6" s="373"/>
      <c r="NL6" s="373"/>
      <c r="NM6" s="373"/>
      <c r="NN6" s="373"/>
      <c r="NO6" s="373"/>
      <c r="NP6" s="373"/>
      <c r="NQ6" s="373"/>
      <c r="NR6" s="373"/>
      <c r="NS6" s="373"/>
      <c r="NT6" s="373"/>
      <c r="NU6" s="373"/>
      <c r="NV6" s="373"/>
      <c r="NW6" s="373"/>
      <c r="NX6" s="373"/>
      <c r="NY6" s="373"/>
      <c r="NZ6" s="373"/>
      <c r="OA6" s="373"/>
      <c r="OB6" s="373"/>
      <c r="OC6" s="373"/>
      <c r="OD6" s="373"/>
      <c r="OE6" s="373"/>
      <c r="OF6" s="373"/>
      <c r="OG6" s="373"/>
    </row>
    <row r="7" spans="1:397">
      <c r="B7" s="380" t="s">
        <v>294</v>
      </c>
      <c r="C7" s="373"/>
      <c r="D7" s="373"/>
      <c r="E7" s="373"/>
      <c r="F7" s="373"/>
      <c r="G7" s="373"/>
      <c r="H7" s="373"/>
      <c r="I7" s="373"/>
      <c r="J7" s="373"/>
      <c r="K7" s="373"/>
      <c r="L7" s="373"/>
      <c r="M7" s="373"/>
      <c r="N7" s="373"/>
      <c r="O7" s="373"/>
      <c r="P7" s="373"/>
      <c r="Q7" s="373"/>
      <c r="R7" s="373"/>
      <c r="S7" s="373"/>
      <c r="T7" s="373"/>
      <c r="U7" s="373"/>
      <c r="V7" s="373"/>
      <c r="W7" s="373"/>
      <c r="X7" s="373"/>
      <c r="Y7" s="373"/>
      <c r="Z7" s="373"/>
      <c r="AA7" s="373"/>
      <c r="AB7" s="373"/>
      <c r="AC7" s="373"/>
      <c r="AD7" s="373"/>
      <c r="AE7" s="373"/>
      <c r="AF7" s="373"/>
      <c r="AG7" s="373"/>
      <c r="AH7" s="373"/>
      <c r="AI7" s="373"/>
      <c r="AJ7" s="373"/>
      <c r="AK7" s="373"/>
      <c r="AL7" s="373"/>
      <c r="AM7" s="373"/>
      <c r="AN7" s="373"/>
      <c r="AO7" s="373"/>
      <c r="AP7" s="373"/>
      <c r="AQ7" s="373"/>
      <c r="AR7" s="373"/>
      <c r="AS7" s="373"/>
      <c r="AT7" s="373"/>
      <c r="AU7" s="373"/>
      <c r="AV7" s="373"/>
      <c r="AW7" s="373"/>
      <c r="AX7" s="373"/>
      <c r="AY7" s="373"/>
      <c r="AZ7" s="373"/>
      <c r="BA7" s="373"/>
      <c r="BB7" s="373"/>
      <c r="BC7" s="373"/>
      <c r="BD7" s="373"/>
      <c r="BE7" s="373"/>
      <c r="BF7" s="373"/>
      <c r="BG7" s="373"/>
      <c r="BH7" s="373"/>
      <c r="BI7" s="373"/>
      <c r="BJ7" s="373"/>
      <c r="BK7" s="373"/>
      <c r="BL7" s="373"/>
      <c r="BM7" s="373"/>
      <c r="BN7" s="373"/>
      <c r="BO7" s="373"/>
      <c r="BP7" s="373"/>
      <c r="BQ7" s="373"/>
      <c r="BR7" s="373"/>
      <c r="BS7" s="373"/>
      <c r="BT7" s="373"/>
      <c r="BU7" s="373"/>
      <c r="BV7" s="373"/>
      <c r="BW7" s="373"/>
      <c r="BX7" s="373"/>
      <c r="BY7" s="373"/>
      <c r="BZ7" s="373"/>
      <c r="CA7" s="373"/>
      <c r="CB7" s="373"/>
      <c r="CC7" s="373"/>
      <c r="CD7" s="373"/>
      <c r="CE7" s="373"/>
      <c r="CF7" s="373"/>
      <c r="CG7" s="373"/>
      <c r="CH7" s="373"/>
      <c r="CI7" s="373"/>
      <c r="CJ7" s="373"/>
      <c r="CK7" s="373"/>
      <c r="CL7" s="373"/>
      <c r="CM7" s="373"/>
      <c r="CN7" s="373"/>
      <c r="CO7" s="373"/>
      <c r="CP7" s="373"/>
      <c r="CQ7" s="373"/>
      <c r="CR7" s="373"/>
      <c r="CS7" s="373"/>
      <c r="CT7" s="373"/>
      <c r="CU7" s="373"/>
      <c r="CV7" s="373"/>
      <c r="CW7" s="373"/>
      <c r="CX7" s="373"/>
      <c r="CY7" s="373"/>
      <c r="CZ7" s="373"/>
      <c r="DA7" s="373"/>
      <c r="DB7" s="373"/>
      <c r="DC7" s="373"/>
      <c r="DD7" s="373"/>
      <c r="DE7" s="373"/>
      <c r="DF7" s="373"/>
      <c r="DG7" s="373"/>
      <c r="DH7" s="373"/>
      <c r="DI7" s="373"/>
      <c r="DJ7" s="373"/>
      <c r="DK7" s="373"/>
      <c r="DL7" s="373"/>
      <c r="DM7" s="373"/>
      <c r="DN7" s="373"/>
      <c r="DO7" s="373"/>
      <c r="DP7" s="373"/>
      <c r="DQ7" s="373"/>
      <c r="DR7" s="373"/>
      <c r="DS7" s="373"/>
      <c r="DT7" s="373"/>
      <c r="DU7" s="373"/>
      <c r="DV7" s="373"/>
      <c r="DW7" s="373"/>
      <c r="DX7" s="373"/>
      <c r="DY7" s="373"/>
      <c r="DZ7" s="373"/>
      <c r="EA7" s="373"/>
      <c r="EB7" s="373"/>
      <c r="EC7" s="373"/>
      <c r="ED7" s="373"/>
      <c r="EE7" s="373"/>
      <c r="EF7" s="373"/>
      <c r="EG7" s="373"/>
      <c r="EH7" s="373"/>
      <c r="EI7" s="373"/>
      <c r="EJ7" s="373"/>
      <c r="EK7" s="373"/>
      <c r="EL7" s="373"/>
      <c r="EM7" s="373"/>
      <c r="EN7" s="373"/>
      <c r="EO7" s="373"/>
      <c r="EP7" s="373"/>
      <c r="EQ7" s="373"/>
      <c r="ER7" s="373"/>
      <c r="ES7" s="373"/>
      <c r="ET7" s="373"/>
      <c r="EU7" s="373"/>
      <c r="EV7" s="373"/>
      <c r="EW7" s="373"/>
      <c r="EX7" s="373"/>
      <c r="EY7" s="373"/>
      <c r="EZ7" s="373"/>
      <c r="FA7" s="373"/>
      <c r="FB7" s="373"/>
      <c r="FC7" s="373"/>
      <c r="FD7" s="373"/>
      <c r="FE7" s="373"/>
      <c r="FF7" s="373"/>
      <c r="FG7" s="373"/>
      <c r="FH7" s="373"/>
      <c r="FI7" s="373"/>
      <c r="FJ7" s="373"/>
      <c r="FK7" s="373"/>
      <c r="FL7" s="373"/>
      <c r="FM7" s="373"/>
      <c r="FN7" s="373"/>
      <c r="FO7" s="373"/>
      <c r="FP7" s="373"/>
      <c r="FQ7" s="373"/>
      <c r="FR7" s="373"/>
      <c r="FS7" s="373"/>
      <c r="FT7" s="373"/>
      <c r="FU7" s="373"/>
      <c r="FV7" s="373"/>
      <c r="FW7" s="373"/>
      <c r="FX7" s="373"/>
      <c r="FY7" s="373"/>
      <c r="FZ7" s="373"/>
      <c r="GA7" s="373"/>
      <c r="GB7" s="373"/>
      <c r="GC7" s="373"/>
      <c r="GD7" s="373"/>
      <c r="GE7" s="373"/>
      <c r="GF7" s="373"/>
      <c r="GG7" s="373"/>
      <c r="GH7" s="373"/>
      <c r="GI7" s="373"/>
      <c r="GJ7" s="373"/>
      <c r="GK7" s="373"/>
      <c r="GL7" s="373"/>
      <c r="GM7" s="373"/>
      <c r="GN7" s="373"/>
      <c r="GO7" s="373"/>
      <c r="GP7" s="373"/>
      <c r="GQ7" s="373"/>
      <c r="GR7" s="373"/>
      <c r="GS7" s="373"/>
      <c r="GT7" s="373"/>
      <c r="GU7" s="373"/>
      <c r="GV7" s="373"/>
      <c r="GW7" s="373"/>
      <c r="GX7" s="373"/>
      <c r="GY7" s="373"/>
      <c r="GZ7" s="373"/>
      <c r="HA7" s="373"/>
      <c r="HB7" s="373"/>
      <c r="HC7" s="373"/>
      <c r="HD7" s="373"/>
      <c r="HE7" s="373"/>
      <c r="HF7" s="373"/>
      <c r="HG7" s="373"/>
      <c r="HH7" s="373"/>
      <c r="HI7" s="373"/>
      <c r="HJ7" s="373"/>
      <c r="HK7" s="373"/>
      <c r="HL7" s="373"/>
      <c r="HM7" s="373"/>
      <c r="HN7" s="373"/>
      <c r="HO7" s="373"/>
      <c r="HP7" s="373"/>
      <c r="HQ7" s="373"/>
      <c r="HR7" s="373"/>
      <c r="HS7" s="373"/>
      <c r="HT7" s="373"/>
      <c r="HU7" s="373"/>
      <c r="HV7" s="373"/>
      <c r="HW7" s="373"/>
      <c r="HX7" s="373"/>
      <c r="HY7" s="373"/>
      <c r="HZ7" s="373"/>
      <c r="IA7" s="373"/>
      <c r="IB7" s="373"/>
      <c r="IC7" s="373"/>
      <c r="ID7" s="373"/>
      <c r="IE7" s="373"/>
      <c r="IF7" s="373"/>
      <c r="IG7" s="373"/>
      <c r="IH7" s="373"/>
      <c r="II7" s="373"/>
      <c r="IJ7" s="373"/>
      <c r="IK7" s="373"/>
      <c r="IL7" s="373"/>
      <c r="IM7" s="373"/>
      <c r="IN7" s="373"/>
      <c r="IO7" s="373"/>
      <c r="IP7" s="373"/>
      <c r="IQ7" s="373"/>
      <c r="IR7" s="373"/>
      <c r="IS7" s="373"/>
      <c r="IT7" s="373"/>
      <c r="IU7" s="373"/>
      <c r="IV7" s="373"/>
      <c r="IW7" s="373"/>
      <c r="IX7" s="373"/>
      <c r="IY7" s="373"/>
      <c r="IZ7" s="373"/>
      <c r="JA7" s="373"/>
      <c r="JB7" s="373"/>
      <c r="JC7" s="373"/>
      <c r="JD7" s="373"/>
      <c r="JE7" s="373"/>
      <c r="JF7" s="373"/>
      <c r="JG7" s="373"/>
      <c r="JH7" s="373"/>
      <c r="JI7" s="373"/>
      <c r="JJ7" s="373"/>
      <c r="JK7" s="373"/>
      <c r="JL7" s="373"/>
      <c r="JM7" s="373"/>
      <c r="JN7" s="373"/>
      <c r="JO7" s="373"/>
      <c r="JP7" s="373"/>
      <c r="JQ7" s="373"/>
      <c r="JR7" s="373"/>
      <c r="JS7" s="373"/>
      <c r="JT7" s="373"/>
      <c r="JU7" s="373"/>
      <c r="JV7" s="373"/>
      <c r="JW7" s="373"/>
      <c r="JX7" s="373"/>
      <c r="JY7" s="373"/>
      <c r="JZ7" s="373"/>
      <c r="KA7" s="373"/>
      <c r="KB7" s="373"/>
      <c r="KC7" s="373"/>
      <c r="KD7" s="373"/>
      <c r="KE7" s="373"/>
      <c r="KF7" s="373"/>
      <c r="KG7" s="373"/>
      <c r="KH7" s="373"/>
      <c r="KI7" s="373"/>
      <c r="KJ7" s="373"/>
      <c r="KK7" s="373"/>
      <c r="KL7" s="373"/>
      <c r="KM7" s="373"/>
      <c r="KN7" s="373"/>
      <c r="KO7" s="373"/>
      <c r="KP7" s="373"/>
      <c r="KQ7" s="373"/>
      <c r="KR7" s="373"/>
      <c r="KS7" s="373"/>
      <c r="KT7" s="373"/>
      <c r="KU7" s="373"/>
      <c r="KV7" s="373"/>
      <c r="KW7" s="373"/>
      <c r="KX7" s="373"/>
      <c r="KY7" s="373"/>
      <c r="KZ7" s="373"/>
      <c r="LA7" s="373"/>
      <c r="LB7" s="373"/>
      <c r="LC7" s="373"/>
      <c r="LD7" s="373"/>
      <c r="LE7" s="373"/>
      <c r="LF7" s="373"/>
      <c r="LG7" s="373"/>
      <c r="LH7" s="373"/>
      <c r="LI7" s="373"/>
      <c r="LJ7" s="373"/>
      <c r="LK7" s="373"/>
      <c r="LL7" s="373"/>
      <c r="LM7" s="373"/>
      <c r="LN7" s="373"/>
      <c r="LO7" s="373"/>
      <c r="LP7" s="373"/>
      <c r="LQ7" s="373"/>
      <c r="LR7" s="373"/>
      <c r="LS7" s="373"/>
      <c r="LT7" s="373"/>
      <c r="LU7" s="373"/>
      <c r="LV7" s="373"/>
      <c r="LW7" s="373"/>
      <c r="LX7" s="373"/>
      <c r="LY7" s="373"/>
      <c r="LZ7" s="373"/>
      <c r="MA7" s="373"/>
      <c r="MB7" s="373"/>
      <c r="MC7" s="373"/>
      <c r="MD7" s="373"/>
      <c r="ME7" s="373"/>
      <c r="MF7" s="373"/>
      <c r="MG7" s="373"/>
      <c r="MH7" s="373"/>
      <c r="MI7" s="373"/>
      <c r="MJ7" s="373"/>
      <c r="MK7" s="373"/>
      <c r="ML7" s="373"/>
      <c r="MM7" s="373"/>
      <c r="MN7" s="373"/>
      <c r="MO7" s="373"/>
      <c r="MP7" s="373"/>
      <c r="MQ7" s="373"/>
      <c r="MR7" s="373"/>
      <c r="MS7" s="373"/>
      <c r="MT7" s="373"/>
      <c r="MU7" s="373"/>
      <c r="MV7" s="373"/>
      <c r="MW7" s="373"/>
      <c r="MX7" s="373"/>
      <c r="MY7" s="373"/>
      <c r="MZ7" s="373"/>
      <c r="NA7" s="373"/>
      <c r="NB7" s="373"/>
      <c r="NC7" s="373"/>
      <c r="ND7" s="373"/>
      <c r="NE7" s="373"/>
      <c r="NF7" s="373"/>
      <c r="NG7" s="373"/>
      <c r="NH7" s="373"/>
      <c r="NI7" s="373"/>
      <c r="NJ7" s="373"/>
      <c r="NK7" s="373"/>
      <c r="NL7" s="373"/>
      <c r="NM7" s="373"/>
      <c r="NN7" s="373"/>
      <c r="NO7" s="373"/>
      <c r="NP7" s="373"/>
      <c r="NQ7" s="373"/>
      <c r="NR7" s="373"/>
      <c r="NS7" s="373"/>
      <c r="NT7" s="373"/>
      <c r="NU7" s="373"/>
      <c r="NV7" s="373"/>
      <c r="NW7" s="373"/>
      <c r="NX7" s="373"/>
      <c r="NY7" s="373"/>
      <c r="NZ7" s="373"/>
      <c r="OA7" s="373"/>
      <c r="OB7" s="373"/>
      <c r="OC7" s="373"/>
      <c r="OD7" s="373"/>
      <c r="OE7" s="373"/>
      <c r="OF7" s="373"/>
      <c r="OG7" s="373"/>
    </row>
    <row r="8" spans="1:397" ht="20.399999999999999">
      <c r="B8" s="383" t="s">
        <v>1186</v>
      </c>
      <c r="C8" s="373" t="s">
        <v>1293</v>
      </c>
      <c r="D8" s="373" t="s">
        <v>1309</v>
      </c>
      <c r="E8" s="373" t="s">
        <v>1309</v>
      </c>
      <c r="F8" s="373" t="s">
        <v>1253</v>
      </c>
      <c r="G8" s="373" t="s">
        <v>1317</v>
      </c>
      <c r="H8" s="373" t="s">
        <v>1204</v>
      </c>
      <c r="I8" s="373" t="s">
        <v>1207</v>
      </c>
      <c r="J8" s="373" t="s">
        <v>1209</v>
      </c>
      <c r="K8" s="373" t="s">
        <v>1211</v>
      </c>
      <c r="L8" s="373" t="s">
        <v>1217</v>
      </c>
      <c r="M8" s="373" t="s">
        <v>1227</v>
      </c>
      <c r="N8" s="373" t="s">
        <v>1229</v>
      </c>
      <c r="O8" s="373" t="s">
        <v>1231</v>
      </c>
      <c r="P8" s="373" t="s">
        <v>1238</v>
      </c>
      <c r="Q8" s="373" t="s">
        <v>1209</v>
      </c>
      <c r="R8" s="373" t="s">
        <v>1241</v>
      </c>
      <c r="S8" s="373" t="s">
        <v>1243</v>
      </c>
      <c r="T8" s="373" t="s">
        <v>1244</v>
      </c>
      <c r="U8" s="373" t="s">
        <v>1249</v>
      </c>
      <c r="V8" s="373" t="s">
        <v>1249</v>
      </c>
      <c r="W8" s="373" t="s">
        <v>1209</v>
      </c>
      <c r="X8" s="373" t="s">
        <v>1252</v>
      </c>
      <c r="Y8" s="373" t="s">
        <v>1253</v>
      </c>
      <c r="Z8" s="373" t="s">
        <v>1256</v>
      </c>
      <c r="AA8" s="373" t="s">
        <v>1253</v>
      </c>
      <c r="AB8" s="373" t="s">
        <v>1257</v>
      </c>
      <c r="AC8" s="373" t="s">
        <v>1243</v>
      </c>
      <c r="AD8" s="373" t="s">
        <v>1264</v>
      </c>
      <c r="AE8" s="373" t="s">
        <v>1256</v>
      </c>
      <c r="AF8" s="373" t="s">
        <v>1572</v>
      </c>
      <c r="AG8" s="373" t="s">
        <v>1253</v>
      </c>
      <c r="AH8" s="373" t="s">
        <v>1272</v>
      </c>
      <c r="AI8" s="373" t="s">
        <v>1276</v>
      </c>
      <c r="AJ8" s="373" t="s">
        <v>1253</v>
      </c>
      <c r="AK8" s="373" t="s">
        <v>1278</v>
      </c>
      <c r="AL8" s="373" t="s">
        <v>1284</v>
      </c>
      <c r="AM8" s="373" t="s">
        <v>1253</v>
      </c>
      <c r="AN8" s="373" t="s">
        <v>1243</v>
      </c>
      <c r="AO8" s="373" t="s">
        <v>1293</v>
      </c>
      <c r="AP8" s="373" t="s">
        <v>1253</v>
      </c>
      <c r="AQ8" s="373" t="s">
        <v>1305</v>
      </c>
      <c r="AR8" s="373" t="s">
        <v>1256</v>
      </c>
      <c r="AS8" s="373" t="s">
        <v>1243</v>
      </c>
      <c r="AT8" s="373" t="s">
        <v>1256</v>
      </c>
      <c r="AU8" s="373" t="s">
        <v>1243</v>
      </c>
      <c r="AV8" s="373" t="s">
        <v>1308</v>
      </c>
      <c r="AW8" s="373" t="s">
        <v>1309</v>
      </c>
      <c r="AX8" s="373" t="s">
        <v>1309</v>
      </c>
      <c r="AY8" s="373" t="s">
        <v>1309</v>
      </c>
      <c r="AZ8" s="373" t="s">
        <v>1575</v>
      </c>
      <c r="BA8" s="373" t="s">
        <v>1575</v>
      </c>
      <c r="BB8" s="373" t="s">
        <v>1276</v>
      </c>
      <c r="BC8" s="373" t="s">
        <v>1257</v>
      </c>
      <c r="BD8" s="373" t="s">
        <v>1587</v>
      </c>
      <c r="BE8" s="373" t="s">
        <v>1589</v>
      </c>
      <c r="BF8" s="373" t="s">
        <v>1593</v>
      </c>
      <c r="BG8" s="373" t="s">
        <v>1589</v>
      </c>
      <c r="BH8" s="373" t="s">
        <v>1593</v>
      </c>
      <c r="BI8" s="373" t="s">
        <v>1596</v>
      </c>
      <c r="BJ8" s="373" t="s">
        <v>1596</v>
      </c>
      <c r="BK8" s="373" t="s">
        <v>1276</v>
      </c>
      <c r="BL8" s="373" t="s">
        <v>1593</v>
      </c>
      <c r="BM8" s="373" t="s">
        <v>1593</v>
      </c>
      <c r="BN8" s="373" t="s">
        <v>1253</v>
      </c>
      <c r="BO8" s="373" t="s">
        <v>1253</v>
      </c>
      <c r="BP8" s="373" t="s">
        <v>1272</v>
      </c>
      <c r="BQ8" s="373" t="s">
        <v>1243</v>
      </c>
      <c r="BR8" s="373" t="s">
        <v>1317</v>
      </c>
      <c r="BS8" s="373" t="s">
        <v>1317</v>
      </c>
      <c r="BT8" s="373" t="s">
        <v>1253</v>
      </c>
      <c r="BU8" s="373" t="s">
        <v>1309</v>
      </c>
      <c r="BV8" s="373" t="s">
        <v>1620</v>
      </c>
      <c r="BW8" s="373" t="s">
        <v>1243</v>
      </c>
      <c r="BX8" s="373" t="s">
        <v>1209</v>
      </c>
      <c r="BY8" s="373" t="s">
        <v>318</v>
      </c>
      <c r="BZ8" s="373" t="s">
        <v>1243</v>
      </c>
      <c r="CA8" s="373" t="s">
        <v>1253</v>
      </c>
      <c r="CB8" s="373"/>
      <c r="CC8" s="373"/>
      <c r="CD8" s="373"/>
      <c r="CE8" s="373"/>
      <c r="CF8" s="373"/>
      <c r="CG8" s="373" t="s">
        <v>1243</v>
      </c>
      <c r="CH8" s="373" t="s">
        <v>1620</v>
      </c>
      <c r="CI8" s="373"/>
      <c r="CJ8" s="373"/>
      <c r="CK8" s="373"/>
      <c r="CL8" s="373"/>
      <c r="CM8" s="373"/>
      <c r="CN8" s="373"/>
      <c r="CO8" s="373"/>
      <c r="CP8" s="373"/>
      <c r="CQ8" s="373"/>
      <c r="CR8" s="373"/>
      <c r="CS8" s="373"/>
      <c r="CT8" s="373"/>
      <c r="CU8" s="373"/>
      <c r="CV8" s="373"/>
      <c r="CW8" s="373"/>
      <c r="CX8" s="373"/>
      <c r="CY8" s="373"/>
      <c r="CZ8" s="373"/>
      <c r="DA8" s="373" t="s">
        <v>1699</v>
      </c>
      <c r="DB8" s="373" t="s">
        <v>1700</v>
      </c>
      <c r="DC8" s="373" t="s">
        <v>1702</v>
      </c>
      <c r="DD8" s="373" t="s">
        <v>1704</v>
      </c>
      <c r="DE8" s="373" t="s">
        <v>1253</v>
      </c>
      <c r="DF8" s="373"/>
      <c r="DG8" s="373"/>
      <c r="DH8" s="373"/>
      <c r="DI8" s="373"/>
      <c r="DJ8" s="373"/>
      <c r="DK8" s="373"/>
      <c r="DL8" s="373"/>
      <c r="DM8" s="373"/>
      <c r="DN8" s="373"/>
      <c r="DO8" s="373"/>
      <c r="DP8" s="373"/>
      <c r="DQ8" s="373"/>
      <c r="DR8" s="373"/>
      <c r="DS8" s="373"/>
      <c r="DT8" s="373"/>
      <c r="DU8" s="373"/>
      <c r="DV8" s="373"/>
      <c r="DW8" s="373" t="s">
        <v>1243</v>
      </c>
      <c r="DX8" s="373"/>
      <c r="DY8" s="373" t="s">
        <v>1620</v>
      </c>
      <c r="DZ8" s="373"/>
      <c r="EA8" s="373" t="s">
        <v>1721</v>
      </c>
      <c r="EB8" s="373" t="s">
        <v>318</v>
      </c>
      <c r="EC8" s="373" t="s">
        <v>318</v>
      </c>
      <c r="ED8" s="373" t="s">
        <v>1243</v>
      </c>
      <c r="EE8" s="373" t="s">
        <v>1730</v>
      </c>
      <c r="EF8" s="373" t="s">
        <v>1738</v>
      </c>
      <c r="EG8" s="373" t="s">
        <v>1743</v>
      </c>
      <c r="EH8" s="373" t="s">
        <v>1257</v>
      </c>
      <c r="EI8" s="373" t="s">
        <v>1272</v>
      </c>
      <c r="EJ8" s="373" t="s">
        <v>1756</v>
      </c>
      <c r="EK8" s="373" t="s">
        <v>1243</v>
      </c>
      <c r="EL8" s="373" t="s">
        <v>1756</v>
      </c>
      <c r="EM8" s="373" t="s">
        <v>1243</v>
      </c>
      <c r="EN8" s="373" t="s">
        <v>1765</v>
      </c>
      <c r="EO8" s="373" t="s">
        <v>1593</v>
      </c>
      <c r="EP8" s="373" t="s">
        <v>1289</v>
      </c>
      <c r="EQ8" s="373" t="s">
        <v>1272</v>
      </c>
      <c r="ER8" s="373" t="s">
        <v>1276</v>
      </c>
      <c r="ES8" s="373" t="s">
        <v>1620</v>
      </c>
      <c r="ET8" s="373" t="s">
        <v>1276</v>
      </c>
      <c r="EU8" s="373" t="s">
        <v>642</v>
      </c>
      <c r="EV8" s="373" t="s">
        <v>1777</v>
      </c>
      <c r="EW8" s="373" t="s">
        <v>1272</v>
      </c>
      <c r="EX8" s="373" t="s">
        <v>1780</v>
      </c>
      <c r="EY8" s="373" t="s">
        <v>1781</v>
      </c>
      <c r="EZ8" s="373" t="s">
        <v>1783</v>
      </c>
      <c r="FA8" s="373" t="s">
        <v>1784</v>
      </c>
      <c r="FB8" s="373" t="s">
        <v>1786</v>
      </c>
      <c r="FC8" s="373" t="s">
        <v>1790</v>
      </c>
      <c r="FD8" s="373" t="s">
        <v>1256</v>
      </c>
      <c r="FE8" s="373" t="s">
        <v>1256</v>
      </c>
      <c r="FF8" s="373"/>
      <c r="FG8" s="373"/>
      <c r="FH8" s="373"/>
      <c r="FI8" s="373"/>
      <c r="FJ8" s="373"/>
      <c r="FK8" s="373"/>
      <c r="FL8" s="373"/>
      <c r="FM8" s="373"/>
      <c r="FN8" s="373"/>
      <c r="FO8" s="373"/>
      <c r="FP8" s="373"/>
      <c r="FQ8" s="373"/>
      <c r="FR8" s="373"/>
      <c r="FS8" s="373"/>
      <c r="FT8" s="373"/>
      <c r="FU8" s="373"/>
      <c r="FV8" s="373"/>
      <c r="FW8" s="373"/>
      <c r="FX8" s="373"/>
      <c r="FY8" s="373" t="s">
        <v>1795</v>
      </c>
      <c r="FZ8" s="373"/>
      <c r="GA8" s="373" t="s">
        <v>1796</v>
      </c>
      <c r="GB8" s="373"/>
      <c r="GC8" s="373" t="s">
        <v>1799</v>
      </c>
      <c r="GD8" s="373" t="s">
        <v>1802</v>
      </c>
      <c r="GE8" s="373"/>
      <c r="GF8" s="373"/>
      <c r="GG8" s="373"/>
      <c r="GH8" s="373"/>
      <c r="GI8" s="373"/>
      <c r="GJ8" s="373" t="s">
        <v>1806</v>
      </c>
      <c r="GK8" s="373" t="s">
        <v>1721</v>
      </c>
      <c r="GL8" s="373"/>
      <c r="GM8" s="373"/>
      <c r="GN8" s="373"/>
      <c r="GO8" s="373"/>
      <c r="GP8" s="373"/>
      <c r="GQ8" s="373"/>
      <c r="GR8" s="373"/>
      <c r="GS8" s="373"/>
      <c r="GT8" s="373"/>
      <c r="GU8" s="373"/>
      <c r="GV8" s="373"/>
      <c r="GW8" s="373"/>
      <c r="GX8" s="373"/>
      <c r="GY8" s="373"/>
      <c r="GZ8" s="373"/>
      <c r="HA8" s="373"/>
      <c r="HB8" s="373"/>
      <c r="HC8" s="373"/>
      <c r="HD8" s="373"/>
      <c r="HE8" s="373"/>
      <c r="HF8" s="373"/>
      <c r="HG8" s="373"/>
      <c r="HH8" s="373" t="s">
        <v>1243</v>
      </c>
      <c r="HI8" s="373"/>
      <c r="HJ8" s="373"/>
      <c r="HK8" s="373"/>
      <c r="HL8" s="373"/>
      <c r="HM8" s="373"/>
      <c r="HN8" s="373"/>
      <c r="HO8" s="373"/>
      <c r="HP8" s="373"/>
      <c r="HQ8" s="373"/>
      <c r="HR8" s="373"/>
      <c r="HS8" s="373"/>
      <c r="HT8" s="373" t="s">
        <v>1256</v>
      </c>
      <c r="HU8" s="373"/>
      <c r="HV8" s="373"/>
      <c r="HW8" s="373"/>
      <c r="HX8" s="373"/>
      <c r="HY8" s="373"/>
      <c r="HZ8" s="373"/>
      <c r="IA8" s="373"/>
      <c r="IB8" s="373"/>
      <c r="IC8" s="373"/>
      <c r="ID8" s="373"/>
      <c r="IE8" s="373"/>
      <c r="IF8" s="373"/>
      <c r="IG8" s="373" t="s">
        <v>1211</v>
      </c>
      <c r="IH8" s="373"/>
      <c r="II8" s="373" t="s">
        <v>1809</v>
      </c>
      <c r="IJ8" s="373"/>
      <c r="IK8" s="373" t="s">
        <v>1256</v>
      </c>
      <c r="IL8" s="373"/>
      <c r="IM8" s="373"/>
      <c r="IN8" s="373"/>
      <c r="IO8" s="373"/>
      <c r="IP8" s="373"/>
      <c r="IQ8" s="373" t="s">
        <v>1243</v>
      </c>
      <c r="IR8" s="373" t="s">
        <v>1812</v>
      </c>
      <c r="IS8" s="373" t="s">
        <v>1814</v>
      </c>
      <c r="IT8" s="373" t="s">
        <v>1289</v>
      </c>
      <c r="IU8" s="373" t="s">
        <v>1819</v>
      </c>
      <c r="IV8" s="373" t="s">
        <v>1309</v>
      </c>
      <c r="IW8" s="373" t="s">
        <v>1652</v>
      </c>
      <c r="IX8" s="373"/>
      <c r="IY8" s="373"/>
      <c r="IZ8" s="373"/>
      <c r="JA8" s="373"/>
      <c r="JB8" s="373"/>
      <c r="JC8" s="373"/>
      <c r="JD8" s="373"/>
      <c r="JE8" s="373"/>
      <c r="JF8" s="373"/>
      <c r="JG8" s="373"/>
      <c r="JH8" s="373"/>
      <c r="JI8" s="373"/>
      <c r="JJ8" s="373"/>
      <c r="JK8" s="373"/>
      <c r="JL8" s="373"/>
      <c r="JM8" s="373"/>
      <c r="JN8" s="373"/>
      <c r="JO8" s="373"/>
      <c r="JP8" s="373"/>
      <c r="JQ8" s="373"/>
      <c r="JR8" s="373"/>
      <c r="JS8" s="373"/>
      <c r="JT8" s="373"/>
      <c r="JU8" s="373"/>
      <c r="JV8" s="373"/>
      <c r="JW8" s="373"/>
      <c r="JX8" s="373"/>
      <c r="JY8" s="373"/>
      <c r="JZ8" s="373"/>
      <c r="KA8" s="373"/>
      <c r="KB8" s="373"/>
      <c r="KC8" s="373"/>
      <c r="KD8" s="373"/>
      <c r="KE8" s="373"/>
      <c r="KF8" s="373"/>
      <c r="KG8" s="373"/>
      <c r="KH8" s="373"/>
      <c r="KI8" s="373"/>
      <c r="KJ8" s="373"/>
      <c r="KK8" s="373"/>
      <c r="KL8" s="373"/>
      <c r="KM8" s="373"/>
      <c r="KN8" s="373" t="s">
        <v>1243</v>
      </c>
      <c r="KO8" s="373" t="s">
        <v>1243</v>
      </c>
      <c r="KP8" s="373"/>
      <c r="KQ8" s="373"/>
      <c r="KR8" s="373" t="s">
        <v>1308</v>
      </c>
      <c r="KS8" s="373"/>
      <c r="KT8" s="373"/>
      <c r="KU8" s="373"/>
      <c r="KV8" s="373"/>
      <c r="KW8" s="373"/>
      <c r="KX8" s="373" t="s">
        <v>1257</v>
      </c>
      <c r="KY8" s="373"/>
      <c r="KZ8" s="373"/>
      <c r="LA8" s="373" t="s">
        <v>1256</v>
      </c>
      <c r="LB8" s="373"/>
      <c r="LC8" s="373" t="s">
        <v>1309</v>
      </c>
      <c r="LD8" s="373"/>
      <c r="LE8" s="373"/>
      <c r="LF8" s="373"/>
      <c r="LG8" s="373"/>
      <c r="LH8" s="373"/>
      <c r="LI8" s="373"/>
      <c r="LJ8" s="373"/>
      <c r="LK8" s="373"/>
      <c r="LL8" s="373"/>
      <c r="LM8" s="373"/>
      <c r="LN8" s="373"/>
      <c r="LO8" s="373"/>
      <c r="LP8" s="373"/>
      <c r="LQ8" s="373" t="s">
        <v>1288</v>
      </c>
      <c r="LR8" s="373"/>
      <c r="LS8" s="373"/>
      <c r="LT8" s="373"/>
      <c r="LU8" s="373"/>
      <c r="LV8" s="373"/>
      <c r="LW8" s="373"/>
      <c r="LX8" s="373"/>
      <c r="LY8" s="373"/>
      <c r="LZ8" s="373"/>
      <c r="MA8" s="373" t="s">
        <v>1256</v>
      </c>
      <c r="MB8" s="373"/>
      <c r="MC8" s="373"/>
      <c r="MD8" s="373"/>
      <c r="ME8" s="373"/>
      <c r="MF8" s="373"/>
      <c r="MG8" s="373"/>
      <c r="MH8" s="373"/>
      <c r="MI8" s="373"/>
      <c r="MJ8" s="373"/>
      <c r="MK8" s="373"/>
      <c r="ML8" s="373" t="s">
        <v>1243</v>
      </c>
      <c r="MM8" s="373"/>
      <c r="MN8" s="373"/>
      <c r="MO8" s="373"/>
      <c r="MP8" s="373"/>
      <c r="MQ8" s="373"/>
      <c r="MR8" s="373" t="s">
        <v>1826</v>
      </c>
      <c r="MS8" s="373"/>
      <c r="MT8" s="373" t="s">
        <v>1253</v>
      </c>
      <c r="MU8" s="373" t="s">
        <v>1243</v>
      </c>
      <c r="MV8" s="373" t="s">
        <v>1276</v>
      </c>
      <c r="MW8" s="373" t="s">
        <v>1256</v>
      </c>
      <c r="MX8" s="373" t="s">
        <v>1256</v>
      </c>
      <c r="MY8" s="373"/>
      <c r="MZ8" s="373"/>
      <c r="NA8" s="373" t="s">
        <v>1656</v>
      </c>
      <c r="NB8" s="373"/>
      <c r="NC8" s="373"/>
      <c r="ND8" s="373"/>
      <c r="NE8" s="373"/>
      <c r="NF8" s="373"/>
      <c r="NG8" s="373" t="s">
        <v>1243</v>
      </c>
      <c r="NH8" s="373"/>
      <c r="NI8" s="373" t="s">
        <v>1806</v>
      </c>
      <c r="NJ8" s="373" t="s">
        <v>1838</v>
      </c>
      <c r="NK8" s="373"/>
      <c r="NL8" s="373" t="s">
        <v>1231</v>
      </c>
      <c r="NM8" s="373"/>
      <c r="NN8" s="373" t="s">
        <v>1253</v>
      </c>
      <c r="NO8" s="373" t="s">
        <v>1256</v>
      </c>
      <c r="NP8" s="373" t="s">
        <v>1253</v>
      </c>
      <c r="NQ8" s="373"/>
      <c r="NR8" s="373"/>
      <c r="NS8" s="373"/>
      <c r="NT8" s="373"/>
      <c r="NU8" s="373"/>
      <c r="NV8" s="373" t="s">
        <v>1844</v>
      </c>
      <c r="NW8" s="373"/>
      <c r="NX8" s="373" t="s">
        <v>1846</v>
      </c>
      <c r="NY8" s="373"/>
      <c r="NZ8" s="373"/>
      <c r="OA8" s="373"/>
      <c r="OB8" s="373"/>
      <c r="OC8" s="373"/>
      <c r="OD8" s="373"/>
      <c r="OE8" s="373"/>
      <c r="OF8" s="373" t="s">
        <v>1256</v>
      </c>
      <c r="OG8" s="373"/>
    </row>
    <row r="9" spans="1:397">
      <c r="B9" s="381" t="s">
        <v>295</v>
      </c>
      <c r="C9" s="373"/>
      <c r="D9" s="373"/>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3"/>
      <c r="BA9" s="373"/>
      <c r="BB9" s="373"/>
      <c r="BC9" s="373"/>
      <c r="BD9" s="373"/>
      <c r="BE9" s="373"/>
      <c r="BF9" s="373"/>
      <c r="BG9" s="373"/>
      <c r="BH9" s="373"/>
      <c r="BI9" s="373"/>
      <c r="BJ9" s="373"/>
      <c r="BK9" s="373"/>
      <c r="BL9" s="373"/>
      <c r="BM9" s="373"/>
      <c r="BN9" s="373"/>
      <c r="BO9" s="373"/>
      <c r="BP9" s="373"/>
      <c r="BQ9" s="373"/>
      <c r="BR9" s="373"/>
      <c r="BS9" s="373"/>
      <c r="BT9" s="373"/>
      <c r="BU9" s="373"/>
      <c r="BV9" s="373"/>
      <c r="BW9" s="373"/>
      <c r="BX9" s="373"/>
      <c r="BY9" s="373"/>
      <c r="BZ9" s="373"/>
      <c r="CA9" s="373"/>
      <c r="CB9" s="373"/>
      <c r="CC9" s="373"/>
      <c r="CD9" s="373"/>
      <c r="CE9" s="373"/>
      <c r="CF9" s="373"/>
      <c r="CG9" s="373"/>
      <c r="CH9" s="373"/>
      <c r="CI9" s="373"/>
      <c r="CJ9" s="373"/>
      <c r="CK9" s="373"/>
      <c r="CL9" s="373"/>
      <c r="CM9" s="373"/>
      <c r="CN9" s="373"/>
      <c r="CO9" s="373"/>
      <c r="CP9" s="373"/>
      <c r="CQ9" s="373"/>
      <c r="CR9" s="373"/>
      <c r="CS9" s="373"/>
      <c r="CT9" s="373"/>
      <c r="CU9" s="373"/>
      <c r="CV9" s="373"/>
      <c r="CW9" s="373"/>
      <c r="CX9" s="373"/>
      <c r="CY9" s="373"/>
      <c r="CZ9" s="373"/>
      <c r="DA9" s="373"/>
      <c r="DB9" s="373"/>
      <c r="DC9" s="373"/>
      <c r="DD9" s="373"/>
      <c r="DE9" s="373"/>
      <c r="DF9" s="373"/>
      <c r="DG9" s="373"/>
      <c r="DH9" s="373"/>
      <c r="DI9" s="373"/>
      <c r="DJ9" s="373"/>
      <c r="DK9" s="373"/>
      <c r="DL9" s="373"/>
      <c r="DM9" s="373"/>
      <c r="DN9" s="373"/>
      <c r="DO9" s="373"/>
      <c r="DP9" s="373"/>
      <c r="DQ9" s="373"/>
      <c r="DR9" s="373"/>
      <c r="DS9" s="373"/>
      <c r="DT9" s="373"/>
      <c r="DU9" s="373"/>
      <c r="DV9" s="373"/>
      <c r="DW9" s="373"/>
      <c r="DX9" s="373"/>
      <c r="DY9" s="373"/>
      <c r="DZ9" s="373"/>
      <c r="EA9" s="373"/>
      <c r="EB9" s="373"/>
      <c r="EC9" s="373"/>
      <c r="ED9" s="373"/>
      <c r="EE9" s="373"/>
      <c r="EF9" s="373"/>
      <c r="EG9" s="373"/>
      <c r="EH9" s="373"/>
      <c r="EI9" s="373"/>
      <c r="EJ9" s="373"/>
      <c r="EK9" s="373"/>
      <c r="EL9" s="373"/>
      <c r="EM9" s="373"/>
      <c r="EN9" s="373"/>
      <c r="EO9" s="373"/>
      <c r="EP9" s="373"/>
      <c r="EQ9" s="373"/>
      <c r="ER9" s="373"/>
      <c r="ES9" s="373"/>
      <c r="ET9" s="373"/>
      <c r="EU9" s="373"/>
      <c r="EV9" s="373"/>
      <c r="EW9" s="373"/>
      <c r="EX9" s="373"/>
      <c r="EY9" s="373"/>
      <c r="EZ9" s="373"/>
      <c r="FA9" s="373"/>
      <c r="FB9" s="373"/>
      <c r="FC9" s="373"/>
      <c r="FD9" s="373"/>
      <c r="FE9" s="373"/>
      <c r="FF9" s="373"/>
      <c r="FG9" s="373"/>
      <c r="FH9" s="373"/>
      <c r="FI9" s="373"/>
      <c r="FJ9" s="373"/>
      <c r="FK9" s="373"/>
      <c r="FL9" s="373"/>
      <c r="FM9" s="373"/>
      <c r="FN9" s="373"/>
      <c r="FO9" s="373"/>
      <c r="FP9" s="373"/>
      <c r="FQ9" s="373"/>
      <c r="FR9" s="373"/>
      <c r="FS9" s="373"/>
      <c r="FT9" s="373"/>
      <c r="FU9" s="373"/>
      <c r="FV9" s="373"/>
      <c r="FW9" s="373"/>
      <c r="FX9" s="373"/>
      <c r="FY9" s="373"/>
      <c r="FZ9" s="373"/>
      <c r="GA9" s="373"/>
      <c r="GB9" s="373"/>
      <c r="GC9" s="373"/>
      <c r="GD9" s="373"/>
      <c r="GE9" s="373"/>
      <c r="GF9" s="373"/>
      <c r="GG9" s="373"/>
      <c r="GH9" s="373"/>
      <c r="GI9" s="373"/>
      <c r="GJ9" s="373"/>
      <c r="GK9" s="373"/>
      <c r="GL9" s="373"/>
      <c r="GM9" s="373"/>
      <c r="GN9" s="373"/>
      <c r="GO9" s="373"/>
      <c r="GP9" s="373"/>
      <c r="GQ9" s="373"/>
      <c r="GR9" s="373"/>
      <c r="GS9" s="373"/>
      <c r="GT9" s="373"/>
      <c r="GU9" s="373"/>
      <c r="GV9" s="373"/>
      <c r="GW9" s="373"/>
      <c r="GX9" s="373"/>
      <c r="GY9" s="373"/>
      <c r="GZ9" s="373"/>
      <c r="HA9" s="373"/>
      <c r="HB9" s="373"/>
      <c r="HC9" s="373"/>
      <c r="HD9" s="373"/>
      <c r="HE9" s="373"/>
      <c r="HF9" s="373"/>
      <c r="HG9" s="373"/>
      <c r="HH9" s="373"/>
      <c r="HI9" s="373"/>
      <c r="HJ9" s="373"/>
      <c r="HK9" s="373"/>
      <c r="HL9" s="373"/>
      <c r="HM9" s="373"/>
      <c r="HN9" s="373"/>
      <c r="HO9" s="373"/>
      <c r="HP9" s="373"/>
      <c r="HQ9" s="373"/>
      <c r="HR9" s="373"/>
      <c r="HS9" s="373"/>
      <c r="HT9" s="373"/>
      <c r="HU9" s="373"/>
      <c r="HV9" s="373"/>
      <c r="HW9" s="373"/>
      <c r="HX9" s="373"/>
      <c r="HY9" s="373"/>
      <c r="HZ9" s="373"/>
      <c r="IA9" s="373"/>
      <c r="IB9" s="373"/>
      <c r="IC9" s="373"/>
      <c r="ID9" s="373"/>
      <c r="IE9" s="373"/>
      <c r="IF9" s="373"/>
      <c r="IG9" s="373"/>
      <c r="IH9" s="373"/>
      <c r="II9" s="373"/>
      <c r="IJ9" s="373"/>
      <c r="IK9" s="373"/>
      <c r="IL9" s="373"/>
      <c r="IM9" s="373"/>
      <c r="IN9" s="373"/>
      <c r="IO9" s="373"/>
      <c r="IP9" s="373"/>
      <c r="IQ9" s="373"/>
      <c r="IR9" s="373"/>
      <c r="IS9" s="373"/>
      <c r="IT9" s="373"/>
      <c r="IU9" s="373"/>
      <c r="IV9" s="373"/>
      <c r="IW9" s="373"/>
      <c r="IX9" s="373"/>
      <c r="IY9" s="373"/>
      <c r="IZ9" s="373"/>
      <c r="JA9" s="373"/>
      <c r="JB9" s="373"/>
      <c r="JC9" s="373"/>
      <c r="JD9" s="373"/>
      <c r="JE9" s="373"/>
      <c r="JF9" s="373"/>
      <c r="JG9" s="373"/>
      <c r="JH9" s="373"/>
      <c r="JI9" s="373"/>
      <c r="JJ9" s="373"/>
      <c r="JK9" s="373"/>
      <c r="JL9" s="373"/>
      <c r="JM9" s="373"/>
      <c r="JN9" s="373"/>
      <c r="JO9" s="373"/>
      <c r="JP9" s="373"/>
      <c r="JQ9" s="373"/>
      <c r="JR9" s="373"/>
      <c r="JS9" s="373"/>
      <c r="JT9" s="373"/>
      <c r="JU9" s="373"/>
      <c r="JV9" s="373"/>
      <c r="JW9" s="373"/>
      <c r="JX9" s="373"/>
      <c r="JY9" s="373"/>
      <c r="JZ9" s="373"/>
      <c r="KA9" s="373"/>
      <c r="KB9" s="373"/>
      <c r="KC9" s="373"/>
      <c r="KD9" s="373"/>
      <c r="KE9" s="373"/>
      <c r="KF9" s="373"/>
      <c r="KG9" s="373"/>
      <c r="KH9" s="373"/>
      <c r="KI9" s="373"/>
      <c r="KJ9" s="373"/>
      <c r="KK9" s="373"/>
      <c r="KL9" s="373"/>
      <c r="KM9" s="373"/>
      <c r="KN9" s="373"/>
      <c r="KO9" s="373"/>
      <c r="KP9" s="373"/>
      <c r="KQ9" s="373"/>
      <c r="KR9" s="373"/>
      <c r="KS9" s="373"/>
      <c r="KT9" s="373"/>
      <c r="KU9" s="373"/>
      <c r="KV9" s="373"/>
      <c r="KW9" s="373"/>
      <c r="KX9" s="373"/>
      <c r="KY9" s="373"/>
      <c r="KZ9" s="373"/>
      <c r="LA9" s="373"/>
      <c r="LB9" s="373"/>
      <c r="LC9" s="373"/>
      <c r="LD9" s="373"/>
      <c r="LE9" s="373"/>
      <c r="LF9" s="373"/>
      <c r="LG9" s="373"/>
      <c r="LH9" s="373"/>
      <c r="LI9" s="373"/>
      <c r="LJ9" s="373"/>
      <c r="LK9" s="373"/>
      <c r="LL9" s="373"/>
      <c r="LM9" s="373"/>
      <c r="LN9" s="373"/>
      <c r="LO9" s="373"/>
      <c r="LP9" s="373"/>
      <c r="LQ9" s="373"/>
      <c r="LR9" s="373"/>
      <c r="LS9" s="373"/>
      <c r="LT9" s="373"/>
      <c r="LU9" s="373"/>
      <c r="LV9" s="373"/>
      <c r="LW9" s="373"/>
      <c r="LX9" s="373"/>
      <c r="LY9" s="373"/>
      <c r="LZ9" s="373"/>
      <c r="MA9" s="373"/>
      <c r="MB9" s="373"/>
      <c r="MC9" s="373"/>
      <c r="MD9" s="373"/>
      <c r="ME9" s="373"/>
      <c r="MF9" s="373"/>
      <c r="MG9" s="373"/>
      <c r="MH9" s="373"/>
      <c r="MI9" s="373"/>
      <c r="MJ9" s="373"/>
      <c r="MK9" s="373"/>
      <c r="ML9" s="373"/>
      <c r="MM9" s="373"/>
      <c r="MN9" s="373"/>
      <c r="MO9" s="373"/>
      <c r="MP9" s="373"/>
      <c r="MQ9" s="373"/>
      <c r="MR9" s="373"/>
      <c r="MS9" s="373"/>
      <c r="MT9" s="373"/>
      <c r="MU9" s="373"/>
      <c r="MV9" s="373"/>
      <c r="MW9" s="373"/>
      <c r="MX9" s="373"/>
      <c r="MY9" s="373"/>
      <c r="MZ9" s="373"/>
      <c r="NA9" s="373"/>
      <c r="NB9" s="373"/>
      <c r="NC9" s="373"/>
      <c r="ND9" s="373"/>
      <c r="NE9" s="373"/>
      <c r="NF9" s="373"/>
      <c r="NG9" s="373"/>
      <c r="NH9" s="373"/>
      <c r="NI9" s="373"/>
      <c r="NJ9" s="373"/>
      <c r="NK9" s="373"/>
      <c r="NL9" s="373"/>
      <c r="NM9" s="373"/>
      <c r="NN9" s="373"/>
      <c r="NO9" s="373"/>
      <c r="NP9" s="373"/>
      <c r="NQ9" s="373"/>
      <c r="NR9" s="373"/>
      <c r="NS9" s="373"/>
      <c r="NT9" s="373"/>
      <c r="NU9" s="373"/>
      <c r="NV9" s="373"/>
      <c r="NW9" s="373"/>
      <c r="NX9" s="373"/>
      <c r="NY9" s="373"/>
      <c r="NZ9" s="373"/>
      <c r="OA9" s="373"/>
      <c r="OB9" s="373"/>
      <c r="OC9" s="373"/>
      <c r="OD9" s="373"/>
      <c r="OE9" s="373"/>
      <c r="OF9" s="373"/>
      <c r="OG9" s="373"/>
    </row>
    <row r="10" spans="1:397">
      <c r="B10" s="384" t="s">
        <v>316</v>
      </c>
      <c r="C10" s="373"/>
      <c r="D10" s="373"/>
      <c r="E10" s="373"/>
      <c r="F10" s="373"/>
      <c r="G10" s="373"/>
      <c r="H10" s="373"/>
      <c r="I10" s="373"/>
      <c r="J10" s="373"/>
      <c r="K10" s="373"/>
      <c r="L10" s="373"/>
      <c r="M10" s="373"/>
      <c r="N10" s="373"/>
      <c r="O10" s="373"/>
      <c r="P10" s="373"/>
      <c r="Q10" s="373"/>
      <c r="R10" s="373"/>
      <c r="S10" s="373"/>
      <c r="T10" s="373"/>
      <c r="U10" s="373"/>
      <c r="V10" s="373"/>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73"/>
      <c r="AT10" s="373"/>
      <c r="AU10" s="373"/>
      <c r="AV10" s="373"/>
      <c r="AW10" s="373"/>
      <c r="AX10" s="373"/>
      <c r="AY10" s="373"/>
      <c r="AZ10" s="373"/>
      <c r="BA10" s="373"/>
      <c r="BB10" s="373"/>
      <c r="BC10" s="373"/>
      <c r="BD10" s="373"/>
      <c r="BE10" s="373"/>
      <c r="BF10" s="373"/>
      <c r="BG10" s="373"/>
      <c r="BH10" s="373"/>
      <c r="BI10" s="373"/>
      <c r="BJ10" s="373"/>
      <c r="BK10" s="373"/>
      <c r="BL10" s="373"/>
      <c r="BM10" s="373"/>
      <c r="BN10" s="373"/>
      <c r="BO10" s="373"/>
      <c r="BP10" s="373"/>
      <c r="BQ10" s="373"/>
      <c r="BR10" s="373"/>
      <c r="BS10" s="373"/>
      <c r="BT10" s="373"/>
      <c r="BU10" s="373"/>
      <c r="BV10" s="373"/>
      <c r="BW10" s="373"/>
      <c r="BX10" s="373"/>
      <c r="BY10" s="373"/>
      <c r="BZ10" s="373"/>
      <c r="CA10" s="373"/>
      <c r="CB10" s="373"/>
      <c r="CC10" s="373"/>
      <c r="CD10" s="373"/>
      <c r="CE10" s="373"/>
      <c r="CF10" s="373"/>
      <c r="CG10" s="373"/>
      <c r="CH10" s="373"/>
      <c r="CI10" s="373"/>
      <c r="CJ10" s="373"/>
      <c r="CK10" s="373"/>
      <c r="CL10" s="373"/>
      <c r="CM10" s="373"/>
      <c r="CN10" s="373"/>
      <c r="CO10" s="373"/>
      <c r="CP10" s="373"/>
      <c r="CQ10" s="373"/>
      <c r="CR10" s="373"/>
      <c r="CS10" s="373"/>
      <c r="CT10" s="373"/>
      <c r="CU10" s="373"/>
      <c r="CV10" s="373"/>
      <c r="CW10" s="373"/>
      <c r="CX10" s="373"/>
      <c r="CY10" s="373"/>
      <c r="CZ10" s="373"/>
      <c r="DA10" s="373"/>
      <c r="DB10" s="373"/>
      <c r="DC10" s="373"/>
      <c r="DD10" s="373"/>
      <c r="DE10" s="373"/>
      <c r="DF10" s="373"/>
      <c r="DG10" s="373"/>
      <c r="DH10" s="373"/>
      <c r="DI10" s="373"/>
      <c r="DJ10" s="373"/>
      <c r="DK10" s="373"/>
      <c r="DL10" s="373"/>
      <c r="DM10" s="373"/>
      <c r="DN10" s="373"/>
      <c r="DO10" s="373"/>
      <c r="DP10" s="373"/>
      <c r="DQ10" s="373"/>
      <c r="DR10" s="373"/>
      <c r="DS10" s="373"/>
      <c r="DT10" s="373"/>
      <c r="DU10" s="373"/>
      <c r="DV10" s="373"/>
      <c r="DW10" s="373"/>
      <c r="DX10" s="373"/>
      <c r="DY10" s="373"/>
      <c r="DZ10" s="373"/>
      <c r="EA10" s="373"/>
      <c r="EB10" s="373"/>
      <c r="EC10" s="373"/>
      <c r="ED10" s="373"/>
      <c r="EE10" s="373"/>
      <c r="EF10" s="373"/>
      <c r="EG10" s="373"/>
      <c r="EH10" s="373"/>
      <c r="EI10" s="373"/>
      <c r="EJ10" s="373"/>
      <c r="EK10" s="373"/>
      <c r="EL10" s="373"/>
      <c r="EM10" s="373"/>
      <c r="EN10" s="373"/>
      <c r="EO10" s="373"/>
      <c r="EP10" s="373"/>
      <c r="EQ10" s="373"/>
      <c r="ER10" s="373"/>
      <c r="ES10" s="373"/>
      <c r="ET10" s="373"/>
      <c r="EU10" s="373"/>
      <c r="EV10" s="373"/>
      <c r="EW10" s="373"/>
      <c r="EX10" s="373"/>
      <c r="EY10" s="373"/>
      <c r="EZ10" s="373"/>
      <c r="FA10" s="373"/>
      <c r="FB10" s="373"/>
      <c r="FC10" s="373"/>
      <c r="FD10" s="373"/>
      <c r="FE10" s="373"/>
      <c r="FF10" s="373"/>
      <c r="FG10" s="373"/>
      <c r="FH10" s="373"/>
      <c r="FI10" s="373"/>
      <c r="FJ10" s="373"/>
      <c r="FK10" s="373"/>
      <c r="FL10" s="373"/>
      <c r="FM10" s="373"/>
      <c r="FN10" s="373"/>
      <c r="FO10" s="373"/>
      <c r="FP10" s="373"/>
      <c r="FQ10" s="373"/>
      <c r="FR10" s="373"/>
      <c r="FS10" s="373"/>
      <c r="FT10" s="373"/>
      <c r="FU10" s="373"/>
      <c r="FV10" s="373"/>
      <c r="FW10" s="373"/>
      <c r="FX10" s="373"/>
      <c r="FY10" s="373"/>
      <c r="FZ10" s="373"/>
      <c r="GA10" s="373"/>
      <c r="GB10" s="373"/>
      <c r="GC10" s="373"/>
      <c r="GD10" s="373"/>
      <c r="GE10" s="373"/>
      <c r="GF10" s="373"/>
      <c r="GG10" s="373"/>
      <c r="GH10" s="373"/>
      <c r="GI10" s="373"/>
      <c r="GJ10" s="373"/>
      <c r="GK10" s="373"/>
      <c r="GL10" s="373"/>
      <c r="GM10" s="373"/>
      <c r="GN10" s="373"/>
      <c r="GO10" s="373"/>
      <c r="GP10" s="373"/>
      <c r="GQ10" s="373"/>
      <c r="GR10" s="373"/>
      <c r="GS10" s="373"/>
      <c r="GT10" s="373"/>
      <c r="GU10" s="373"/>
      <c r="GV10" s="373"/>
      <c r="GW10" s="373"/>
      <c r="GX10" s="373"/>
      <c r="GY10" s="373"/>
      <c r="GZ10" s="373"/>
      <c r="HA10" s="373"/>
      <c r="HB10" s="373"/>
      <c r="HC10" s="373"/>
      <c r="HD10" s="373"/>
      <c r="HE10" s="373"/>
      <c r="HF10" s="373"/>
      <c r="HG10" s="373"/>
      <c r="HH10" s="373"/>
      <c r="HI10" s="373"/>
      <c r="HJ10" s="373"/>
      <c r="HK10" s="373"/>
      <c r="HL10" s="373"/>
      <c r="HM10" s="373"/>
      <c r="HN10" s="373"/>
      <c r="HO10" s="373"/>
      <c r="HP10" s="373"/>
      <c r="HQ10" s="373"/>
      <c r="HR10" s="373"/>
      <c r="HS10" s="373"/>
      <c r="HT10" s="373"/>
      <c r="HU10" s="373"/>
      <c r="HV10" s="373"/>
      <c r="HW10" s="373"/>
      <c r="HX10" s="373"/>
      <c r="HY10" s="373"/>
      <c r="HZ10" s="373"/>
      <c r="IA10" s="373"/>
      <c r="IB10" s="373"/>
      <c r="IC10" s="373"/>
      <c r="ID10" s="373"/>
      <c r="IE10" s="373"/>
      <c r="IF10" s="373"/>
      <c r="IG10" s="373"/>
      <c r="IH10" s="373"/>
      <c r="II10" s="373"/>
      <c r="IJ10" s="373"/>
      <c r="IK10" s="373"/>
      <c r="IL10" s="373"/>
      <c r="IM10" s="373"/>
      <c r="IN10" s="373"/>
      <c r="IO10" s="373"/>
      <c r="IP10" s="373"/>
      <c r="IQ10" s="373"/>
      <c r="IR10" s="373"/>
      <c r="IS10" s="373"/>
      <c r="IT10" s="373"/>
      <c r="IU10" s="373"/>
      <c r="IV10" s="373"/>
      <c r="IW10" s="373"/>
      <c r="IX10" s="373"/>
      <c r="IY10" s="373"/>
      <c r="IZ10" s="373"/>
      <c r="JA10" s="373"/>
      <c r="JB10" s="373"/>
      <c r="JC10" s="373"/>
      <c r="JD10" s="373"/>
      <c r="JE10" s="373"/>
      <c r="JF10" s="373"/>
      <c r="JG10" s="373"/>
      <c r="JH10" s="373"/>
      <c r="JI10" s="373"/>
      <c r="JJ10" s="373"/>
      <c r="JK10" s="373"/>
      <c r="JL10" s="373"/>
      <c r="JM10" s="373"/>
      <c r="JN10" s="373"/>
      <c r="JO10" s="373"/>
      <c r="JP10" s="373"/>
      <c r="JQ10" s="373"/>
      <c r="JR10" s="373"/>
      <c r="JS10" s="373"/>
      <c r="JT10" s="373"/>
      <c r="JU10" s="373"/>
      <c r="JV10" s="373"/>
      <c r="JW10" s="373"/>
      <c r="JX10" s="373"/>
      <c r="JY10" s="373"/>
      <c r="JZ10" s="373"/>
      <c r="KA10" s="373"/>
      <c r="KB10" s="373"/>
      <c r="KC10" s="373"/>
      <c r="KD10" s="373"/>
      <c r="KE10" s="373"/>
      <c r="KF10" s="373"/>
      <c r="KG10" s="373"/>
      <c r="KH10" s="373"/>
      <c r="KI10" s="373"/>
      <c r="KJ10" s="373"/>
      <c r="KK10" s="373"/>
      <c r="KL10" s="373"/>
      <c r="KM10" s="373"/>
      <c r="KN10" s="373"/>
      <c r="KO10" s="373"/>
      <c r="KP10" s="373"/>
      <c r="KQ10" s="373"/>
      <c r="KR10" s="373"/>
      <c r="KS10" s="373"/>
      <c r="KT10" s="373"/>
      <c r="KU10" s="373"/>
      <c r="KV10" s="373"/>
      <c r="KW10" s="373"/>
      <c r="KX10" s="373"/>
      <c r="KY10" s="373"/>
      <c r="KZ10" s="373"/>
      <c r="LA10" s="373"/>
      <c r="LB10" s="373"/>
      <c r="LC10" s="373"/>
      <c r="LD10" s="373"/>
      <c r="LE10" s="373"/>
      <c r="LF10" s="373"/>
      <c r="LG10" s="373"/>
      <c r="LH10" s="373"/>
      <c r="LI10" s="373"/>
      <c r="LJ10" s="373"/>
      <c r="LK10" s="373"/>
      <c r="LL10" s="373"/>
      <c r="LM10" s="373"/>
      <c r="LN10" s="373"/>
      <c r="LO10" s="373"/>
      <c r="LP10" s="373"/>
      <c r="LQ10" s="373"/>
      <c r="LR10" s="373"/>
      <c r="LS10" s="373"/>
      <c r="LT10" s="373"/>
      <c r="LU10" s="373"/>
      <c r="LV10" s="373"/>
      <c r="LW10" s="373"/>
      <c r="LX10" s="373"/>
      <c r="LY10" s="373"/>
      <c r="LZ10" s="373"/>
      <c r="MA10" s="373"/>
      <c r="MB10" s="373"/>
      <c r="MC10" s="373"/>
      <c r="MD10" s="373"/>
      <c r="ME10" s="373"/>
      <c r="MF10" s="373"/>
      <c r="MG10" s="373"/>
      <c r="MH10" s="373"/>
      <c r="MI10" s="373"/>
      <c r="MJ10" s="373"/>
      <c r="MK10" s="373"/>
      <c r="ML10" s="373"/>
      <c r="MM10" s="373"/>
      <c r="MN10" s="373"/>
      <c r="MO10" s="373"/>
      <c r="MP10" s="373"/>
      <c r="MQ10" s="373"/>
      <c r="MR10" s="373"/>
      <c r="MS10" s="373"/>
      <c r="MT10" s="373"/>
      <c r="MU10" s="373"/>
      <c r="MV10" s="373"/>
      <c r="MW10" s="373"/>
      <c r="MX10" s="373"/>
      <c r="MY10" s="373"/>
      <c r="MZ10" s="373"/>
      <c r="NA10" s="373"/>
      <c r="NB10" s="373"/>
      <c r="NC10" s="373"/>
      <c r="ND10" s="373"/>
      <c r="NE10" s="373"/>
      <c r="NF10" s="373"/>
      <c r="NG10" s="373"/>
      <c r="NH10" s="373"/>
      <c r="NI10" s="373"/>
      <c r="NJ10" s="373"/>
      <c r="NK10" s="373"/>
      <c r="NL10" s="373"/>
      <c r="NM10" s="373"/>
      <c r="NN10" s="373"/>
      <c r="NO10" s="373"/>
      <c r="NP10" s="373"/>
      <c r="NQ10" s="373"/>
      <c r="NR10" s="373"/>
      <c r="NS10" s="373"/>
      <c r="NT10" s="373"/>
      <c r="NU10" s="373"/>
      <c r="NV10" s="373"/>
      <c r="NW10" s="373"/>
      <c r="NX10" s="373"/>
      <c r="NY10" s="373"/>
      <c r="NZ10" s="373"/>
      <c r="OA10" s="373"/>
      <c r="OB10" s="373"/>
      <c r="OC10" s="373"/>
      <c r="OD10" s="373"/>
      <c r="OE10" s="373"/>
      <c r="OF10" s="373"/>
      <c r="OG10" s="373"/>
    </row>
    <row r="11" spans="1:397">
      <c r="B11" s="385" t="s">
        <v>296</v>
      </c>
      <c r="C11" s="373">
        <v>1</v>
      </c>
      <c r="D11" s="373">
        <v>74</v>
      </c>
      <c r="E11" s="373">
        <v>1</v>
      </c>
      <c r="F11" s="373">
        <v>9</v>
      </c>
      <c r="G11" s="373">
        <v>99</v>
      </c>
      <c r="H11" s="373">
        <v>7</v>
      </c>
      <c r="I11" s="373">
        <v>9</v>
      </c>
      <c r="J11" s="373">
        <v>24</v>
      </c>
      <c r="K11" s="373">
        <v>22</v>
      </c>
      <c r="L11" s="373">
        <v>6</v>
      </c>
      <c r="M11" s="373">
        <v>1</v>
      </c>
      <c r="N11" s="373">
        <v>1</v>
      </c>
      <c r="O11" s="373">
        <v>564</v>
      </c>
      <c r="P11" s="373">
        <v>39</v>
      </c>
      <c r="Q11" s="373">
        <v>62</v>
      </c>
      <c r="R11" s="373">
        <v>24</v>
      </c>
      <c r="S11" s="373">
        <v>568</v>
      </c>
      <c r="T11" s="373">
        <v>1</v>
      </c>
      <c r="U11" s="373">
        <v>1</v>
      </c>
      <c r="V11" s="373">
        <v>1</v>
      </c>
      <c r="W11" s="373">
        <v>569</v>
      </c>
      <c r="X11" s="373">
        <v>48</v>
      </c>
      <c r="Y11" s="373">
        <v>727</v>
      </c>
      <c r="Z11" s="373">
        <v>2251</v>
      </c>
      <c r="AA11" s="373">
        <v>8</v>
      </c>
      <c r="AB11" s="373">
        <v>8</v>
      </c>
      <c r="AC11" s="373">
        <v>92</v>
      </c>
      <c r="AD11" s="373">
        <v>53</v>
      </c>
      <c r="AE11" s="373">
        <v>79</v>
      </c>
      <c r="AF11" s="373">
        <v>15</v>
      </c>
      <c r="AG11" s="373">
        <v>15</v>
      </c>
      <c r="AH11" s="373">
        <v>1</v>
      </c>
      <c r="AI11" s="373">
        <v>1</v>
      </c>
      <c r="AJ11" s="373">
        <v>9</v>
      </c>
      <c r="AK11" s="373">
        <v>140</v>
      </c>
      <c r="AL11" s="373">
        <v>262</v>
      </c>
      <c r="AM11" s="373">
        <v>225</v>
      </c>
      <c r="AN11" s="373">
        <v>281</v>
      </c>
      <c r="AO11" s="373">
        <v>1</v>
      </c>
      <c r="AP11" s="373">
        <v>16</v>
      </c>
      <c r="AQ11" s="373">
        <v>1</v>
      </c>
      <c r="AR11" s="373">
        <v>1</v>
      </c>
      <c r="AS11" s="373">
        <v>281</v>
      </c>
      <c r="AT11" s="373">
        <v>240</v>
      </c>
      <c r="AU11" s="373">
        <v>479</v>
      </c>
      <c r="AV11" s="373">
        <v>469</v>
      </c>
      <c r="AW11" s="373">
        <v>912</v>
      </c>
      <c r="AX11" s="373">
        <v>319</v>
      </c>
      <c r="AY11" s="373">
        <v>759</v>
      </c>
      <c r="AZ11" s="373">
        <v>1</v>
      </c>
      <c r="BA11" s="373">
        <v>1</v>
      </c>
      <c r="BB11" s="373">
        <v>59</v>
      </c>
      <c r="BC11" s="373">
        <v>13</v>
      </c>
      <c r="BD11" s="373">
        <v>32</v>
      </c>
      <c r="BE11" s="373">
        <v>35</v>
      </c>
      <c r="BF11" s="373">
        <v>36</v>
      </c>
      <c r="BG11" s="373">
        <v>35</v>
      </c>
      <c r="BH11" s="373">
        <v>36</v>
      </c>
      <c r="BI11" s="373">
        <v>83</v>
      </c>
      <c r="BJ11" s="373">
        <v>83</v>
      </c>
      <c r="BK11" s="373">
        <v>1</v>
      </c>
      <c r="BL11" s="373">
        <v>90</v>
      </c>
      <c r="BM11" s="373">
        <v>90</v>
      </c>
      <c r="BN11" s="373">
        <v>22</v>
      </c>
      <c r="BO11" s="373">
        <v>26</v>
      </c>
      <c r="BP11" s="373">
        <v>1</v>
      </c>
      <c r="BQ11" s="373">
        <v>1</v>
      </c>
      <c r="BR11" s="373">
        <v>9</v>
      </c>
      <c r="BS11" s="373">
        <v>15</v>
      </c>
      <c r="BT11" s="373">
        <v>1</v>
      </c>
      <c r="BU11" s="373">
        <v>48</v>
      </c>
      <c r="BV11" s="373">
        <v>7</v>
      </c>
      <c r="BW11" s="373">
        <v>1</v>
      </c>
      <c r="BX11" s="373">
        <v>5</v>
      </c>
      <c r="BY11" s="373">
        <v>23</v>
      </c>
      <c r="BZ11" s="373">
        <v>2</v>
      </c>
      <c r="CA11" s="373">
        <v>11</v>
      </c>
      <c r="CB11" s="373"/>
      <c r="CC11" s="373"/>
      <c r="CD11" s="373"/>
      <c r="CE11" s="373"/>
      <c r="CF11" s="373"/>
      <c r="CG11" s="373">
        <v>1</v>
      </c>
      <c r="CH11" s="373">
        <v>7</v>
      </c>
      <c r="CI11" s="373"/>
      <c r="CJ11" s="373"/>
      <c r="CK11" s="373"/>
      <c r="CL11" s="373"/>
      <c r="CM11" s="373"/>
      <c r="CN11" s="373"/>
      <c r="CO11" s="373"/>
      <c r="CP11" s="373"/>
      <c r="CQ11" s="373"/>
      <c r="CR11" s="373"/>
      <c r="CS11" s="373"/>
      <c r="CT11" s="373"/>
      <c r="CU11" s="373"/>
      <c r="CV11" s="373"/>
      <c r="CW11" s="373"/>
      <c r="CX11" s="373"/>
      <c r="CY11" s="373"/>
      <c r="CZ11" s="373"/>
      <c r="DA11" s="373">
        <v>19</v>
      </c>
      <c r="DB11" s="373">
        <v>1</v>
      </c>
      <c r="DC11" s="373">
        <v>4</v>
      </c>
      <c r="DD11" s="373">
        <v>47</v>
      </c>
      <c r="DE11" s="373">
        <v>582</v>
      </c>
      <c r="DF11" s="373"/>
      <c r="DG11" s="373"/>
      <c r="DH11" s="373"/>
      <c r="DI11" s="373"/>
      <c r="DJ11" s="373"/>
      <c r="DK11" s="373"/>
      <c r="DL11" s="373"/>
      <c r="DM11" s="373"/>
      <c r="DN11" s="373"/>
      <c r="DO11" s="373"/>
      <c r="DP11" s="373"/>
      <c r="DQ11" s="373"/>
      <c r="DR11" s="373"/>
      <c r="DS11" s="373"/>
      <c r="DT11" s="373"/>
      <c r="DU11" s="373"/>
      <c r="DV11" s="373"/>
      <c r="DW11" s="373">
        <v>30</v>
      </c>
      <c r="DX11" s="373"/>
      <c r="DY11" s="373">
        <v>32</v>
      </c>
      <c r="DZ11" s="373"/>
      <c r="EA11" s="373">
        <v>34</v>
      </c>
      <c r="EB11" s="373">
        <v>3</v>
      </c>
      <c r="EC11" s="373">
        <v>3</v>
      </c>
      <c r="ED11" s="373">
        <v>17</v>
      </c>
      <c r="EE11" s="373">
        <v>103</v>
      </c>
      <c r="EF11" s="373">
        <v>1</v>
      </c>
      <c r="EG11" s="373">
        <v>1</v>
      </c>
      <c r="EH11" s="373">
        <v>5</v>
      </c>
      <c r="EI11" s="373">
        <v>29</v>
      </c>
      <c r="EJ11" s="373">
        <v>16</v>
      </c>
      <c r="EK11" s="373">
        <v>118</v>
      </c>
      <c r="EL11" s="373">
        <v>5</v>
      </c>
      <c r="EM11" s="373">
        <v>1</v>
      </c>
      <c r="EN11" s="373">
        <v>15</v>
      </c>
      <c r="EO11" s="373">
        <v>473</v>
      </c>
      <c r="EP11" s="373">
        <v>154</v>
      </c>
      <c r="EQ11" s="373">
        <v>13</v>
      </c>
      <c r="ER11" s="373">
        <v>1</v>
      </c>
      <c r="ES11" s="373">
        <v>10</v>
      </c>
      <c r="ET11" s="373">
        <v>1</v>
      </c>
      <c r="EU11" s="373">
        <v>16</v>
      </c>
      <c r="EV11" s="373">
        <v>5</v>
      </c>
      <c r="EW11" s="373">
        <v>22</v>
      </c>
      <c r="EX11" s="373">
        <v>64</v>
      </c>
      <c r="EY11" s="373">
        <v>1</v>
      </c>
      <c r="EZ11" s="373">
        <v>191</v>
      </c>
      <c r="FA11" s="373">
        <v>191</v>
      </c>
      <c r="FB11" s="373">
        <v>191</v>
      </c>
      <c r="FC11" s="373">
        <v>104</v>
      </c>
      <c r="FD11" s="373">
        <v>104</v>
      </c>
      <c r="FE11" s="373">
        <v>329</v>
      </c>
      <c r="FF11" s="373"/>
      <c r="FG11" s="373"/>
      <c r="FH11" s="373"/>
      <c r="FI11" s="373"/>
      <c r="FJ11" s="373"/>
      <c r="FK11" s="373"/>
      <c r="FL11" s="373"/>
      <c r="FM11" s="373"/>
      <c r="FN11" s="373"/>
      <c r="FO11" s="373"/>
      <c r="FP11" s="373"/>
      <c r="FQ11" s="373"/>
      <c r="FR11" s="373"/>
      <c r="FS11" s="373"/>
      <c r="FT11" s="373"/>
      <c r="FU11" s="373"/>
      <c r="FV11" s="373"/>
      <c r="FW11" s="373"/>
      <c r="FX11" s="373"/>
      <c r="FY11" s="373">
        <v>1</v>
      </c>
      <c r="FZ11" s="373"/>
      <c r="GA11" s="373">
        <v>1</v>
      </c>
      <c r="GB11" s="373"/>
      <c r="GC11" s="373">
        <v>1</v>
      </c>
      <c r="GD11" s="373">
        <v>46</v>
      </c>
      <c r="GE11" s="373"/>
      <c r="GF11" s="373"/>
      <c r="GG11" s="373"/>
      <c r="GH11" s="373"/>
      <c r="GI11" s="373"/>
      <c r="GJ11" s="373">
        <v>1</v>
      </c>
      <c r="GK11" s="373">
        <v>34</v>
      </c>
      <c r="GL11" s="373"/>
      <c r="GM11" s="373"/>
      <c r="GN11" s="373"/>
      <c r="GO11" s="373"/>
      <c r="GP11" s="373"/>
      <c r="GQ11" s="373"/>
      <c r="GR11" s="373"/>
      <c r="GS11" s="373"/>
      <c r="GT11" s="373"/>
      <c r="GU11" s="373"/>
      <c r="GV11" s="373"/>
      <c r="GW11" s="373"/>
      <c r="GX11" s="373"/>
      <c r="GY11" s="373"/>
      <c r="GZ11" s="373"/>
      <c r="HA11" s="373"/>
      <c r="HB11" s="373"/>
      <c r="HC11" s="373"/>
      <c r="HD11" s="373"/>
      <c r="HE11" s="373"/>
      <c r="HF11" s="373"/>
      <c r="HG11" s="373"/>
      <c r="HH11" s="373">
        <v>109</v>
      </c>
      <c r="HI11" s="373"/>
      <c r="HJ11" s="373"/>
      <c r="HK11" s="373"/>
      <c r="HL11" s="373"/>
      <c r="HM11" s="373"/>
      <c r="HN11" s="373"/>
      <c r="HO11" s="373"/>
      <c r="HP11" s="373"/>
      <c r="HQ11" s="373"/>
      <c r="HR11" s="373"/>
      <c r="HS11" s="373"/>
      <c r="HT11" s="373">
        <v>1260</v>
      </c>
      <c r="HU11" s="373"/>
      <c r="HV11" s="373"/>
      <c r="HW11" s="373"/>
      <c r="HX11" s="373"/>
      <c r="HY11" s="373"/>
      <c r="HZ11" s="373"/>
      <c r="IA11" s="373"/>
      <c r="IB11" s="373"/>
      <c r="IC11" s="373"/>
      <c r="ID11" s="373"/>
      <c r="IE11" s="373"/>
      <c r="IF11" s="373"/>
      <c r="IG11" s="373">
        <v>26</v>
      </c>
      <c r="IH11" s="373"/>
      <c r="II11" s="373">
        <v>1</v>
      </c>
      <c r="IJ11" s="373"/>
      <c r="IK11" s="373">
        <v>104</v>
      </c>
      <c r="IL11" s="373"/>
      <c r="IM11" s="373"/>
      <c r="IN11" s="373"/>
      <c r="IO11" s="373"/>
      <c r="IP11" s="373"/>
      <c r="IQ11" s="373">
        <v>252</v>
      </c>
      <c r="IR11" s="373">
        <v>245</v>
      </c>
      <c r="IS11" s="373">
        <v>612</v>
      </c>
      <c r="IT11" s="373">
        <v>262</v>
      </c>
      <c r="IU11" s="373">
        <v>30</v>
      </c>
      <c r="IV11" s="373">
        <v>2435</v>
      </c>
      <c r="IW11" s="373">
        <v>802</v>
      </c>
      <c r="IX11" s="373"/>
      <c r="IY11" s="373"/>
      <c r="IZ11" s="373"/>
      <c r="JA11" s="373"/>
      <c r="JB11" s="373"/>
      <c r="JC11" s="373"/>
      <c r="JD11" s="373"/>
      <c r="JE11" s="373"/>
      <c r="JF11" s="373"/>
      <c r="JG11" s="373"/>
      <c r="JH11" s="373"/>
      <c r="JI11" s="373"/>
      <c r="JJ11" s="373"/>
      <c r="JK11" s="373"/>
      <c r="JL11" s="373"/>
      <c r="JM11" s="373"/>
      <c r="JN11" s="373"/>
      <c r="JO11" s="373"/>
      <c r="JP11" s="373"/>
      <c r="JQ11" s="373"/>
      <c r="JR11" s="373"/>
      <c r="JS11" s="373"/>
      <c r="JT11" s="373"/>
      <c r="JU11" s="373"/>
      <c r="JV11" s="373"/>
      <c r="JW11" s="373"/>
      <c r="JX11" s="373"/>
      <c r="JY11" s="373"/>
      <c r="JZ11" s="373"/>
      <c r="KA11" s="373"/>
      <c r="KB11" s="373"/>
      <c r="KC11" s="373"/>
      <c r="KD11" s="373"/>
      <c r="KE11" s="373"/>
      <c r="KF11" s="373"/>
      <c r="KG11" s="373"/>
      <c r="KH11" s="373"/>
      <c r="KI11" s="373"/>
      <c r="KJ11" s="373"/>
      <c r="KK11" s="373"/>
      <c r="KL11" s="373"/>
      <c r="KM11" s="373"/>
      <c r="KN11" s="373">
        <v>48</v>
      </c>
      <c r="KO11" s="373">
        <v>7</v>
      </c>
      <c r="KP11" s="373"/>
      <c r="KQ11" s="373"/>
      <c r="KR11" s="373">
        <v>443</v>
      </c>
      <c r="KS11" s="373"/>
      <c r="KT11" s="373"/>
      <c r="KU11" s="373"/>
      <c r="KV11" s="373"/>
      <c r="KW11" s="373"/>
      <c r="KX11" s="373">
        <v>4</v>
      </c>
      <c r="KY11" s="373"/>
      <c r="KZ11" s="373"/>
      <c r="LA11" s="373">
        <v>23</v>
      </c>
      <c r="LB11" s="373"/>
      <c r="LC11" s="373" t="s">
        <v>318</v>
      </c>
      <c r="LD11" s="373"/>
      <c r="LE11" s="373"/>
      <c r="LF11" s="373"/>
      <c r="LG11" s="373"/>
      <c r="LH11" s="373"/>
      <c r="LI11" s="373"/>
      <c r="LJ11" s="373"/>
      <c r="LK11" s="373"/>
      <c r="LL11" s="373"/>
      <c r="LM11" s="373"/>
      <c r="LN11" s="373"/>
      <c r="LO11" s="373"/>
      <c r="LP11" s="373"/>
      <c r="LQ11" s="373">
        <v>262</v>
      </c>
      <c r="LR11" s="373"/>
      <c r="LS11" s="373"/>
      <c r="LT11" s="373"/>
      <c r="LU11" s="373"/>
      <c r="LV11" s="373"/>
      <c r="LW11" s="373"/>
      <c r="LX11" s="373"/>
      <c r="LY11" s="373"/>
      <c r="LZ11" s="373"/>
      <c r="MA11" s="373">
        <v>300</v>
      </c>
      <c r="MB11" s="373"/>
      <c r="MC11" s="373"/>
      <c r="MD11" s="373"/>
      <c r="ME11" s="373"/>
      <c r="MF11" s="373"/>
      <c r="MG11" s="373"/>
      <c r="MH11" s="373"/>
      <c r="MI11" s="373"/>
      <c r="MJ11" s="373"/>
      <c r="MK11" s="373"/>
      <c r="ML11" s="373">
        <v>47</v>
      </c>
      <c r="MM11" s="373"/>
      <c r="MN11" s="373"/>
      <c r="MO11" s="373"/>
      <c r="MP11" s="373"/>
      <c r="MQ11" s="373"/>
      <c r="MR11" s="373">
        <v>16</v>
      </c>
      <c r="MS11" s="373"/>
      <c r="MT11" s="373">
        <v>94</v>
      </c>
      <c r="MU11" s="373">
        <v>24</v>
      </c>
      <c r="MV11" s="373">
        <v>26</v>
      </c>
      <c r="MW11" s="373">
        <v>57</v>
      </c>
      <c r="MX11" s="373">
        <v>471</v>
      </c>
      <c r="MY11" s="373"/>
      <c r="MZ11" s="373"/>
      <c r="NA11" s="373">
        <v>1</v>
      </c>
      <c r="NB11" s="373"/>
      <c r="NC11" s="373"/>
      <c r="ND11" s="373"/>
      <c r="NE11" s="373"/>
      <c r="NF11" s="373"/>
      <c r="NG11" s="373">
        <v>479</v>
      </c>
      <c r="NH11" s="373"/>
      <c r="NI11" s="373">
        <v>4</v>
      </c>
      <c r="NJ11" s="373">
        <v>12</v>
      </c>
      <c r="NK11" s="373"/>
      <c r="NL11" s="373">
        <v>19</v>
      </c>
      <c r="NM11" s="373"/>
      <c r="NN11" s="373">
        <v>18</v>
      </c>
      <c r="NO11" s="373">
        <v>18</v>
      </c>
      <c r="NP11" s="373">
        <v>180</v>
      </c>
      <c r="NQ11" s="373"/>
      <c r="NR11" s="373"/>
      <c r="NS11" s="373"/>
      <c r="NT11" s="373"/>
      <c r="NU11" s="373"/>
      <c r="NV11" s="373">
        <v>44</v>
      </c>
      <c r="NW11" s="373"/>
      <c r="NX11" s="373">
        <v>50</v>
      </c>
      <c r="NY11" s="373"/>
      <c r="NZ11" s="373"/>
      <c r="OA11" s="373"/>
      <c r="OB11" s="373"/>
      <c r="OC11" s="373"/>
      <c r="OD11" s="373"/>
      <c r="OE11" s="373"/>
      <c r="OF11" s="373">
        <v>153</v>
      </c>
      <c r="OG11" s="373"/>
    </row>
    <row r="12" spans="1:397">
      <c r="B12" s="382" t="s">
        <v>317</v>
      </c>
      <c r="C12" s="373" t="s">
        <v>320</v>
      </c>
      <c r="D12" s="373"/>
      <c r="E12" s="373" t="s">
        <v>320</v>
      </c>
      <c r="F12" s="373"/>
      <c r="G12" s="373"/>
      <c r="H12" s="373"/>
      <c r="I12" s="373"/>
      <c r="J12" s="373"/>
      <c r="K12" s="373"/>
      <c r="L12" s="373"/>
      <c r="M12" s="373" t="s">
        <v>320</v>
      </c>
      <c r="N12" s="373" t="s">
        <v>320</v>
      </c>
      <c r="O12" s="373"/>
      <c r="P12" s="373"/>
      <c r="Q12" s="373"/>
      <c r="R12" s="373"/>
      <c r="S12" s="373"/>
      <c r="T12" s="373" t="s">
        <v>320</v>
      </c>
      <c r="U12" s="373" t="s">
        <v>320</v>
      </c>
      <c r="V12" s="373" t="s">
        <v>320</v>
      </c>
      <c r="W12" s="373"/>
      <c r="X12" s="373"/>
      <c r="Y12" s="373"/>
      <c r="Z12" s="373"/>
      <c r="AA12" s="373"/>
      <c r="AB12" s="373"/>
      <c r="AC12" s="373"/>
      <c r="AD12" s="373"/>
      <c r="AE12" s="373"/>
      <c r="AF12" s="373"/>
      <c r="AG12" s="373"/>
      <c r="AH12" s="373" t="s">
        <v>320</v>
      </c>
      <c r="AI12" s="373" t="s">
        <v>320</v>
      </c>
      <c r="AJ12" s="373"/>
      <c r="AK12" s="373"/>
      <c r="AL12" s="373"/>
      <c r="AM12" s="373"/>
      <c r="AN12" s="373"/>
      <c r="AO12" s="373" t="s">
        <v>320</v>
      </c>
      <c r="AP12" s="373"/>
      <c r="AQ12" s="373" t="s">
        <v>320</v>
      </c>
      <c r="AR12" s="373"/>
      <c r="AS12" s="373"/>
      <c r="AT12" s="373"/>
      <c r="AU12" s="373"/>
      <c r="AV12" s="373"/>
      <c r="AW12" s="373"/>
      <c r="AX12" s="373"/>
      <c r="AY12" s="373"/>
      <c r="AZ12" s="373"/>
      <c r="BA12" s="373"/>
      <c r="BB12" s="373"/>
      <c r="BC12" s="373"/>
      <c r="BD12" s="373"/>
      <c r="BE12" s="373"/>
      <c r="BF12" s="373"/>
      <c r="BG12" s="373"/>
      <c r="BH12" s="373"/>
      <c r="BI12" s="373"/>
      <c r="BJ12" s="373"/>
      <c r="BK12" s="373"/>
      <c r="BL12" s="373"/>
      <c r="BM12" s="373"/>
      <c r="BN12" s="373"/>
      <c r="BO12" s="373"/>
      <c r="BP12" s="373"/>
      <c r="BQ12" s="373"/>
      <c r="BR12" s="373"/>
      <c r="BS12" s="373"/>
      <c r="BT12" s="373"/>
      <c r="BU12" s="373"/>
      <c r="BV12" s="373"/>
      <c r="BW12" s="373"/>
      <c r="BX12" s="373"/>
      <c r="BY12" s="373"/>
      <c r="BZ12" s="373"/>
      <c r="CA12" s="373"/>
      <c r="CB12" s="373"/>
      <c r="CC12" s="373"/>
      <c r="CD12" s="373"/>
      <c r="CE12" s="373"/>
      <c r="CF12" s="373"/>
      <c r="CG12" s="373"/>
      <c r="CH12" s="373"/>
      <c r="CI12" s="373"/>
      <c r="CJ12" s="373"/>
      <c r="CK12" s="373"/>
      <c r="CL12" s="373"/>
      <c r="CM12" s="373"/>
      <c r="CN12" s="373"/>
      <c r="CO12" s="373"/>
      <c r="CP12" s="373"/>
      <c r="CQ12" s="373"/>
      <c r="CR12" s="373"/>
      <c r="CS12" s="373"/>
      <c r="CT12" s="373"/>
      <c r="CU12" s="373"/>
      <c r="CV12" s="373"/>
      <c r="CW12" s="373"/>
      <c r="CX12" s="373"/>
      <c r="CY12" s="373"/>
      <c r="CZ12" s="373"/>
      <c r="DA12" s="373"/>
      <c r="DB12" s="373"/>
      <c r="DC12" s="373"/>
      <c r="DD12" s="373"/>
      <c r="DE12" s="373"/>
      <c r="DF12" s="373"/>
      <c r="DG12" s="373"/>
      <c r="DH12" s="373"/>
      <c r="DI12" s="373"/>
      <c r="DJ12" s="373"/>
      <c r="DK12" s="373"/>
      <c r="DL12" s="373"/>
      <c r="DM12" s="373"/>
      <c r="DN12" s="373"/>
      <c r="DO12" s="373"/>
      <c r="DP12" s="373"/>
      <c r="DQ12" s="373"/>
      <c r="DR12" s="373"/>
      <c r="DS12" s="373"/>
      <c r="DT12" s="373"/>
      <c r="DU12" s="373"/>
      <c r="DV12" s="373"/>
      <c r="DW12" s="373"/>
      <c r="DX12" s="373"/>
      <c r="DY12" s="373"/>
      <c r="DZ12" s="373"/>
      <c r="EA12" s="373"/>
      <c r="EB12" s="373"/>
      <c r="EC12" s="373"/>
      <c r="ED12" s="373"/>
      <c r="EE12" s="373"/>
      <c r="EF12" s="373"/>
      <c r="EG12" s="373"/>
      <c r="EH12" s="373"/>
      <c r="EI12" s="373"/>
      <c r="EJ12" s="373"/>
      <c r="EK12" s="373"/>
      <c r="EL12" s="373"/>
      <c r="EM12" s="373"/>
      <c r="EN12" s="373"/>
      <c r="EO12" s="373"/>
      <c r="EP12" s="373"/>
      <c r="EQ12" s="373"/>
      <c r="ER12" s="373"/>
      <c r="ES12" s="373"/>
      <c r="ET12" s="373"/>
      <c r="EU12" s="373"/>
      <c r="EV12" s="373"/>
      <c r="EW12" s="373"/>
      <c r="EX12" s="373"/>
      <c r="EY12" s="373"/>
      <c r="EZ12" s="373"/>
      <c r="FA12" s="373"/>
      <c r="FB12" s="373"/>
      <c r="FC12" s="373"/>
      <c r="FD12" s="373"/>
      <c r="FE12" s="373"/>
      <c r="FF12" s="373"/>
      <c r="FG12" s="373"/>
      <c r="FH12" s="373"/>
      <c r="FI12" s="373"/>
      <c r="FJ12" s="373"/>
      <c r="FK12" s="373"/>
      <c r="FL12" s="373"/>
      <c r="FM12" s="373"/>
      <c r="FN12" s="373"/>
      <c r="FO12" s="373"/>
      <c r="FP12" s="373"/>
      <c r="FQ12" s="373"/>
      <c r="FR12" s="373"/>
      <c r="FS12" s="373"/>
      <c r="FT12" s="373"/>
      <c r="FU12" s="373"/>
      <c r="FV12" s="373"/>
      <c r="FW12" s="373"/>
      <c r="FX12" s="373"/>
      <c r="FY12" s="373"/>
      <c r="FZ12" s="373"/>
      <c r="GA12" s="373"/>
      <c r="GB12" s="373"/>
      <c r="GC12" s="373"/>
      <c r="GD12" s="373"/>
      <c r="GE12" s="373"/>
      <c r="GF12" s="373"/>
      <c r="GG12" s="373"/>
      <c r="GH12" s="373"/>
      <c r="GI12" s="373"/>
      <c r="GJ12" s="373"/>
      <c r="GK12" s="373"/>
      <c r="GL12" s="373"/>
      <c r="GM12" s="373"/>
      <c r="GN12" s="373"/>
      <c r="GO12" s="373"/>
      <c r="GP12" s="373"/>
      <c r="GQ12" s="373"/>
      <c r="GR12" s="373"/>
      <c r="GS12" s="373"/>
      <c r="GT12" s="373"/>
      <c r="GU12" s="373"/>
      <c r="GV12" s="373"/>
      <c r="GW12" s="373"/>
      <c r="GX12" s="373"/>
      <c r="GY12" s="373"/>
      <c r="GZ12" s="373"/>
      <c r="HA12" s="373"/>
      <c r="HB12" s="373"/>
      <c r="HC12" s="373"/>
      <c r="HD12" s="373"/>
      <c r="HE12" s="373"/>
      <c r="HF12" s="373"/>
      <c r="HG12" s="373"/>
      <c r="HH12" s="373"/>
      <c r="HI12" s="373"/>
      <c r="HJ12" s="373"/>
      <c r="HK12" s="373"/>
      <c r="HL12" s="373"/>
      <c r="HM12" s="373"/>
      <c r="HN12" s="373"/>
      <c r="HO12" s="373"/>
      <c r="HP12" s="373"/>
      <c r="HQ12" s="373"/>
      <c r="HR12" s="373"/>
      <c r="HS12" s="373"/>
      <c r="HT12" s="373"/>
      <c r="HU12" s="373"/>
      <c r="HV12" s="373"/>
      <c r="HW12" s="373"/>
      <c r="HX12" s="373"/>
      <c r="HY12" s="373"/>
      <c r="HZ12" s="373"/>
      <c r="IA12" s="373"/>
      <c r="IB12" s="373"/>
      <c r="IC12" s="373"/>
      <c r="ID12" s="373"/>
      <c r="IE12" s="373"/>
      <c r="IF12" s="373"/>
      <c r="IG12" s="373"/>
      <c r="IH12" s="373"/>
      <c r="II12" s="373"/>
      <c r="IJ12" s="373"/>
      <c r="IK12" s="373"/>
      <c r="IL12" s="373"/>
      <c r="IM12" s="373"/>
      <c r="IN12" s="373"/>
      <c r="IO12" s="373"/>
      <c r="IP12" s="373"/>
      <c r="IQ12" s="373"/>
      <c r="IR12" s="373"/>
      <c r="IS12" s="373"/>
      <c r="IT12" s="373"/>
      <c r="IU12" s="373"/>
      <c r="IV12" s="373"/>
      <c r="IW12" s="373"/>
      <c r="IX12" s="373"/>
      <c r="IY12" s="373"/>
      <c r="IZ12" s="373"/>
      <c r="JA12" s="373"/>
      <c r="JB12" s="373"/>
      <c r="JC12" s="373"/>
      <c r="JD12" s="373"/>
      <c r="JE12" s="373"/>
      <c r="JF12" s="373"/>
      <c r="JG12" s="373"/>
      <c r="JH12" s="373"/>
      <c r="JI12" s="373"/>
      <c r="JJ12" s="373"/>
      <c r="JK12" s="373"/>
      <c r="JL12" s="373"/>
      <c r="JM12" s="373"/>
      <c r="JN12" s="373"/>
      <c r="JO12" s="373"/>
      <c r="JP12" s="373"/>
      <c r="JQ12" s="373"/>
      <c r="JR12" s="373"/>
      <c r="JS12" s="373"/>
      <c r="JT12" s="373"/>
      <c r="JU12" s="373"/>
      <c r="JV12" s="373"/>
      <c r="JW12" s="373"/>
      <c r="JX12" s="373"/>
      <c r="JY12" s="373"/>
      <c r="JZ12" s="373"/>
      <c r="KA12" s="373"/>
      <c r="KB12" s="373"/>
      <c r="KC12" s="373"/>
      <c r="KD12" s="373"/>
      <c r="KE12" s="373"/>
      <c r="KF12" s="373"/>
      <c r="KG12" s="373"/>
      <c r="KH12" s="373"/>
      <c r="KI12" s="373"/>
      <c r="KJ12" s="373"/>
      <c r="KK12" s="373"/>
      <c r="KL12" s="373"/>
      <c r="KM12" s="373"/>
      <c r="KN12" s="373"/>
      <c r="KO12" s="373"/>
      <c r="KP12" s="373"/>
      <c r="KQ12" s="373"/>
      <c r="KR12" s="373"/>
      <c r="KS12" s="373"/>
      <c r="KT12" s="373"/>
      <c r="KU12" s="373"/>
      <c r="KV12" s="373"/>
      <c r="KW12" s="373"/>
      <c r="KX12" s="373"/>
      <c r="KY12" s="373"/>
      <c r="KZ12" s="373"/>
      <c r="LA12" s="373"/>
      <c r="LB12" s="373"/>
      <c r="LC12" s="373"/>
      <c r="LD12" s="373"/>
      <c r="LE12" s="373"/>
      <c r="LF12" s="373"/>
      <c r="LG12" s="373"/>
      <c r="LH12" s="373"/>
      <c r="LI12" s="373"/>
      <c r="LJ12" s="373"/>
      <c r="LK12" s="373"/>
      <c r="LL12" s="373"/>
      <c r="LM12" s="373"/>
      <c r="LN12" s="373"/>
      <c r="LO12" s="373"/>
      <c r="LP12" s="373"/>
      <c r="LQ12" s="373"/>
      <c r="LR12" s="373"/>
      <c r="LS12" s="373"/>
      <c r="LT12" s="373"/>
      <c r="LU12" s="373"/>
      <c r="LV12" s="373"/>
      <c r="LW12" s="373"/>
      <c r="LX12" s="373"/>
      <c r="LY12" s="373"/>
      <c r="LZ12" s="373"/>
      <c r="MA12" s="373"/>
      <c r="MB12" s="373"/>
      <c r="MC12" s="373"/>
      <c r="MD12" s="373"/>
      <c r="ME12" s="373"/>
      <c r="MF12" s="373"/>
      <c r="MG12" s="373"/>
      <c r="MH12" s="373"/>
      <c r="MI12" s="373"/>
      <c r="MJ12" s="373"/>
      <c r="MK12" s="373"/>
      <c r="ML12" s="373"/>
      <c r="MM12" s="373"/>
      <c r="MN12" s="373"/>
      <c r="MO12" s="373"/>
      <c r="MP12" s="373"/>
      <c r="MQ12" s="373"/>
      <c r="MR12" s="373"/>
      <c r="MS12" s="373"/>
      <c r="MT12" s="373"/>
      <c r="MU12" s="373"/>
      <c r="MV12" s="373"/>
      <c r="MW12" s="373"/>
      <c r="MX12" s="373"/>
      <c r="MY12" s="373"/>
      <c r="MZ12" s="373"/>
      <c r="NA12" s="373"/>
      <c r="NB12" s="373"/>
      <c r="NC12" s="373"/>
      <c r="ND12" s="373"/>
      <c r="NE12" s="373"/>
      <c r="NF12" s="373"/>
      <c r="NG12" s="373"/>
      <c r="NH12" s="373"/>
      <c r="NI12" s="373"/>
      <c r="NJ12" s="373"/>
      <c r="NK12" s="373"/>
      <c r="NL12" s="373"/>
      <c r="NM12" s="373"/>
      <c r="NN12" s="373"/>
      <c r="NO12" s="373"/>
      <c r="NP12" s="373"/>
      <c r="NQ12" s="373"/>
      <c r="NR12" s="373"/>
      <c r="NS12" s="373"/>
      <c r="NT12" s="373"/>
      <c r="NU12" s="373"/>
      <c r="NV12" s="373"/>
      <c r="NW12" s="373"/>
      <c r="NX12" s="373"/>
      <c r="NY12" s="373"/>
      <c r="NZ12" s="373"/>
      <c r="OA12" s="373"/>
      <c r="OB12" s="373"/>
      <c r="OC12" s="373"/>
      <c r="OD12" s="373"/>
      <c r="OE12" s="373"/>
      <c r="OF12" s="373"/>
      <c r="OG12" s="373"/>
    </row>
    <row r="13" spans="1:397" ht="61.2">
      <c r="B13" s="383" t="s">
        <v>297</v>
      </c>
      <c r="C13" s="374" t="s">
        <v>1188</v>
      </c>
      <c r="D13" s="374" t="s">
        <v>1579</v>
      </c>
      <c r="E13" s="374" t="s">
        <v>1188</v>
      </c>
      <c r="F13" s="374" t="s">
        <v>318</v>
      </c>
      <c r="G13" s="374" t="s">
        <v>318</v>
      </c>
      <c r="H13" s="374" t="s">
        <v>318</v>
      </c>
      <c r="I13" s="374" t="s">
        <v>318</v>
      </c>
      <c r="J13" s="374" t="s">
        <v>318</v>
      </c>
      <c r="K13" s="374" t="s">
        <v>318</v>
      </c>
      <c r="L13" s="374" t="s">
        <v>318</v>
      </c>
      <c r="M13" s="374" t="s">
        <v>318</v>
      </c>
      <c r="N13" s="374" t="s">
        <v>318</v>
      </c>
      <c r="O13" s="374" t="s">
        <v>318</v>
      </c>
      <c r="P13" s="374" t="s">
        <v>318</v>
      </c>
      <c r="Q13" s="374" t="s">
        <v>318</v>
      </c>
      <c r="R13" s="374" t="s">
        <v>318</v>
      </c>
      <c r="S13" s="374" t="s">
        <v>318</v>
      </c>
      <c r="T13" s="374" t="s">
        <v>1245</v>
      </c>
      <c r="U13" s="374" t="s">
        <v>1245</v>
      </c>
      <c r="V13" s="374" t="s">
        <v>1245</v>
      </c>
      <c r="W13" s="374" t="s">
        <v>318</v>
      </c>
      <c r="X13" s="374" t="s">
        <v>318</v>
      </c>
      <c r="Y13" s="374" t="s">
        <v>1255</v>
      </c>
      <c r="Z13" s="374" t="s">
        <v>1255</v>
      </c>
      <c r="AA13" s="374" t="s">
        <v>320</v>
      </c>
      <c r="AB13" s="374" t="s">
        <v>318</v>
      </c>
      <c r="AC13" s="374" t="s">
        <v>318</v>
      </c>
      <c r="AD13" s="374" t="s">
        <v>318</v>
      </c>
      <c r="AE13" s="374" t="s">
        <v>318</v>
      </c>
      <c r="AF13" s="374" t="s">
        <v>320</v>
      </c>
      <c r="AG13" s="374" t="s">
        <v>318</v>
      </c>
      <c r="AH13" s="374" t="s">
        <v>1188</v>
      </c>
      <c r="AI13" s="374" t="s">
        <v>1188</v>
      </c>
      <c r="AJ13" s="374" t="s">
        <v>318</v>
      </c>
      <c r="AK13" s="374" t="s">
        <v>318</v>
      </c>
      <c r="AL13" s="374" t="s">
        <v>318</v>
      </c>
      <c r="AM13" s="374" t="s">
        <v>318</v>
      </c>
      <c r="AN13" s="374" t="s">
        <v>318</v>
      </c>
      <c r="AO13" s="374" t="s">
        <v>1294</v>
      </c>
      <c r="AP13" s="374" t="s">
        <v>318</v>
      </c>
      <c r="AQ13" s="374" t="s">
        <v>318</v>
      </c>
      <c r="AR13" s="374" t="s">
        <v>318</v>
      </c>
      <c r="AS13" s="374" t="s">
        <v>318</v>
      </c>
      <c r="AT13" s="374" t="s">
        <v>318</v>
      </c>
      <c r="AU13" s="374" t="s">
        <v>318</v>
      </c>
      <c r="AV13" s="374" t="s">
        <v>318</v>
      </c>
      <c r="AW13" s="374" t="s">
        <v>318</v>
      </c>
      <c r="AX13" s="374" t="s">
        <v>318</v>
      </c>
      <c r="AY13" s="374" t="s">
        <v>318</v>
      </c>
      <c r="AZ13" s="374" t="s">
        <v>1188</v>
      </c>
      <c r="BA13" s="374" t="s">
        <v>318</v>
      </c>
      <c r="BB13" s="374" t="s">
        <v>318</v>
      </c>
      <c r="BC13" s="374" t="s">
        <v>318</v>
      </c>
      <c r="BD13" s="374" t="s">
        <v>318</v>
      </c>
      <c r="BE13" s="374" t="s">
        <v>318</v>
      </c>
      <c r="BF13" s="374" t="s">
        <v>318</v>
      </c>
      <c r="BG13" s="374" t="s">
        <v>318</v>
      </c>
      <c r="BH13" s="374" t="s">
        <v>318</v>
      </c>
      <c r="BI13" s="374" t="s">
        <v>318</v>
      </c>
      <c r="BJ13" s="374" t="s">
        <v>318</v>
      </c>
      <c r="BK13" s="374" t="s">
        <v>318</v>
      </c>
      <c r="BL13" s="374" t="s">
        <v>318</v>
      </c>
      <c r="BM13" s="374" t="s">
        <v>318</v>
      </c>
      <c r="BN13" s="374" t="s">
        <v>318</v>
      </c>
      <c r="BO13" s="374" t="s">
        <v>318</v>
      </c>
      <c r="BP13" s="374" t="s">
        <v>1188</v>
      </c>
      <c r="BQ13" s="374" t="s">
        <v>1188</v>
      </c>
      <c r="BR13" s="374" t="s">
        <v>1610</v>
      </c>
      <c r="BS13" s="374" t="s">
        <v>1610</v>
      </c>
      <c r="BT13" s="374" t="s">
        <v>1188</v>
      </c>
      <c r="BU13" s="374" t="s">
        <v>1616</v>
      </c>
      <c r="BV13" s="374" t="s">
        <v>318</v>
      </c>
      <c r="BW13" s="374" t="s">
        <v>1188</v>
      </c>
      <c r="BX13" s="374" t="s">
        <v>318</v>
      </c>
      <c r="BY13" s="374" t="s">
        <v>318</v>
      </c>
      <c r="BZ13" s="374" t="s">
        <v>318</v>
      </c>
      <c r="CA13" s="374" t="s">
        <v>1616</v>
      </c>
      <c r="CB13" s="374"/>
      <c r="CC13" s="374"/>
      <c r="CD13" s="374"/>
      <c r="CE13" s="374"/>
      <c r="CF13" s="374"/>
      <c r="CG13" s="374" t="s">
        <v>1188</v>
      </c>
      <c r="CH13" s="374" t="s">
        <v>318</v>
      </c>
      <c r="CI13" s="374"/>
      <c r="CJ13" s="374"/>
      <c r="CK13" s="374"/>
      <c r="CL13" s="374"/>
      <c r="CM13" s="374"/>
      <c r="CN13" s="374"/>
      <c r="CO13" s="374"/>
      <c r="CP13" s="374"/>
      <c r="CQ13" s="374"/>
      <c r="CR13" s="374"/>
      <c r="CS13" s="374"/>
      <c r="CT13" s="374"/>
      <c r="CU13" s="374"/>
      <c r="CV13" s="374"/>
      <c r="CW13" s="374"/>
      <c r="CX13" s="374"/>
      <c r="CY13" s="374"/>
      <c r="CZ13" s="374"/>
      <c r="DA13" s="374" t="s">
        <v>318</v>
      </c>
      <c r="DB13" s="374" t="s">
        <v>1245</v>
      </c>
      <c r="DC13" s="374" t="s">
        <v>318</v>
      </c>
      <c r="DD13" s="374" t="s">
        <v>318</v>
      </c>
      <c r="DE13" s="374" t="s">
        <v>318</v>
      </c>
      <c r="DF13" s="374"/>
      <c r="DG13" s="374"/>
      <c r="DH13" s="374"/>
      <c r="DI13" s="374"/>
      <c r="DJ13" s="374"/>
      <c r="DK13" s="374"/>
      <c r="DL13" s="374"/>
      <c r="DM13" s="374"/>
      <c r="DN13" s="374"/>
      <c r="DO13" s="374"/>
      <c r="DP13" s="374"/>
      <c r="DQ13" s="374"/>
      <c r="DR13" s="374"/>
      <c r="DS13" s="374"/>
      <c r="DT13" s="374"/>
      <c r="DU13" s="374"/>
      <c r="DV13" s="374"/>
      <c r="DW13" s="374" t="s">
        <v>318</v>
      </c>
      <c r="DX13" s="374"/>
      <c r="DY13" s="374" t="s">
        <v>318</v>
      </c>
      <c r="DZ13" s="374"/>
      <c r="EA13" s="374" t="s">
        <v>318</v>
      </c>
      <c r="EB13" s="374" t="s">
        <v>1727</v>
      </c>
      <c r="EC13" s="374" t="s">
        <v>318</v>
      </c>
      <c r="ED13" s="374" t="s">
        <v>318</v>
      </c>
      <c r="EE13" s="374" t="s">
        <v>318</v>
      </c>
      <c r="EF13" s="374" t="s">
        <v>1245</v>
      </c>
      <c r="EG13" s="374" t="s">
        <v>1744</v>
      </c>
      <c r="EH13" s="374" t="s">
        <v>318</v>
      </c>
      <c r="EI13" s="374" t="s">
        <v>318</v>
      </c>
      <c r="EJ13" s="374" t="s">
        <v>1757</v>
      </c>
      <c r="EK13" s="374" t="s">
        <v>318</v>
      </c>
      <c r="EL13" s="374" t="s">
        <v>318</v>
      </c>
      <c r="EM13" s="374" t="s">
        <v>318</v>
      </c>
      <c r="EN13" s="374" t="s">
        <v>318</v>
      </c>
      <c r="EO13" s="374" t="s">
        <v>318</v>
      </c>
      <c r="EP13" s="374" t="s">
        <v>318</v>
      </c>
      <c r="EQ13" s="374" t="s">
        <v>318</v>
      </c>
      <c r="ER13" s="374" t="s">
        <v>1757</v>
      </c>
      <c r="ES13" s="374" t="s">
        <v>318</v>
      </c>
      <c r="ET13" s="374" t="s">
        <v>1757</v>
      </c>
      <c r="EU13" s="374" t="s">
        <v>318</v>
      </c>
      <c r="EV13" s="374" t="s">
        <v>318</v>
      </c>
      <c r="EW13" s="374" t="s">
        <v>318</v>
      </c>
      <c r="EX13" s="374" t="s">
        <v>318</v>
      </c>
      <c r="EY13" s="374" t="s">
        <v>1782</v>
      </c>
      <c r="EZ13" s="374" t="s">
        <v>1788</v>
      </c>
      <c r="FA13" s="374" t="s">
        <v>1787</v>
      </c>
      <c r="FB13" s="374" t="s">
        <v>1789</v>
      </c>
      <c r="FC13" s="374" t="s">
        <v>318</v>
      </c>
      <c r="FD13" s="374" t="s">
        <v>318</v>
      </c>
      <c r="FE13" s="374" t="s">
        <v>318</v>
      </c>
      <c r="FF13" s="374"/>
      <c r="FG13" s="374"/>
      <c r="FH13" s="374"/>
      <c r="FI13" s="374"/>
      <c r="FJ13" s="374"/>
      <c r="FK13" s="374"/>
      <c r="FL13" s="374"/>
      <c r="FM13" s="374"/>
      <c r="FN13" s="374"/>
      <c r="FO13" s="374"/>
      <c r="FP13" s="374"/>
      <c r="FQ13" s="374"/>
      <c r="FR13" s="374"/>
      <c r="FS13" s="374"/>
      <c r="FT13" s="374"/>
      <c r="FU13" s="374"/>
      <c r="FV13" s="374"/>
      <c r="FW13" s="374"/>
      <c r="FX13" s="374"/>
      <c r="FY13" s="374" t="s">
        <v>318</v>
      </c>
      <c r="FZ13" s="374"/>
      <c r="GA13" s="374" t="s">
        <v>318</v>
      </c>
      <c r="GB13" s="374"/>
      <c r="GC13" s="374" t="s">
        <v>318</v>
      </c>
      <c r="GD13" s="374" t="s">
        <v>318</v>
      </c>
      <c r="GE13" s="374"/>
      <c r="GF13" s="374"/>
      <c r="GG13" s="374"/>
      <c r="GH13" s="374"/>
      <c r="GI13" s="374"/>
      <c r="GJ13" s="374" t="s">
        <v>1245</v>
      </c>
      <c r="GK13" s="374" t="s">
        <v>318</v>
      </c>
      <c r="GL13" s="374"/>
      <c r="GM13" s="374"/>
      <c r="GN13" s="374"/>
      <c r="GO13" s="374"/>
      <c r="GP13" s="374"/>
      <c r="GQ13" s="374"/>
      <c r="GR13" s="374"/>
      <c r="GS13" s="374"/>
      <c r="GT13" s="374"/>
      <c r="GU13" s="374"/>
      <c r="GV13" s="374"/>
      <c r="GW13" s="374"/>
      <c r="GX13" s="374"/>
      <c r="GY13" s="374"/>
      <c r="GZ13" s="374"/>
      <c r="HA13" s="374"/>
      <c r="HB13" s="374"/>
      <c r="HC13" s="374"/>
      <c r="HD13" s="374"/>
      <c r="HE13" s="374"/>
      <c r="HF13" s="374"/>
      <c r="HG13" s="374"/>
      <c r="HH13" s="374" t="s">
        <v>318</v>
      </c>
      <c r="HI13" s="374"/>
      <c r="HJ13" s="374"/>
      <c r="HK13" s="374"/>
      <c r="HL13" s="374"/>
      <c r="HM13" s="374"/>
      <c r="HN13" s="374"/>
      <c r="HO13" s="374"/>
      <c r="HP13" s="374"/>
      <c r="HQ13" s="374"/>
      <c r="HR13" s="374"/>
      <c r="HS13" s="374"/>
      <c r="HT13" s="374"/>
      <c r="HU13" s="374"/>
      <c r="HV13" s="374"/>
      <c r="HW13" s="374"/>
      <c r="HX13" s="374"/>
      <c r="HY13" s="374"/>
      <c r="HZ13" s="374"/>
      <c r="IA13" s="374"/>
      <c r="IB13" s="374"/>
      <c r="IC13" s="374"/>
      <c r="ID13" s="374"/>
      <c r="IE13" s="374"/>
      <c r="IF13" s="374"/>
      <c r="IG13" s="374" t="s">
        <v>318</v>
      </c>
      <c r="IH13" s="374"/>
      <c r="II13" s="374" t="s">
        <v>318</v>
      </c>
      <c r="IJ13" s="374"/>
      <c r="IK13" s="374" t="s">
        <v>318</v>
      </c>
      <c r="IL13" s="374"/>
      <c r="IM13" s="374"/>
      <c r="IN13" s="374"/>
      <c r="IO13" s="374"/>
      <c r="IP13" s="374"/>
      <c r="IQ13" s="374" t="s">
        <v>318</v>
      </c>
      <c r="IR13" s="374" t="s">
        <v>318</v>
      </c>
      <c r="IS13" s="374" t="s">
        <v>318</v>
      </c>
      <c r="IT13" s="374" t="s">
        <v>318</v>
      </c>
      <c r="IU13" s="374" t="s">
        <v>318</v>
      </c>
      <c r="IV13" s="374" t="s">
        <v>318</v>
      </c>
      <c r="IW13" s="374" t="s">
        <v>318</v>
      </c>
      <c r="IX13" s="374"/>
      <c r="IY13" s="374"/>
      <c r="IZ13" s="374"/>
      <c r="JA13" s="374"/>
      <c r="JB13" s="374"/>
      <c r="JC13" s="374"/>
      <c r="JD13" s="374"/>
      <c r="JE13" s="374"/>
      <c r="JF13" s="374"/>
      <c r="JG13" s="374"/>
      <c r="JH13" s="374"/>
      <c r="JI13" s="374"/>
      <c r="JJ13" s="374"/>
      <c r="JK13" s="374"/>
      <c r="JL13" s="374"/>
      <c r="JM13" s="374"/>
      <c r="JN13" s="374"/>
      <c r="JO13" s="374"/>
      <c r="JP13" s="374"/>
      <c r="JQ13" s="374"/>
      <c r="JR13" s="374"/>
      <c r="JS13" s="374"/>
      <c r="JT13" s="374"/>
      <c r="JU13" s="374"/>
      <c r="JV13" s="374"/>
      <c r="JW13" s="374"/>
      <c r="JX13" s="374"/>
      <c r="JY13" s="374"/>
      <c r="JZ13" s="374"/>
      <c r="KA13" s="374"/>
      <c r="KB13" s="374"/>
      <c r="KC13" s="374"/>
      <c r="KD13" s="374"/>
      <c r="KE13" s="374"/>
      <c r="KF13" s="374"/>
      <c r="KG13" s="374"/>
      <c r="KH13" s="374"/>
      <c r="KI13" s="374"/>
      <c r="KJ13" s="374"/>
      <c r="KK13" s="374"/>
      <c r="KL13" s="374"/>
      <c r="KM13" s="374"/>
      <c r="KN13" s="374" t="s">
        <v>318</v>
      </c>
      <c r="KO13" s="374" t="s">
        <v>318</v>
      </c>
      <c r="KP13" s="374"/>
      <c r="KQ13" s="374"/>
      <c r="KR13" s="374" t="s">
        <v>318</v>
      </c>
      <c r="KS13" s="374"/>
      <c r="KT13" s="374"/>
      <c r="KU13" s="374"/>
      <c r="KV13" s="374"/>
      <c r="KW13" s="374"/>
      <c r="KX13" s="374" t="s">
        <v>318</v>
      </c>
      <c r="KY13" s="374"/>
      <c r="KZ13" s="374"/>
      <c r="LA13" s="374" t="s">
        <v>318</v>
      </c>
      <c r="LB13" s="374"/>
      <c r="LC13" s="374" t="s">
        <v>318</v>
      </c>
      <c r="LD13" s="374"/>
      <c r="LE13" s="374"/>
      <c r="LF13" s="374"/>
      <c r="LG13" s="374"/>
      <c r="LH13" s="374"/>
      <c r="LI13" s="374"/>
      <c r="LJ13" s="374"/>
      <c r="LK13" s="374"/>
      <c r="LL13" s="374"/>
      <c r="LM13" s="374"/>
      <c r="LN13" s="374"/>
      <c r="LO13" s="374"/>
      <c r="LP13" s="374"/>
      <c r="LQ13" s="374" t="s">
        <v>318</v>
      </c>
      <c r="LR13" s="374"/>
      <c r="LS13" s="374"/>
      <c r="LT13" s="374"/>
      <c r="LU13" s="374"/>
      <c r="LV13" s="374"/>
      <c r="LW13" s="374"/>
      <c r="LX13" s="374"/>
      <c r="LY13" s="374"/>
      <c r="LZ13" s="374"/>
      <c r="MA13" s="374" t="s">
        <v>318</v>
      </c>
      <c r="MB13" s="374"/>
      <c r="MC13" s="374"/>
      <c r="MD13" s="374"/>
      <c r="ME13" s="374"/>
      <c r="MF13" s="374"/>
      <c r="MG13" s="374"/>
      <c r="MH13" s="374"/>
      <c r="MI13" s="374"/>
      <c r="MJ13" s="374"/>
      <c r="MK13" s="374"/>
      <c r="ML13" s="374" t="s">
        <v>318</v>
      </c>
      <c r="MM13" s="374"/>
      <c r="MN13" s="374"/>
      <c r="MO13" s="374"/>
      <c r="MP13" s="374"/>
      <c r="MQ13" s="374"/>
      <c r="MR13" s="374" t="s">
        <v>318</v>
      </c>
      <c r="MS13" s="374"/>
      <c r="MT13" s="374" t="s">
        <v>318</v>
      </c>
      <c r="MU13" s="374" t="s">
        <v>1831</v>
      </c>
      <c r="MV13" s="374" t="s">
        <v>318</v>
      </c>
      <c r="MW13" s="374" t="s">
        <v>318</v>
      </c>
      <c r="MX13" s="374" t="s">
        <v>318</v>
      </c>
      <c r="MY13" s="374"/>
      <c r="MZ13" s="374"/>
      <c r="NA13" s="374" t="s">
        <v>1657</v>
      </c>
      <c r="NB13" s="374"/>
      <c r="NC13" s="374"/>
      <c r="ND13" s="374"/>
      <c r="NE13" s="374"/>
      <c r="NF13" s="374"/>
      <c r="NG13" s="374" t="s">
        <v>318</v>
      </c>
      <c r="NH13" s="374"/>
      <c r="NI13" s="374" t="s">
        <v>318</v>
      </c>
      <c r="NJ13" s="374" t="s">
        <v>1839</v>
      </c>
      <c r="NK13" s="374"/>
      <c r="NL13" s="374" t="s">
        <v>318</v>
      </c>
      <c r="NM13" s="374"/>
      <c r="NN13" s="374" t="s">
        <v>318</v>
      </c>
      <c r="NO13" s="374" t="s">
        <v>318</v>
      </c>
      <c r="NP13" s="374" t="s">
        <v>318</v>
      </c>
      <c r="NQ13" s="374"/>
      <c r="NR13" s="374"/>
      <c r="NS13" s="374"/>
      <c r="NT13" s="374"/>
      <c r="NU13" s="374"/>
      <c r="NV13" s="374" t="s">
        <v>318</v>
      </c>
      <c r="NW13" s="374"/>
      <c r="NX13" s="374" t="s">
        <v>318</v>
      </c>
      <c r="NY13" s="374"/>
      <c r="NZ13" s="374"/>
      <c r="OA13" s="374"/>
      <c r="OB13" s="374"/>
      <c r="OC13" s="374"/>
      <c r="OD13" s="374"/>
      <c r="OE13" s="374"/>
      <c r="OF13" s="374" t="s">
        <v>318</v>
      </c>
      <c r="OG13" s="374"/>
    </row>
    <row r="14" spans="1:397" ht="40.799999999999997">
      <c r="B14" s="382" t="s">
        <v>298</v>
      </c>
      <c r="C14" s="374">
        <v>3.5000000000000003E-2</v>
      </c>
      <c r="D14" s="374">
        <v>4.4999999999999998E-2</v>
      </c>
      <c r="E14" s="374">
        <v>0.02</v>
      </c>
      <c r="F14" s="374">
        <v>2.5000000000000001E-2</v>
      </c>
      <c r="G14" s="374">
        <v>0</v>
      </c>
      <c r="H14" s="374">
        <v>4.8000000000000001E-2</v>
      </c>
      <c r="I14" s="374">
        <v>4.8000000000000001E-2</v>
      </c>
      <c r="J14" s="374">
        <v>4.8000000000000001E-2</v>
      </c>
      <c r="K14" s="374" t="s">
        <v>1212</v>
      </c>
      <c r="L14" s="374" t="s">
        <v>1218</v>
      </c>
      <c r="M14" s="374">
        <v>4.7500000000000001E-2</v>
      </c>
      <c r="N14" s="374">
        <v>4.7500000000000001E-2</v>
      </c>
      <c r="O14" s="374">
        <v>4.7500000000000001E-2</v>
      </c>
      <c r="P14" s="374">
        <v>4.7500000000000001E-2</v>
      </c>
      <c r="Q14" s="374">
        <v>4.7500000000000001E-2</v>
      </c>
      <c r="R14" s="374">
        <v>4.7500000000000001E-2</v>
      </c>
      <c r="S14" s="374">
        <v>4.4999999999999998E-2</v>
      </c>
      <c r="T14" s="374">
        <v>4.7500000000000001E-2</v>
      </c>
      <c r="U14" s="374">
        <v>4.7500000000000001E-2</v>
      </c>
      <c r="V14" s="374">
        <v>4.7500000000000001E-2</v>
      </c>
      <c r="W14" s="374">
        <v>4.7500000000000001E-2</v>
      </c>
      <c r="X14" s="374">
        <v>4.7500000000000001E-2</v>
      </c>
      <c r="Y14" s="374">
        <v>4.9500000000000002E-2</v>
      </c>
      <c r="Z14" s="374">
        <v>4.7500000000000001E-2</v>
      </c>
      <c r="AA14" s="374">
        <v>4.7500000000000001E-2</v>
      </c>
      <c r="AB14" s="374">
        <v>3.5999999999999997E-2</v>
      </c>
      <c r="AC14" s="374" t="s">
        <v>1260</v>
      </c>
      <c r="AD14" s="374" t="s">
        <v>1265</v>
      </c>
      <c r="AE14" s="374">
        <v>2.5000000000000001E-2</v>
      </c>
      <c r="AF14" s="374">
        <v>0.03</v>
      </c>
      <c r="AG14" s="374">
        <v>2.5000000000000001E-2</v>
      </c>
      <c r="AH14" s="374" t="s">
        <v>1273</v>
      </c>
      <c r="AI14" s="374">
        <v>0.04</v>
      </c>
      <c r="AJ14" s="374">
        <v>0.04</v>
      </c>
      <c r="AK14" s="374">
        <v>0.05</v>
      </c>
      <c r="AL14" s="374">
        <v>4.7500000000000001E-2</v>
      </c>
      <c r="AM14" s="374">
        <v>0.04</v>
      </c>
      <c r="AN14" s="374">
        <v>4.65E-2</v>
      </c>
      <c r="AO14" s="374">
        <v>4.9500000000000002E-2</v>
      </c>
      <c r="AP14" s="374">
        <v>4.4999999999999998E-2</v>
      </c>
      <c r="AQ14" s="374">
        <v>2.0500000000000001E-2</v>
      </c>
      <c r="AR14" s="374">
        <v>2.0500000000000001E-2</v>
      </c>
      <c r="AS14" s="374">
        <v>4.65E-2</v>
      </c>
      <c r="AT14" s="374">
        <v>4.4999999999999998E-2</v>
      </c>
      <c r="AU14" s="374">
        <v>0.05</v>
      </c>
      <c r="AV14" s="374">
        <v>4.8000000000000001E-2</v>
      </c>
      <c r="AW14" s="374">
        <v>4.4999999999999998E-2</v>
      </c>
      <c r="AX14" s="374">
        <v>4.4999999999999998E-2</v>
      </c>
      <c r="AY14" s="374">
        <v>4.4999999999999998E-2</v>
      </c>
      <c r="AZ14" s="374">
        <v>0.03</v>
      </c>
      <c r="BA14" s="374">
        <v>0.05</v>
      </c>
      <c r="BB14" s="374">
        <v>0.04</v>
      </c>
      <c r="BC14" s="374">
        <v>4.8000000000000001E-2</v>
      </c>
      <c r="BD14" s="374">
        <v>4.8000000000000001E-2</v>
      </c>
      <c r="BE14" s="374">
        <v>0.04</v>
      </c>
      <c r="BF14" s="374">
        <v>0.04</v>
      </c>
      <c r="BG14" s="374">
        <v>0.04</v>
      </c>
      <c r="BH14" s="374">
        <v>0.04</v>
      </c>
      <c r="BI14" s="374">
        <v>4.9000000000000002E-2</v>
      </c>
      <c r="BJ14" s="374">
        <v>4.9000000000000002E-2</v>
      </c>
      <c r="BK14" s="374" t="s">
        <v>318</v>
      </c>
      <c r="BL14" s="374">
        <v>4.9000000000000002E-2</v>
      </c>
      <c r="BM14" s="374">
        <v>4.9000000000000002E-2</v>
      </c>
      <c r="BN14" s="374">
        <v>4.9000000000000002E-2</v>
      </c>
      <c r="BO14" s="374">
        <v>0.04</v>
      </c>
      <c r="BP14" s="374">
        <v>0.02</v>
      </c>
      <c r="BQ14" s="374" t="s">
        <v>1608</v>
      </c>
      <c r="BR14" s="374">
        <v>2.9000000000000001E-2</v>
      </c>
      <c r="BS14" s="374">
        <v>2.9000000000000001E-2</v>
      </c>
      <c r="BT14" s="374" t="s">
        <v>1608</v>
      </c>
      <c r="BU14" s="374">
        <v>0.03</v>
      </c>
      <c r="BV14" s="374">
        <v>2.5000000000000001E-2</v>
      </c>
      <c r="BW14" s="374" t="s">
        <v>1608</v>
      </c>
      <c r="BX14" s="374">
        <v>4.9000000000000002E-2</v>
      </c>
      <c r="BY14" s="374">
        <v>0.04</v>
      </c>
      <c r="BZ14" s="374" t="s">
        <v>1628</v>
      </c>
      <c r="CA14" s="374" t="s">
        <v>1628</v>
      </c>
      <c r="CB14" s="374"/>
      <c r="CC14" s="374"/>
      <c r="CD14" s="374"/>
      <c r="CE14" s="374"/>
      <c r="CF14" s="374"/>
      <c r="CG14" s="374" t="s">
        <v>1608</v>
      </c>
      <c r="CH14" s="374">
        <v>2.5000000000000001E-2</v>
      </c>
      <c r="CI14" s="374"/>
      <c r="CJ14" s="374"/>
      <c r="CK14" s="374"/>
      <c r="CL14" s="374"/>
      <c r="CM14" s="374"/>
      <c r="CN14" s="374"/>
      <c r="CO14" s="374"/>
      <c r="CP14" s="374"/>
      <c r="CQ14" s="374"/>
      <c r="CR14" s="374"/>
      <c r="CS14" s="374"/>
      <c r="CT14" s="374"/>
      <c r="CU14" s="374"/>
      <c r="CV14" s="374"/>
      <c r="CW14" s="374"/>
      <c r="CX14" s="374"/>
      <c r="CY14" s="374"/>
      <c r="CZ14" s="374"/>
      <c r="DA14" s="374" t="s">
        <v>1696</v>
      </c>
      <c r="DB14" s="374" t="s">
        <v>1701</v>
      </c>
      <c r="DC14" s="374" t="s">
        <v>1703</v>
      </c>
      <c r="DD14" s="374">
        <v>0.04</v>
      </c>
      <c r="DE14" s="374">
        <v>2.5000000000000001E-2</v>
      </c>
      <c r="DF14" s="374"/>
      <c r="DG14" s="374"/>
      <c r="DH14" s="374"/>
      <c r="DI14" s="374"/>
      <c r="DJ14" s="374"/>
      <c r="DK14" s="374"/>
      <c r="DL14" s="374"/>
      <c r="DM14" s="374"/>
      <c r="DN14" s="374"/>
      <c r="DO14" s="374"/>
      <c r="DP14" s="374"/>
      <c r="DQ14" s="374"/>
      <c r="DR14" s="374"/>
      <c r="DS14" s="374"/>
      <c r="DT14" s="374"/>
      <c r="DU14" s="374"/>
      <c r="DV14" s="374"/>
      <c r="DW14" s="374">
        <v>4.4999999999999998E-2</v>
      </c>
      <c r="DX14" s="374"/>
      <c r="DY14" s="374">
        <v>4.4999999999999998E-2</v>
      </c>
      <c r="DZ14" s="374"/>
      <c r="EA14" s="374">
        <v>4.4999999999999998E-2</v>
      </c>
      <c r="EB14" s="374">
        <v>4.4999999999999998E-2</v>
      </c>
      <c r="EC14" s="374">
        <v>4.4999999999999998E-2</v>
      </c>
      <c r="ED14" s="374">
        <v>4.4999999999999998E-2</v>
      </c>
      <c r="EE14" s="374">
        <v>4.9500000000000002E-2</v>
      </c>
      <c r="EF14" s="374">
        <v>0.05</v>
      </c>
      <c r="EG14" s="374">
        <v>6.5000000000000002E-2</v>
      </c>
      <c r="EH14" s="374">
        <v>0.03</v>
      </c>
      <c r="EI14" s="374">
        <v>4.4999999999999998E-2</v>
      </c>
      <c r="EJ14" s="374">
        <v>4.4999999999999998E-2</v>
      </c>
      <c r="EK14" s="374">
        <v>0.05</v>
      </c>
      <c r="EL14" s="374">
        <v>0.05</v>
      </c>
      <c r="EM14" s="374">
        <v>4.8500000000000001E-2</v>
      </c>
      <c r="EN14" s="374">
        <v>4.4999999999999998E-2</v>
      </c>
      <c r="EO14" s="374">
        <v>4.4999999999999998E-2</v>
      </c>
      <c r="EP14" s="374">
        <v>4.4999999999999998E-2</v>
      </c>
      <c r="EQ14" s="374">
        <v>4.4999999999999998E-2</v>
      </c>
      <c r="ER14" s="374">
        <v>6.5000000000000002E-2</v>
      </c>
      <c r="ES14" s="374" t="s">
        <v>1701</v>
      </c>
      <c r="ET14" s="374">
        <v>6.5000000000000002E-2</v>
      </c>
      <c r="EU14" s="374">
        <v>4.4999999999999998E-2</v>
      </c>
      <c r="EV14" s="374">
        <v>0.03</v>
      </c>
      <c r="EW14" s="374">
        <v>4.4999999999999998E-2</v>
      </c>
      <c r="EX14" s="374">
        <v>4.4999999999999998E-2</v>
      </c>
      <c r="EY14" s="374">
        <v>0.05</v>
      </c>
      <c r="EZ14" s="374">
        <v>4.9500000000000002E-2</v>
      </c>
      <c r="FA14" s="374">
        <v>4.9500000000000002E-2</v>
      </c>
      <c r="FB14" s="374">
        <v>4.9500000000000002E-2</v>
      </c>
      <c r="FC14" s="374">
        <v>4.9500000000000002E-2</v>
      </c>
      <c r="FD14" s="374">
        <v>4.9500000000000002E-2</v>
      </c>
      <c r="FE14" s="374">
        <v>4.4999999999999998E-2</v>
      </c>
      <c r="FF14" s="374"/>
      <c r="FG14" s="374"/>
      <c r="FH14" s="374"/>
      <c r="FI14" s="374"/>
      <c r="FJ14" s="374"/>
      <c r="FK14" s="374"/>
      <c r="FL14" s="374"/>
      <c r="FM14" s="374"/>
      <c r="FN14" s="374"/>
      <c r="FO14" s="374"/>
      <c r="FP14" s="374"/>
      <c r="FQ14" s="374"/>
      <c r="FR14" s="374"/>
      <c r="FS14" s="374"/>
      <c r="FT14" s="374"/>
      <c r="FU14" s="374"/>
      <c r="FV14" s="374"/>
      <c r="FW14" s="374"/>
      <c r="FX14" s="374"/>
      <c r="FY14" s="374">
        <v>4.4999999999999998E-2</v>
      </c>
      <c r="FZ14" s="374"/>
      <c r="GA14" s="374">
        <v>4.4999999999999998E-2</v>
      </c>
      <c r="GB14" s="374"/>
      <c r="GC14" s="374">
        <v>0.03</v>
      </c>
      <c r="GD14" s="374">
        <v>4.4999999999999998E-2</v>
      </c>
      <c r="GE14" s="374"/>
      <c r="GF14" s="374"/>
      <c r="GG14" s="374"/>
      <c r="GH14" s="374"/>
      <c r="GI14" s="374"/>
      <c r="GJ14" s="374">
        <v>4.9000000000000002E-2</v>
      </c>
      <c r="GK14" s="374">
        <v>4.4999999999999998E-2</v>
      </c>
      <c r="GL14" s="374"/>
      <c r="GM14" s="374"/>
      <c r="GN14" s="374"/>
      <c r="GO14" s="374"/>
      <c r="GP14" s="374"/>
      <c r="GQ14" s="374"/>
      <c r="GR14" s="374"/>
      <c r="GS14" s="374"/>
      <c r="GT14" s="374"/>
      <c r="GU14" s="374"/>
      <c r="GV14" s="374"/>
      <c r="GW14" s="374"/>
      <c r="GX14" s="374"/>
      <c r="GY14" s="374"/>
      <c r="GZ14" s="374"/>
      <c r="HA14" s="374"/>
      <c r="HB14" s="374"/>
      <c r="HC14" s="374"/>
      <c r="HD14" s="374"/>
      <c r="HE14" s="374"/>
      <c r="HF14" s="374"/>
      <c r="HG14" s="374"/>
      <c r="HH14" s="374">
        <v>3.9E-2</v>
      </c>
      <c r="HI14" s="374"/>
      <c r="HJ14" s="374"/>
      <c r="HK14" s="374"/>
      <c r="HL14" s="374"/>
      <c r="HM14" s="374"/>
      <c r="HN14" s="374"/>
      <c r="HO14" s="374"/>
      <c r="HP14" s="374"/>
      <c r="HQ14" s="374"/>
      <c r="HR14" s="374"/>
      <c r="HS14" s="374"/>
      <c r="HT14" s="374">
        <v>4.4999999999999998E-2</v>
      </c>
      <c r="HU14" s="374"/>
      <c r="HV14" s="374"/>
      <c r="HW14" s="374"/>
      <c r="HX14" s="374"/>
      <c r="HY14" s="374"/>
      <c r="HZ14" s="374"/>
      <c r="IA14" s="374"/>
      <c r="IB14" s="374"/>
      <c r="IC14" s="374"/>
      <c r="ID14" s="374"/>
      <c r="IE14" s="374"/>
      <c r="IF14" s="374"/>
      <c r="IG14" s="374">
        <v>3.7499999999999999E-2</v>
      </c>
      <c r="IH14" s="374"/>
      <c r="II14" s="374">
        <v>0.03</v>
      </c>
      <c r="IJ14" s="374"/>
      <c r="IK14" s="374">
        <v>2.5000000000000001E-2</v>
      </c>
      <c r="IL14" s="374"/>
      <c r="IM14" s="374"/>
      <c r="IN14" s="374"/>
      <c r="IO14" s="374"/>
      <c r="IP14" s="374"/>
      <c r="IQ14" s="374" t="s">
        <v>1653</v>
      </c>
      <c r="IR14" s="374">
        <v>4.7500000000000001E-2</v>
      </c>
      <c r="IS14" s="374">
        <v>4.7500000000000001E-2</v>
      </c>
      <c r="IT14" s="374">
        <v>4.7500000000000001E-2</v>
      </c>
      <c r="IU14" s="374">
        <v>4.9000000000000002E-2</v>
      </c>
      <c r="IV14" s="374">
        <v>4.7500000000000001E-2</v>
      </c>
      <c r="IW14" s="374">
        <v>4.7500000000000001E-2</v>
      </c>
      <c r="IX14" s="374"/>
      <c r="IY14" s="374"/>
      <c r="IZ14" s="374"/>
      <c r="JA14" s="374"/>
      <c r="JB14" s="374"/>
      <c r="JC14" s="374"/>
      <c r="JD14" s="374"/>
      <c r="JE14" s="374"/>
      <c r="JF14" s="374"/>
      <c r="JG14" s="374"/>
      <c r="JH14" s="374"/>
      <c r="JI14" s="374"/>
      <c r="JJ14" s="374"/>
      <c r="JK14" s="374"/>
      <c r="JL14" s="374"/>
      <c r="JM14" s="374"/>
      <c r="JN14" s="374"/>
      <c r="JO14" s="374"/>
      <c r="JP14" s="374"/>
      <c r="JQ14" s="374"/>
      <c r="JR14" s="374"/>
      <c r="JS14" s="374"/>
      <c r="JT14" s="374"/>
      <c r="JU14" s="374"/>
      <c r="JV14" s="374"/>
      <c r="JW14" s="374"/>
      <c r="JX14" s="374"/>
      <c r="JY14" s="374"/>
      <c r="JZ14" s="374"/>
      <c r="KA14" s="374"/>
      <c r="KB14" s="374"/>
      <c r="KC14" s="374"/>
      <c r="KD14" s="374"/>
      <c r="KE14" s="374"/>
      <c r="KF14" s="374"/>
      <c r="KG14" s="374"/>
      <c r="KH14" s="374"/>
      <c r="KI14" s="374"/>
      <c r="KJ14" s="374"/>
      <c r="KK14" s="374"/>
      <c r="KL14" s="374"/>
      <c r="KM14" s="374"/>
      <c r="KN14" s="374">
        <v>0.05</v>
      </c>
      <c r="KO14" s="374">
        <v>4.8500000000000001E-2</v>
      </c>
      <c r="KP14" s="374"/>
      <c r="KQ14" s="374"/>
      <c r="KR14" s="374">
        <v>4.4999999999999998E-2</v>
      </c>
      <c r="KS14" s="374"/>
      <c r="KT14" s="374"/>
      <c r="KU14" s="374"/>
      <c r="KV14" s="374"/>
      <c r="KW14" s="374"/>
      <c r="KX14" s="374">
        <v>4.8500000000000001E-2</v>
      </c>
      <c r="KY14" s="374"/>
      <c r="KZ14" s="374"/>
      <c r="LA14" s="374">
        <v>4.8500000000000001E-2</v>
      </c>
      <c r="LB14" s="374"/>
      <c r="LC14" s="374">
        <v>4.4999999999999998E-2</v>
      </c>
      <c r="LD14" s="374"/>
      <c r="LE14" s="374"/>
      <c r="LF14" s="374"/>
      <c r="LG14" s="374"/>
      <c r="LH14" s="374"/>
      <c r="LI14" s="374"/>
      <c r="LJ14" s="374"/>
      <c r="LK14" s="374"/>
      <c r="LL14" s="374"/>
      <c r="LM14" s="374"/>
      <c r="LN14" s="374"/>
      <c r="LO14" s="374"/>
      <c r="LP14" s="374"/>
      <c r="LQ14" s="374">
        <v>4.7500000000000001E-2</v>
      </c>
      <c r="LR14" s="374"/>
      <c r="LS14" s="374"/>
      <c r="LT14" s="374"/>
      <c r="LU14" s="374"/>
      <c r="LV14" s="374"/>
      <c r="LW14" s="374"/>
      <c r="LX14" s="374"/>
      <c r="LY14" s="374"/>
      <c r="LZ14" s="374"/>
      <c r="MA14" s="374">
        <v>4.4999999999999998E-2</v>
      </c>
      <c r="MB14" s="374"/>
      <c r="MC14" s="374"/>
      <c r="MD14" s="374"/>
      <c r="ME14" s="374"/>
      <c r="MF14" s="374"/>
      <c r="MG14" s="374"/>
      <c r="MH14" s="374"/>
      <c r="MI14" s="374"/>
      <c r="MJ14" s="374"/>
      <c r="MK14" s="374"/>
      <c r="ML14" s="374">
        <v>4.8000000000000001E-2</v>
      </c>
      <c r="MM14" s="374"/>
      <c r="MN14" s="374"/>
      <c r="MO14" s="374"/>
      <c r="MP14" s="374"/>
      <c r="MQ14" s="374"/>
      <c r="MR14" s="374">
        <v>6.5000000000000002E-2</v>
      </c>
      <c r="MS14" s="374"/>
      <c r="MT14" s="374">
        <v>4.8000000000000001E-2</v>
      </c>
      <c r="MU14" s="374">
        <v>0.05</v>
      </c>
      <c r="MV14" s="374">
        <v>0.05</v>
      </c>
      <c r="MW14" s="374">
        <v>0.05</v>
      </c>
      <c r="MX14" s="374">
        <v>4.4999999999999998E-2</v>
      </c>
      <c r="MY14" s="374"/>
      <c r="MZ14" s="374"/>
      <c r="NA14" s="374">
        <v>0.05</v>
      </c>
      <c r="NB14" s="374"/>
      <c r="NC14" s="374"/>
      <c r="ND14" s="374"/>
      <c r="NE14" s="374"/>
      <c r="NF14" s="374"/>
      <c r="NG14" s="374">
        <v>0.05</v>
      </c>
      <c r="NH14" s="374"/>
      <c r="NI14" s="374">
        <v>4.4999999999999998E-2</v>
      </c>
      <c r="NJ14" s="374">
        <v>4.4999999999999998E-2</v>
      </c>
      <c r="NK14" s="374"/>
      <c r="NL14" s="374">
        <v>3.9E-2</v>
      </c>
      <c r="NM14" s="374"/>
      <c r="NN14" s="374">
        <v>3.9E-2</v>
      </c>
      <c r="NO14" s="374">
        <v>3.9E-2</v>
      </c>
      <c r="NP14" s="374">
        <v>4.4999999999999998E-2</v>
      </c>
      <c r="NQ14" s="374"/>
      <c r="NR14" s="374"/>
      <c r="NS14" s="374"/>
      <c r="NT14" s="374"/>
      <c r="NU14" s="374"/>
      <c r="NV14" s="374">
        <v>0.05</v>
      </c>
      <c r="NW14" s="374"/>
      <c r="NX14" s="374">
        <v>0.05</v>
      </c>
      <c r="NY14" s="374"/>
      <c r="NZ14" s="374"/>
      <c r="OA14" s="374"/>
      <c r="OB14" s="374"/>
      <c r="OC14" s="374"/>
      <c r="OD14" s="374"/>
      <c r="OE14" s="374"/>
      <c r="OF14" s="374">
        <v>0.05</v>
      </c>
      <c r="OG14" s="374"/>
    </row>
    <row r="15" spans="1:397" ht="61.2">
      <c r="B15" s="382" t="s">
        <v>408</v>
      </c>
      <c r="C15" s="374">
        <v>3.0000000000000001E-3</v>
      </c>
      <c r="D15" s="374" t="s">
        <v>1202</v>
      </c>
      <c r="E15" s="374">
        <v>3.7000000000000002E-3</v>
      </c>
      <c r="F15" s="374">
        <v>6.0000000000000001E-3</v>
      </c>
      <c r="G15" s="374" t="s">
        <v>1201</v>
      </c>
      <c r="H15" s="374" t="s">
        <v>318</v>
      </c>
      <c r="I15" s="374">
        <v>8.9999999999999993E-3</v>
      </c>
      <c r="J15" s="374">
        <v>9.4999999999999998E-3</v>
      </c>
      <c r="K15" s="374">
        <v>9.4999999999999998E-3</v>
      </c>
      <c r="L15" s="374">
        <v>1.2E-2</v>
      </c>
      <c r="M15" s="374">
        <v>4.7499999999999999E-3</v>
      </c>
      <c r="N15" s="374">
        <v>4.7499999999999999E-3</v>
      </c>
      <c r="O15" s="374" t="s">
        <v>1232</v>
      </c>
      <c r="P15" s="374" t="s">
        <v>1232</v>
      </c>
      <c r="Q15" s="374" t="s">
        <v>1232</v>
      </c>
      <c r="R15" s="374" t="s">
        <v>1232</v>
      </c>
      <c r="S15" s="374">
        <v>9.5999999999999992E-3</v>
      </c>
      <c r="T15" s="374">
        <v>4.7499999999999999E-3</v>
      </c>
      <c r="U15" s="374" t="s">
        <v>1250</v>
      </c>
      <c r="V15" s="374" t="s">
        <v>1250</v>
      </c>
      <c r="W15" s="374" t="s">
        <v>1232</v>
      </c>
      <c r="X15" s="374" t="s">
        <v>1232</v>
      </c>
      <c r="Y15" s="374" t="s">
        <v>1254</v>
      </c>
      <c r="Z15" s="374" t="s">
        <v>1232</v>
      </c>
      <c r="AA15" s="374">
        <v>6.4999999999999997E-3</v>
      </c>
      <c r="AB15" s="374">
        <v>6.0000000000000001E-3</v>
      </c>
      <c r="AC15" s="374">
        <v>9.5999999999999992E-3</v>
      </c>
      <c r="AD15" s="374">
        <v>9.5999999999999992E-3</v>
      </c>
      <c r="AE15" s="374">
        <v>8.3999999999999995E-3</v>
      </c>
      <c r="AF15" s="374" t="s">
        <v>1573</v>
      </c>
      <c r="AG15" s="374" t="s">
        <v>1269</v>
      </c>
      <c r="AH15" s="374">
        <v>7.4999999999999997E-3</v>
      </c>
      <c r="AI15" s="374">
        <v>5.0000000000000001E-3</v>
      </c>
      <c r="AJ15" s="374">
        <v>0.01</v>
      </c>
      <c r="AK15" s="374" t="s">
        <v>1279</v>
      </c>
      <c r="AL15" s="374" t="s">
        <v>1285</v>
      </c>
      <c r="AM15" s="374" t="s">
        <v>1290</v>
      </c>
      <c r="AN15" s="374" t="s">
        <v>1292</v>
      </c>
      <c r="AO15" s="374">
        <v>8.0000000000000002E-3</v>
      </c>
      <c r="AP15" s="374">
        <v>0.01</v>
      </c>
      <c r="AQ15" s="374">
        <v>6.0000000000000001E-3</v>
      </c>
      <c r="AR15" s="374">
        <v>6.0000000000000001E-3</v>
      </c>
      <c r="AS15" s="374" t="s">
        <v>1292</v>
      </c>
      <c r="AT15" s="374" t="s">
        <v>1306</v>
      </c>
      <c r="AU15" s="374">
        <v>9.5999999999999992E-3</v>
      </c>
      <c r="AV15" s="374">
        <v>8.0000000000000002E-3</v>
      </c>
      <c r="AW15" s="374" t="s">
        <v>1310</v>
      </c>
      <c r="AX15" s="374">
        <v>0.01</v>
      </c>
      <c r="AY15" s="374" t="s">
        <v>1313</v>
      </c>
      <c r="AZ15" s="374">
        <v>8.9999999999999993E-3</v>
      </c>
      <c r="BA15" s="374">
        <v>6.0000000000000001E-3</v>
      </c>
      <c r="BB15" s="374">
        <v>8.0000000000000002E-3</v>
      </c>
      <c r="BC15" s="374">
        <v>8.0000000000000002E-3</v>
      </c>
      <c r="BD15" s="374">
        <v>8.0000000000000002E-3</v>
      </c>
      <c r="BE15" s="374">
        <v>8.0000000000000002E-3</v>
      </c>
      <c r="BF15" s="374">
        <v>8.0000000000000002E-3</v>
      </c>
      <c r="BG15" s="374">
        <v>8.0000000000000002E-3</v>
      </c>
      <c r="BH15" s="374">
        <v>8.0000000000000002E-3</v>
      </c>
      <c r="BI15" s="374">
        <v>0.01</v>
      </c>
      <c r="BJ15" s="374">
        <v>0.01</v>
      </c>
      <c r="BK15" s="374">
        <v>7.0000000000000001E-3</v>
      </c>
      <c r="BL15" s="374" t="s">
        <v>1599</v>
      </c>
      <c r="BM15" s="374" t="s">
        <v>1599</v>
      </c>
      <c r="BN15" s="374" t="s">
        <v>1599</v>
      </c>
      <c r="BO15" s="374">
        <v>8.0000000000000002E-3</v>
      </c>
      <c r="BP15" s="374">
        <v>7.0000000000000001E-3</v>
      </c>
      <c r="BQ15" s="374">
        <v>7.0000000000000001E-3</v>
      </c>
      <c r="BR15" s="374">
        <v>8.9999999999999993E-3</v>
      </c>
      <c r="BS15" s="374">
        <v>8.9999999999999993E-3</v>
      </c>
      <c r="BT15" s="374">
        <v>5.0000000000000001E-3</v>
      </c>
      <c r="BU15" s="374" t="s">
        <v>1618</v>
      </c>
      <c r="BV15" s="374" t="s">
        <v>1621</v>
      </c>
      <c r="BW15" s="374">
        <v>7.0000000000000001E-3</v>
      </c>
      <c r="BX15" s="374">
        <v>9.4999999999999998E-3</v>
      </c>
      <c r="BY15" s="374">
        <v>8.9999999999999993E-3</v>
      </c>
      <c r="BZ15" s="374">
        <v>6.0000000000000001E-3</v>
      </c>
      <c r="CA15" s="374">
        <v>6.0000000000000001E-3</v>
      </c>
      <c r="CB15" s="374"/>
      <c r="CC15" s="374"/>
      <c r="CD15" s="374"/>
      <c r="CE15" s="374"/>
      <c r="CF15" s="374"/>
      <c r="CG15" s="374">
        <v>7.0000000000000001E-3</v>
      </c>
      <c r="CH15" s="374" t="s">
        <v>1621</v>
      </c>
      <c r="CI15" s="374"/>
      <c r="CJ15" s="374"/>
      <c r="CK15" s="374"/>
      <c r="CL15" s="374"/>
      <c r="CM15" s="374"/>
      <c r="CN15" s="374"/>
      <c r="CO15" s="374"/>
      <c r="CP15" s="374"/>
      <c r="CQ15" s="374"/>
      <c r="CR15" s="374"/>
      <c r="CS15" s="374"/>
      <c r="CT15" s="374"/>
      <c r="CU15" s="374"/>
      <c r="CV15" s="374"/>
      <c r="CW15" s="374"/>
      <c r="CX15" s="374"/>
      <c r="CY15" s="374"/>
      <c r="CZ15" s="374"/>
      <c r="DA15" s="374" t="s">
        <v>330</v>
      </c>
      <c r="DB15" s="374">
        <v>5.0000000000000001E-3</v>
      </c>
      <c r="DC15" s="374" t="s">
        <v>329</v>
      </c>
      <c r="DD15" s="374" t="s">
        <v>328</v>
      </c>
      <c r="DE15" s="374" t="s">
        <v>1718</v>
      </c>
      <c r="DF15" s="374"/>
      <c r="DG15" s="374"/>
      <c r="DH15" s="374"/>
      <c r="DI15" s="374"/>
      <c r="DJ15" s="374"/>
      <c r="DK15" s="374"/>
      <c r="DL15" s="374"/>
      <c r="DM15" s="374"/>
      <c r="DN15" s="374"/>
      <c r="DO15" s="374"/>
      <c r="DP15" s="374"/>
      <c r="DQ15" s="374"/>
      <c r="DR15" s="374"/>
      <c r="DS15" s="374"/>
      <c r="DT15" s="374"/>
      <c r="DU15" s="374"/>
      <c r="DV15" s="374"/>
      <c r="DW15" s="374" t="s">
        <v>334</v>
      </c>
      <c r="DX15" s="374"/>
      <c r="DY15" s="374" t="s">
        <v>334</v>
      </c>
      <c r="DZ15" s="374"/>
      <c r="EA15" s="374" t="s">
        <v>334</v>
      </c>
      <c r="EB15" s="374" t="s">
        <v>318</v>
      </c>
      <c r="EC15" s="374">
        <v>9.5999999999999992E-3</v>
      </c>
      <c r="ED15" s="374">
        <v>9.5999999999999992E-3</v>
      </c>
      <c r="EE15" s="374" t="s">
        <v>1753</v>
      </c>
      <c r="EF15" s="374">
        <v>6.0000000000000001E-3</v>
      </c>
      <c r="EG15" s="374" t="s">
        <v>318</v>
      </c>
      <c r="EH15" s="374">
        <v>9.5999999999999992E-3</v>
      </c>
      <c r="EI15" s="374" t="s">
        <v>336</v>
      </c>
      <c r="EJ15" s="374">
        <v>6.0000000000000001E-3</v>
      </c>
      <c r="EK15" s="374">
        <v>9.5999999999999992E-3</v>
      </c>
      <c r="EL15" s="374">
        <v>8.0000000000000002E-3</v>
      </c>
      <c r="EM15" s="374">
        <v>8.9999999999999993E-3</v>
      </c>
      <c r="EN15" s="374" t="s">
        <v>336</v>
      </c>
      <c r="EO15" s="374" t="s">
        <v>1767</v>
      </c>
      <c r="EP15" s="374" t="s">
        <v>336</v>
      </c>
      <c r="EQ15" s="374">
        <v>9.5999999999999992E-3</v>
      </c>
      <c r="ER15" s="374" t="s">
        <v>318</v>
      </c>
      <c r="ES15" s="374">
        <v>9.5999999999999992E-3</v>
      </c>
      <c r="ET15" s="374">
        <v>5.0000000000000001E-3</v>
      </c>
      <c r="EU15" s="374">
        <v>8.9999999999999993E-3</v>
      </c>
      <c r="EV15" s="374">
        <v>9.5999999999999992E-3</v>
      </c>
      <c r="EW15" s="374" t="s">
        <v>336</v>
      </c>
      <c r="EX15" s="374">
        <v>6.0000000000000001E-3</v>
      </c>
      <c r="EY15" s="374">
        <v>6.0000000000000001E-3</v>
      </c>
      <c r="EZ15" s="374" t="s">
        <v>321</v>
      </c>
      <c r="FA15" s="374" t="s">
        <v>321</v>
      </c>
      <c r="FB15" s="374" t="s">
        <v>321</v>
      </c>
      <c r="FC15" s="374" t="s">
        <v>321</v>
      </c>
      <c r="FD15" s="374" t="s">
        <v>322</v>
      </c>
      <c r="FE15" s="374" t="s">
        <v>323</v>
      </c>
      <c r="FF15" s="374"/>
      <c r="FG15" s="374"/>
      <c r="FH15" s="374"/>
      <c r="FI15" s="374"/>
      <c r="FJ15" s="374"/>
      <c r="FK15" s="374"/>
      <c r="FL15" s="374"/>
      <c r="FM15" s="374"/>
      <c r="FN15" s="374"/>
      <c r="FO15" s="374"/>
      <c r="FP15" s="374"/>
      <c r="FQ15" s="374"/>
      <c r="FR15" s="374"/>
      <c r="FS15" s="374"/>
      <c r="FT15" s="374"/>
      <c r="FU15" s="374"/>
      <c r="FV15" s="374"/>
      <c r="FW15" s="374"/>
      <c r="FX15" s="374"/>
      <c r="FY15" s="374">
        <v>6.0000000000000001E-3</v>
      </c>
      <c r="FZ15" s="374"/>
      <c r="GA15" s="374">
        <v>6.0000000000000001E-3</v>
      </c>
      <c r="GB15" s="374"/>
      <c r="GC15" s="374">
        <v>8.9999999999999993E-3</v>
      </c>
      <c r="GD15" s="374" t="s">
        <v>325</v>
      </c>
      <c r="GE15" s="374"/>
      <c r="GF15" s="374"/>
      <c r="GG15" s="374"/>
      <c r="GH15" s="374"/>
      <c r="GI15" s="374"/>
      <c r="GJ15" s="374" t="s">
        <v>318</v>
      </c>
      <c r="GK15" s="374" t="s">
        <v>334</v>
      </c>
      <c r="GL15" s="374"/>
      <c r="GM15" s="374"/>
      <c r="GN15" s="374"/>
      <c r="GO15" s="374"/>
      <c r="GP15" s="374"/>
      <c r="GQ15" s="374"/>
      <c r="GR15" s="374"/>
      <c r="GS15" s="374"/>
      <c r="GT15" s="374"/>
      <c r="GU15" s="374"/>
      <c r="GV15" s="374"/>
      <c r="GW15" s="374"/>
      <c r="GX15" s="374"/>
      <c r="GY15" s="374"/>
      <c r="GZ15" s="374"/>
      <c r="HA15" s="374"/>
      <c r="HB15" s="374"/>
      <c r="HC15" s="374"/>
      <c r="HD15" s="374"/>
      <c r="HE15" s="374"/>
      <c r="HF15" s="374"/>
      <c r="HG15" s="374"/>
      <c r="HH15" s="374" t="s">
        <v>333</v>
      </c>
      <c r="HI15" s="374"/>
      <c r="HJ15" s="374"/>
      <c r="HK15" s="374"/>
      <c r="HL15" s="374"/>
      <c r="HM15" s="374"/>
      <c r="HN15" s="374"/>
      <c r="HO15" s="374"/>
      <c r="HP15" s="374"/>
      <c r="HQ15" s="374"/>
      <c r="HR15" s="374"/>
      <c r="HS15" s="374"/>
      <c r="HT15" s="374" t="s">
        <v>1956</v>
      </c>
      <c r="HU15" s="374"/>
      <c r="HV15" s="374"/>
      <c r="HW15" s="374"/>
      <c r="HX15" s="374"/>
      <c r="HY15" s="374"/>
      <c r="HZ15" s="374"/>
      <c r="IA15" s="374"/>
      <c r="IB15" s="374"/>
      <c r="IC15" s="374"/>
      <c r="ID15" s="374"/>
      <c r="IE15" s="374"/>
      <c r="IF15" s="374"/>
      <c r="IG15" s="374" t="s">
        <v>324</v>
      </c>
      <c r="IH15" s="374"/>
      <c r="II15" s="374">
        <v>5.0000000000000001E-3</v>
      </c>
      <c r="IJ15" s="374"/>
      <c r="IK15" s="374" t="s">
        <v>327</v>
      </c>
      <c r="IL15" s="374"/>
      <c r="IM15" s="374"/>
      <c r="IN15" s="374"/>
      <c r="IO15" s="374"/>
      <c r="IP15" s="374"/>
      <c r="IQ15" s="374" t="s">
        <v>1654</v>
      </c>
      <c r="IR15" s="374" t="s">
        <v>1654</v>
      </c>
      <c r="IS15" s="374" t="s">
        <v>1654</v>
      </c>
      <c r="IT15" s="374" t="s">
        <v>1285</v>
      </c>
      <c r="IU15" s="374">
        <v>7.7999999999999996E-3</v>
      </c>
      <c r="IV15" s="374" t="s">
        <v>1650</v>
      </c>
      <c r="IW15" s="374" t="s">
        <v>335</v>
      </c>
      <c r="IX15" s="374"/>
      <c r="IY15" s="374"/>
      <c r="IZ15" s="374"/>
      <c r="JA15" s="374"/>
      <c r="JB15" s="374"/>
      <c r="JC15" s="374"/>
      <c r="JD15" s="374"/>
      <c r="JE15" s="374"/>
      <c r="JF15" s="374"/>
      <c r="JG15" s="374"/>
      <c r="JH15" s="374"/>
      <c r="JI15" s="374"/>
      <c r="JJ15" s="374"/>
      <c r="JK15" s="374"/>
      <c r="JL15" s="374"/>
      <c r="JM15" s="374"/>
      <c r="JN15" s="374"/>
      <c r="JO15" s="374"/>
      <c r="JP15" s="374"/>
      <c r="JQ15" s="374"/>
      <c r="JR15" s="374"/>
      <c r="JS15" s="374"/>
      <c r="JT15" s="374"/>
      <c r="JU15" s="374"/>
      <c r="JV15" s="374"/>
      <c r="JW15" s="374"/>
      <c r="JX15" s="374"/>
      <c r="JY15" s="374"/>
      <c r="JZ15" s="374"/>
      <c r="KA15" s="374"/>
      <c r="KB15" s="374"/>
      <c r="KC15" s="374"/>
      <c r="KD15" s="374"/>
      <c r="KE15" s="374"/>
      <c r="KF15" s="374"/>
      <c r="KG15" s="374"/>
      <c r="KH15" s="374"/>
      <c r="KI15" s="374"/>
      <c r="KJ15" s="374"/>
      <c r="KK15" s="374"/>
      <c r="KL15" s="374"/>
      <c r="KM15" s="374"/>
      <c r="KN15" s="374">
        <v>9.5999999999999992E-3</v>
      </c>
      <c r="KO15" s="374">
        <v>1.2E-2</v>
      </c>
      <c r="KP15" s="374"/>
      <c r="KQ15" s="374"/>
      <c r="KR15" s="374">
        <v>0.01</v>
      </c>
      <c r="KS15" s="374"/>
      <c r="KT15" s="374"/>
      <c r="KU15" s="374"/>
      <c r="KV15" s="374"/>
      <c r="KW15" s="374"/>
      <c r="KX15" s="374">
        <v>1.2E-2</v>
      </c>
      <c r="KY15" s="374"/>
      <c r="KZ15" s="374"/>
      <c r="LA15" s="374" t="s">
        <v>327</v>
      </c>
      <c r="LB15" s="374"/>
      <c r="LC15" s="374" t="s">
        <v>1823</v>
      </c>
      <c r="LD15" s="374"/>
      <c r="LE15" s="374"/>
      <c r="LF15" s="374"/>
      <c r="LG15" s="374"/>
      <c r="LH15" s="374"/>
      <c r="LI15" s="374"/>
      <c r="LJ15" s="374"/>
      <c r="LK15" s="374"/>
      <c r="LL15" s="374"/>
      <c r="LM15" s="374"/>
      <c r="LN15" s="374"/>
      <c r="LO15" s="374"/>
      <c r="LP15" s="374"/>
      <c r="LQ15" s="374" t="s">
        <v>1285</v>
      </c>
      <c r="LR15" s="374"/>
      <c r="LS15" s="374"/>
      <c r="LT15" s="374"/>
      <c r="LU15" s="374"/>
      <c r="LV15" s="374"/>
      <c r="LW15" s="374"/>
      <c r="LX15" s="374"/>
      <c r="LY15" s="374"/>
      <c r="LZ15" s="374"/>
      <c r="MA15" s="374">
        <v>0.01</v>
      </c>
      <c r="MB15" s="374"/>
      <c r="MC15" s="374"/>
      <c r="MD15" s="374"/>
      <c r="ME15" s="374"/>
      <c r="MF15" s="374"/>
      <c r="MG15" s="374"/>
      <c r="MH15" s="374"/>
      <c r="MI15" s="374"/>
      <c r="MJ15" s="374"/>
      <c r="MK15" s="374"/>
      <c r="ML15" s="374" t="s">
        <v>326</v>
      </c>
      <c r="MM15" s="374"/>
      <c r="MN15" s="374"/>
      <c r="MO15" s="374"/>
      <c r="MP15" s="374"/>
      <c r="MQ15" s="374"/>
      <c r="MR15" s="374" t="s">
        <v>1830</v>
      </c>
      <c r="MS15" s="374"/>
      <c r="MT15" s="374">
        <v>8.5000000000000006E-3</v>
      </c>
      <c r="MU15" s="374">
        <v>0.01</v>
      </c>
      <c r="MV15" s="374" t="s">
        <v>331</v>
      </c>
      <c r="MW15" s="374" t="s">
        <v>332</v>
      </c>
      <c r="MX15" s="374" t="s">
        <v>336</v>
      </c>
      <c r="MY15" s="374"/>
      <c r="MZ15" s="374"/>
      <c r="NA15" s="374">
        <v>7.4999999999999997E-3</v>
      </c>
      <c r="NB15" s="374"/>
      <c r="NC15" s="374"/>
      <c r="ND15" s="374"/>
      <c r="NE15" s="374"/>
      <c r="NF15" s="374"/>
      <c r="NG15" s="374">
        <v>9.5999999999999992E-3</v>
      </c>
      <c r="NH15" s="374"/>
      <c r="NI15" s="374">
        <v>8.0000000000000002E-3</v>
      </c>
      <c r="NJ15" s="374">
        <v>8.0000000000000002E-3</v>
      </c>
      <c r="NK15" s="374"/>
      <c r="NL15" s="374">
        <v>8.9999999999999993E-3</v>
      </c>
      <c r="NM15" s="374"/>
      <c r="NN15" s="374">
        <v>7.0000000000000001E-3</v>
      </c>
      <c r="NO15" s="374">
        <v>7.0000000000000001E-3</v>
      </c>
      <c r="NP15" s="374">
        <v>0.01</v>
      </c>
      <c r="NQ15" s="374"/>
      <c r="NR15" s="374"/>
      <c r="NS15" s="374"/>
      <c r="NT15" s="374"/>
      <c r="NU15" s="374"/>
      <c r="NV15" s="374">
        <v>9.4999999999999998E-3</v>
      </c>
      <c r="NW15" s="374"/>
      <c r="NX15" s="374" t="s">
        <v>1847</v>
      </c>
      <c r="NY15" s="374"/>
      <c r="NZ15" s="374"/>
      <c r="OA15" s="374"/>
      <c r="OB15" s="374"/>
      <c r="OC15" s="374"/>
      <c r="OD15" s="374"/>
      <c r="OE15" s="374"/>
      <c r="OF15" s="374" t="s">
        <v>1851</v>
      </c>
      <c r="OG15" s="374"/>
    </row>
    <row r="16" spans="1:397" ht="30.6">
      <c r="B16" s="382" t="s">
        <v>299</v>
      </c>
      <c r="C16" s="374" t="s">
        <v>320</v>
      </c>
      <c r="D16" s="374" t="s">
        <v>1192</v>
      </c>
      <c r="E16" s="374" t="s">
        <v>320</v>
      </c>
      <c r="F16" s="374" t="s">
        <v>1198</v>
      </c>
      <c r="G16" s="374">
        <v>0</v>
      </c>
      <c r="H16" s="374">
        <v>6.0000000000000001E-3</v>
      </c>
      <c r="I16" s="374">
        <v>6.0000000000000001E-3</v>
      </c>
      <c r="J16" s="374">
        <v>6.0000000000000001E-3</v>
      </c>
      <c r="K16" s="374">
        <v>6.0000000000000001E-3</v>
      </c>
      <c r="L16" s="374">
        <v>6.0000000000000001E-3</v>
      </c>
      <c r="M16" s="374" t="s">
        <v>320</v>
      </c>
      <c r="N16" s="374" t="s">
        <v>320</v>
      </c>
      <c r="O16" s="374" t="s">
        <v>1233</v>
      </c>
      <c r="P16" s="374" t="s">
        <v>1233</v>
      </c>
      <c r="Q16" s="374" t="s">
        <v>1233</v>
      </c>
      <c r="R16" s="374" t="s">
        <v>1233</v>
      </c>
      <c r="S16" s="374" t="s">
        <v>1233</v>
      </c>
      <c r="T16" s="374" t="s">
        <v>320</v>
      </c>
      <c r="U16" s="374" t="s">
        <v>320</v>
      </c>
      <c r="V16" s="374" t="s">
        <v>320</v>
      </c>
      <c r="W16" s="374" t="s">
        <v>1233</v>
      </c>
      <c r="X16" s="374" t="s">
        <v>1233</v>
      </c>
      <c r="Y16" s="374" t="s">
        <v>1233</v>
      </c>
      <c r="Z16" s="374" t="s">
        <v>1233</v>
      </c>
      <c r="AA16" s="374" t="s">
        <v>1233</v>
      </c>
      <c r="AB16" s="374" t="s">
        <v>318</v>
      </c>
      <c r="AC16" s="374" t="s">
        <v>338</v>
      </c>
      <c r="AD16" s="374" t="s">
        <v>338</v>
      </c>
      <c r="AE16" s="374" t="s">
        <v>338</v>
      </c>
      <c r="AF16" s="374" t="s">
        <v>1574</v>
      </c>
      <c r="AG16" s="374" t="s">
        <v>1270</v>
      </c>
      <c r="AH16" s="374" t="s">
        <v>320</v>
      </c>
      <c r="AI16" s="374" t="s">
        <v>320</v>
      </c>
      <c r="AJ16" s="374" t="s">
        <v>1268</v>
      </c>
      <c r="AK16" s="374" t="s">
        <v>1280</v>
      </c>
      <c r="AL16" s="374">
        <v>0.01</v>
      </c>
      <c r="AM16" s="374" t="s">
        <v>338</v>
      </c>
      <c r="AN16" s="374" t="s">
        <v>338</v>
      </c>
      <c r="AO16" s="374" t="s">
        <v>320</v>
      </c>
      <c r="AP16" s="374">
        <v>5.0000000000000001E-3</v>
      </c>
      <c r="AQ16" s="374" t="s">
        <v>320</v>
      </c>
      <c r="AR16" s="374" t="s">
        <v>320</v>
      </c>
      <c r="AS16" s="374" t="s">
        <v>338</v>
      </c>
      <c r="AT16" s="374" t="s">
        <v>338</v>
      </c>
      <c r="AU16" s="374">
        <v>6.0000000000000001E-3</v>
      </c>
      <c r="AV16" s="374">
        <v>5.0000000000000001E-3</v>
      </c>
      <c r="AW16" s="374" t="s">
        <v>1312</v>
      </c>
      <c r="AX16" s="374">
        <v>6.0000000000000001E-3</v>
      </c>
      <c r="AY16" s="374" t="s">
        <v>1314</v>
      </c>
      <c r="AZ16" s="374" t="s">
        <v>320</v>
      </c>
      <c r="BA16" s="374" t="s">
        <v>320</v>
      </c>
      <c r="BB16" s="374" t="s">
        <v>1268</v>
      </c>
      <c r="BC16" s="374">
        <v>5.0000000000000001E-3</v>
      </c>
      <c r="BD16" s="374">
        <v>5.0000000000000001E-3</v>
      </c>
      <c r="BE16" s="374" t="s">
        <v>1268</v>
      </c>
      <c r="BF16" s="374" t="s">
        <v>1268</v>
      </c>
      <c r="BG16" s="374" t="s">
        <v>1268</v>
      </c>
      <c r="BH16" s="374" t="s">
        <v>1268</v>
      </c>
      <c r="BI16" s="374" t="s">
        <v>1268</v>
      </c>
      <c r="BJ16" s="374" t="s">
        <v>1268</v>
      </c>
      <c r="BK16" s="374" t="s">
        <v>320</v>
      </c>
      <c r="BL16" s="374">
        <v>8.0000000000000002E-3</v>
      </c>
      <c r="BM16" s="374">
        <v>8.0000000000000002E-3</v>
      </c>
      <c r="BN16" s="374">
        <v>8.0000000000000002E-3</v>
      </c>
      <c r="BO16" s="374" t="s">
        <v>1268</v>
      </c>
      <c r="BP16" s="374" t="s">
        <v>320</v>
      </c>
      <c r="BQ16" s="374" t="s">
        <v>320</v>
      </c>
      <c r="BR16" s="374" t="s">
        <v>1611</v>
      </c>
      <c r="BS16" s="374" t="s">
        <v>1611</v>
      </c>
      <c r="BT16" s="374" t="s">
        <v>320</v>
      </c>
      <c r="BU16" s="374" t="s">
        <v>1617</v>
      </c>
      <c r="BV16" s="374" t="s">
        <v>1622</v>
      </c>
      <c r="BW16" s="374" t="s">
        <v>320</v>
      </c>
      <c r="BX16" s="374" t="s">
        <v>1626</v>
      </c>
      <c r="BY16" s="374" t="s">
        <v>1611</v>
      </c>
      <c r="BZ16" s="374" t="s">
        <v>1629</v>
      </c>
      <c r="CA16" s="374" t="s">
        <v>340</v>
      </c>
      <c r="CB16" s="374"/>
      <c r="CC16" s="374"/>
      <c r="CD16" s="374"/>
      <c r="CE16" s="374"/>
      <c r="CF16" s="374"/>
      <c r="CG16" s="374" t="s">
        <v>320</v>
      </c>
      <c r="CH16" s="374" t="s">
        <v>1622</v>
      </c>
      <c r="CI16" s="374"/>
      <c r="CJ16" s="374"/>
      <c r="CK16" s="374"/>
      <c r="CL16" s="374"/>
      <c r="CM16" s="374"/>
      <c r="CN16" s="374"/>
      <c r="CO16" s="374"/>
      <c r="CP16" s="374"/>
      <c r="CQ16" s="374"/>
      <c r="CR16" s="374"/>
      <c r="CS16" s="374"/>
      <c r="CT16" s="374"/>
      <c r="CU16" s="374"/>
      <c r="CV16" s="374"/>
      <c r="CW16" s="374"/>
      <c r="CX16" s="374"/>
      <c r="CY16" s="374"/>
      <c r="CZ16" s="374"/>
      <c r="DA16" s="374">
        <v>0.01</v>
      </c>
      <c r="DB16" s="374" t="s">
        <v>320</v>
      </c>
      <c r="DC16" s="374">
        <v>0.01</v>
      </c>
      <c r="DD16" s="374" t="s">
        <v>1714</v>
      </c>
      <c r="DE16" s="374" t="s">
        <v>1717</v>
      </c>
      <c r="DF16" s="374"/>
      <c r="DG16" s="374"/>
      <c r="DH16" s="374"/>
      <c r="DI16" s="374"/>
      <c r="DJ16" s="374"/>
      <c r="DK16" s="374"/>
      <c r="DL16" s="374"/>
      <c r="DM16" s="374"/>
      <c r="DN16" s="374"/>
      <c r="DO16" s="374"/>
      <c r="DP16" s="374"/>
      <c r="DQ16" s="374"/>
      <c r="DR16" s="374"/>
      <c r="DS16" s="374"/>
      <c r="DT16" s="374"/>
      <c r="DU16" s="374"/>
      <c r="DV16" s="374"/>
      <c r="DW16" s="374">
        <v>0</v>
      </c>
      <c r="DX16" s="374"/>
      <c r="DY16" s="374">
        <v>0</v>
      </c>
      <c r="DZ16" s="374"/>
      <c r="EA16" s="374">
        <v>0</v>
      </c>
      <c r="EB16" s="374">
        <v>0</v>
      </c>
      <c r="EC16" s="374" t="s">
        <v>1626</v>
      </c>
      <c r="ED16" s="374" t="s">
        <v>1626</v>
      </c>
      <c r="EE16" s="374" t="s">
        <v>1731</v>
      </c>
      <c r="EF16" s="374" t="s">
        <v>320</v>
      </c>
      <c r="EG16" s="374" t="s">
        <v>320</v>
      </c>
      <c r="EH16" s="374" t="s">
        <v>1748</v>
      </c>
      <c r="EI16" s="374" t="s">
        <v>1617</v>
      </c>
      <c r="EJ16" s="374" t="s">
        <v>1758</v>
      </c>
      <c r="EK16" s="374">
        <v>6.0000000000000001E-3</v>
      </c>
      <c r="EL16" s="374">
        <v>8.0000000000000002E-3</v>
      </c>
      <c r="EM16" s="374" t="s">
        <v>320</v>
      </c>
      <c r="EN16" s="374">
        <v>5.0000000000000001E-3</v>
      </c>
      <c r="EO16" s="374" t="s">
        <v>1768</v>
      </c>
      <c r="EP16" s="374" t="s">
        <v>1617</v>
      </c>
      <c r="EQ16" s="374">
        <v>8.0000000000000002E-3</v>
      </c>
      <c r="ER16" s="374" t="s">
        <v>320</v>
      </c>
      <c r="ES16" s="374" t="s">
        <v>1775</v>
      </c>
      <c r="ET16" s="374" t="s">
        <v>320</v>
      </c>
      <c r="EU16" s="374" t="s">
        <v>1775</v>
      </c>
      <c r="EV16" s="374" t="s">
        <v>1748</v>
      </c>
      <c r="EW16" s="374" t="s">
        <v>1617</v>
      </c>
      <c r="EX16" s="374" t="s">
        <v>1617</v>
      </c>
      <c r="EY16" s="374" t="s">
        <v>320</v>
      </c>
      <c r="EZ16" s="374" t="s">
        <v>1731</v>
      </c>
      <c r="FA16" s="374" t="s">
        <v>1731</v>
      </c>
      <c r="FB16" s="374" t="s">
        <v>1731</v>
      </c>
      <c r="FC16" s="374" t="s">
        <v>1791</v>
      </c>
      <c r="FD16" s="374" t="s">
        <v>337</v>
      </c>
      <c r="FE16" s="374" t="s">
        <v>1794</v>
      </c>
      <c r="FF16" s="374"/>
      <c r="FG16" s="374"/>
      <c r="FH16" s="374"/>
      <c r="FI16" s="374"/>
      <c r="FJ16" s="374"/>
      <c r="FK16" s="374"/>
      <c r="FL16" s="374"/>
      <c r="FM16" s="374"/>
      <c r="FN16" s="374"/>
      <c r="FO16" s="374"/>
      <c r="FP16" s="374"/>
      <c r="FQ16" s="374"/>
      <c r="FR16" s="374"/>
      <c r="FS16" s="374"/>
      <c r="FT16" s="374"/>
      <c r="FU16" s="374"/>
      <c r="FV16" s="374"/>
      <c r="FW16" s="374"/>
      <c r="FX16" s="374"/>
      <c r="FY16" s="374" t="s">
        <v>320</v>
      </c>
      <c r="FZ16" s="374"/>
      <c r="GA16" s="374" t="s">
        <v>320</v>
      </c>
      <c r="GB16" s="374"/>
      <c r="GC16" s="374" t="s">
        <v>320</v>
      </c>
      <c r="GD16" s="374" t="s">
        <v>1803</v>
      </c>
      <c r="GE16" s="374"/>
      <c r="GF16" s="374"/>
      <c r="GG16" s="374"/>
      <c r="GH16" s="374"/>
      <c r="GI16" s="374"/>
      <c r="GJ16" s="374" t="s">
        <v>320</v>
      </c>
      <c r="GK16" s="374">
        <v>0</v>
      </c>
      <c r="GL16" s="374"/>
      <c r="GM16" s="374"/>
      <c r="GN16" s="374"/>
      <c r="GO16" s="374"/>
      <c r="GP16" s="374"/>
      <c r="GQ16" s="374"/>
      <c r="GR16" s="374"/>
      <c r="GS16" s="374"/>
      <c r="GT16" s="374"/>
      <c r="GU16" s="374"/>
      <c r="GV16" s="374"/>
      <c r="GW16" s="374"/>
      <c r="GX16" s="374"/>
      <c r="GY16" s="374"/>
      <c r="GZ16" s="374"/>
      <c r="HA16" s="374"/>
      <c r="HB16" s="374"/>
      <c r="HC16" s="374"/>
      <c r="HD16" s="374"/>
      <c r="HE16" s="374"/>
      <c r="HF16" s="374"/>
      <c r="HG16" s="374"/>
      <c r="HH16" s="374">
        <v>5.0000000000000001E-3</v>
      </c>
      <c r="HI16" s="374"/>
      <c r="HJ16" s="374"/>
      <c r="HK16" s="374"/>
      <c r="HL16" s="374"/>
      <c r="HM16" s="374"/>
      <c r="HN16" s="374"/>
      <c r="HO16" s="374"/>
      <c r="HP16" s="374"/>
      <c r="HQ16" s="374"/>
      <c r="HR16" s="374"/>
      <c r="HS16" s="374"/>
      <c r="HT16" s="374">
        <v>0</v>
      </c>
      <c r="HU16" s="374"/>
      <c r="HV16" s="374"/>
      <c r="HW16" s="374"/>
      <c r="HX16" s="374"/>
      <c r="HY16" s="374"/>
      <c r="HZ16" s="374"/>
      <c r="IA16" s="374"/>
      <c r="IB16" s="374"/>
      <c r="IC16" s="374"/>
      <c r="ID16" s="374"/>
      <c r="IE16" s="374"/>
      <c r="IF16" s="374"/>
      <c r="IG16" s="374">
        <v>5.0000000000000001E-3</v>
      </c>
      <c r="IH16" s="374"/>
      <c r="II16" s="374" t="s">
        <v>320</v>
      </c>
      <c r="IJ16" s="374"/>
      <c r="IK16" s="374" t="s">
        <v>1811</v>
      </c>
      <c r="IL16" s="374"/>
      <c r="IM16" s="374"/>
      <c r="IN16" s="374"/>
      <c r="IO16" s="374"/>
      <c r="IP16" s="374"/>
      <c r="IQ16" s="374">
        <v>0.01</v>
      </c>
      <c r="IR16" s="374">
        <v>0.01</v>
      </c>
      <c r="IS16" s="374">
        <v>0.01</v>
      </c>
      <c r="IT16" s="374">
        <v>0.01</v>
      </c>
      <c r="IU16" s="374">
        <v>0.01</v>
      </c>
      <c r="IV16" s="374">
        <v>0.01</v>
      </c>
      <c r="IW16" s="374">
        <v>0.01</v>
      </c>
      <c r="IX16" s="374"/>
      <c r="IY16" s="374"/>
      <c r="IZ16" s="374"/>
      <c r="JA16" s="374"/>
      <c r="JB16" s="374"/>
      <c r="JC16" s="374"/>
      <c r="JD16" s="374"/>
      <c r="JE16" s="374"/>
      <c r="JF16" s="374"/>
      <c r="JG16" s="374"/>
      <c r="JH16" s="374"/>
      <c r="JI16" s="374"/>
      <c r="JJ16" s="374"/>
      <c r="JK16" s="374"/>
      <c r="JL16" s="374"/>
      <c r="JM16" s="374"/>
      <c r="JN16" s="374"/>
      <c r="JO16" s="374"/>
      <c r="JP16" s="374"/>
      <c r="JQ16" s="374"/>
      <c r="JR16" s="374"/>
      <c r="JS16" s="374"/>
      <c r="JT16" s="374"/>
      <c r="JU16" s="374"/>
      <c r="JV16" s="374"/>
      <c r="JW16" s="374"/>
      <c r="JX16" s="374"/>
      <c r="JY16" s="374"/>
      <c r="JZ16" s="374"/>
      <c r="KA16" s="374"/>
      <c r="KB16" s="374"/>
      <c r="KC16" s="374"/>
      <c r="KD16" s="374"/>
      <c r="KE16" s="374"/>
      <c r="KF16" s="374"/>
      <c r="KG16" s="374"/>
      <c r="KH16" s="374"/>
      <c r="KI16" s="374"/>
      <c r="KJ16" s="374"/>
      <c r="KK16" s="374"/>
      <c r="KL16" s="374"/>
      <c r="KM16" s="374"/>
      <c r="KN16" s="374">
        <v>0.01</v>
      </c>
      <c r="KO16" s="374" t="s">
        <v>1822</v>
      </c>
      <c r="KP16" s="374"/>
      <c r="KQ16" s="374"/>
      <c r="KR16" s="374" t="s">
        <v>1822</v>
      </c>
      <c r="KS16" s="374"/>
      <c r="KT16" s="374"/>
      <c r="KU16" s="374"/>
      <c r="KV16" s="374"/>
      <c r="KW16" s="374"/>
      <c r="KX16" s="374" t="s">
        <v>320</v>
      </c>
      <c r="KY16" s="374"/>
      <c r="KZ16" s="374"/>
      <c r="LA16" s="374" t="s">
        <v>1822</v>
      </c>
      <c r="LB16" s="374"/>
      <c r="LC16" s="374">
        <v>0.01</v>
      </c>
      <c r="LD16" s="374"/>
      <c r="LE16" s="374"/>
      <c r="LF16" s="374"/>
      <c r="LG16" s="374"/>
      <c r="LH16" s="374"/>
      <c r="LI16" s="374"/>
      <c r="LJ16" s="374"/>
      <c r="LK16" s="374"/>
      <c r="LL16" s="374"/>
      <c r="LM16" s="374"/>
      <c r="LN16" s="374"/>
      <c r="LO16" s="374"/>
      <c r="LP16" s="374"/>
      <c r="LQ16" s="374">
        <v>0.01</v>
      </c>
      <c r="LR16" s="374"/>
      <c r="LS16" s="374"/>
      <c r="LT16" s="374"/>
      <c r="LU16" s="374"/>
      <c r="LV16" s="374"/>
      <c r="LW16" s="374"/>
      <c r="LX16" s="374"/>
      <c r="LY16" s="374"/>
      <c r="LZ16" s="374"/>
      <c r="MA16" s="374" t="s">
        <v>1824</v>
      </c>
      <c r="MB16" s="374"/>
      <c r="MC16" s="374"/>
      <c r="MD16" s="374"/>
      <c r="ME16" s="374"/>
      <c r="MF16" s="374"/>
      <c r="MG16" s="374"/>
      <c r="MH16" s="374"/>
      <c r="MI16" s="374"/>
      <c r="MJ16" s="374"/>
      <c r="MK16" s="374"/>
      <c r="ML16" s="374" t="s">
        <v>1822</v>
      </c>
      <c r="MM16" s="374"/>
      <c r="MN16" s="374"/>
      <c r="MO16" s="374"/>
      <c r="MP16" s="374"/>
      <c r="MQ16" s="374"/>
      <c r="MR16" s="374">
        <v>9.4999999999999998E-3</v>
      </c>
      <c r="MS16" s="374"/>
      <c r="MT16" s="374" t="s">
        <v>1827</v>
      </c>
      <c r="MU16" s="374" t="s">
        <v>1829</v>
      </c>
      <c r="MV16" s="374" t="s">
        <v>1829</v>
      </c>
      <c r="MW16" s="374" t="s">
        <v>1829</v>
      </c>
      <c r="MX16" s="374" t="s">
        <v>339</v>
      </c>
      <c r="MY16" s="374"/>
      <c r="MZ16" s="374"/>
      <c r="NA16" s="374" t="s">
        <v>320</v>
      </c>
      <c r="NB16" s="374"/>
      <c r="NC16" s="374"/>
      <c r="ND16" s="374"/>
      <c r="NE16" s="374"/>
      <c r="NF16" s="374"/>
      <c r="NG16" s="374">
        <v>6.0000000000000001E-3</v>
      </c>
      <c r="NH16" s="374"/>
      <c r="NI16" s="374" t="s">
        <v>340</v>
      </c>
      <c r="NJ16" s="374" t="s">
        <v>340</v>
      </c>
      <c r="NK16" s="374"/>
      <c r="NL16" s="374" t="s">
        <v>1841</v>
      </c>
      <c r="NM16" s="374"/>
      <c r="NN16" s="374" t="s">
        <v>341</v>
      </c>
      <c r="NO16" s="374" t="s">
        <v>341</v>
      </c>
      <c r="NP16" s="374">
        <v>6.0000000000000001E-3</v>
      </c>
      <c r="NQ16" s="374"/>
      <c r="NR16" s="374"/>
      <c r="NS16" s="374"/>
      <c r="NT16" s="374"/>
      <c r="NU16" s="374"/>
      <c r="NV16" s="374">
        <v>5.4999999999999997E-3</v>
      </c>
      <c r="NW16" s="374"/>
      <c r="NX16" s="374" t="s">
        <v>1848</v>
      </c>
      <c r="NY16" s="374"/>
      <c r="NZ16" s="374"/>
      <c r="OA16" s="374"/>
      <c r="OB16" s="374"/>
      <c r="OC16" s="374"/>
      <c r="OD16" s="374"/>
      <c r="OE16" s="374"/>
      <c r="OF16" s="374">
        <v>0</v>
      </c>
      <c r="OG16" s="374"/>
    </row>
    <row r="17" spans="2:397" ht="40.799999999999997">
      <c r="B17" s="382" t="s">
        <v>407</v>
      </c>
      <c r="C17" s="374" t="s">
        <v>1189</v>
      </c>
      <c r="D17" s="374" t="s">
        <v>1190</v>
      </c>
      <c r="E17" s="374" t="s">
        <v>1190</v>
      </c>
      <c r="F17" s="374" t="s">
        <v>1190</v>
      </c>
      <c r="G17" s="374">
        <v>0</v>
      </c>
      <c r="H17" s="374">
        <v>0.04</v>
      </c>
      <c r="I17" s="374">
        <v>0.04</v>
      </c>
      <c r="J17" s="374">
        <v>0.04</v>
      </c>
      <c r="K17" s="374" t="s">
        <v>1213</v>
      </c>
      <c r="L17" s="374" t="s">
        <v>1219</v>
      </c>
      <c r="M17" s="374" t="s">
        <v>318</v>
      </c>
      <c r="N17" s="374" t="s">
        <v>318</v>
      </c>
      <c r="O17" s="374" t="s">
        <v>1213</v>
      </c>
      <c r="P17" s="374" t="s">
        <v>1213</v>
      </c>
      <c r="Q17" s="374" t="s">
        <v>1213</v>
      </c>
      <c r="R17" s="374" t="s">
        <v>1213</v>
      </c>
      <c r="S17" s="374" t="s">
        <v>348</v>
      </c>
      <c r="T17" s="374">
        <v>0</v>
      </c>
      <c r="U17" s="374" t="s">
        <v>348</v>
      </c>
      <c r="V17" s="374" t="s">
        <v>348</v>
      </c>
      <c r="W17" s="374" t="s">
        <v>342</v>
      </c>
      <c r="X17" s="374" t="s">
        <v>342</v>
      </c>
      <c r="Y17" s="374" t="s">
        <v>343</v>
      </c>
      <c r="Z17" s="374" t="s">
        <v>343</v>
      </c>
      <c r="AA17" s="374" t="s">
        <v>343</v>
      </c>
      <c r="AB17" s="374" t="s">
        <v>318</v>
      </c>
      <c r="AC17" s="374">
        <v>0</v>
      </c>
      <c r="AD17" s="374">
        <v>0</v>
      </c>
      <c r="AE17" s="374" t="s">
        <v>343</v>
      </c>
      <c r="AF17" s="374" t="s">
        <v>318</v>
      </c>
      <c r="AG17" s="374" t="s">
        <v>343</v>
      </c>
      <c r="AH17" s="374" t="s">
        <v>344</v>
      </c>
      <c r="AI17" s="374" t="s">
        <v>344</v>
      </c>
      <c r="AJ17" s="374" t="s">
        <v>343</v>
      </c>
      <c r="AK17" s="374" t="s">
        <v>1283</v>
      </c>
      <c r="AL17" s="374" t="s">
        <v>351</v>
      </c>
      <c r="AM17" s="374" t="s">
        <v>343</v>
      </c>
      <c r="AN17" s="374" t="s">
        <v>351</v>
      </c>
      <c r="AO17" s="374" t="s">
        <v>344</v>
      </c>
      <c r="AP17" s="374" t="s">
        <v>343</v>
      </c>
      <c r="AQ17" s="374" t="s">
        <v>343</v>
      </c>
      <c r="AR17" s="374" t="s">
        <v>343</v>
      </c>
      <c r="AS17" s="374" t="s">
        <v>351</v>
      </c>
      <c r="AT17" s="374" t="s">
        <v>343</v>
      </c>
      <c r="AU17" s="374" t="s">
        <v>352</v>
      </c>
      <c r="AV17" s="374" t="s">
        <v>342</v>
      </c>
      <c r="AW17" s="374" t="s">
        <v>343</v>
      </c>
      <c r="AX17" s="374" t="s">
        <v>343</v>
      </c>
      <c r="AY17" s="374" t="s">
        <v>343</v>
      </c>
      <c r="AZ17" s="374" t="s">
        <v>342</v>
      </c>
      <c r="BA17" s="374">
        <v>0.01</v>
      </c>
      <c r="BB17" s="374">
        <v>0</v>
      </c>
      <c r="BC17" s="374" t="s">
        <v>342</v>
      </c>
      <c r="BD17" s="374">
        <v>0</v>
      </c>
      <c r="BE17" s="374">
        <v>0</v>
      </c>
      <c r="BF17" s="374">
        <v>0</v>
      </c>
      <c r="BG17" s="374">
        <v>0</v>
      </c>
      <c r="BH17" s="374">
        <v>0</v>
      </c>
      <c r="BI17" s="374">
        <v>0</v>
      </c>
      <c r="BJ17" s="374">
        <v>0</v>
      </c>
      <c r="BK17" s="374" t="s">
        <v>1598</v>
      </c>
      <c r="BL17" s="374">
        <v>0</v>
      </c>
      <c r="BM17" s="374">
        <v>0</v>
      </c>
      <c r="BN17" s="374" t="s">
        <v>343</v>
      </c>
      <c r="BO17" s="374" t="s">
        <v>343</v>
      </c>
      <c r="BP17" s="374" t="s">
        <v>342</v>
      </c>
      <c r="BQ17" s="374" t="s">
        <v>342</v>
      </c>
      <c r="BR17" s="374" t="s">
        <v>343</v>
      </c>
      <c r="BS17" s="374" t="s">
        <v>343</v>
      </c>
      <c r="BT17" s="374" t="s">
        <v>343</v>
      </c>
      <c r="BU17" s="374" t="s">
        <v>343</v>
      </c>
      <c r="BV17" s="374">
        <v>0</v>
      </c>
      <c r="BW17" s="374" t="s">
        <v>342</v>
      </c>
      <c r="BX17" s="374" t="s">
        <v>342</v>
      </c>
      <c r="BY17" s="374" t="s">
        <v>343</v>
      </c>
      <c r="BZ17" s="374">
        <v>6.0000000000000001E-3</v>
      </c>
      <c r="CA17" s="374">
        <v>0</v>
      </c>
      <c r="CB17" s="374"/>
      <c r="CC17" s="374"/>
      <c r="CD17" s="374"/>
      <c r="CE17" s="374"/>
      <c r="CF17" s="374"/>
      <c r="CG17" s="374" t="s">
        <v>342</v>
      </c>
      <c r="CH17" s="374">
        <v>0</v>
      </c>
      <c r="CI17" s="374"/>
      <c r="CJ17" s="374"/>
      <c r="CK17" s="374"/>
      <c r="CL17" s="374"/>
      <c r="CM17" s="374"/>
      <c r="CN17" s="374"/>
      <c r="CO17" s="374"/>
      <c r="CP17" s="374"/>
      <c r="CQ17" s="374"/>
      <c r="CR17" s="374"/>
      <c r="CS17" s="374"/>
      <c r="CT17" s="374"/>
      <c r="CU17" s="374"/>
      <c r="CV17" s="374"/>
      <c r="CW17" s="374"/>
      <c r="CX17" s="374"/>
      <c r="CY17" s="374"/>
      <c r="CZ17" s="374"/>
      <c r="DA17" s="374" t="s">
        <v>346</v>
      </c>
      <c r="DB17" s="374">
        <v>0</v>
      </c>
      <c r="DC17" s="374" t="s">
        <v>346</v>
      </c>
      <c r="DD17" s="374" t="s">
        <v>349</v>
      </c>
      <c r="DE17" s="374" t="s">
        <v>350</v>
      </c>
      <c r="DF17" s="374"/>
      <c r="DG17" s="374"/>
      <c r="DH17" s="374"/>
      <c r="DI17" s="374"/>
      <c r="DJ17" s="374"/>
      <c r="DK17" s="374"/>
      <c r="DL17" s="374"/>
      <c r="DM17" s="374"/>
      <c r="DN17" s="374"/>
      <c r="DO17" s="374"/>
      <c r="DP17" s="374"/>
      <c r="DQ17" s="374"/>
      <c r="DR17" s="374"/>
      <c r="DS17" s="374"/>
      <c r="DT17" s="374"/>
      <c r="DU17" s="374"/>
      <c r="DV17" s="374"/>
      <c r="DW17" s="374" t="s">
        <v>348</v>
      </c>
      <c r="DX17" s="374"/>
      <c r="DY17" s="374" t="s">
        <v>346</v>
      </c>
      <c r="DZ17" s="374"/>
      <c r="EA17" s="374" t="s">
        <v>343</v>
      </c>
      <c r="EB17" s="374" t="s">
        <v>343</v>
      </c>
      <c r="EC17" s="374" t="s">
        <v>318</v>
      </c>
      <c r="ED17" s="374" t="s">
        <v>346</v>
      </c>
      <c r="EE17" s="374" t="s">
        <v>346</v>
      </c>
      <c r="EF17" s="374" t="s">
        <v>346</v>
      </c>
      <c r="EG17" s="374" t="s">
        <v>318</v>
      </c>
      <c r="EH17" s="374" t="s">
        <v>346</v>
      </c>
      <c r="EI17" s="374" t="s">
        <v>346</v>
      </c>
      <c r="EJ17" s="374" t="s">
        <v>346</v>
      </c>
      <c r="EK17" s="374" t="s">
        <v>348</v>
      </c>
      <c r="EL17" s="374" t="s">
        <v>348</v>
      </c>
      <c r="EM17" s="374" t="s">
        <v>348</v>
      </c>
      <c r="EN17" s="374" t="s">
        <v>1766</v>
      </c>
      <c r="EO17" s="374" t="s">
        <v>344</v>
      </c>
      <c r="EP17" s="374" t="s">
        <v>342</v>
      </c>
      <c r="EQ17" s="374" t="s">
        <v>344</v>
      </c>
      <c r="ER17" s="374" t="s">
        <v>344</v>
      </c>
      <c r="ES17" s="374" t="s">
        <v>344</v>
      </c>
      <c r="ET17" s="374" t="s">
        <v>344</v>
      </c>
      <c r="EU17" s="374" t="s">
        <v>346</v>
      </c>
      <c r="EV17" s="374" t="s">
        <v>346</v>
      </c>
      <c r="EW17" s="374" t="s">
        <v>346</v>
      </c>
      <c r="EX17" s="374" t="s">
        <v>342</v>
      </c>
      <c r="EY17" s="374" t="s">
        <v>345</v>
      </c>
      <c r="EZ17" s="374" t="s">
        <v>342</v>
      </c>
      <c r="FA17" s="374" t="s">
        <v>342</v>
      </c>
      <c r="FB17" s="374" t="s">
        <v>342</v>
      </c>
      <c r="FC17" s="374" t="s">
        <v>342</v>
      </c>
      <c r="FD17" s="374" t="s">
        <v>343</v>
      </c>
      <c r="FE17" s="374" t="s">
        <v>343</v>
      </c>
      <c r="FF17" s="374"/>
      <c r="FG17" s="374"/>
      <c r="FH17" s="374"/>
      <c r="FI17" s="374"/>
      <c r="FJ17" s="374"/>
      <c r="FK17" s="374"/>
      <c r="FL17" s="374"/>
      <c r="FM17" s="374"/>
      <c r="FN17" s="374"/>
      <c r="FO17" s="374"/>
      <c r="FP17" s="374"/>
      <c r="FQ17" s="374"/>
      <c r="FR17" s="374"/>
      <c r="FS17" s="374"/>
      <c r="FT17" s="374"/>
      <c r="FU17" s="374"/>
      <c r="FV17" s="374"/>
      <c r="FW17" s="374"/>
      <c r="FX17" s="374"/>
      <c r="FY17" s="374" t="s">
        <v>318</v>
      </c>
      <c r="FZ17" s="374"/>
      <c r="GA17" s="374" t="s">
        <v>348</v>
      </c>
      <c r="GB17" s="374"/>
      <c r="GC17" s="374">
        <v>0</v>
      </c>
      <c r="GD17" s="374" t="s">
        <v>346</v>
      </c>
      <c r="GE17" s="374"/>
      <c r="GF17" s="374"/>
      <c r="GG17" s="374"/>
      <c r="GH17" s="374"/>
      <c r="GI17" s="374"/>
      <c r="GJ17" s="374">
        <v>0</v>
      </c>
      <c r="GK17" s="374" t="s">
        <v>343</v>
      </c>
      <c r="GL17" s="374"/>
      <c r="GM17" s="374"/>
      <c r="GN17" s="374"/>
      <c r="GO17" s="374"/>
      <c r="GP17" s="374"/>
      <c r="GQ17" s="374"/>
      <c r="GR17" s="374"/>
      <c r="GS17" s="374"/>
      <c r="GT17" s="374"/>
      <c r="GU17" s="374"/>
      <c r="GV17" s="374"/>
      <c r="GW17" s="374"/>
      <c r="GX17" s="374"/>
      <c r="GY17" s="374"/>
      <c r="GZ17" s="374"/>
      <c r="HA17" s="374"/>
      <c r="HB17" s="374"/>
      <c r="HC17" s="374"/>
      <c r="HD17" s="374"/>
      <c r="HE17" s="374"/>
      <c r="HF17" s="374"/>
      <c r="HG17" s="374"/>
      <c r="HH17" s="374" t="s">
        <v>351</v>
      </c>
      <c r="HI17" s="374"/>
      <c r="HJ17" s="374"/>
      <c r="HK17" s="374"/>
      <c r="HL17" s="374"/>
      <c r="HM17" s="374"/>
      <c r="HN17" s="374"/>
      <c r="HO17" s="374"/>
      <c r="HP17" s="374"/>
      <c r="HQ17" s="374"/>
      <c r="HR17" s="374"/>
      <c r="HS17" s="374"/>
      <c r="HT17" s="374" t="s">
        <v>343</v>
      </c>
      <c r="HU17" s="374"/>
      <c r="HV17" s="374"/>
      <c r="HW17" s="374"/>
      <c r="HX17" s="374"/>
      <c r="HY17" s="374"/>
      <c r="HZ17" s="374"/>
      <c r="IA17" s="374"/>
      <c r="IB17" s="374"/>
      <c r="IC17" s="374"/>
      <c r="ID17" s="374"/>
      <c r="IE17" s="374"/>
      <c r="IF17" s="374"/>
      <c r="IG17" s="374" t="s">
        <v>347</v>
      </c>
      <c r="IH17" s="374"/>
      <c r="II17" s="374">
        <v>0</v>
      </c>
      <c r="IJ17" s="374"/>
      <c r="IK17" s="374" t="s">
        <v>343</v>
      </c>
      <c r="IL17" s="374"/>
      <c r="IM17" s="374"/>
      <c r="IN17" s="374"/>
      <c r="IO17" s="374"/>
      <c r="IP17" s="374"/>
      <c r="IQ17" s="374" t="s">
        <v>351</v>
      </c>
      <c r="IR17" s="374" t="s">
        <v>351</v>
      </c>
      <c r="IS17" s="374" t="s">
        <v>351</v>
      </c>
      <c r="IT17" s="374" t="s">
        <v>351</v>
      </c>
      <c r="IU17" s="374">
        <v>0</v>
      </c>
      <c r="IV17" s="374" t="s">
        <v>343</v>
      </c>
      <c r="IW17" s="374" t="s">
        <v>343</v>
      </c>
      <c r="IX17" s="374"/>
      <c r="IY17" s="374"/>
      <c r="IZ17" s="374"/>
      <c r="JA17" s="374"/>
      <c r="JB17" s="374"/>
      <c r="JC17" s="374"/>
      <c r="JD17" s="374"/>
      <c r="JE17" s="374"/>
      <c r="JF17" s="374"/>
      <c r="JG17" s="374"/>
      <c r="JH17" s="374"/>
      <c r="JI17" s="374"/>
      <c r="JJ17" s="374"/>
      <c r="JK17" s="374"/>
      <c r="JL17" s="374"/>
      <c r="JM17" s="374"/>
      <c r="JN17" s="374"/>
      <c r="JO17" s="374"/>
      <c r="JP17" s="374"/>
      <c r="JQ17" s="374"/>
      <c r="JR17" s="374"/>
      <c r="JS17" s="374"/>
      <c r="JT17" s="374"/>
      <c r="JU17" s="374"/>
      <c r="JV17" s="374"/>
      <c r="JW17" s="374"/>
      <c r="JX17" s="374"/>
      <c r="JY17" s="374"/>
      <c r="JZ17" s="374"/>
      <c r="KA17" s="374"/>
      <c r="KB17" s="374"/>
      <c r="KC17" s="374"/>
      <c r="KD17" s="374"/>
      <c r="KE17" s="374"/>
      <c r="KF17" s="374"/>
      <c r="KG17" s="374"/>
      <c r="KH17" s="374"/>
      <c r="KI17" s="374"/>
      <c r="KJ17" s="374"/>
      <c r="KK17" s="374"/>
      <c r="KL17" s="374"/>
      <c r="KM17" s="374"/>
      <c r="KN17" s="374" t="s">
        <v>348</v>
      </c>
      <c r="KO17" s="374" t="s">
        <v>349</v>
      </c>
      <c r="KP17" s="374"/>
      <c r="KQ17" s="374"/>
      <c r="KR17" s="374" t="s">
        <v>346</v>
      </c>
      <c r="KS17" s="374"/>
      <c r="KT17" s="374"/>
      <c r="KU17" s="374"/>
      <c r="KV17" s="374"/>
      <c r="KW17" s="374"/>
      <c r="KX17" s="374" t="s">
        <v>349</v>
      </c>
      <c r="KY17" s="374"/>
      <c r="KZ17" s="374"/>
      <c r="LA17" s="374" t="s">
        <v>350</v>
      </c>
      <c r="LB17" s="374"/>
      <c r="LC17" s="374" t="s">
        <v>350</v>
      </c>
      <c r="LD17" s="374"/>
      <c r="LE17" s="374"/>
      <c r="LF17" s="374"/>
      <c r="LG17" s="374"/>
      <c r="LH17" s="374"/>
      <c r="LI17" s="374"/>
      <c r="LJ17" s="374"/>
      <c r="LK17" s="374"/>
      <c r="LL17" s="374"/>
      <c r="LM17" s="374"/>
      <c r="LN17" s="374"/>
      <c r="LO17" s="374"/>
      <c r="LP17" s="374"/>
      <c r="LQ17" s="374" t="s">
        <v>351</v>
      </c>
      <c r="LR17" s="374"/>
      <c r="LS17" s="374"/>
      <c r="LT17" s="374"/>
      <c r="LU17" s="374"/>
      <c r="LV17" s="374"/>
      <c r="LW17" s="374"/>
      <c r="LX17" s="374"/>
      <c r="LY17" s="374"/>
      <c r="LZ17" s="374"/>
      <c r="MA17" s="374" t="s">
        <v>343</v>
      </c>
      <c r="MB17" s="374"/>
      <c r="MC17" s="374"/>
      <c r="MD17" s="374"/>
      <c r="ME17" s="374"/>
      <c r="MF17" s="374"/>
      <c r="MG17" s="374"/>
      <c r="MH17" s="374"/>
      <c r="MI17" s="374"/>
      <c r="MJ17" s="374"/>
      <c r="MK17" s="374"/>
      <c r="ML17" s="374" t="s">
        <v>346</v>
      </c>
      <c r="MM17" s="374"/>
      <c r="MN17" s="374"/>
      <c r="MO17" s="374"/>
      <c r="MP17" s="374"/>
      <c r="MQ17" s="374"/>
      <c r="MR17" s="374" t="s">
        <v>348</v>
      </c>
      <c r="MS17" s="374"/>
      <c r="MT17" s="374" t="s">
        <v>343</v>
      </c>
      <c r="MU17" s="374" t="s">
        <v>348</v>
      </c>
      <c r="MV17" s="374" t="s">
        <v>318</v>
      </c>
      <c r="MW17" s="374" t="s">
        <v>318</v>
      </c>
      <c r="MX17" s="374" t="s">
        <v>343</v>
      </c>
      <c r="MY17" s="374"/>
      <c r="MZ17" s="374"/>
      <c r="NA17" s="374">
        <v>0</v>
      </c>
      <c r="NB17" s="374"/>
      <c r="NC17" s="374"/>
      <c r="ND17" s="374"/>
      <c r="NE17" s="374"/>
      <c r="NF17" s="374"/>
      <c r="NG17" s="374" t="s">
        <v>352</v>
      </c>
      <c r="NH17" s="374"/>
      <c r="NI17" s="374" t="s">
        <v>346</v>
      </c>
      <c r="NJ17" s="374" t="s">
        <v>346</v>
      </c>
      <c r="NK17" s="374"/>
      <c r="NL17" s="374" t="s">
        <v>346</v>
      </c>
      <c r="NM17" s="374"/>
      <c r="NN17" s="374" t="s">
        <v>343</v>
      </c>
      <c r="NO17" s="374" t="s">
        <v>343</v>
      </c>
      <c r="NP17" s="374" t="s">
        <v>343</v>
      </c>
      <c r="NQ17" s="374"/>
      <c r="NR17" s="374"/>
      <c r="NS17" s="374"/>
      <c r="NT17" s="374"/>
      <c r="NU17" s="374"/>
      <c r="NV17" s="374">
        <v>0</v>
      </c>
      <c r="NW17" s="374"/>
      <c r="NX17" s="374">
        <v>0</v>
      </c>
      <c r="NY17" s="374"/>
      <c r="NZ17" s="374"/>
      <c r="OA17" s="374"/>
      <c r="OB17" s="374"/>
      <c r="OC17" s="374"/>
      <c r="OD17" s="374"/>
      <c r="OE17" s="374"/>
      <c r="OF17" s="374" t="s">
        <v>343</v>
      </c>
      <c r="OG17" s="374"/>
    </row>
    <row r="18" spans="2:397" ht="132.6">
      <c r="B18" s="381" t="s">
        <v>300</v>
      </c>
      <c r="C18" s="373" t="s">
        <v>1224</v>
      </c>
      <c r="D18" s="373" t="s">
        <v>1196</v>
      </c>
      <c r="E18" s="373" t="s">
        <v>1196</v>
      </c>
      <c r="F18" s="373" t="s">
        <v>1196</v>
      </c>
      <c r="G18" s="373" t="s">
        <v>1196</v>
      </c>
      <c r="H18" s="373" t="s">
        <v>1206</v>
      </c>
      <c r="I18" s="373" t="s">
        <v>1206</v>
      </c>
      <c r="J18" s="373" t="s">
        <v>1206</v>
      </c>
      <c r="K18" s="373" t="s">
        <v>1215</v>
      </c>
      <c r="L18" s="373" t="s">
        <v>1220</v>
      </c>
      <c r="M18" s="373" t="s">
        <v>1196</v>
      </c>
      <c r="N18" s="373" t="s">
        <v>1230</v>
      </c>
      <c r="O18" s="373" t="s">
        <v>1235</v>
      </c>
      <c r="P18" s="373" t="s">
        <v>1235</v>
      </c>
      <c r="Q18" s="373" t="s">
        <v>1235</v>
      </c>
      <c r="R18" s="373" t="s">
        <v>1235</v>
      </c>
      <c r="S18" s="373" t="s">
        <v>1246</v>
      </c>
      <c r="T18" s="373" t="s">
        <v>1247</v>
      </c>
      <c r="U18" s="373" t="s">
        <v>1247</v>
      </c>
      <c r="V18" s="373" t="s">
        <v>1247</v>
      </c>
      <c r="W18" s="373" t="s">
        <v>1247</v>
      </c>
      <c r="X18" s="373" t="s">
        <v>1247</v>
      </c>
      <c r="Y18" s="373" t="s">
        <v>1196</v>
      </c>
      <c r="Z18" s="373" t="s">
        <v>1196</v>
      </c>
      <c r="AA18" s="373" t="s">
        <v>1196</v>
      </c>
      <c r="AB18" s="373" t="s">
        <v>1196</v>
      </c>
      <c r="AC18" s="373" t="s">
        <v>1261</v>
      </c>
      <c r="AD18" s="373" t="s">
        <v>1247</v>
      </c>
      <c r="AE18" s="373" t="s">
        <v>1196</v>
      </c>
      <c r="AF18" s="373" t="s">
        <v>318</v>
      </c>
      <c r="AG18" s="373" t="s">
        <v>1196</v>
      </c>
      <c r="AH18" s="373" t="s">
        <v>94</v>
      </c>
      <c r="AI18" s="373" t="s">
        <v>1277</v>
      </c>
      <c r="AJ18" s="373" t="s">
        <v>1196</v>
      </c>
      <c r="AK18" s="373" t="s">
        <v>1281</v>
      </c>
      <c r="AL18" s="373" t="s">
        <v>1247</v>
      </c>
      <c r="AM18" s="373" t="s">
        <v>1196</v>
      </c>
      <c r="AN18" s="373" t="s">
        <v>1247</v>
      </c>
      <c r="AO18" s="373" t="s">
        <v>1247</v>
      </c>
      <c r="AP18" s="373" t="s">
        <v>1196</v>
      </c>
      <c r="AQ18" s="373" t="s">
        <v>1302</v>
      </c>
      <c r="AR18" s="373" t="s">
        <v>1301</v>
      </c>
      <c r="AS18" s="373" t="s">
        <v>1247</v>
      </c>
      <c r="AT18" s="373" t="s">
        <v>1196</v>
      </c>
      <c r="AU18" s="373" t="s">
        <v>1247</v>
      </c>
      <c r="AV18" s="373" t="s">
        <v>1247</v>
      </c>
      <c r="AW18" s="373" t="s">
        <v>1196</v>
      </c>
      <c r="AX18" s="373" t="s">
        <v>1196</v>
      </c>
      <c r="AY18" s="373" t="s">
        <v>1196</v>
      </c>
      <c r="AZ18" s="373" t="s">
        <v>1578</v>
      </c>
      <c r="BA18" s="373" t="s">
        <v>1583</v>
      </c>
      <c r="BB18" s="373" t="s">
        <v>1247</v>
      </c>
      <c r="BC18" s="373" t="s">
        <v>1247</v>
      </c>
      <c r="BD18" s="373" t="s">
        <v>1590</v>
      </c>
      <c r="BE18" s="373" t="s">
        <v>1247</v>
      </c>
      <c r="BF18" s="373" t="s">
        <v>1247</v>
      </c>
      <c r="BG18" s="373" t="s">
        <v>1247</v>
      </c>
      <c r="BH18" s="373" t="s">
        <v>1247</v>
      </c>
      <c r="BI18" s="373" t="s">
        <v>1247</v>
      </c>
      <c r="BJ18" s="373" t="s">
        <v>1247</v>
      </c>
      <c r="BK18" s="373" t="s">
        <v>1590</v>
      </c>
      <c r="BL18" s="373" t="s">
        <v>1247</v>
      </c>
      <c r="BM18" s="373" t="s">
        <v>1247</v>
      </c>
      <c r="BN18" s="373" t="s">
        <v>1196</v>
      </c>
      <c r="BO18" s="373" t="s">
        <v>1196</v>
      </c>
      <c r="BP18" s="373" t="s">
        <v>1603</v>
      </c>
      <c r="BQ18" s="373" t="s">
        <v>1603</v>
      </c>
      <c r="BR18" s="373" t="s">
        <v>1196</v>
      </c>
      <c r="BS18" s="373" t="s">
        <v>1196</v>
      </c>
      <c r="BT18" s="373" t="s">
        <v>1614</v>
      </c>
      <c r="BU18" s="373" t="s">
        <v>1196</v>
      </c>
      <c r="BV18" s="373" t="s">
        <v>1623</v>
      </c>
      <c r="BW18" s="373" t="s">
        <v>1603</v>
      </c>
      <c r="BX18" s="373" t="s">
        <v>1247</v>
      </c>
      <c r="BY18" s="373" t="s">
        <v>1196</v>
      </c>
      <c r="BZ18" s="373" t="s">
        <v>1247</v>
      </c>
      <c r="CA18" s="373" t="s">
        <v>1196</v>
      </c>
      <c r="CB18" s="373"/>
      <c r="CC18" s="373"/>
      <c r="CD18" s="373"/>
      <c r="CE18" s="373"/>
      <c r="CF18" s="373"/>
      <c r="CG18" s="373" t="s">
        <v>1603</v>
      </c>
      <c r="CH18" s="373" t="s">
        <v>1623</v>
      </c>
      <c r="CI18" s="373"/>
      <c r="CJ18" s="373"/>
      <c r="CK18" s="373"/>
      <c r="CL18" s="373"/>
      <c r="CM18" s="373"/>
      <c r="CN18" s="373"/>
      <c r="CO18" s="373"/>
      <c r="CP18" s="373"/>
      <c r="CQ18" s="373"/>
      <c r="CR18" s="373"/>
      <c r="CS18" s="373"/>
      <c r="CT18" s="373"/>
      <c r="CU18" s="373"/>
      <c r="CV18" s="373"/>
      <c r="CW18" s="373"/>
      <c r="CX18" s="373"/>
      <c r="CY18" s="373"/>
      <c r="CZ18" s="373"/>
      <c r="DA18" s="373" t="s">
        <v>1247</v>
      </c>
      <c r="DB18" s="373" t="s">
        <v>1247</v>
      </c>
      <c r="DC18" s="373" t="s">
        <v>353</v>
      </c>
      <c r="DD18" s="373" t="s">
        <v>1215</v>
      </c>
      <c r="DE18" s="373" t="s">
        <v>1196</v>
      </c>
      <c r="DF18" s="373"/>
      <c r="DG18" s="373"/>
      <c r="DH18" s="373"/>
      <c r="DI18" s="373"/>
      <c r="DJ18" s="373"/>
      <c r="DK18" s="373"/>
      <c r="DL18" s="373"/>
      <c r="DM18" s="373"/>
      <c r="DN18" s="373"/>
      <c r="DO18" s="373"/>
      <c r="DP18" s="373"/>
      <c r="DQ18" s="373"/>
      <c r="DR18" s="373"/>
      <c r="DS18" s="373"/>
      <c r="DT18" s="373"/>
      <c r="DU18" s="373"/>
      <c r="DV18" s="373"/>
      <c r="DW18" s="373" t="s">
        <v>1246</v>
      </c>
      <c r="DX18" s="373"/>
      <c r="DY18" s="373" t="s">
        <v>1246</v>
      </c>
      <c r="DZ18" s="373"/>
      <c r="EA18" s="373" t="s">
        <v>1196</v>
      </c>
      <c r="EB18" s="373" t="s">
        <v>1377</v>
      </c>
      <c r="EC18" s="373" t="s">
        <v>1725</v>
      </c>
      <c r="ED18" s="373" t="s">
        <v>1747</v>
      </c>
      <c r="EE18" s="373" t="s">
        <v>1732</v>
      </c>
      <c r="EF18" s="373" t="s">
        <v>1740</v>
      </c>
      <c r="EG18" s="373" t="s">
        <v>1196</v>
      </c>
      <c r="EH18" s="373" t="s">
        <v>1215</v>
      </c>
      <c r="EI18" s="373" t="s">
        <v>1760</v>
      </c>
      <c r="EJ18" s="373" t="s">
        <v>1215</v>
      </c>
      <c r="EK18" s="373" t="s">
        <v>1761</v>
      </c>
      <c r="EL18" s="373" t="s">
        <v>1761</v>
      </c>
      <c r="EM18" s="373" t="s">
        <v>1761</v>
      </c>
      <c r="EN18" s="373" t="s">
        <v>1761</v>
      </c>
      <c r="EO18" s="373" t="s">
        <v>1761</v>
      </c>
      <c r="EP18" s="373" t="s">
        <v>1215</v>
      </c>
      <c r="EQ18" s="373" t="s">
        <v>1247</v>
      </c>
      <c r="ER18" s="373" t="s">
        <v>1247</v>
      </c>
      <c r="ES18" s="373" t="s">
        <v>1247</v>
      </c>
      <c r="ET18" s="373" t="s">
        <v>1247</v>
      </c>
      <c r="EU18" s="373" t="s">
        <v>1247</v>
      </c>
      <c r="EV18" s="373" t="s">
        <v>1247</v>
      </c>
      <c r="EW18" s="373" t="s">
        <v>1760</v>
      </c>
      <c r="EX18" s="373" t="s">
        <v>1760</v>
      </c>
      <c r="EY18" s="373" t="s">
        <v>1215</v>
      </c>
      <c r="EZ18" s="373" t="s">
        <v>1215</v>
      </c>
      <c r="FA18" s="373" t="s">
        <v>1215</v>
      </c>
      <c r="FB18" s="373" t="s">
        <v>1215</v>
      </c>
      <c r="FC18" s="373" t="s">
        <v>1215</v>
      </c>
      <c r="FD18" s="373" t="s">
        <v>1196</v>
      </c>
      <c r="FE18" s="373" t="s">
        <v>1196</v>
      </c>
      <c r="FF18" s="373"/>
      <c r="FG18" s="373"/>
      <c r="FH18" s="373"/>
      <c r="FI18" s="373"/>
      <c r="FJ18" s="373"/>
      <c r="FK18" s="373"/>
      <c r="FL18" s="373"/>
      <c r="FM18" s="373"/>
      <c r="FN18" s="373"/>
      <c r="FO18" s="373"/>
      <c r="FP18" s="373"/>
      <c r="FQ18" s="373"/>
      <c r="FR18" s="373"/>
      <c r="FS18" s="373"/>
      <c r="FT18" s="373"/>
      <c r="FU18" s="373"/>
      <c r="FV18" s="373"/>
      <c r="FW18" s="373"/>
      <c r="FX18" s="373"/>
      <c r="FY18" s="373" t="s">
        <v>1247</v>
      </c>
      <c r="FZ18" s="373"/>
      <c r="GA18" s="373" t="s">
        <v>1247</v>
      </c>
      <c r="GB18" s="373"/>
      <c r="GC18" s="373" t="s">
        <v>1801</v>
      </c>
      <c r="GD18" s="373" t="s">
        <v>1247</v>
      </c>
      <c r="GE18" s="373"/>
      <c r="GF18" s="373"/>
      <c r="GG18" s="373"/>
      <c r="GH18" s="373"/>
      <c r="GI18" s="373"/>
      <c r="GJ18" s="373" t="s">
        <v>1247</v>
      </c>
      <c r="GK18" s="373" t="s">
        <v>1196</v>
      </c>
      <c r="GL18" s="373"/>
      <c r="GM18" s="373"/>
      <c r="GN18" s="373"/>
      <c r="GO18" s="373"/>
      <c r="GP18" s="373"/>
      <c r="GQ18" s="373"/>
      <c r="GR18" s="373"/>
      <c r="GS18" s="373"/>
      <c r="GT18" s="373"/>
      <c r="GU18" s="373"/>
      <c r="GV18" s="373"/>
      <c r="GW18" s="373"/>
      <c r="GX18" s="373"/>
      <c r="GY18" s="373"/>
      <c r="GZ18" s="373"/>
      <c r="HA18" s="373"/>
      <c r="HB18" s="373"/>
      <c r="HC18" s="373"/>
      <c r="HD18" s="373"/>
      <c r="HE18" s="373"/>
      <c r="HF18" s="373"/>
      <c r="HG18" s="373"/>
      <c r="HH18" s="373" t="s">
        <v>1247</v>
      </c>
      <c r="HI18" s="373"/>
      <c r="HJ18" s="373"/>
      <c r="HK18" s="373"/>
      <c r="HL18" s="373"/>
      <c r="HM18" s="373"/>
      <c r="HN18" s="373"/>
      <c r="HO18" s="373"/>
      <c r="HP18" s="373"/>
      <c r="HQ18" s="373"/>
      <c r="HR18" s="373"/>
      <c r="HS18" s="373"/>
      <c r="HT18" s="373" t="s">
        <v>1196</v>
      </c>
      <c r="HU18" s="373"/>
      <c r="HV18" s="373"/>
      <c r="HW18" s="373"/>
      <c r="HX18" s="373"/>
      <c r="HY18" s="373"/>
      <c r="HZ18" s="373"/>
      <c r="IA18" s="373"/>
      <c r="IB18" s="373"/>
      <c r="IC18" s="373"/>
      <c r="ID18" s="373"/>
      <c r="IE18" s="373"/>
      <c r="IF18" s="373"/>
      <c r="IG18" s="373" t="s">
        <v>1247</v>
      </c>
      <c r="IH18" s="373"/>
      <c r="II18" s="373" t="s">
        <v>1247</v>
      </c>
      <c r="IJ18" s="373"/>
      <c r="IK18" s="373" t="s">
        <v>1196</v>
      </c>
      <c r="IL18" s="373"/>
      <c r="IM18" s="373"/>
      <c r="IN18" s="373"/>
      <c r="IO18" s="373"/>
      <c r="IP18" s="373"/>
      <c r="IQ18" s="373" t="s">
        <v>1813</v>
      </c>
      <c r="IR18" s="373" t="s">
        <v>1247</v>
      </c>
      <c r="IS18" s="373" t="s">
        <v>1813</v>
      </c>
      <c r="IT18" s="373" t="s">
        <v>1247</v>
      </c>
      <c r="IU18" s="373" t="s">
        <v>1247</v>
      </c>
      <c r="IV18" s="373" t="s">
        <v>1196</v>
      </c>
      <c r="IW18" s="373" t="s">
        <v>1196</v>
      </c>
      <c r="IX18" s="373"/>
      <c r="IY18" s="373"/>
      <c r="IZ18" s="373"/>
      <c r="JA18" s="373"/>
      <c r="JB18" s="373"/>
      <c r="JC18" s="373"/>
      <c r="JD18" s="373"/>
      <c r="JE18" s="373"/>
      <c r="JF18" s="373"/>
      <c r="JG18" s="373"/>
      <c r="JH18" s="373"/>
      <c r="JI18" s="373"/>
      <c r="JJ18" s="373"/>
      <c r="JK18" s="373"/>
      <c r="JL18" s="373"/>
      <c r="JM18" s="373"/>
      <c r="JN18" s="373"/>
      <c r="JO18" s="373"/>
      <c r="JP18" s="373"/>
      <c r="JQ18" s="373"/>
      <c r="JR18" s="373"/>
      <c r="JS18" s="373"/>
      <c r="JT18" s="373"/>
      <c r="JU18" s="373"/>
      <c r="JV18" s="373"/>
      <c r="JW18" s="373"/>
      <c r="JX18" s="373"/>
      <c r="JY18" s="373"/>
      <c r="JZ18" s="373"/>
      <c r="KA18" s="373"/>
      <c r="KB18" s="373"/>
      <c r="KC18" s="373"/>
      <c r="KD18" s="373"/>
      <c r="KE18" s="373"/>
      <c r="KF18" s="373"/>
      <c r="KG18" s="373"/>
      <c r="KH18" s="373"/>
      <c r="KI18" s="373"/>
      <c r="KJ18" s="373"/>
      <c r="KK18" s="373"/>
      <c r="KL18" s="373"/>
      <c r="KM18" s="373"/>
      <c r="KN18" s="373" t="s">
        <v>1247</v>
      </c>
      <c r="KO18" s="373" t="s">
        <v>1247</v>
      </c>
      <c r="KP18" s="373"/>
      <c r="KQ18" s="373"/>
      <c r="KR18" s="373" t="s">
        <v>1247</v>
      </c>
      <c r="KS18" s="373"/>
      <c r="KT18" s="373"/>
      <c r="KU18" s="373"/>
      <c r="KV18" s="373"/>
      <c r="KW18" s="373"/>
      <c r="KX18" s="373" t="s">
        <v>1247</v>
      </c>
      <c r="KY18" s="373"/>
      <c r="KZ18" s="373"/>
      <c r="LA18" s="373" t="s">
        <v>1196</v>
      </c>
      <c r="LB18" s="373"/>
      <c r="LC18" s="373" t="s">
        <v>1196</v>
      </c>
      <c r="LD18" s="373"/>
      <c r="LE18" s="373"/>
      <c r="LF18" s="373"/>
      <c r="LG18" s="373"/>
      <c r="LH18" s="373"/>
      <c r="LI18" s="373"/>
      <c r="LJ18" s="373"/>
      <c r="LK18" s="373"/>
      <c r="LL18" s="373"/>
      <c r="LM18" s="373"/>
      <c r="LN18" s="373"/>
      <c r="LO18" s="373"/>
      <c r="LP18" s="373"/>
      <c r="LQ18" s="373" t="s">
        <v>1247</v>
      </c>
      <c r="LR18" s="373"/>
      <c r="LS18" s="373"/>
      <c r="LT18" s="373"/>
      <c r="LU18" s="373"/>
      <c r="LV18" s="373"/>
      <c r="LW18" s="373"/>
      <c r="LX18" s="373"/>
      <c r="LY18" s="373"/>
      <c r="LZ18" s="373"/>
      <c r="MA18" s="373" t="s">
        <v>1196</v>
      </c>
      <c r="MB18" s="373"/>
      <c r="MC18" s="373"/>
      <c r="MD18" s="373"/>
      <c r="ME18" s="373"/>
      <c r="MF18" s="373"/>
      <c r="MG18" s="373"/>
      <c r="MH18" s="373"/>
      <c r="MI18" s="373"/>
      <c r="MJ18" s="373"/>
      <c r="MK18" s="373"/>
      <c r="ML18" s="373" t="s">
        <v>1247</v>
      </c>
      <c r="MM18" s="373"/>
      <c r="MN18" s="373"/>
      <c r="MO18" s="373"/>
      <c r="MP18" s="373"/>
      <c r="MQ18" s="373"/>
      <c r="MR18" s="373" t="s">
        <v>1247</v>
      </c>
      <c r="MS18" s="373"/>
      <c r="MT18" s="373" t="s">
        <v>1196</v>
      </c>
      <c r="MU18" s="373" t="s">
        <v>1247</v>
      </c>
      <c r="MV18" s="373" t="s">
        <v>1247</v>
      </c>
      <c r="MW18" s="373" t="s">
        <v>1196</v>
      </c>
      <c r="MX18" s="373" t="s">
        <v>1196</v>
      </c>
      <c r="MY18" s="373"/>
      <c r="MZ18" s="373"/>
      <c r="NA18" s="373" t="s">
        <v>1663</v>
      </c>
      <c r="NB18" s="373"/>
      <c r="NC18" s="373"/>
      <c r="ND18" s="373"/>
      <c r="NE18" s="373"/>
      <c r="NF18" s="373"/>
      <c r="NG18" s="373" t="s">
        <v>1247</v>
      </c>
      <c r="NH18" s="373"/>
      <c r="NI18" s="373" t="s">
        <v>1247</v>
      </c>
      <c r="NJ18" s="373" t="s">
        <v>1247</v>
      </c>
      <c r="NK18" s="373"/>
      <c r="NL18" s="373" t="s">
        <v>1247</v>
      </c>
      <c r="NM18" s="373"/>
      <c r="NN18" s="373" t="s">
        <v>1196</v>
      </c>
      <c r="NO18" s="373" t="s">
        <v>1196</v>
      </c>
      <c r="NP18" s="373" t="s">
        <v>1196</v>
      </c>
      <c r="NQ18" s="373"/>
      <c r="NR18" s="373"/>
      <c r="NS18" s="373"/>
      <c r="NT18" s="373"/>
      <c r="NU18" s="373"/>
      <c r="NV18" s="373" t="s">
        <v>1196</v>
      </c>
      <c r="NW18" s="373"/>
      <c r="NX18" s="373" t="s">
        <v>1247</v>
      </c>
      <c r="NY18" s="373"/>
      <c r="NZ18" s="373"/>
      <c r="OA18" s="373"/>
      <c r="OB18" s="373"/>
      <c r="OC18" s="373"/>
      <c r="OD18" s="373"/>
      <c r="OE18" s="373"/>
      <c r="OF18" s="373" t="s">
        <v>1196</v>
      </c>
      <c r="OG18" s="373"/>
    </row>
    <row r="19" spans="2:397" ht="122.4">
      <c r="B19" s="380" t="s">
        <v>301</v>
      </c>
      <c r="C19" s="373" t="s">
        <v>94</v>
      </c>
      <c r="D19" s="373" t="s">
        <v>1216</v>
      </c>
      <c r="E19" s="373" t="s">
        <v>94</v>
      </c>
      <c r="F19" s="373" t="s">
        <v>1191</v>
      </c>
      <c r="G19" s="373" t="s">
        <v>1191</v>
      </c>
      <c r="H19" s="373" t="s">
        <v>1205</v>
      </c>
      <c r="I19" s="373" t="s">
        <v>1205</v>
      </c>
      <c r="J19" s="373" t="s">
        <v>1205</v>
      </c>
      <c r="K19" s="373" t="s">
        <v>1216</v>
      </c>
      <c r="L19" s="373" t="s">
        <v>1221</v>
      </c>
      <c r="M19" s="373" t="s">
        <v>1228</v>
      </c>
      <c r="N19" s="373" t="s">
        <v>1228</v>
      </c>
      <c r="O19" s="373" t="s">
        <v>1234</v>
      </c>
      <c r="P19" s="373" t="s">
        <v>1234</v>
      </c>
      <c r="Q19" s="373" t="s">
        <v>1234</v>
      </c>
      <c r="R19" s="373" t="s">
        <v>1234</v>
      </c>
      <c r="S19" s="373" t="s">
        <v>1221</v>
      </c>
      <c r="T19" s="373" t="s">
        <v>94</v>
      </c>
      <c r="U19" s="373" t="s">
        <v>1251</v>
      </c>
      <c r="V19" s="373" t="s">
        <v>1251</v>
      </c>
      <c r="W19" s="373" t="s">
        <v>1234</v>
      </c>
      <c r="X19" s="373" t="s">
        <v>1234</v>
      </c>
      <c r="Y19" s="373" t="s">
        <v>1712</v>
      </c>
      <c r="Z19" s="373" t="s">
        <v>1712</v>
      </c>
      <c r="AA19" s="373" t="s">
        <v>1709</v>
      </c>
      <c r="AB19" s="373" t="s">
        <v>1709</v>
      </c>
      <c r="AC19" s="373" t="s">
        <v>1316</v>
      </c>
      <c r="AD19" s="373" t="s">
        <v>1712</v>
      </c>
      <c r="AE19" s="373" t="s">
        <v>1709</v>
      </c>
      <c r="AF19" s="373" t="s">
        <v>318</v>
      </c>
      <c r="AG19" s="373" t="s">
        <v>1709</v>
      </c>
      <c r="AH19" s="373" t="s">
        <v>1275</v>
      </c>
      <c r="AI19" s="373" t="s">
        <v>320</v>
      </c>
      <c r="AJ19" s="373" t="s">
        <v>1713</v>
      </c>
      <c r="AK19" s="373" t="s">
        <v>1711</v>
      </c>
      <c r="AL19" s="373" t="s">
        <v>1708</v>
      </c>
      <c r="AM19" s="373" t="s">
        <v>1709</v>
      </c>
      <c r="AN19" s="373" t="s">
        <v>94</v>
      </c>
      <c r="AO19" s="373" t="s">
        <v>1296</v>
      </c>
      <c r="AP19" s="373" t="s">
        <v>1298</v>
      </c>
      <c r="AQ19" s="373" t="s">
        <v>1303</v>
      </c>
      <c r="AR19" s="373" t="s">
        <v>320</v>
      </c>
      <c r="AS19" s="373" t="s">
        <v>94</v>
      </c>
      <c r="AT19" s="373" t="s">
        <v>1258</v>
      </c>
      <c r="AU19" s="373" t="s">
        <v>1315</v>
      </c>
      <c r="AV19" s="373" t="s">
        <v>94</v>
      </c>
      <c r="AW19" s="373" t="s">
        <v>1710</v>
      </c>
      <c r="AX19" s="373" t="s">
        <v>1298</v>
      </c>
      <c r="AY19" s="373" t="s">
        <v>1315</v>
      </c>
      <c r="AZ19" s="373" t="s">
        <v>1576</v>
      </c>
      <c r="BA19" s="373" t="s">
        <v>1581</v>
      </c>
      <c r="BB19" s="373" t="s">
        <v>94</v>
      </c>
      <c r="BC19" s="373" t="s">
        <v>1586</v>
      </c>
      <c r="BD19" s="373" t="s">
        <v>1586</v>
      </c>
      <c r="BE19" s="373" t="s">
        <v>1707</v>
      </c>
      <c r="BF19" s="373" t="s">
        <v>1594</v>
      </c>
      <c r="BG19" s="373" t="s">
        <v>1707</v>
      </c>
      <c r="BH19" s="373" t="s">
        <v>1594</v>
      </c>
      <c r="BI19" s="373" t="s">
        <v>1707</v>
      </c>
      <c r="BJ19" s="373" t="s">
        <v>1707</v>
      </c>
      <c r="BK19" s="373" t="s">
        <v>94</v>
      </c>
      <c r="BL19" s="373" t="s">
        <v>1594</v>
      </c>
      <c r="BM19" s="373" t="s">
        <v>1594</v>
      </c>
      <c r="BN19" s="373" t="s">
        <v>1592</v>
      </c>
      <c r="BO19" s="373" t="s">
        <v>1592</v>
      </c>
      <c r="BP19" s="373" t="s">
        <v>94</v>
      </c>
      <c r="BQ19" s="373" t="s">
        <v>1609</v>
      </c>
      <c r="BR19" s="373" t="s">
        <v>1612</v>
      </c>
      <c r="BS19" s="373" t="s">
        <v>1612</v>
      </c>
      <c r="BT19" s="373" t="s">
        <v>94</v>
      </c>
      <c r="BU19" s="373" t="s">
        <v>1706</v>
      </c>
      <c r="BV19" s="373" t="s">
        <v>1586</v>
      </c>
      <c r="BW19" s="373" t="s">
        <v>1609</v>
      </c>
      <c r="BX19" s="373" t="s">
        <v>1625</v>
      </c>
      <c r="BY19" s="373" t="s">
        <v>1627</v>
      </c>
      <c r="BZ19" s="373" t="s">
        <v>94</v>
      </c>
      <c r="CA19" s="373" t="s">
        <v>1586</v>
      </c>
      <c r="CB19" s="373"/>
      <c r="CC19" s="373"/>
      <c r="CD19" s="373"/>
      <c r="CE19" s="373"/>
      <c r="CF19" s="373"/>
      <c r="CG19" s="373" t="s">
        <v>1609</v>
      </c>
      <c r="CH19" s="373" t="s">
        <v>1586</v>
      </c>
      <c r="CI19" s="373"/>
      <c r="CJ19" s="373"/>
      <c r="CK19" s="373"/>
      <c r="CL19" s="373"/>
      <c r="CM19" s="373"/>
      <c r="CN19" s="373"/>
      <c r="CO19" s="373"/>
      <c r="CP19" s="373"/>
      <c r="CQ19" s="373"/>
      <c r="CR19" s="373"/>
      <c r="CS19" s="373"/>
      <c r="CT19" s="373"/>
      <c r="CU19" s="373"/>
      <c r="CV19" s="373"/>
      <c r="CW19" s="373"/>
      <c r="CX19" s="373"/>
      <c r="CY19" s="373"/>
      <c r="CZ19" s="373"/>
      <c r="DA19" s="373" t="s">
        <v>1697</v>
      </c>
      <c r="DB19" s="373" t="s">
        <v>94</v>
      </c>
      <c r="DC19" s="373" t="s">
        <v>1697</v>
      </c>
      <c r="DD19" s="373" t="s">
        <v>1705</v>
      </c>
      <c r="DE19" s="373" t="s">
        <v>1697</v>
      </c>
      <c r="DF19" s="373"/>
      <c r="DG19" s="373"/>
      <c r="DH19" s="373"/>
      <c r="DI19" s="373"/>
      <c r="DJ19" s="373"/>
      <c r="DK19" s="373"/>
      <c r="DL19" s="373"/>
      <c r="DM19" s="373"/>
      <c r="DN19" s="373"/>
      <c r="DO19" s="373"/>
      <c r="DP19" s="373"/>
      <c r="DQ19" s="373"/>
      <c r="DR19" s="373"/>
      <c r="DS19" s="373"/>
      <c r="DT19" s="373"/>
      <c r="DU19" s="373"/>
      <c r="DV19" s="373"/>
      <c r="DW19" s="373" t="s">
        <v>1719</v>
      </c>
      <c r="DX19" s="373"/>
      <c r="DY19" s="373" t="s">
        <v>1723</v>
      </c>
      <c r="DZ19" s="373"/>
      <c r="EA19" s="373" t="s">
        <v>1722</v>
      </c>
      <c r="EB19" s="373" t="s">
        <v>320</v>
      </c>
      <c r="EC19" s="373" t="s">
        <v>1726</v>
      </c>
      <c r="ED19" s="373" t="s">
        <v>1726</v>
      </c>
      <c r="EE19" s="373" t="s">
        <v>1736</v>
      </c>
      <c r="EF19" s="373" t="s">
        <v>1741</v>
      </c>
      <c r="EG19" s="373" t="s">
        <v>1745</v>
      </c>
      <c r="EH19" s="373" t="s">
        <v>1745</v>
      </c>
      <c r="EI19" s="373" t="s">
        <v>1755</v>
      </c>
      <c r="EJ19" s="373" t="s">
        <v>1755</v>
      </c>
      <c r="EK19" s="373" t="s">
        <v>1762</v>
      </c>
      <c r="EL19" s="373" t="s">
        <v>94</v>
      </c>
      <c r="EM19" s="373" t="s">
        <v>1764</v>
      </c>
      <c r="EN19" s="373" t="s">
        <v>94</v>
      </c>
      <c r="EO19" s="373" t="s">
        <v>356</v>
      </c>
      <c r="EP19" s="373" t="s">
        <v>1771</v>
      </c>
      <c r="EQ19" s="373" t="s">
        <v>1772</v>
      </c>
      <c r="ER19" s="373" t="s">
        <v>1774</v>
      </c>
      <c r="ES19" s="373" t="s">
        <v>1745</v>
      </c>
      <c r="ET19" s="373" t="s">
        <v>1774</v>
      </c>
      <c r="EU19" s="373" t="s">
        <v>357</v>
      </c>
      <c r="EV19" s="373" t="s">
        <v>1778</v>
      </c>
      <c r="EW19" s="373" t="s">
        <v>1745</v>
      </c>
      <c r="EX19" s="373" t="s">
        <v>1771</v>
      </c>
      <c r="EY19" s="373" t="s">
        <v>1741</v>
      </c>
      <c r="EZ19" s="373" t="s">
        <v>1736</v>
      </c>
      <c r="FA19" s="373" t="s">
        <v>1736</v>
      </c>
      <c r="FB19" s="373" t="s">
        <v>1736</v>
      </c>
      <c r="FC19" s="373" t="s">
        <v>354</v>
      </c>
      <c r="FD19" s="373" t="s">
        <v>1792</v>
      </c>
      <c r="FE19" s="373" t="s">
        <v>355</v>
      </c>
      <c r="FF19" s="373"/>
      <c r="FG19" s="373"/>
      <c r="FH19" s="373"/>
      <c r="FI19" s="373"/>
      <c r="FJ19" s="373"/>
      <c r="FK19" s="373"/>
      <c r="FL19" s="373"/>
      <c r="FM19" s="373"/>
      <c r="FN19" s="373"/>
      <c r="FO19" s="373"/>
      <c r="FP19" s="373"/>
      <c r="FQ19" s="373"/>
      <c r="FR19" s="373"/>
      <c r="FS19" s="373"/>
      <c r="FT19" s="373"/>
      <c r="FU19" s="373"/>
      <c r="FV19" s="373"/>
      <c r="FW19" s="373"/>
      <c r="FX19" s="373"/>
      <c r="FY19" s="373" t="s">
        <v>358</v>
      </c>
      <c r="FZ19" s="373"/>
      <c r="GA19" s="373" t="s">
        <v>1797</v>
      </c>
      <c r="GB19" s="373"/>
      <c r="GC19" s="373" t="s">
        <v>1800</v>
      </c>
      <c r="GD19" s="373" t="s">
        <v>1805</v>
      </c>
      <c r="GE19" s="373"/>
      <c r="GF19" s="373"/>
      <c r="GG19" s="373"/>
      <c r="GH19" s="373"/>
      <c r="GI19" s="373"/>
      <c r="GJ19" s="373" t="s">
        <v>1807</v>
      </c>
      <c r="GK19" s="373" t="s">
        <v>359</v>
      </c>
      <c r="GL19" s="373"/>
      <c r="GM19" s="373"/>
      <c r="GN19" s="373"/>
      <c r="GO19" s="373"/>
      <c r="GP19" s="373"/>
      <c r="GQ19" s="373"/>
      <c r="GR19" s="373"/>
      <c r="GS19" s="373"/>
      <c r="GT19" s="373"/>
      <c r="GU19" s="373"/>
      <c r="GV19" s="373"/>
      <c r="GW19" s="373"/>
      <c r="GX19" s="373"/>
      <c r="GY19" s="373"/>
      <c r="GZ19" s="373"/>
      <c r="HA19" s="373"/>
      <c r="HB19" s="373"/>
      <c r="HC19" s="373"/>
      <c r="HD19" s="373"/>
      <c r="HE19" s="373"/>
      <c r="HF19" s="373"/>
      <c r="HG19" s="373"/>
      <c r="HH19" s="373" t="s">
        <v>94</v>
      </c>
      <c r="HI19" s="373"/>
      <c r="HJ19" s="373"/>
      <c r="HK19" s="373"/>
      <c r="HL19" s="373"/>
      <c r="HM19" s="373"/>
      <c r="HN19" s="373"/>
      <c r="HO19" s="373"/>
      <c r="HP19" s="373"/>
      <c r="HQ19" s="373"/>
      <c r="HR19" s="373"/>
      <c r="HS19" s="373"/>
      <c r="HT19" s="373" t="s">
        <v>1957</v>
      </c>
      <c r="HU19" s="373"/>
      <c r="HV19" s="373"/>
      <c r="HW19" s="373"/>
      <c r="HX19" s="373"/>
      <c r="HY19" s="373"/>
      <c r="HZ19" s="373"/>
      <c r="IA19" s="373"/>
      <c r="IB19" s="373"/>
      <c r="IC19" s="373"/>
      <c r="ID19" s="373"/>
      <c r="IE19" s="373"/>
      <c r="IF19" s="373"/>
      <c r="IG19" s="373" t="s">
        <v>94</v>
      </c>
      <c r="IH19" s="373"/>
      <c r="II19" s="373" t="s">
        <v>1810</v>
      </c>
      <c r="IJ19" s="373"/>
      <c r="IK19" s="373" t="s">
        <v>94</v>
      </c>
      <c r="IL19" s="373"/>
      <c r="IM19" s="373"/>
      <c r="IN19" s="373"/>
      <c r="IO19" s="373"/>
      <c r="IP19" s="373"/>
      <c r="IQ19" s="373" t="s">
        <v>94</v>
      </c>
      <c r="IR19" s="373" t="s">
        <v>1709</v>
      </c>
      <c r="IS19" s="373" t="s">
        <v>1815</v>
      </c>
      <c r="IT19" s="373" t="s">
        <v>1709</v>
      </c>
      <c r="IU19" s="373" t="s">
        <v>94</v>
      </c>
      <c r="IV19" s="373" t="s">
        <v>1649</v>
      </c>
      <c r="IW19" s="373" t="s">
        <v>1221</v>
      </c>
      <c r="IX19" s="373"/>
      <c r="IY19" s="373"/>
      <c r="IZ19" s="373"/>
      <c r="JA19" s="373"/>
      <c r="JB19" s="373"/>
      <c r="JC19" s="373"/>
      <c r="JD19" s="373"/>
      <c r="JE19" s="373"/>
      <c r="JF19" s="373"/>
      <c r="JG19" s="373"/>
      <c r="JH19" s="373"/>
      <c r="JI19" s="373"/>
      <c r="JJ19" s="373"/>
      <c r="JK19" s="373"/>
      <c r="JL19" s="373"/>
      <c r="JM19" s="373"/>
      <c r="JN19" s="373"/>
      <c r="JO19" s="373"/>
      <c r="JP19" s="373"/>
      <c r="JQ19" s="373"/>
      <c r="JR19" s="373"/>
      <c r="JS19" s="373"/>
      <c r="JT19" s="373"/>
      <c r="JU19" s="373"/>
      <c r="JV19" s="373"/>
      <c r="JW19" s="373"/>
      <c r="JX19" s="373"/>
      <c r="JY19" s="373"/>
      <c r="JZ19" s="373"/>
      <c r="KA19" s="373"/>
      <c r="KB19" s="373"/>
      <c r="KC19" s="373"/>
      <c r="KD19" s="373"/>
      <c r="KE19" s="373"/>
      <c r="KF19" s="373"/>
      <c r="KG19" s="373"/>
      <c r="KH19" s="373"/>
      <c r="KI19" s="373"/>
      <c r="KJ19" s="373"/>
      <c r="KK19" s="373"/>
      <c r="KL19" s="373"/>
      <c r="KM19" s="373"/>
      <c r="KN19" s="373" t="s">
        <v>1697</v>
      </c>
      <c r="KO19" s="373" t="s">
        <v>94</v>
      </c>
      <c r="KP19" s="373"/>
      <c r="KQ19" s="373"/>
      <c r="KR19" s="373" t="s">
        <v>1697</v>
      </c>
      <c r="KS19" s="373"/>
      <c r="KT19" s="373"/>
      <c r="KU19" s="373"/>
      <c r="KV19" s="373"/>
      <c r="KW19" s="373"/>
      <c r="KX19" s="373" t="s">
        <v>1709</v>
      </c>
      <c r="KY19" s="373"/>
      <c r="KZ19" s="373"/>
      <c r="LA19" s="373" t="s">
        <v>1709</v>
      </c>
      <c r="LB19" s="373"/>
      <c r="LC19" s="373" t="s">
        <v>1697</v>
      </c>
      <c r="LD19" s="373"/>
      <c r="LE19" s="373"/>
      <c r="LF19" s="373"/>
      <c r="LG19" s="373"/>
      <c r="LH19" s="373"/>
      <c r="LI19" s="373"/>
      <c r="LJ19" s="373"/>
      <c r="LK19" s="373"/>
      <c r="LL19" s="373"/>
      <c r="LM19" s="373"/>
      <c r="LN19" s="373"/>
      <c r="LO19" s="373"/>
      <c r="LP19" s="373"/>
      <c r="LQ19" s="373" t="s">
        <v>1258</v>
      </c>
      <c r="LR19" s="373"/>
      <c r="LS19" s="373"/>
      <c r="LT19" s="373"/>
      <c r="LU19" s="373"/>
      <c r="LV19" s="373"/>
      <c r="LW19" s="373"/>
      <c r="LX19" s="373"/>
      <c r="LY19" s="373"/>
      <c r="LZ19" s="373"/>
      <c r="MA19" s="373" t="s">
        <v>1825</v>
      </c>
      <c r="MB19" s="373"/>
      <c r="MC19" s="373"/>
      <c r="MD19" s="373"/>
      <c r="ME19" s="373"/>
      <c r="MF19" s="373"/>
      <c r="MG19" s="373"/>
      <c r="MH19" s="373"/>
      <c r="MI19" s="373"/>
      <c r="MJ19" s="373"/>
      <c r="MK19" s="373"/>
      <c r="ML19" s="373" t="s">
        <v>1697</v>
      </c>
      <c r="MM19" s="373"/>
      <c r="MN19" s="373"/>
      <c r="MO19" s="373"/>
      <c r="MP19" s="373"/>
      <c r="MQ19" s="373"/>
      <c r="MR19" s="373" t="s">
        <v>1709</v>
      </c>
      <c r="MS19" s="373"/>
      <c r="MT19" s="373" t="s">
        <v>1709</v>
      </c>
      <c r="MU19" s="373" t="s">
        <v>94</v>
      </c>
      <c r="MV19" s="373" t="s">
        <v>1834</v>
      </c>
      <c r="MW19" s="373" t="s">
        <v>1835</v>
      </c>
      <c r="MX19" s="373" t="s">
        <v>1697</v>
      </c>
      <c r="MY19" s="373"/>
      <c r="MZ19" s="373"/>
      <c r="NA19" s="373" t="s">
        <v>1658</v>
      </c>
      <c r="NB19" s="373"/>
      <c r="NC19" s="373"/>
      <c r="ND19" s="373"/>
      <c r="NE19" s="373"/>
      <c r="NF19" s="373"/>
      <c r="NG19" s="373" t="s">
        <v>1307</v>
      </c>
      <c r="NH19" s="373"/>
      <c r="NI19" s="373" t="s">
        <v>1836</v>
      </c>
      <c r="NJ19" s="373" t="s">
        <v>1840</v>
      </c>
      <c r="NK19" s="373"/>
      <c r="NL19" s="373" t="s">
        <v>1842</v>
      </c>
      <c r="NM19" s="373"/>
      <c r="NN19" s="373" t="s">
        <v>1709</v>
      </c>
      <c r="NO19" s="373" t="s">
        <v>1843</v>
      </c>
      <c r="NP19" s="373" t="s">
        <v>1697</v>
      </c>
      <c r="NQ19" s="373"/>
      <c r="NR19" s="373"/>
      <c r="NS19" s="373"/>
      <c r="NT19" s="373"/>
      <c r="NU19" s="373"/>
      <c r="NV19" s="373" t="s">
        <v>1845</v>
      </c>
      <c r="NW19" s="373"/>
      <c r="NX19" s="373" t="s">
        <v>1849</v>
      </c>
      <c r="NY19" s="373"/>
      <c r="NZ19" s="373"/>
      <c r="OA19" s="373"/>
      <c r="OB19" s="373"/>
      <c r="OC19" s="373"/>
      <c r="OD19" s="373"/>
      <c r="OE19" s="373"/>
      <c r="OF19" s="373" t="s">
        <v>1852</v>
      </c>
      <c r="OG19" s="373"/>
    </row>
    <row r="20" spans="2:397" ht="51">
      <c r="B20" s="386" t="s">
        <v>306</v>
      </c>
      <c r="C20" s="373" t="s">
        <v>94</v>
      </c>
      <c r="D20" s="373" t="s">
        <v>1193</v>
      </c>
      <c r="E20" s="373" t="s">
        <v>364</v>
      </c>
      <c r="F20" s="373" t="s">
        <v>364</v>
      </c>
      <c r="G20" s="373" t="s">
        <v>1193</v>
      </c>
      <c r="H20" s="373" t="s">
        <v>94</v>
      </c>
      <c r="I20" s="373" t="s">
        <v>94</v>
      </c>
      <c r="J20" s="373" t="s">
        <v>94</v>
      </c>
      <c r="K20" s="373" t="s">
        <v>94</v>
      </c>
      <c r="L20" s="373" t="s">
        <v>94</v>
      </c>
      <c r="M20" s="373" t="s">
        <v>94</v>
      </c>
      <c r="N20" s="373" t="s">
        <v>94</v>
      </c>
      <c r="O20" s="373" t="s">
        <v>94</v>
      </c>
      <c r="P20" s="373" t="s">
        <v>94</v>
      </c>
      <c r="Q20" s="373" t="s">
        <v>94</v>
      </c>
      <c r="R20" s="373" t="s">
        <v>94</v>
      </c>
      <c r="S20" s="373" t="s">
        <v>94</v>
      </c>
      <c r="T20" s="373" t="s">
        <v>94</v>
      </c>
      <c r="U20" s="373" t="s">
        <v>94</v>
      </c>
      <c r="V20" s="373" t="s">
        <v>94</v>
      </c>
      <c r="W20" s="373" t="s">
        <v>94</v>
      </c>
      <c r="X20" s="373" t="s">
        <v>94</v>
      </c>
      <c r="Y20" s="373" t="s">
        <v>94</v>
      </c>
      <c r="Z20" s="373" t="s">
        <v>94</v>
      </c>
      <c r="AA20" s="373" t="s">
        <v>94</v>
      </c>
      <c r="AB20" s="373" t="s">
        <v>94</v>
      </c>
      <c r="AC20" s="373" t="s">
        <v>1262</v>
      </c>
      <c r="AD20" s="373" t="s">
        <v>1266</v>
      </c>
      <c r="AE20" s="373" t="s">
        <v>94</v>
      </c>
      <c r="AF20" s="373" t="s">
        <v>94</v>
      </c>
      <c r="AG20" s="373" t="s">
        <v>1271</v>
      </c>
      <c r="AH20" s="373" t="s">
        <v>406</v>
      </c>
      <c r="AI20" s="373" t="s">
        <v>406</v>
      </c>
      <c r="AJ20" s="373" t="s">
        <v>1271</v>
      </c>
      <c r="AK20" s="373" t="s">
        <v>406</v>
      </c>
      <c r="AL20" s="373" t="s">
        <v>364</v>
      </c>
      <c r="AM20" s="373" t="s">
        <v>1291</v>
      </c>
      <c r="AN20" s="373" t="s">
        <v>94</v>
      </c>
      <c r="AO20" s="373" t="s">
        <v>1297</v>
      </c>
      <c r="AP20" s="373" t="s">
        <v>94</v>
      </c>
      <c r="AQ20" s="373" t="s">
        <v>318</v>
      </c>
      <c r="AR20" s="373" t="s">
        <v>318</v>
      </c>
      <c r="AS20" s="373" t="s">
        <v>94</v>
      </c>
      <c r="AT20" s="373" t="s">
        <v>94</v>
      </c>
      <c r="AU20" s="373" t="s">
        <v>94</v>
      </c>
      <c r="AV20" s="373" t="s">
        <v>94</v>
      </c>
      <c r="AW20" s="373" t="s">
        <v>94</v>
      </c>
      <c r="AX20" s="373" t="s">
        <v>94</v>
      </c>
      <c r="AY20" s="373" t="s">
        <v>94</v>
      </c>
      <c r="AZ20" s="373" t="s">
        <v>406</v>
      </c>
      <c r="BA20" s="373" t="s">
        <v>406</v>
      </c>
      <c r="BB20" s="373" t="s">
        <v>1584</v>
      </c>
      <c r="BC20" s="373" t="s">
        <v>94</v>
      </c>
      <c r="BD20" s="373" t="s">
        <v>1584</v>
      </c>
      <c r="BE20" s="373" t="s">
        <v>1584</v>
      </c>
      <c r="BF20" s="373" t="s">
        <v>1584</v>
      </c>
      <c r="BG20" s="373" t="s">
        <v>1584</v>
      </c>
      <c r="BH20" s="373" t="s">
        <v>1584</v>
      </c>
      <c r="BI20" s="373" t="s">
        <v>1584</v>
      </c>
      <c r="BJ20" s="373" t="s">
        <v>1584</v>
      </c>
      <c r="BK20" s="373" t="s">
        <v>318</v>
      </c>
      <c r="BL20" s="373" t="s">
        <v>1584</v>
      </c>
      <c r="BM20" s="373" t="s">
        <v>1584</v>
      </c>
      <c r="BN20" s="373" t="s">
        <v>1584</v>
      </c>
      <c r="BO20" s="373" t="s">
        <v>1584</v>
      </c>
      <c r="BP20" s="373" t="s">
        <v>318</v>
      </c>
      <c r="BQ20" s="373" t="s">
        <v>318</v>
      </c>
      <c r="BR20" s="373" t="s">
        <v>318</v>
      </c>
      <c r="BS20" s="373" t="s">
        <v>318</v>
      </c>
      <c r="BT20" s="373" t="s">
        <v>318</v>
      </c>
      <c r="BU20" s="373" t="s">
        <v>94</v>
      </c>
      <c r="BV20" s="373">
        <v>75</v>
      </c>
      <c r="BW20" s="373" t="s">
        <v>318</v>
      </c>
      <c r="BX20" s="373" t="s">
        <v>318</v>
      </c>
      <c r="BY20" s="373" t="s">
        <v>318</v>
      </c>
      <c r="BZ20" s="373">
        <v>70</v>
      </c>
      <c r="CA20" s="373">
        <v>75</v>
      </c>
      <c r="CB20" s="373"/>
      <c r="CC20" s="373"/>
      <c r="CD20" s="373"/>
      <c r="CE20" s="373"/>
      <c r="CF20" s="373"/>
      <c r="CG20" s="373" t="s">
        <v>318</v>
      </c>
      <c r="CH20" s="373">
        <v>75</v>
      </c>
      <c r="CI20" s="373"/>
      <c r="CJ20" s="373"/>
      <c r="CK20" s="373"/>
      <c r="CL20" s="373"/>
      <c r="CM20" s="373"/>
      <c r="CN20" s="373"/>
      <c r="CO20" s="373"/>
      <c r="CP20" s="373"/>
      <c r="CQ20" s="373"/>
      <c r="CR20" s="373"/>
      <c r="CS20" s="373"/>
      <c r="CT20" s="373"/>
      <c r="CU20" s="373"/>
      <c r="CV20" s="373"/>
      <c r="CW20" s="373"/>
      <c r="CX20" s="373"/>
      <c r="CY20" s="373"/>
      <c r="CZ20" s="373"/>
      <c r="DA20" s="373" t="s">
        <v>94</v>
      </c>
      <c r="DB20" s="373" t="s">
        <v>94</v>
      </c>
      <c r="DC20" s="373" t="s">
        <v>94</v>
      </c>
      <c r="DD20" s="373" t="s">
        <v>364</v>
      </c>
      <c r="DE20" s="373" t="s">
        <v>94</v>
      </c>
      <c r="DF20" s="373"/>
      <c r="DG20" s="373"/>
      <c r="DH20" s="373"/>
      <c r="DI20" s="373"/>
      <c r="DJ20" s="373"/>
      <c r="DK20" s="373"/>
      <c r="DL20" s="373"/>
      <c r="DM20" s="373"/>
      <c r="DN20" s="373"/>
      <c r="DO20" s="373"/>
      <c r="DP20" s="373"/>
      <c r="DQ20" s="373"/>
      <c r="DR20" s="373"/>
      <c r="DS20" s="373"/>
      <c r="DT20" s="373"/>
      <c r="DU20" s="373"/>
      <c r="DV20" s="373"/>
      <c r="DW20" s="373" t="s">
        <v>1720</v>
      </c>
      <c r="DX20" s="373"/>
      <c r="DY20" s="373" t="s">
        <v>364</v>
      </c>
      <c r="DZ20" s="373"/>
      <c r="EA20" s="373" t="s">
        <v>364</v>
      </c>
      <c r="EB20" s="373" t="s">
        <v>318</v>
      </c>
      <c r="EC20" s="373" t="s">
        <v>318</v>
      </c>
      <c r="ED20" s="373" t="s">
        <v>1729</v>
      </c>
      <c r="EE20" s="373" t="s">
        <v>364</v>
      </c>
      <c r="EF20" s="373" t="s">
        <v>318</v>
      </c>
      <c r="EG20" s="373" t="s">
        <v>318</v>
      </c>
      <c r="EH20" s="373" t="s">
        <v>364</v>
      </c>
      <c r="EI20" s="373" t="s">
        <v>406</v>
      </c>
      <c r="EJ20" s="373" t="s">
        <v>318</v>
      </c>
      <c r="EK20" s="373" t="s">
        <v>318</v>
      </c>
      <c r="EL20" s="373" t="s">
        <v>318</v>
      </c>
      <c r="EM20" s="373" t="s">
        <v>364</v>
      </c>
      <c r="EN20" s="373" t="s">
        <v>1720</v>
      </c>
      <c r="EO20" s="373" t="s">
        <v>1720</v>
      </c>
      <c r="EP20" s="373" t="s">
        <v>406</v>
      </c>
      <c r="EQ20" s="373" t="s">
        <v>318</v>
      </c>
      <c r="ER20" s="373" t="s">
        <v>318</v>
      </c>
      <c r="ES20" s="373" t="s">
        <v>318</v>
      </c>
      <c r="ET20" s="373" t="s">
        <v>318</v>
      </c>
      <c r="EU20" s="373" t="s">
        <v>318</v>
      </c>
      <c r="EV20" s="373" t="s">
        <v>364</v>
      </c>
      <c r="EW20" s="373" t="s">
        <v>406</v>
      </c>
      <c r="EX20" s="373" t="s">
        <v>318</v>
      </c>
      <c r="EY20" s="373" t="s">
        <v>318</v>
      </c>
      <c r="EZ20" s="373" t="s">
        <v>364</v>
      </c>
      <c r="FA20" s="373" t="s">
        <v>364</v>
      </c>
      <c r="FB20" s="373" t="s">
        <v>364</v>
      </c>
      <c r="FC20" s="373" t="s">
        <v>364</v>
      </c>
      <c r="FD20" s="373" t="s">
        <v>1584</v>
      </c>
      <c r="FE20" s="373" t="s">
        <v>94</v>
      </c>
      <c r="FF20" s="373"/>
      <c r="FG20" s="373"/>
      <c r="FH20" s="373"/>
      <c r="FI20" s="373"/>
      <c r="FJ20" s="373"/>
      <c r="FK20" s="373"/>
      <c r="FL20" s="373"/>
      <c r="FM20" s="373"/>
      <c r="FN20" s="373"/>
      <c r="FO20" s="373"/>
      <c r="FP20" s="373"/>
      <c r="FQ20" s="373"/>
      <c r="FR20" s="373"/>
      <c r="FS20" s="373"/>
      <c r="FT20" s="373"/>
      <c r="FU20" s="373"/>
      <c r="FV20" s="373"/>
      <c r="FW20" s="373"/>
      <c r="FX20" s="373"/>
      <c r="FY20" s="373" t="s">
        <v>318</v>
      </c>
      <c r="FZ20" s="373"/>
      <c r="GA20" s="373" t="s">
        <v>318</v>
      </c>
      <c r="GB20" s="373"/>
      <c r="GC20" s="373" t="s">
        <v>318</v>
      </c>
      <c r="GD20" s="373" t="s">
        <v>318</v>
      </c>
      <c r="GE20" s="373"/>
      <c r="GF20" s="373"/>
      <c r="GG20" s="373"/>
      <c r="GH20" s="373"/>
      <c r="GI20" s="373"/>
      <c r="GJ20" s="373" t="s">
        <v>318</v>
      </c>
      <c r="GK20" s="373" t="s">
        <v>364</v>
      </c>
      <c r="GL20" s="373"/>
      <c r="GM20" s="373"/>
      <c r="GN20" s="373"/>
      <c r="GO20" s="373"/>
      <c r="GP20" s="373"/>
      <c r="GQ20" s="373"/>
      <c r="GR20" s="373"/>
      <c r="GS20" s="373"/>
      <c r="GT20" s="373"/>
      <c r="GU20" s="373"/>
      <c r="GV20" s="373"/>
      <c r="GW20" s="373"/>
      <c r="GX20" s="373"/>
      <c r="GY20" s="373"/>
      <c r="GZ20" s="373"/>
      <c r="HA20" s="373"/>
      <c r="HB20" s="373"/>
      <c r="HC20" s="373"/>
      <c r="HD20" s="373"/>
      <c r="HE20" s="373"/>
      <c r="HF20" s="373"/>
      <c r="HG20" s="373"/>
      <c r="HH20" s="373" t="s">
        <v>1808</v>
      </c>
      <c r="HI20" s="373"/>
      <c r="HJ20" s="373"/>
      <c r="HK20" s="373"/>
      <c r="HL20" s="373"/>
      <c r="HM20" s="373"/>
      <c r="HN20" s="373"/>
      <c r="HO20" s="373"/>
      <c r="HP20" s="373"/>
      <c r="HQ20" s="373"/>
      <c r="HR20" s="373"/>
      <c r="HS20" s="373"/>
      <c r="HT20" s="373" t="s">
        <v>94</v>
      </c>
      <c r="HU20" s="373"/>
      <c r="HV20" s="373"/>
      <c r="HW20" s="373"/>
      <c r="HX20" s="373"/>
      <c r="HY20" s="373"/>
      <c r="HZ20" s="373"/>
      <c r="IA20" s="373"/>
      <c r="IB20" s="373"/>
      <c r="IC20" s="373"/>
      <c r="ID20" s="373"/>
      <c r="IE20" s="373"/>
      <c r="IF20" s="373"/>
      <c r="IG20" s="373" t="s">
        <v>318</v>
      </c>
      <c r="IH20" s="373"/>
      <c r="II20" s="373" t="s">
        <v>318</v>
      </c>
      <c r="IJ20" s="373"/>
      <c r="IK20" s="373" t="s">
        <v>94</v>
      </c>
      <c r="IL20" s="373"/>
      <c r="IM20" s="373"/>
      <c r="IN20" s="373"/>
      <c r="IO20" s="373"/>
      <c r="IP20" s="373"/>
      <c r="IQ20" s="373" t="s">
        <v>1655</v>
      </c>
      <c r="IR20" s="373" t="s">
        <v>318</v>
      </c>
      <c r="IS20" s="373" t="s">
        <v>1816</v>
      </c>
      <c r="IT20" s="373" t="s">
        <v>364</v>
      </c>
      <c r="IU20" s="373" t="s">
        <v>318</v>
      </c>
      <c r="IV20" s="373" t="s">
        <v>94</v>
      </c>
      <c r="IW20" s="373" t="s">
        <v>94</v>
      </c>
      <c r="IX20" s="373"/>
      <c r="IY20" s="373"/>
      <c r="IZ20" s="373"/>
      <c r="JA20" s="373"/>
      <c r="JB20" s="373"/>
      <c r="JC20" s="373"/>
      <c r="JD20" s="373"/>
      <c r="JE20" s="373"/>
      <c r="JF20" s="373"/>
      <c r="JG20" s="373"/>
      <c r="JH20" s="373"/>
      <c r="JI20" s="373"/>
      <c r="JJ20" s="373"/>
      <c r="JK20" s="373"/>
      <c r="JL20" s="373"/>
      <c r="JM20" s="373"/>
      <c r="JN20" s="373"/>
      <c r="JO20" s="373"/>
      <c r="JP20" s="373"/>
      <c r="JQ20" s="373"/>
      <c r="JR20" s="373"/>
      <c r="JS20" s="373"/>
      <c r="JT20" s="373"/>
      <c r="JU20" s="373"/>
      <c r="JV20" s="373"/>
      <c r="JW20" s="373"/>
      <c r="JX20" s="373"/>
      <c r="JY20" s="373"/>
      <c r="JZ20" s="373"/>
      <c r="KA20" s="373"/>
      <c r="KB20" s="373"/>
      <c r="KC20" s="373"/>
      <c r="KD20" s="373"/>
      <c r="KE20" s="373"/>
      <c r="KF20" s="373"/>
      <c r="KG20" s="373"/>
      <c r="KH20" s="373"/>
      <c r="KI20" s="373"/>
      <c r="KJ20" s="373"/>
      <c r="KK20" s="373"/>
      <c r="KL20" s="373"/>
      <c r="KM20" s="373"/>
      <c r="KN20" s="373" t="s">
        <v>1821</v>
      </c>
      <c r="KO20" s="373" t="s">
        <v>1821</v>
      </c>
      <c r="KP20" s="373"/>
      <c r="KQ20" s="373"/>
      <c r="KR20" s="373" t="s">
        <v>318</v>
      </c>
      <c r="KS20" s="373"/>
      <c r="KT20" s="373"/>
      <c r="KU20" s="373"/>
      <c r="KV20" s="373"/>
      <c r="KW20" s="373"/>
      <c r="KX20" s="373" t="s">
        <v>406</v>
      </c>
      <c r="KY20" s="373"/>
      <c r="KZ20" s="373"/>
      <c r="LA20" s="373" t="s">
        <v>94</v>
      </c>
      <c r="LB20" s="373"/>
      <c r="LC20" s="373" t="s">
        <v>94</v>
      </c>
      <c r="LD20" s="373"/>
      <c r="LE20" s="373"/>
      <c r="LF20" s="373"/>
      <c r="LG20" s="373"/>
      <c r="LH20" s="373"/>
      <c r="LI20" s="373"/>
      <c r="LJ20" s="373"/>
      <c r="LK20" s="373"/>
      <c r="LL20" s="373"/>
      <c r="LM20" s="373"/>
      <c r="LN20" s="373"/>
      <c r="LO20" s="373"/>
      <c r="LP20" s="373"/>
      <c r="LQ20" s="373" t="s">
        <v>364</v>
      </c>
      <c r="LR20" s="373"/>
      <c r="LS20" s="373"/>
      <c r="LT20" s="373"/>
      <c r="LU20" s="373"/>
      <c r="LV20" s="373"/>
      <c r="LW20" s="373"/>
      <c r="LX20" s="373"/>
      <c r="LY20" s="373"/>
      <c r="LZ20" s="373"/>
      <c r="MA20" s="373" t="s">
        <v>94</v>
      </c>
      <c r="MB20" s="373"/>
      <c r="MC20" s="373"/>
      <c r="MD20" s="373"/>
      <c r="ME20" s="373"/>
      <c r="MF20" s="373"/>
      <c r="MG20" s="373"/>
      <c r="MH20" s="373"/>
      <c r="MI20" s="373"/>
      <c r="MJ20" s="373"/>
      <c r="MK20" s="373"/>
      <c r="ML20" s="373" t="s">
        <v>1821</v>
      </c>
      <c r="MM20" s="373"/>
      <c r="MN20" s="373"/>
      <c r="MO20" s="373"/>
      <c r="MP20" s="373"/>
      <c r="MQ20" s="373"/>
      <c r="MR20" s="373" t="s">
        <v>318</v>
      </c>
      <c r="MS20" s="373"/>
      <c r="MT20" s="373" t="s">
        <v>94</v>
      </c>
      <c r="MU20" s="373" t="s">
        <v>364</v>
      </c>
      <c r="MV20" s="373" t="s">
        <v>364</v>
      </c>
      <c r="MW20" s="373" t="s">
        <v>94</v>
      </c>
      <c r="MX20" s="373" t="s">
        <v>94</v>
      </c>
      <c r="MY20" s="373"/>
      <c r="MZ20" s="373"/>
      <c r="NA20" s="373" t="s">
        <v>318</v>
      </c>
      <c r="NB20" s="373"/>
      <c r="NC20" s="373"/>
      <c r="ND20" s="373"/>
      <c r="NE20" s="373"/>
      <c r="NF20" s="373"/>
      <c r="NG20" s="373" t="s">
        <v>94</v>
      </c>
      <c r="NH20" s="373"/>
      <c r="NI20" s="373" t="s">
        <v>318</v>
      </c>
      <c r="NJ20" s="373" t="s">
        <v>318</v>
      </c>
      <c r="NK20" s="373"/>
      <c r="NL20" s="373" t="s">
        <v>318</v>
      </c>
      <c r="NM20" s="373"/>
      <c r="NN20" s="373" t="s">
        <v>94</v>
      </c>
      <c r="NO20" s="373" t="s">
        <v>94</v>
      </c>
      <c r="NP20" s="373" t="s">
        <v>94</v>
      </c>
      <c r="NQ20" s="373"/>
      <c r="NR20" s="373"/>
      <c r="NS20" s="373"/>
      <c r="NT20" s="373"/>
      <c r="NU20" s="373"/>
      <c r="NV20" s="373" t="s">
        <v>318</v>
      </c>
      <c r="NW20" s="373"/>
      <c r="NX20" s="373" t="s">
        <v>318</v>
      </c>
      <c r="NY20" s="373"/>
      <c r="NZ20" s="373"/>
      <c r="OA20" s="373"/>
      <c r="OB20" s="373"/>
      <c r="OC20" s="373"/>
      <c r="OD20" s="373"/>
      <c r="OE20" s="373"/>
      <c r="OF20" s="373" t="s">
        <v>94</v>
      </c>
      <c r="OG20" s="373"/>
    </row>
    <row r="21" spans="2:397">
      <c r="B21" s="380" t="s">
        <v>304</v>
      </c>
      <c r="C21" s="373" t="s">
        <v>94</v>
      </c>
      <c r="D21" s="373" t="s">
        <v>1203</v>
      </c>
      <c r="E21" s="373" t="s">
        <v>1203</v>
      </c>
      <c r="F21" s="373" t="s">
        <v>1203</v>
      </c>
      <c r="G21" s="373" t="s">
        <v>1203</v>
      </c>
      <c r="H21" s="373" t="s">
        <v>94</v>
      </c>
      <c r="I21" s="373" t="s">
        <v>94</v>
      </c>
      <c r="J21" s="373" t="s">
        <v>94</v>
      </c>
      <c r="K21" s="373" t="s">
        <v>94</v>
      </c>
      <c r="L21" s="373" t="s">
        <v>94</v>
      </c>
      <c r="M21" s="373" t="s">
        <v>94</v>
      </c>
      <c r="N21" s="373" t="s">
        <v>94</v>
      </c>
      <c r="O21" s="373" t="s">
        <v>94</v>
      </c>
      <c r="P21" s="373" t="s">
        <v>94</v>
      </c>
      <c r="Q21" s="373" t="s">
        <v>94</v>
      </c>
      <c r="R21" s="373" t="s">
        <v>94</v>
      </c>
      <c r="S21" s="373" t="s">
        <v>360</v>
      </c>
      <c r="T21" s="373" t="s">
        <v>94</v>
      </c>
      <c r="U21" s="373" t="s">
        <v>94</v>
      </c>
      <c r="V21" s="373" t="s">
        <v>94</v>
      </c>
      <c r="W21" s="373" t="s">
        <v>94</v>
      </c>
      <c r="X21" s="373" t="s">
        <v>94</v>
      </c>
      <c r="Y21" s="373" t="s">
        <v>1203</v>
      </c>
      <c r="Z21" s="373" t="s">
        <v>1203</v>
      </c>
      <c r="AA21" s="373" t="s">
        <v>1203</v>
      </c>
      <c r="AB21" s="373" t="s">
        <v>94</v>
      </c>
      <c r="AC21" s="373" t="s">
        <v>360</v>
      </c>
      <c r="AD21" s="373" t="s">
        <v>94</v>
      </c>
      <c r="AE21" s="373" t="s">
        <v>1203</v>
      </c>
      <c r="AF21" s="373" t="s">
        <v>1203</v>
      </c>
      <c r="AG21" s="373" t="s">
        <v>1203</v>
      </c>
      <c r="AH21" s="373" t="s">
        <v>360</v>
      </c>
      <c r="AI21" s="373" t="s">
        <v>94</v>
      </c>
      <c r="AJ21" s="373" t="s">
        <v>1203</v>
      </c>
      <c r="AK21" s="373" t="s">
        <v>94</v>
      </c>
      <c r="AL21" s="373" t="s">
        <v>94</v>
      </c>
      <c r="AM21" s="373" t="s">
        <v>1203</v>
      </c>
      <c r="AN21" s="373" t="s">
        <v>360</v>
      </c>
      <c r="AO21" s="373" t="s">
        <v>94</v>
      </c>
      <c r="AP21" s="373" t="s">
        <v>1203</v>
      </c>
      <c r="AQ21" s="373" t="s">
        <v>1300</v>
      </c>
      <c r="AR21" s="373" t="s">
        <v>1203</v>
      </c>
      <c r="AS21" s="373" t="s">
        <v>360</v>
      </c>
      <c r="AT21" s="373" t="s">
        <v>1203</v>
      </c>
      <c r="AU21" s="373" t="s">
        <v>360</v>
      </c>
      <c r="AV21" s="373" t="s">
        <v>94</v>
      </c>
      <c r="AW21" s="373" t="s">
        <v>1203</v>
      </c>
      <c r="AX21" s="373" t="s">
        <v>1203</v>
      </c>
      <c r="AY21" s="373" t="s">
        <v>1203</v>
      </c>
      <c r="AZ21" s="373" t="s">
        <v>94</v>
      </c>
      <c r="BA21" s="373" t="s">
        <v>94</v>
      </c>
      <c r="BB21" s="373" t="s">
        <v>360</v>
      </c>
      <c r="BC21" s="373" t="s">
        <v>94</v>
      </c>
      <c r="BD21" s="373" t="s">
        <v>94</v>
      </c>
      <c r="BE21" s="373" t="s">
        <v>94</v>
      </c>
      <c r="BF21" s="373" t="s">
        <v>94</v>
      </c>
      <c r="BG21" s="373" t="s">
        <v>94</v>
      </c>
      <c r="BH21" s="373" t="s">
        <v>94</v>
      </c>
      <c r="BI21" s="373" t="s">
        <v>94</v>
      </c>
      <c r="BJ21" s="373" t="s">
        <v>94</v>
      </c>
      <c r="BK21" s="373" t="s">
        <v>94</v>
      </c>
      <c r="BL21" s="373" t="s">
        <v>94</v>
      </c>
      <c r="BM21" s="373" t="s">
        <v>94</v>
      </c>
      <c r="BN21" s="373" t="s">
        <v>1203</v>
      </c>
      <c r="BO21" s="373" t="s">
        <v>1203</v>
      </c>
      <c r="BP21" s="373" t="s">
        <v>360</v>
      </c>
      <c r="BQ21" s="373" t="s">
        <v>94</v>
      </c>
      <c r="BR21" s="373" t="s">
        <v>1203</v>
      </c>
      <c r="BS21" s="373" t="s">
        <v>1203</v>
      </c>
      <c r="BT21" s="373" t="s">
        <v>1203</v>
      </c>
      <c r="BU21" s="373" t="s">
        <v>1203</v>
      </c>
      <c r="BV21" s="373" t="s">
        <v>94</v>
      </c>
      <c r="BW21" s="373" t="s">
        <v>94</v>
      </c>
      <c r="BX21" s="373" t="s">
        <v>94</v>
      </c>
      <c r="BY21" s="373" t="s">
        <v>1203</v>
      </c>
      <c r="BZ21" s="373" t="s">
        <v>360</v>
      </c>
      <c r="CA21" s="373" t="s">
        <v>1203</v>
      </c>
      <c r="CB21" s="373"/>
      <c r="CC21" s="373"/>
      <c r="CD21" s="373"/>
      <c r="CE21" s="373"/>
      <c r="CF21" s="373"/>
      <c r="CG21" s="373" t="s">
        <v>94</v>
      </c>
      <c r="CH21" s="373" t="s">
        <v>94</v>
      </c>
      <c r="CI21" s="373"/>
      <c r="CJ21" s="373"/>
      <c r="CK21" s="373"/>
      <c r="CL21" s="373"/>
      <c r="CM21" s="373"/>
      <c r="CN21" s="373"/>
      <c r="CO21" s="373"/>
      <c r="CP21" s="373"/>
      <c r="CQ21" s="373"/>
      <c r="CR21" s="373"/>
      <c r="CS21" s="373"/>
      <c r="CT21" s="373"/>
      <c r="CU21" s="373"/>
      <c r="CV21" s="373"/>
      <c r="CW21" s="373"/>
      <c r="CX21" s="373"/>
      <c r="CY21" s="373"/>
      <c r="CZ21" s="373"/>
      <c r="DA21" s="373" t="s">
        <v>94</v>
      </c>
      <c r="DB21" s="373" t="s">
        <v>94</v>
      </c>
      <c r="DC21" s="373" t="s">
        <v>94</v>
      </c>
      <c r="DD21" s="373" t="s">
        <v>94</v>
      </c>
      <c r="DE21" s="373" t="s">
        <v>1203</v>
      </c>
      <c r="DF21" s="373"/>
      <c r="DG21" s="373"/>
      <c r="DH21" s="373"/>
      <c r="DI21" s="373"/>
      <c r="DJ21" s="373"/>
      <c r="DK21" s="373"/>
      <c r="DL21" s="373"/>
      <c r="DM21" s="373"/>
      <c r="DN21" s="373"/>
      <c r="DO21" s="373"/>
      <c r="DP21" s="373"/>
      <c r="DQ21" s="373"/>
      <c r="DR21" s="373"/>
      <c r="DS21" s="373"/>
      <c r="DT21" s="373"/>
      <c r="DU21" s="373"/>
      <c r="DV21" s="373"/>
      <c r="DW21" s="373" t="s">
        <v>360</v>
      </c>
      <c r="DX21" s="373"/>
      <c r="DY21" s="373" t="s">
        <v>1203</v>
      </c>
      <c r="DZ21" s="373"/>
      <c r="EA21" s="373" t="s">
        <v>1203</v>
      </c>
      <c r="EB21" s="373" t="s">
        <v>1203</v>
      </c>
      <c r="EC21" s="373" t="s">
        <v>94</v>
      </c>
      <c r="ED21" s="373" t="s">
        <v>94</v>
      </c>
      <c r="EE21" s="373" t="s">
        <v>94</v>
      </c>
      <c r="EF21" s="373" t="s">
        <v>94</v>
      </c>
      <c r="EG21" s="373" t="s">
        <v>94</v>
      </c>
      <c r="EH21" s="373" t="s">
        <v>94</v>
      </c>
      <c r="EI21" s="373" t="s">
        <v>94</v>
      </c>
      <c r="EJ21" s="373" t="s">
        <v>94</v>
      </c>
      <c r="EK21" s="373" t="s">
        <v>360</v>
      </c>
      <c r="EL21" s="373" t="s">
        <v>360</v>
      </c>
      <c r="EM21" s="373" t="s">
        <v>360</v>
      </c>
      <c r="EN21" s="373" t="s">
        <v>360</v>
      </c>
      <c r="EO21" s="373" t="s">
        <v>360</v>
      </c>
      <c r="EP21" s="373" t="s">
        <v>94</v>
      </c>
      <c r="EQ21" s="373" t="s">
        <v>94</v>
      </c>
      <c r="ER21" s="373" t="s">
        <v>94</v>
      </c>
      <c r="ES21" s="373" t="s">
        <v>94</v>
      </c>
      <c r="ET21" s="373" t="s">
        <v>94</v>
      </c>
      <c r="EU21" s="373" t="s">
        <v>94</v>
      </c>
      <c r="EV21" s="373" t="s">
        <v>94</v>
      </c>
      <c r="EW21" s="373" t="s">
        <v>94</v>
      </c>
      <c r="EX21" s="373" t="s">
        <v>94</v>
      </c>
      <c r="EY21" s="373" t="s">
        <v>94</v>
      </c>
      <c r="EZ21" s="373" t="s">
        <v>94</v>
      </c>
      <c r="FA21" s="373" t="s">
        <v>94</v>
      </c>
      <c r="FB21" s="373" t="s">
        <v>94</v>
      </c>
      <c r="FC21" s="373" t="s">
        <v>94</v>
      </c>
      <c r="FD21" s="373" t="s">
        <v>1203</v>
      </c>
      <c r="FE21" s="373" t="s">
        <v>1203</v>
      </c>
      <c r="FF21" s="373"/>
      <c r="FG21" s="373"/>
      <c r="FH21" s="373"/>
      <c r="FI21" s="373"/>
      <c r="FJ21" s="373"/>
      <c r="FK21" s="373"/>
      <c r="FL21" s="373"/>
      <c r="FM21" s="373"/>
      <c r="FN21" s="373"/>
      <c r="FO21" s="373"/>
      <c r="FP21" s="373"/>
      <c r="FQ21" s="373"/>
      <c r="FR21" s="373"/>
      <c r="FS21" s="373"/>
      <c r="FT21" s="373"/>
      <c r="FU21" s="373"/>
      <c r="FV21" s="373"/>
      <c r="FW21" s="373"/>
      <c r="FX21" s="373"/>
      <c r="FY21" s="373" t="s">
        <v>360</v>
      </c>
      <c r="FZ21" s="373"/>
      <c r="GA21" s="373" t="s">
        <v>360</v>
      </c>
      <c r="GB21" s="373"/>
      <c r="GC21" s="373" t="s">
        <v>94</v>
      </c>
      <c r="GD21" s="373" t="s">
        <v>94</v>
      </c>
      <c r="GE21" s="373"/>
      <c r="GF21" s="373"/>
      <c r="GG21" s="373"/>
      <c r="GH21" s="373"/>
      <c r="GI21" s="373"/>
      <c r="GJ21" s="373" t="s">
        <v>94</v>
      </c>
      <c r="GK21" s="373" t="s">
        <v>1203</v>
      </c>
      <c r="GL21" s="373"/>
      <c r="GM21" s="373"/>
      <c r="GN21" s="373"/>
      <c r="GO21" s="373"/>
      <c r="GP21" s="373"/>
      <c r="GQ21" s="373"/>
      <c r="GR21" s="373"/>
      <c r="GS21" s="373"/>
      <c r="GT21" s="373"/>
      <c r="GU21" s="373"/>
      <c r="GV21" s="373"/>
      <c r="GW21" s="373"/>
      <c r="GX21" s="373"/>
      <c r="GY21" s="373"/>
      <c r="GZ21" s="373"/>
      <c r="HA21" s="373"/>
      <c r="HB21" s="373"/>
      <c r="HC21" s="373"/>
      <c r="HD21" s="373"/>
      <c r="HE21" s="373"/>
      <c r="HF21" s="373"/>
      <c r="HG21" s="373"/>
      <c r="HH21" s="373" t="s">
        <v>360</v>
      </c>
      <c r="HI21" s="373"/>
      <c r="HJ21" s="373"/>
      <c r="HK21" s="373"/>
      <c r="HL21" s="373"/>
      <c r="HM21" s="373"/>
      <c r="HN21" s="373"/>
      <c r="HO21" s="373"/>
      <c r="HP21" s="373"/>
      <c r="HQ21" s="373"/>
      <c r="HR21" s="373"/>
      <c r="HS21" s="373"/>
      <c r="HT21" s="373" t="s">
        <v>1203</v>
      </c>
      <c r="HU21" s="373"/>
      <c r="HV21" s="373"/>
      <c r="HW21" s="373"/>
      <c r="HX21" s="373"/>
      <c r="HY21" s="373"/>
      <c r="HZ21" s="373"/>
      <c r="IA21" s="373"/>
      <c r="IB21" s="373"/>
      <c r="IC21" s="373"/>
      <c r="ID21" s="373"/>
      <c r="IE21" s="373"/>
      <c r="IF21" s="373"/>
      <c r="IG21" s="373" t="s">
        <v>94</v>
      </c>
      <c r="IH21" s="373"/>
      <c r="II21" s="373" t="s">
        <v>94</v>
      </c>
      <c r="IJ21" s="373"/>
      <c r="IK21" s="373" t="s">
        <v>1203</v>
      </c>
      <c r="IL21" s="373"/>
      <c r="IM21" s="373"/>
      <c r="IN21" s="373"/>
      <c r="IO21" s="373"/>
      <c r="IP21" s="373"/>
      <c r="IQ21" s="373" t="s">
        <v>360</v>
      </c>
      <c r="IR21" s="373" t="s">
        <v>94</v>
      </c>
      <c r="IS21" s="373" t="s">
        <v>94</v>
      </c>
      <c r="IT21" s="373" t="s">
        <v>94</v>
      </c>
      <c r="IU21" s="373" t="s">
        <v>94</v>
      </c>
      <c r="IV21" s="373" t="s">
        <v>1203</v>
      </c>
      <c r="IW21" s="373" t="s">
        <v>1203</v>
      </c>
      <c r="IX21" s="373"/>
      <c r="IY21" s="373"/>
      <c r="IZ21" s="373"/>
      <c r="JA21" s="373"/>
      <c r="JB21" s="373"/>
      <c r="JC21" s="373"/>
      <c r="JD21" s="373"/>
      <c r="JE21" s="373"/>
      <c r="JF21" s="373"/>
      <c r="JG21" s="373"/>
      <c r="JH21" s="373"/>
      <c r="JI21" s="373"/>
      <c r="JJ21" s="373"/>
      <c r="JK21" s="373"/>
      <c r="JL21" s="373"/>
      <c r="JM21" s="373"/>
      <c r="JN21" s="373"/>
      <c r="JO21" s="373"/>
      <c r="JP21" s="373"/>
      <c r="JQ21" s="373"/>
      <c r="JR21" s="373"/>
      <c r="JS21" s="373"/>
      <c r="JT21" s="373"/>
      <c r="JU21" s="373"/>
      <c r="JV21" s="373"/>
      <c r="JW21" s="373"/>
      <c r="JX21" s="373"/>
      <c r="JY21" s="373"/>
      <c r="JZ21" s="373"/>
      <c r="KA21" s="373"/>
      <c r="KB21" s="373"/>
      <c r="KC21" s="373"/>
      <c r="KD21" s="373"/>
      <c r="KE21" s="373"/>
      <c r="KF21" s="373"/>
      <c r="KG21" s="373"/>
      <c r="KH21" s="373"/>
      <c r="KI21" s="373"/>
      <c r="KJ21" s="373"/>
      <c r="KK21" s="373"/>
      <c r="KL21" s="373"/>
      <c r="KM21" s="373"/>
      <c r="KN21" s="373" t="s">
        <v>360</v>
      </c>
      <c r="KO21" s="373" t="s">
        <v>360</v>
      </c>
      <c r="KP21" s="373"/>
      <c r="KQ21" s="373"/>
      <c r="KR21" s="373" t="s">
        <v>94</v>
      </c>
      <c r="KS21" s="373"/>
      <c r="KT21" s="373"/>
      <c r="KU21" s="373"/>
      <c r="KV21" s="373"/>
      <c r="KW21" s="373"/>
      <c r="KX21" s="373" t="s">
        <v>94</v>
      </c>
      <c r="KY21" s="373"/>
      <c r="KZ21" s="373"/>
      <c r="LA21" s="373" t="s">
        <v>1203</v>
      </c>
      <c r="LB21" s="373"/>
      <c r="LC21" s="373" t="s">
        <v>1203</v>
      </c>
      <c r="LD21" s="373"/>
      <c r="LE21" s="373"/>
      <c r="LF21" s="373"/>
      <c r="LG21" s="373"/>
      <c r="LH21" s="373"/>
      <c r="LI21" s="373"/>
      <c r="LJ21" s="373"/>
      <c r="LK21" s="373"/>
      <c r="LL21" s="373"/>
      <c r="LM21" s="373"/>
      <c r="LN21" s="373"/>
      <c r="LO21" s="373"/>
      <c r="LP21" s="373"/>
      <c r="LQ21" s="373" t="s">
        <v>94</v>
      </c>
      <c r="LR21" s="373"/>
      <c r="LS21" s="373"/>
      <c r="LT21" s="373"/>
      <c r="LU21" s="373"/>
      <c r="LV21" s="373"/>
      <c r="LW21" s="373"/>
      <c r="LX21" s="373"/>
      <c r="LY21" s="373"/>
      <c r="LZ21" s="373"/>
      <c r="MA21" s="373" t="s">
        <v>1203</v>
      </c>
      <c r="MB21" s="373"/>
      <c r="MC21" s="373"/>
      <c r="MD21" s="373"/>
      <c r="ME21" s="373"/>
      <c r="MF21" s="373"/>
      <c r="MG21" s="373"/>
      <c r="MH21" s="373"/>
      <c r="MI21" s="373"/>
      <c r="MJ21" s="373"/>
      <c r="MK21" s="373"/>
      <c r="ML21" s="373" t="s">
        <v>360</v>
      </c>
      <c r="MM21" s="373"/>
      <c r="MN21" s="373"/>
      <c r="MO21" s="373"/>
      <c r="MP21" s="373"/>
      <c r="MQ21" s="373"/>
      <c r="MR21" s="373" t="s">
        <v>94</v>
      </c>
      <c r="MS21" s="373"/>
      <c r="MT21" s="373" t="s">
        <v>1203</v>
      </c>
      <c r="MU21" s="373" t="s">
        <v>360</v>
      </c>
      <c r="MV21" s="373" t="s">
        <v>94</v>
      </c>
      <c r="MW21" s="373" t="s">
        <v>1203</v>
      </c>
      <c r="MX21" s="373" t="s">
        <v>1203</v>
      </c>
      <c r="MY21" s="373"/>
      <c r="MZ21" s="373"/>
      <c r="NA21" s="373" t="s">
        <v>94</v>
      </c>
      <c r="NB21" s="373"/>
      <c r="NC21" s="373"/>
      <c r="ND21" s="373"/>
      <c r="NE21" s="373"/>
      <c r="NF21" s="373"/>
      <c r="NG21" s="373" t="s">
        <v>360</v>
      </c>
      <c r="NH21" s="373"/>
      <c r="NI21" s="373" t="s">
        <v>94</v>
      </c>
      <c r="NJ21" s="373" t="s">
        <v>94</v>
      </c>
      <c r="NK21" s="373"/>
      <c r="NL21" s="373" t="s">
        <v>94</v>
      </c>
      <c r="NM21" s="373"/>
      <c r="NN21" s="373" t="s">
        <v>1203</v>
      </c>
      <c r="NO21" s="373" t="s">
        <v>1203</v>
      </c>
      <c r="NP21" s="373" t="s">
        <v>1203</v>
      </c>
      <c r="NQ21" s="373"/>
      <c r="NR21" s="373"/>
      <c r="NS21" s="373"/>
      <c r="NT21" s="373"/>
      <c r="NU21" s="373"/>
      <c r="NV21" s="373" t="s">
        <v>94</v>
      </c>
      <c r="NW21" s="373"/>
      <c r="NX21" s="373" t="s">
        <v>94</v>
      </c>
      <c r="NY21" s="373"/>
      <c r="NZ21" s="373"/>
      <c r="OA21" s="373"/>
      <c r="OB21" s="373"/>
      <c r="OC21" s="373"/>
      <c r="OD21" s="373"/>
      <c r="OE21" s="373"/>
      <c r="OF21" s="373" t="s">
        <v>1203</v>
      </c>
      <c r="OG21" s="373"/>
    </row>
    <row r="22" spans="2:397" ht="20.399999999999999">
      <c r="B22" s="384" t="s">
        <v>305</v>
      </c>
      <c r="C22" s="373" t="s">
        <v>94</v>
      </c>
      <c r="D22" s="373" t="s">
        <v>280</v>
      </c>
      <c r="E22" s="373" t="s">
        <v>1197</v>
      </c>
      <c r="F22" s="373" t="s">
        <v>1197</v>
      </c>
      <c r="G22" s="373" t="s">
        <v>280</v>
      </c>
      <c r="H22" s="373" t="s">
        <v>94</v>
      </c>
      <c r="I22" s="373" t="s">
        <v>94</v>
      </c>
      <c r="J22" s="373" t="s">
        <v>94</v>
      </c>
      <c r="K22" s="373" t="s">
        <v>94</v>
      </c>
      <c r="L22" s="373" t="s">
        <v>94</v>
      </c>
      <c r="M22" s="373" t="s">
        <v>94</v>
      </c>
      <c r="N22" s="373" t="s">
        <v>94</v>
      </c>
      <c r="O22" s="373" t="s">
        <v>94</v>
      </c>
      <c r="P22" s="373" t="s">
        <v>94</v>
      </c>
      <c r="Q22" s="373" t="s">
        <v>94</v>
      </c>
      <c r="R22" s="373" t="s">
        <v>94</v>
      </c>
      <c r="S22" s="373" t="s">
        <v>94</v>
      </c>
      <c r="T22" s="373" t="s">
        <v>94</v>
      </c>
      <c r="U22" s="373" t="s">
        <v>94</v>
      </c>
      <c r="V22" s="373" t="s">
        <v>94</v>
      </c>
      <c r="W22" s="373" t="s">
        <v>94</v>
      </c>
      <c r="X22" s="373" t="s">
        <v>94</v>
      </c>
      <c r="Y22" s="373" t="s">
        <v>280</v>
      </c>
      <c r="Z22" s="373" t="s">
        <v>280</v>
      </c>
      <c r="AA22" s="373" t="s">
        <v>280</v>
      </c>
      <c r="AB22" s="373" t="s">
        <v>94</v>
      </c>
      <c r="AC22" s="373" t="s">
        <v>94</v>
      </c>
      <c r="AD22" s="373" t="s">
        <v>94</v>
      </c>
      <c r="AE22" s="373" t="s">
        <v>280</v>
      </c>
      <c r="AF22" s="373" t="s">
        <v>280</v>
      </c>
      <c r="AG22" s="373" t="s">
        <v>280</v>
      </c>
      <c r="AH22" s="373" t="s">
        <v>94</v>
      </c>
      <c r="AI22" s="373" t="s">
        <v>94</v>
      </c>
      <c r="AJ22" s="373" t="s">
        <v>280</v>
      </c>
      <c r="AK22" s="373" t="s">
        <v>94</v>
      </c>
      <c r="AL22" s="373" t="s">
        <v>94</v>
      </c>
      <c r="AM22" s="373" t="s">
        <v>280</v>
      </c>
      <c r="AN22" s="373" t="s">
        <v>94</v>
      </c>
      <c r="AO22" s="373" t="s">
        <v>94</v>
      </c>
      <c r="AP22" s="373" t="s">
        <v>280</v>
      </c>
      <c r="AQ22" s="373" t="s">
        <v>94</v>
      </c>
      <c r="AR22" s="373" t="s">
        <v>362</v>
      </c>
      <c r="AS22" s="373" t="s">
        <v>94</v>
      </c>
      <c r="AT22" s="373" t="s">
        <v>280</v>
      </c>
      <c r="AU22" s="373" t="s">
        <v>94</v>
      </c>
      <c r="AV22" s="373" t="s">
        <v>94</v>
      </c>
      <c r="AW22" s="373" t="s">
        <v>280</v>
      </c>
      <c r="AX22" s="373" t="s">
        <v>280</v>
      </c>
      <c r="AY22" s="373" t="s">
        <v>280</v>
      </c>
      <c r="AZ22" s="373" t="s">
        <v>94</v>
      </c>
      <c r="BA22" s="373" t="s">
        <v>94</v>
      </c>
      <c r="BB22" s="373" t="s">
        <v>94</v>
      </c>
      <c r="BC22" s="373" t="s">
        <v>94</v>
      </c>
      <c r="BD22" s="373" t="s">
        <v>94</v>
      </c>
      <c r="BE22" s="373" t="s">
        <v>94</v>
      </c>
      <c r="BF22" s="373" t="s">
        <v>94</v>
      </c>
      <c r="BG22" s="373" t="s">
        <v>94</v>
      </c>
      <c r="BH22" s="373" t="s">
        <v>94</v>
      </c>
      <c r="BI22" s="373" t="s">
        <v>94</v>
      </c>
      <c r="BJ22" s="373" t="s">
        <v>94</v>
      </c>
      <c r="BK22" s="373" t="s">
        <v>94</v>
      </c>
      <c r="BL22" s="373" t="s">
        <v>94</v>
      </c>
      <c r="BM22" s="373" t="s">
        <v>94</v>
      </c>
      <c r="BN22" s="373" t="s">
        <v>280</v>
      </c>
      <c r="BO22" s="373" t="s">
        <v>280</v>
      </c>
      <c r="BP22" s="373" t="s">
        <v>94</v>
      </c>
      <c r="BQ22" s="373" t="s">
        <v>94</v>
      </c>
      <c r="BR22" s="373" t="s">
        <v>1613</v>
      </c>
      <c r="BS22" s="373" t="s">
        <v>1613</v>
      </c>
      <c r="BT22" s="373" t="s">
        <v>1615</v>
      </c>
      <c r="BU22" s="373" t="s">
        <v>280</v>
      </c>
      <c r="BV22" s="373" t="s">
        <v>94</v>
      </c>
      <c r="BW22" s="373" t="s">
        <v>94</v>
      </c>
      <c r="BX22" s="373" t="s">
        <v>94</v>
      </c>
      <c r="BY22" s="373" t="s">
        <v>1615</v>
      </c>
      <c r="BZ22" s="373" t="s">
        <v>94</v>
      </c>
      <c r="CA22" s="373" t="s">
        <v>280</v>
      </c>
      <c r="CB22" s="373"/>
      <c r="CC22" s="373"/>
      <c r="CD22" s="373"/>
      <c r="CE22" s="373"/>
      <c r="CF22" s="373"/>
      <c r="CG22" s="373" t="s">
        <v>94</v>
      </c>
      <c r="CH22" s="373" t="s">
        <v>94</v>
      </c>
      <c r="CI22" s="373"/>
      <c r="CJ22" s="373"/>
      <c r="CK22" s="373"/>
      <c r="CL22" s="373"/>
      <c r="CM22" s="373"/>
      <c r="CN22" s="373"/>
      <c r="CO22" s="373"/>
      <c r="CP22" s="373"/>
      <c r="CQ22" s="373"/>
      <c r="CR22" s="373"/>
      <c r="CS22" s="373"/>
      <c r="CT22" s="373"/>
      <c r="CU22" s="373"/>
      <c r="CV22" s="373"/>
      <c r="CW22" s="373"/>
      <c r="CX22" s="373"/>
      <c r="CY22" s="373"/>
      <c r="CZ22" s="373"/>
      <c r="DA22" s="373" t="s">
        <v>94</v>
      </c>
      <c r="DB22" s="373" t="s">
        <v>320</v>
      </c>
      <c r="DC22" s="373" t="s">
        <v>320</v>
      </c>
      <c r="DD22" s="373" t="s">
        <v>320</v>
      </c>
      <c r="DE22" s="373" t="s">
        <v>280</v>
      </c>
      <c r="DF22" s="373"/>
      <c r="DG22" s="373"/>
      <c r="DH22" s="373"/>
      <c r="DI22" s="373"/>
      <c r="DJ22" s="373"/>
      <c r="DK22" s="373"/>
      <c r="DL22" s="373"/>
      <c r="DM22" s="373"/>
      <c r="DN22" s="373"/>
      <c r="DO22" s="373"/>
      <c r="DP22" s="373"/>
      <c r="DQ22" s="373"/>
      <c r="DR22" s="373"/>
      <c r="DS22" s="373"/>
      <c r="DT22" s="373"/>
      <c r="DU22" s="373"/>
      <c r="DV22" s="373"/>
      <c r="DW22" s="373" t="s">
        <v>94</v>
      </c>
      <c r="DX22" s="373"/>
      <c r="DY22" s="373" t="s">
        <v>361</v>
      </c>
      <c r="DZ22" s="373"/>
      <c r="EA22" s="373" t="s">
        <v>280</v>
      </c>
      <c r="EB22" s="373" t="s">
        <v>318</v>
      </c>
      <c r="EC22" s="373" t="s">
        <v>94</v>
      </c>
      <c r="ED22" s="373" t="s">
        <v>94</v>
      </c>
      <c r="EE22" s="373" t="s">
        <v>94</v>
      </c>
      <c r="EF22" s="373" t="s">
        <v>94</v>
      </c>
      <c r="EG22" s="373" t="s">
        <v>94</v>
      </c>
      <c r="EH22" s="373" t="s">
        <v>94</v>
      </c>
      <c r="EI22" s="373" t="s">
        <v>94</v>
      </c>
      <c r="EJ22" s="373" t="s">
        <v>94</v>
      </c>
      <c r="EK22" s="373" t="s">
        <v>94</v>
      </c>
      <c r="EL22" s="373" t="s">
        <v>94</v>
      </c>
      <c r="EM22" s="373" t="s">
        <v>94</v>
      </c>
      <c r="EN22" s="373" t="s">
        <v>94</v>
      </c>
      <c r="EO22" s="373" t="s">
        <v>94</v>
      </c>
      <c r="EP22" s="373" t="s">
        <v>94</v>
      </c>
      <c r="EQ22" s="373" t="s">
        <v>94</v>
      </c>
      <c r="ER22" s="373" t="s">
        <v>94</v>
      </c>
      <c r="ES22" s="373" t="s">
        <v>94</v>
      </c>
      <c r="ET22" s="373" t="s">
        <v>94</v>
      </c>
      <c r="EU22" s="373" t="s">
        <v>94</v>
      </c>
      <c r="EV22" s="373" t="s">
        <v>94</v>
      </c>
      <c r="EW22" s="373" t="s">
        <v>94</v>
      </c>
      <c r="EX22" s="373" t="s">
        <v>94</v>
      </c>
      <c r="EY22" s="373" t="s">
        <v>94</v>
      </c>
      <c r="EZ22" s="373" t="s">
        <v>94</v>
      </c>
      <c r="FA22" s="373" t="s">
        <v>94</v>
      </c>
      <c r="FB22" s="373" t="s">
        <v>94</v>
      </c>
      <c r="FC22" s="373" t="s">
        <v>94</v>
      </c>
      <c r="FD22" s="373" t="s">
        <v>280</v>
      </c>
      <c r="FE22" s="373" t="s">
        <v>280</v>
      </c>
      <c r="FF22" s="373"/>
      <c r="FG22" s="373"/>
      <c r="FH22" s="373"/>
      <c r="FI22" s="373"/>
      <c r="FJ22" s="373"/>
      <c r="FK22" s="373"/>
      <c r="FL22" s="373"/>
      <c r="FM22" s="373"/>
      <c r="FN22" s="373"/>
      <c r="FO22" s="373"/>
      <c r="FP22" s="373"/>
      <c r="FQ22" s="373"/>
      <c r="FR22" s="373"/>
      <c r="FS22" s="373"/>
      <c r="FT22" s="373"/>
      <c r="FU22" s="373"/>
      <c r="FV22" s="373"/>
      <c r="FW22" s="373"/>
      <c r="FX22" s="373"/>
      <c r="FY22" s="373" t="s">
        <v>94</v>
      </c>
      <c r="FZ22" s="373"/>
      <c r="GA22" s="373" t="s">
        <v>94</v>
      </c>
      <c r="GB22" s="373"/>
      <c r="GC22" s="373" t="s">
        <v>94</v>
      </c>
      <c r="GD22" s="373" t="s">
        <v>94</v>
      </c>
      <c r="GE22" s="373"/>
      <c r="GF22" s="373"/>
      <c r="GG22" s="373"/>
      <c r="GH22" s="373"/>
      <c r="GI22" s="373"/>
      <c r="GJ22" s="373" t="s">
        <v>320</v>
      </c>
      <c r="GK22" s="373" t="s">
        <v>280</v>
      </c>
      <c r="GL22" s="373"/>
      <c r="GM22" s="373"/>
      <c r="GN22" s="373"/>
      <c r="GO22" s="373"/>
      <c r="GP22" s="373"/>
      <c r="GQ22" s="373"/>
      <c r="GR22" s="373"/>
      <c r="GS22" s="373"/>
      <c r="GT22" s="373"/>
      <c r="GU22" s="373"/>
      <c r="GV22" s="373"/>
      <c r="GW22" s="373"/>
      <c r="GX22" s="373"/>
      <c r="GY22" s="373"/>
      <c r="GZ22" s="373"/>
      <c r="HA22" s="373"/>
      <c r="HB22" s="373"/>
      <c r="HC22" s="373"/>
      <c r="HD22" s="373"/>
      <c r="HE22" s="373"/>
      <c r="HF22" s="373"/>
      <c r="HG22" s="373"/>
      <c r="HH22" s="373" t="s">
        <v>94</v>
      </c>
      <c r="HI22" s="373"/>
      <c r="HJ22" s="373"/>
      <c r="HK22" s="373"/>
      <c r="HL22" s="373"/>
      <c r="HM22" s="373"/>
      <c r="HN22" s="373"/>
      <c r="HO22" s="373"/>
      <c r="HP22" s="373"/>
      <c r="HQ22" s="373"/>
      <c r="HR22" s="373"/>
      <c r="HS22" s="373"/>
      <c r="HT22" s="373" t="s">
        <v>280</v>
      </c>
      <c r="HU22" s="373"/>
      <c r="HV22" s="373"/>
      <c r="HW22" s="373"/>
      <c r="HX22" s="373"/>
      <c r="HY22" s="373"/>
      <c r="HZ22" s="373"/>
      <c r="IA22" s="373"/>
      <c r="IB22" s="373"/>
      <c r="IC22" s="373"/>
      <c r="ID22" s="373"/>
      <c r="IE22" s="373"/>
      <c r="IF22" s="373"/>
      <c r="IG22" s="373" t="s">
        <v>94</v>
      </c>
      <c r="IH22" s="373"/>
      <c r="II22" s="373" t="s">
        <v>94</v>
      </c>
      <c r="IJ22" s="373"/>
      <c r="IK22" s="373" t="s">
        <v>363</v>
      </c>
      <c r="IL22" s="373"/>
      <c r="IM22" s="373"/>
      <c r="IN22" s="373"/>
      <c r="IO22" s="373"/>
      <c r="IP22" s="373"/>
      <c r="IQ22" s="373" t="s">
        <v>94</v>
      </c>
      <c r="IR22" s="373" t="s">
        <v>94</v>
      </c>
      <c r="IS22" s="373" t="s">
        <v>94</v>
      </c>
      <c r="IT22" s="373" t="s">
        <v>94</v>
      </c>
      <c r="IU22" s="373" t="s">
        <v>94</v>
      </c>
      <c r="IV22" s="373" t="s">
        <v>280</v>
      </c>
      <c r="IW22" s="373" t="s">
        <v>280</v>
      </c>
      <c r="IX22" s="373"/>
      <c r="IY22" s="373"/>
      <c r="IZ22" s="373"/>
      <c r="JA22" s="373"/>
      <c r="JB22" s="373"/>
      <c r="JC22" s="373"/>
      <c r="JD22" s="373"/>
      <c r="JE22" s="373"/>
      <c r="JF22" s="373"/>
      <c r="JG22" s="373"/>
      <c r="JH22" s="373"/>
      <c r="JI22" s="373"/>
      <c r="JJ22" s="373"/>
      <c r="JK22" s="373"/>
      <c r="JL22" s="373"/>
      <c r="JM22" s="373"/>
      <c r="JN22" s="373"/>
      <c r="JO22" s="373"/>
      <c r="JP22" s="373"/>
      <c r="JQ22" s="373"/>
      <c r="JR22" s="373"/>
      <c r="JS22" s="373"/>
      <c r="JT22" s="373"/>
      <c r="JU22" s="373"/>
      <c r="JV22" s="373"/>
      <c r="JW22" s="373"/>
      <c r="JX22" s="373"/>
      <c r="JY22" s="373"/>
      <c r="JZ22" s="373"/>
      <c r="KA22" s="373"/>
      <c r="KB22" s="373"/>
      <c r="KC22" s="373"/>
      <c r="KD22" s="373"/>
      <c r="KE22" s="373"/>
      <c r="KF22" s="373"/>
      <c r="KG22" s="373"/>
      <c r="KH22" s="373"/>
      <c r="KI22" s="373"/>
      <c r="KJ22" s="373"/>
      <c r="KK22" s="373"/>
      <c r="KL22" s="373"/>
      <c r="KM22" s="373"/>
      <c r="KN22" s="373" t="s">
        <v>94</v>
      </c>
      <c r="KO22" s="373" t="s">
        <v>94</v>
      </c>
      <c r="KP22" s="373"/>
      <c r="KQ22" s="373"/>
      <c r="KR22" s="373" t="s">
        <v>94</v>
      </c>
      <c r="KS22" s="373"/>
      <c r="KT22" s="373"/>
      <c r="KU22" s="373"/>
      <c r="KV22" s="373"/>
      <c r="KW22" s="373"/>
      <c r="KX22" s="373" t="s">
        <v>94</v>
      </c>
      <c r="KY22" s="373"/>
      <c r="KZ22" s="373"/>
      <c r="LA22" s="373" t="s">
        <v>280</v>
      </c>
      <c r="LB22" s="373"/>
      <c r="LC22" s="373" t="s">
        <v>280</v>
      </c>
      <c r="LD22" s="373"/>
      <c r="LE22" s="373"/>
      <c r="LF22" s="373"/>
      <c r="LG22" s="373"/>
      <c r="LH22" s="373"/>
      <c r="LI22" s="373"/>
      <c r="LJ22" s="373"/>
      <c r="LK22" s="373"/>
      <c r="LL22" s="373"/>
      <c r="LM22" s="373"/>
      <c r="LN22" s="373"/>
      <c r="LO22" s="373"/>
      <c r="LP22" s="373"/>
      <c r="LQ22" s="373" t="s">
        <v>94</v>
      </c>
      <c r="LR22" s="373"/>
      <c r="LS22" s="373"/>
      <c r="LT22" s="373"/>
      <c r="LU22" s="373"/>
      <c r="LV22" s="373"/>
      <c r="LW22" s="373"/>
      <c r="LX22" s="373"/>
      <c r="LY22" s="373"/>
      <c r="LZ22" s="373"/>
      <c r="MA22" s="373" t="s">
        <v>280</v>
      </c>
      <c r="MB22" s="373"/>
      <c r="MC22" s="373"/>
      <c r="MD22" s="373"/>
      <c r="ME22" s="373"/>
      <c r="MF22" s="373"/>
      <c r="MG22" s="373"/>
      <c r="MH22" s="373"/>
      <c r="MI22" s="373"/>
      <c r="MJ22" s="373"/>
      <c r="MK22" s="373"/>
      <c r="ML22" s="373" t="s">
        <v>94</v>
      </c>
      <c r="MM22" s="373"/>
      <c r="MN22" s="373"/>
      <c r="MO22" s="373"/>
      <c r="MP22" s="373"/>
      <c r="MQ22" s="373"/>
      <c r="MR22" s="373" t="s">
        <v>94</v>
      </c>
      <c r="MS22" s="373"/>
      <c r="MT22" s="373" t="s">
        <v>1828</v>
      </c>
      <c r="MU22" s="373" t="s">
        <v>94</v>
      </c>
      <c r="MV22" s="373" t="s">
        <v>94</v>
      </c>
      <c r="MW22" s="373" t="s">
        <v>280</v>
      </c>
      <c r="MX22" s="373" t="s">
        <v>280</v>
      </c>
      <c r="MY22" s="373"/>
      <c r="MZ22" s="373"/>
      <c r="NA22" s="373" t="s">
        <v>94</v>
      </c>
      <c r="NB22" s="373"/>
      <c r="NC22" s="373"/>
      <c r="ND22" s="373"/>
      <c r="NE22" s="373"/>
      <c r="NF22" s="373"/>
      <c r="NG22" s="373" t="s">
        <v>94</v>
      </c>
      <c r="NH22" s="373"/>
      <c r="NI22" s="373" t="s">
        <v>94</v>
      </c>
      <c r="NJ22" s="373" t="s">
        <v>94</v>
      </c>
      <c r="NK22" s="373"/>
      <c r="NL22" s="373" t="s">
        <v>94</v>
      </c>
      <c r="NM22" s="373"/>
      <c r="NN22" s="373" t="s">
        <v>280</v>
      </c>
      <c r="NO22" s="373" t="s">
        <v>280</v>
      </c>
      <c r="NP22" s="373" t="s">
        <v>280</v>
      </c>
      <c r="NQ22" s="373"/>
      <c r="NR22" s="373"/>
      <c r="NS22" s="373"/>
      <c r="NT22" s="373"/>
      <c r="NU22" s="373"/>
      <c r="NV22" s="373" t="s">
        <v>94</v>
      </c>
      <c r="NW22" s="373"/>
      <c r="NX22" s="373" t="s">
        <v>94</v>
      </c>
      <c r="NY22" s="373"/>
      <c r="NZ22" s="373"/>
      <c r="OA22" s="373"/>
      <c r="OB22" s="373"/>
      <c r="OC22" s="373"/>
      <c r="OD22" s="373"/>
      <c r="OE22" s="373"/>
      <c r="OF22" s="373" t="s">
        <v>280</v>
      </c>
      <c r="OG22" s="373"/>
    </row>
    <row r="23" spans="2:397">
      <c r="B23" s="386" t="s">
        <v>307</v>
      </c>
      <c r="C23" s="373" t="s">
        <v>94</v>
      </c>
      <c r="D23" s="373" t="s">
        <v>280</v>
      </c>
      <c r="E23" s="373" t="s">
        <v>94</v>
      </c>
      <c r="F23" s="373" t="s">
        <v>94</v>
      </c>
      <c r="G23" s="373" t="s">
        <v>280</v>
      </c>
      <c r="H23" s="373" t="s">
        <v>94</v>
      </c>
      <c r="I23" s="373" t="s">
        <v>94</v>
      </c>
      <c r="J23" s="373" t="s">
        <v>94</v>
      </c>
      <c r="K23" s="373" t="s">
        <v>94</v>
      </c>
      <c r="L23" s="373" t="s">
        <v>94</v>
      </c>
      <c r="M23" s="373" t="s">
        <v>94</v>
      </c>
      <c r="N23" s="373" t="s">
        <v>94</v>
      </c>
      <c r="O23" s="373" t="s">
        <v>94</v>
      </c>
      <c r="P23" s="373" t="s">
        <v>94</v>
      </c>
      <c r="Q23" s="373" t="s">
        <v>94</v>
      </c>
      <c r="R23" s="373" t="s">
        <v>94</v>
      </c>
      <c r="S23" s="373" t="s">
        <v>94</v>
      </c>
      <c r="T23" s="373" t="s">
        <v>94</v>
      </c>
      <c r="U23" s="373" t="s">
        <v>94</v>
      </c>
      <c r="V23" s="373" t="s">
        <v>94</v>
      </c>
      <c r="W23" s="373" t="s">
        <v>94</v>
      </c>
      <c r="X23" s="373" t="s">
        <v>94</v>
      </c>
      <c r="Y23" s="373" t="s">
        <v>318</v>
      </c>
      <c r="Z23" s="373" t="s">
        <v>280</v>
      </c>
      <c r="AA23" s="373" t="s">
        <v>280</v>
      </c>
      <c r="AB23" s="373" t="s">
        <v>94</v>
      </c>
      <c r="AC23" s="373" t="s">
        <v>94</v>
      </c>
      <c r="AD23" s="373" t="s">
        <v>94</v>
      </c>
      <c r="AE23" s="373" t="s">
        <v>318</v>
      </c>
      <c r="AF23" s="373" t="s">
        <v>318</v>
      </c>
      <c r="AG23" s="373" t="s">
        <v>280</v>
      </c>
      <c r="AH23" s="373" t="s">
        <v>94</v>
      </c>
      <c r="AI23" s="373" t="s">
        <v>94</v>
      </c>
      <c r="AJ23" s="373" t="s">
        <v>280</v>
      </c>
      <c r="AK23" s="373" t="s">
        <v>94</v>
      </c>
      <c r="AL23" s="373" t="s">
        <v>94</v>
      </c>
      <c r="AM23" s="373" t="s">
        <v>318</v>
      </c>
      <c r="AN23" s="373" t="s">
        <v>94</v>
      </c>
      <c r="AO23" s="373" t="s">
        <v>94</v>
      </c>
      <c r="AP23" s="373" t="s">
        <v>280</v>
      </c>
      <c r="AQ23" s="373" t="s">
        <v>94</v>
      </c>
      <c r="AR23" s="373" t="s">
        <v>94</v>
      </c>
      <c r="AS23" s="373" t="s">
        <v>94</v>
      </c>
      <c r="AT23" s="373" t="s">
        <v>318</v>
      </c>
      <c r="AU23" s="373" t="s">
        <v>94</v>
      </c>
      <c r="AV23" s="373" t="s">
        <v>94</v>
      </c>
      <c r="AW23" s="373" t="s">
        <v>280</v>
      </c>
      <c r="AX23" s="373" t="s">
        <v>318</v>
      </c>
      <c r="AY23" s="373" t="s">
        <v>280</v>
      </c>
      <c r="AZ23" s="373" t="s">
        <v>94</v>
      </c>
      <c r="BA23" s="373" t="s">
        <v>94</v>
      </c>
      <c r="BB23" s="373" t="s">
        <v>94</v>
      </c>
      <c r="BC23" s="373" t="s">
        <v>94</v>
      </c>
      <c r="BD23" s="373" t="s">
        <v>94</v>
      </c>
      <c r="BE23" s="373" t="s">
        <v>94</v>
      </c>
      <c r="BF23" s="373" t="s">
        <v>94</v>
      </c>
      <c r="BG23" s="373" t="s">
        <v>94</v>
      </c>
      <c r="BH23" s="373" t="s">
        <v>94</v>
      </c>
      <c r="BI23" s="373" t="s">
        <v>94</v>
      </c>
      <c r="BJ23" s="373" t="s">
        <v>94</v>
      </c>
      <c r="BK23" s="373" t="s">
        <v>94</v>
      </c>
      <c r="BL23" s="373" t="s">
        <v>94</v>
      </c>
      <c r="BM23" s="373" t="s">
        <v>94</v>
      </c>
      <c r="BN23" s="373" t="s">
        <v>318</v>
      </c>
      <c r="BO23" s="373" t="s">
        <v>280</v>
      </c>
      <c r="BP23" s="373" t="s">
        <v>94</v>
      </c>
      <c r="BQ23" s="373" t="s">
        <v>94</v>
      </c>
      <c r="BR23" s="373" t="s">
        <v>94</v>
      </c>
      <c r="BS23" s="373" t="s">
        <v>94</v>
      </c>
      <c r="BT23" s="373" t="s">
        <v>94</v>
      </c>
      <c r="BU23" s="373" t="s">
        <v>280</v>
      </c>
      <c r="BV23" s="373" t="s">
        <v>94</v>
      </c>
      <c r="BW23" s="373" t="s">
        <v>94</v>
      </c>
      <c r="BX23" s="373" t="s">
        <v>94</v>
      </c>
      <c r="BY23" s="373" t="s">
        <v>94</v>
      </c>
      <c r="BZ23" s="373" t="s">
        <v>94</v>
      </c>
      <c r="CA23" s="373" t="s">
        <v>280</v>
      </c>
      <c r="CB23" s="373"/>
      <c r="CC23" s="373"/>
      <c r="CD23" s="373"/>
      <c r="CE23" s="373"/>
      <c r="CF23" s="373"/>
      <c r="CG23" s="373" t="s">
        <v>94</v>
      </c>
      <c r="CH23" s="373" t="s">
        <v>94</v>
      </c>
      <c r="CI23" s="373"/>
      <c r="CJ23" s="373"/>
      <c r="CK23" s="373"/>
      <c r="CL23" s="373"/>
      <c r="CM23" s="373"/>
      <c r="CN23" s="373"/>
      <c r="CO23" s="373"/>
      <c r="CP23" s="373"/>
      <c r="CQ23" s="373"/>
      <c r="CR23" s="373"/>
      <c r="CS23" s="373"/>
      <c r="CT23" s="373"/>
      <c r="CU23" s="373"/>
      <c r="CV23" s="373"/>
      <c r="CW23" s="373"/>
      <c r="CX23" s="373"/>
      <c r="CY23" s="373"/>
      <c r="CZ23" s="373"/>
      <c r="DA23" s="373" t="s">
        <v>94</v>
      </c>
      <c r="DB23" s="373" t="s">
        <v>94</v>
      </c>
      <c r="DC23" s="373" t="s">
        <v>94</v>
      </c>
      <c r="DD23" s="373" t="s">
        <v>94</v>
      </c>
      <c r="DE23" s="373" t="s">
        <v>280</v>
      </c>
      <c r="DF23" s="373"/>
      <c r="DG23" s="373"/>
      <c r="DH23" s="373"/>
      <c r="DI23" s="373"/>
      <c r="DJ23" s="373"/>
      <c r="DK23" s="373"/>
      <c r="DL23" s="373"/>
      <c r="DM23" s="373"/>
      <c r="DN23" s="373"/>
      <c r="DO23" s="373"/>
      <c r="DP23" s="373"/>
      <c r="DQ23" s="373"/>
      <c r="DR23" s="373"/>
      <c r="DS23" s="373"/>
      <c r="DT23" s="373"/>
      <c r="DU23" s="373"/>
      <c r="DV23" s="373"/>
      <c r="DW23" s="373" t="s">
        <v>94</v>
      </c>
      <c r="DX23" s="373"/>
      <c r="DY23" s="373" t="s">
        <v>94</v>
      </c>
      <c r="DZ23" s="373"/>
      <c r="EA23" s="373" t="s">
        <v>318</v>
      </c>
      <c r="EB23" s="373" t="s">
        <v>318</v>
      </c>
      <c r="EC23" s="373" t="s">
        <v>94</v>
      </c>
      <c r="ED23" s="373" t="s">
        <v>94</v>
      </c>
      <c r="EE23" s="373" t="s">
        <v>94</v>
      </c>
      <c r="EF23" s="373" t="s">
        <v>94</v>
      </c>
      <c r="EG23" s="373" t="s">
        <v>94</v>
      </c>
      <c r="EH23" s="373" t="s">
        <v>94</v>
      </c>
      <c r="EI23" s="373" t="s">
        <v>94</v>
      </c>
      <c r="EJ23" s="373" t="s">
        <v>94</v>
      </c>
      <c r="EK23" s="373" t="s">
        <v>94</v>
      </c>
      <c r="EL23" s="373" t="s">
        <v>94</v>
      </c>
      <c r="EM23" s="373" t="s">
        <v>94</v>
      </c>
      <c r="EN23" s="373" t="s">
        <v>94</v>
      </c>
      <c r="EO23" s="373" t="s">
        <v>94</v>
      </c>
      <c r="EP23" s="373" t="s">
        <v>94</v>
      </c>
      <c r="EQ23" s="373" t="s">
        <v>94</v>
      </c>
      <c r="ER23" s="373" t="s">
        <v>94</v>
      </c>
      <c r="ES23" s="373" t="s">
        <v>94</v>
      </c>
      <c r="ET23" s="373" t="s">
        <v>94</v>
      </c>
      <c r="EU23" s="373" t="s">
        <v>94</v>
      </c>
      <c r="EV23" s="373" t="s">
        <v>94</v>
      </c>
      <c r="EW23" s="373" t="s">
        <v>94</v>
      </c>
      <c r="EX23" s="373" t="s">
        <v>94</v>
      </c>
      <c r="EY23" s="373" t="s">
        <v>94</v>
      </c>
      <c r="EZ23" s="373" t="s">
        <v>94</v>
      </c>
      <c r="FA23" s="373" t="s">
        <v>94</v>
      </c>
      <c r="FB23" s="373" t="s">
        <v>94</v>
      </c>
      <c r="FC23" s="373" t="s">
        <v>94</v>
      </c>
      <c r="FD23" s="373" t="s">
        <v>94</v>
      </c>
      <c r="FE23" s="373" t="s">
        <v>280</v>
      </c>
      <c r="FF23" s="373"/>
      <c r="FG23" s="373"/>
      <c r="FH23" s="373"/>
      <c r="FI23" s="373"/>
      <c r="FJ23" s="373"/>
      <c r="FK23" s="373"/>
      <c r="FL23" s="373"/>
      <c r="FM23" s="373"/>
      <c r="FN23" s="373"/>
      <c r="FO23" s="373"/>
      <c r="FP23" s="373"/>
      <c r="FQ23" s="373"/>
      <c r="FR23" s="373"/>
      <c r="FS23" s="373"/>
      <c r="FT23" s="373"/>
      <c r="FU23" s="373"/>
      <c r="FV23" s="373"/>
      <c r="FW23" s="373"/>
      <c r="FX23" s="373"/>
      <c r="FY23" s="373" t="s">
        <v>94</v>
      </c>
      <c r="FZ23" s="373"/>
      <c r="GA23" s="373" t="s">
        <v>94</v>
      </c>
      <c r="GB23" s="373"/>
      <c r="GC23" s="373" t="s">
        <v>94</v>
      </c>
      <c r="GD23" s="373" t="s">
        <v>94</v>
      </c>
      <c r="GE23" s="373"/>
      <c r="GF23" s="373"/>
      <c r="GG23" s="373"/>
      <c r="GH23" s="373"/>
      <c r="GI23" s="373"/>
      <c r="GJ23" s="373" t="s">
        <v>94</v>
      </c>
      <c r="GK23" s="373" t="s">
        <v>318</v>
      </c>
      <c r="GL23" s="373"/>
      <c r="GM23" s="373"/>
      <c r="GN23" s="373"/>
      <c r="GO23" s="373"/>
      <c r="GP23" s="373"/>
      <c r="GQ23" s="373"/>
      <c r="GR23" s="373"/>
      <c r="GS23" s="373"/>
      <c r="GT23" s="373"/>
      <c r="GU23" s="373"/>
      <c r="GV23" s="373"/>
      <c r="GW23" s="373"/>
      <c r="GX23" s="373"/>
      <c r="GY23" s="373"/>
      <c r="GZ23" s="373"/>
      <c r="HA23" s="373"/>
      <c r="HB23" s="373"/>
      <c r="HC23" s="373"/>
      <c r="HD23" s="373"/>
      <c r="HE23" s="373"/>
      <c r="HF23" s="373"/>
      <c r="HG23" s="373"/>
      <c r="HH23" s="373" t="s">
        <v>94</v>
      </c>
      <c r="HI23" s="373"/>
      <c r="HJ23" s="373"/>
      <c r="HK23" s="373"/>
      <c r="HL23" s="373"/>
      <c r="HM23" s="373"/>
      <c r="HN23" s="373"/>
      <c r="HO23" s="373"/>
      <c r="HP23" s="373"/>
      <c r="HQ23" s="373"/>
      <c r="HR23" s="373"/>
      <c r="HS23" s="373"/>
      <c r="HT23" s="373" t="s">
        <v>94</v>
      </c>
      <c r="HU23" s="373"/>
      <c r="HV23" s="373"/>
      <c r="HW23" s="373"/>
      <c r="HX23" s="373"/>
      <c r="HY23" s="373"/>
      <c r="HZ23" s="373"/>
      <c r="IA23" s="373"/>
      <c r="IB23" s="373"/>
      <c r="IC23" s="373"/>
      <c r="ID23" s="373"/>
      <c r="IE23" s="373"/>
      <c r="IF23" s="373"/>
      <c r="IG23" s="373" t="s">
        <v>94</v>
      </c>
      <c r="IH23" s="373"/>
      <c r="II23" s="373" t="s">
        <v>94</v>
      </c>
      <c r="IJ23" s="373"/>
      <c r="IK23" s="373" t="s">
        <v>94</v>
      </c>
      <c r="IL23" s="373"/>
      <c r="IM23" s="373"/>
      <c r="IN23" s="373"/>
      <c r="IO23" s="373"/>
      <c r="IP23" s="373"/>
      <c r="IQ23" s="373" t="s">
        <v>94</v>
      </c>
      <c r="IR23" s="373" t="s">
        <v>94</v>
      </c>
      <c r="IS23" s="373" t="s">
        <v>94</v>
      </c>
      <c r="IT23" s="373" t="s">
        <v>94</v>
      </c>
      <c r="IU23" s="373" t="s">
        <v>94</v>
      </c>
      <c r="IV23" s="373" t="s">
        <v>280</v>
      </c>
      <c r="IW23" s="373" t="s">
        <v>280</v>
      </c>
      <c r="IX23" s="373"/>
      <c r="IY23" s="373"/>
      <c r="IZ23" s="373"/>
      <c r="JA23" s="373"/>
      <c r="JB23" s="373"/>
      <c r="JC23" s="373"/>
      <c r="JD23" s="373"/>
      <c r="JE23" s="373"/>
      <c r="JF23" s="373"/>
      <c r="JG23" s="373"/>
      <c r="JH23" s="373"/>
      <c r="JI23" s="373"/>
      <c r="JJ23" s="373"/>
      <c r="JK23" s="373"/>
      <c r="JL23" s="373"/>
      <c r="JM23" s="373"/>
      <c r="JN23" s="373"/>
      <c r="JO23" s="373"/>
      <c r="JP23" s="373"/>
      <c r="JQ23" s="373"/>
      <c r="JR23" s="373"/>
      <c r="JS23" s="373"/>
      <c r="JT23" s="373"/>
      <c r="JU23" s="373"/>
      <c r="JV23" s="373"/>
      <c r="JW23" s="373"/>
      <c r="JX23" s="373"/>
      <c r="JY23" s="373"/>
      <c r="JZ23" s="373"/>
      <c r="KA23" s="373"/>
      <c r="KB23" s="373"/>
      <c r="KC23" s="373"/>
      <c r="KD23" s="373"/>
      <c r="KE23" s="373"/>
      <c r="KF23" s="373"/>
      <c r="KG23" s="373"/>
      <c r="KH23" s="373"/>
      <c r="KI23" s="373"/>
      <c r="KJ23" s="373"/>
      <c r="KK23" s="373"/>
      <c r="KL23" s="373"/>
      <c r="KM23" s="373"/>
      <c r="KN23" s="373" t="s">
        <v>94</v>
      </c>
      <c r="KO23" s="373" t="s">
        <v>94</v>
      </c>
      <c r="KP23" s="373"/>
      <c r="KQ23" s="373"/>
      <c r="KR23" s="373" t="s">
        <v>94</v>
      </c>
      <c r="KS23" s="373"/>
      <c r="KT23" s="373"/>
      <c r="KU23" s="373"/>
      <c r="KV23" s="373"/>
      <c r="KW23" s="373"/>
      <c r="KX23" s="373" t="s">
        <v>94</v>
      </c>
      <c r="KY23" s="373"/>
      <c r="KZ23" s="373"/>
      <c r="LA23" s="373" t="s">
        <v>280</v>
      </c>
      <c r="LB23" s="373"/>
      <c r="LC23" s="373" t="s">
        <v>280</v>
      </c>
      <c r="LD23" s="373"/>
      <c r="LE23" s="373"/>
      <c r="LF23" s="373"/>
      <c r="LG23" s="373"/>
      <c r="LH23" s="373"/>
      <c r="LI23" s="373"/>
      <c r="LJ23" s="373"/>
      <c r="LK23" s="373"/>
      <c r="LL23" s="373"/>
      <c r="LM23" s="373"/>
      <c r="LN23" s="373"/>
      <c r="LO23" s="373"/>
      <c r="LP23" s="373"/>
      <c r="LQ23" s="373" t="s">
        <v>94</v>
      </c>
      <c r="LR23" s="373"/>
      <c r="LS23" s="373"/>
      <c r="LT23" s="373"/>
      <c r="LU23" s="373"/>
      <c r="LV23" s="373"/>
      <c r="LW23" s="373"/>
      <c r="LX23" s="373"/>
      <c r="LY23" s="373"/>
      <c r="LZ23" s="373"/>
      <c r="MA23" s="373" t="s">
        <v>280</v>
      </c>
      <c r="MB23" s="373"/>
      <c r="MC23" s="373"/>
      <c r="MD23" s="373"/>
      <c r="ME23" s="373"/>
      <c r="MF23" s="373"/>
      <c r="MG23" s="373"/>
      <c r="MH23" s="373"/>
      <c r="MI23" s="373"/>
      <c r="MJ23" s="373"/>
      <c r="MK23" s="373"/>
      <c r="ML23" s="373" t="s">
        <v>94</v>
      </c>
      <c r="MM23" s="373"/>
      <c r="MN23" s="373"/>
      <c r="MO23" s="373"/>
      <c r="MP23" s="373"/>
      <c r="MQ23" s="373"/>
      <c r="MR23" s="373" t="s">
        <v>94</v>
      </c>
      <c r="MS23" s="373"/>
      <c r="MT23" s="373" t="s">
        <v>280</v>
      </c>
      <c r="MU23" s="373" t="s">
        <v>94</v>
      </c>
      <c r="MV23" s="373" t="s">
        <v>94</v>
      </c>
      <c r="MW23" s="373" t="s">
        <v>280</v>
      </c>
      <c r="MX23" s="373" t="s">
        <v>280</v>
      </c>
      <c r="MY23" s="373"/>
      <c r="MZ23" s="373"/>
      <c r="NA23" s="373" t="s">
        <v>94</v>
      </c>
      <c r="NB23" s="373"/>
      <c r="NC23" s="373"/>
      <c r="ND23" s="373"/>
      <c r="NE23" s="373"/>
      <c r="NF23" s="373"/>
      <c r="NG23" s="373" t="s">
        <v>94</v>
      </c>
      <c r="NH23" s="373"/>
      <c r="NI23" s="373" t="s">
        <v>94</v>
      </c>
      <c r="NJ23" s="373" t="s">
        <v>94</v>
      </c>
      <c r="NK23" s="373"/>
      <c r="NL23" s="373" t="s">
        <v>94</v>
      </c>
      <c r="NM23" s="373"/>
      <c r="NN23" s="373" t="s">
        <v>280</v>
      </c>
      <c r="NO23" s="373" t="s">
        <v>280</v>
      </c>
      <c r="NP23" s="373" t="s">
        <v>94</v>
      </c>
      <c r="NQ23" s="373"/>
      <c r="NR23" s="373"/>
      <c r="NS23" s="373"/>
      <c r="NT23" s="373"/>
      <c r="NU23" s="373"/>
      <c r="NV23" s="373" t="s">
        <v>94</v>
      </c>
      <c r="NW23" s="373"/>
      <c r="NX23" s="373" t="s">
        <v>94</v>
      </c>
      <c r="NY23" s="373"/>
      <c r="NZ23" s="373"/>
      <c r="OA23" s="373"/>
      <c r="OB23" s="373"/>
      <c r="OC23" s="373"/>
      <c r="OD23" s="373"/>
      <c r="OE23" s="373"/>
      <c r="OF23" s="373" t="s">
        <v>280</v>
      </c>
      <c r="OG23" s="373"/>
    </row>
    <row r="24" spans="2:397" ht="30.6">
      <c r="B24" s="382" t="s">
        <v>309</v>
      </c>
      <c r="C24" s="373" t="s">
        <v>1605</v>
      </c>
      <c r="D24" s="373" t="s">
        <v>1194</v>
      </c>
      <c r="E24" s="373" t="s">
        <v>1605</v>
      </c>
      <c r="F24" s="373" t="s">
        <v>1194</v>
      </c>
      <c r="G24" s="373" t="s">
        <v>1194</v>
      </c>
      <c r="H24" s="373" t="s">
        <v>1194</v>
      </c>
      <c r="I24" s="373" t="s">
        <v>1194</v>
      </c>
      <c r="J24" s="373" t="s">
        <v>1194</v>
      </c>
      <c r="K24" s="373" t="s">
        <v>366</v>
      </c>
      <c r="L24" s="373" t="s">
        <v>1194</v>
      </c>
      <c r="M24" s="373" t="s">
        <v>318</v>
      </c>
      <c r="N24" s="373" t="s">
        <v>318</v>
      </c>
      <c r="O24" s="373" t="s">
        <v>1237</v>
      </c>
      <c r="P24" s="373" t="s">
        <v>1237</v>
      </c>
      <c r="Q24" s="373" t="s">
        <v>1237</v>
      </c>
      <c r="R24" s="373" t="s">
        <v>1237</v>
      </c>
      <c r="S24" s="373" t="s">
        <v>1194</v>
      </c>
      <c r="T24" s="373" t="s">
        <v>367</v>
      </c>
      <c r="U24" s="373" t="s">
        <v>1237</v>
      </c>
      <c r="V24" s="373" t="s">
        <v>1237</v>
      </c>
      <c r="W24" s="373" t="s">
        <v>366</v>
      </c>
      <c r="X24" s="373" t="s">
        <v>370</v>
      </c>
      <c r="Y24" s="373" t="s">
        <v>366</v>
      </c>
      <c r="Z24" s="373" t="s">
        <v>366</v>
      </c>
      <c r="AA24" s="373" t="s">
        <v>1194</v>
      </c>
      <c r="AB24" s="373" t="s">
        <v>1194</v>
      </c>
      <c r="AC24" s="373" t="s">
        <v>1194</v>
      </c>
      <c r="AD24" s="373" t="s">
        <v>1194</v>
      </c>
      <c r="AE24" s="373" t="s">
        <v>1194</v>
      </c>
      <c r="AF24" s="373" t="s">
        <v>1194</v>
      </c>
      <c r="AG24" s="373" t="s">
        <v>1194</v>
      </c>
      <c r="AH24" s="373" t="s">
        <v>1605</v>
      </c>
      <c r="AI24" s="373" t="s">
        <v>1605</v>
      </c>
      <c r="AJ24" s="373" t="s">
        <v>1194</v>
      </c>
      <c r="AK24" s="373" t="s">
        <v>1194</v>
      </c>
      <c r="AL24" s="373" t="s">
        <v>370</v>
      </c>
      <c r="AM24" s="373" t="s">
        <v>1194</v>
      </c>
      <c r="AN24" s="373" t="s">
        <v>1194</v>
      </c>
      <c r="AO24" s="373" t="s">
        <v>1194</v>
      </c>
      <c r="AP24" s="373" t="s">
        <v>1194</v>
      </c>
      <c r="AQ24" s="373" t="s">
        <v>1605</v>
      </c>
      <c r="AR24" s="373" t="s">
        <v>1605</v>
      </c>
      <c r="AS24" s="373" t="s">
        <v>1194</v>
      </c>
      <c r="AT24" s="373" t="s">
        <v>1194</v>
      </c>
      <c r="AU24" s="373" t="s">
        <v>366</v>
      </c>
      <c r="AV24" s="373" t="s">
        <v>1194</v>
      </c>
      <c r="AW24" s="373" t="s">
        <v>1194</v>
      </c>
      <c r="AX24" s="373" t="s">
        <v>1194</v>
      </c>
      <c r="AY24" s="373" t="s">
        <v>1194</v>
      </c>
      <c r="AZ24" s="373" t="s">
        <v>1605</v>
      </c>
      <c r="BA24" s="373" t="s">
        <v>1582</v>
      </c>
      <c r="BB24" s="373" t="s">
        <v>1194</v>
      </c>
      <c r="BC24" s="373" t="s">
        <v>1194</v>
      </c>
      <c r="BD24" s="373" t="s">
        <v>1582</v>
      </c>
      <c r="BE24" s="373" t="s">
        <v>1582</v>
      </c>
      <c r="BF24" s="373" t="s">
        <v>366</v>
      </c>
      <c r="BG24" s="373" t="s">
        <v>1582</v>
      </c>
      <c r="BH24" s="373" t="s">
        <v>366</v>
      </c>
      <c r="BI24" s="373" t="s">
        <v>318</v>
      </c>
      <c r="BJ24" s="373" t="s">
        <v>318</v>
      </c>
      <c r="BK24" s="373" t="s">
        <v>318</v>
      </c>
      <c r="BL24" s="373" t="s">
        <v>366</v>
      </c>
      <c r="BM24" s="373" t="s">
        <v>366</v>
      </c>
      <c r="BN24" s="373" t="s">
        <v>366</v>
      </c>
      <c r="BO24" s="373" t="s">
        <v>366</v>
      </c>
      <c r="BP24" s="373" t="s">
        <v>1605</v>
      </c>
      <c r="BQ24" s="373" t="s">
        <v>1605</v>
      </c>
      <c r="BR24" s="373" t="s">
        <v>1194</v>
      </c>
      <c r="BS24" s="373" t="s">
        <v>1194</v>
      </c>
      <c r="BT24" s="373" t="s">
        <v>1605</v>
      </c>
      <c r="BU24" s="373" t="s">
        <v>1194</v>
      </c>
      <c r="BV24" s="373" t="s">
        <v>1194</v>
      </c>
      <c r="BW24" s="373" t="s">
        <v>1605</v>
      </c>
      <c r="BX24" s="373" t="s">
        <v>370</v>
      </c>
      <c r="BY24" s="373" t="s">
        <v>1194</v>
      </c>
      <c r="BZ24" s="373" t="s">
        <v>1194</v>
      </c>
      <c r="CA24" s="373" t="s">
        <v>1194</v>
      </c>
      <c r="CB24" s="373"/>
      <c r="CC24" s="373"/>
      <c r="CD24" s="373"/>
      <c r="CE24" s="373"/>
      <c r="CF24" s="373"/>
      <c r="CG24" s="373" t="s">
        <v>1605</v>
      </c>
      <c r="CH24" s="373" t="s">
        <v>1194</v>
      </c>
      <c r="CI24" s="373"/>
      <c r="CJ24" s="373"/>
      <c r="CK24" s="373"/>
      <c r="CL24" s="373"/>
      <c r="CM24" s="373"/>
      <c r="CN24" s="373"/>
      <c r="CO24" s="373"/>
      <c r="CP24" s="373"/>
      <c r="CQ24" s="373"/>
      <c r="CR24" s="373"/>
      <c r="CS24" s="373"/>
      <c r="CT24" s="373"/>
      <c r="CU24" s="373"/>
      <c r="CV24" s="373"/>
      <c r="CW24" s="373"/>
      <c r="CX24" s="373"/>
      <c r="CY24" s="373"/>
      <c r="CZ24" s="373"/>
      <c r="DA24" s="373" t="s">
        <v>1194</v>
      </c>
      <c r="DB24" s="373" t="s">
        <v>1194</v>
      </c>
      <c r="DC24" s="373" t="s">
        <v>1194</v>
      </c>
      <c r="DD24" s="373" t="s">
        <v>1194</v>
      </c>
      <c r="DE24" s="373" t="s">
        <v>1194</v>
      </c>
      <c r="DF24" s="373"/>
      <c r="DG24" s="373"/>
      <c r="DH24" s="373"/>
      <c r="DI24" s="373"/>
      <c r="DJ24" s="373"/>
      <c r="DK24" s="373"/>
      <c r="DL24" s="373"/>
      <c r="DM24" s="373"/>
      <c r="DN24" s="373"/>
      <c r="DO24" s="373"/>
      <c r="DP24" s="373"/>
      <c r="DQ24" s="373"/>
      <c r="DR24" s="373"/>
      <c r="DS24" s="373"/>
      <c r="DT24" s="373"/>
      <c r="DU24" s="373"/>
      <c r="DV24" s="373"/>
      <c r="DW24" s="373" t="s">
        <v>1194</v>
      </c>
      <c r="DX24" s="373"/>
      <c r="DY24" s="373" t="s">
        <v>1194</v>
      </c>
      <c r="DZ24" s="373"/>
      <c r="EA24" s="373" t="s">
        <v>1194</v>
      </c>
      <c r="EB24" s="373" t="s">
        <v>318</v>
      </c>
      <c r="EC24" s="373" t="s">
        <v>318</v>
      </c>
      <c r="ED24" s="373" t="s">
        <v>318</v>
      </c>
      <c r="EE24" s="373" t="s">
        <v>1737</v>
      </c>
      <c r="EF24" s="373" t="s">
        <v>1752</v>
      </c>
      <c r="EG24" s="373" t="s">
        <v>1194</v>
      </c>
      <c r="EH24" s="373" t="s">
        <v>1752</v>
      </c>
      <c r="EI24" s="373" t="s">
        <v>1754</v>
      </c>
      <c r="EJ24" s="373" t="s">
        <v>367</v>
      </c>
      <c r="EK24" s="373" t="s">
        <v>1194</v>
      </c>
      <c r="EL24" s="373" t="s">
        <v>1194</v>
      </c>
      <c r="EM24" s="373" t="s">
        <v>1752</v>
      </c>
      <c r="EN24" s="373" t="s">
        <v>1194</v>
      </c>
      <c r="EO24" s="373" t="s">
        <v>1194</v>
      </c>
      <c r="EP24" s="373" t="s">
        <v>1769</v>
      </c>
      <c r="EQ24" s="373" t="s">
        <v>1194</v>
      </c>
      <c r="ER24" s="373" t="s">
        <v>1194</v>
      </c>
      <c r="ES24" s="373" t="s">
        <v>1194</v>
      </c>
      <c r="ET24" s="373" t="s">
        <v>318</v>
      </c>
      <c r="EU24" s="373" t="s">
        <v>1776</v>
      </c>
      <c r="EV24" s="373" t="s">
        <v>367</v>
      </c>
      <c r="EW24" s="373" t="s">
        <v>1779</v>
      </c>
      <c r="EX24" s="373" t="s">
        <v>367</v>
      </c>
      <c r="EY24" s="373" t="s">
        <v>367</v>
      </c>
      <c r="EZ24" s="373" t="s">
        <v>401</v>
      </c>
      <c r="FA24" s="373" t="s">
        <v>402</v>
      </c>
      <c r="FB24" s="373" t="s">
        <v>368</v>
      </c>
      <c r="FC24" s="373" t="s">
        <v>365</v>
      </c>
      <c r="FD24" s="373" t="s">
        <v>318</v>
      </c>
      <c r="FE24" s="373" t="s">
        <v>1194</v>
      </c>
      <c r="FF24" s="373"/>
      <c r="FG24" s="373"/>
      <c r="FH24" s="373"/>
      <c r="FI24" s="373"/>
      <c r="FJ24" s="373"/>
      <c r="FK24" s="373"/>
      <c r="FL24" s="373"/>
      <c r="FM24" s="373"/>
      <c r="FN24" s="373"/>
      <c r="FO24" s="373"/>
      <c r="FP24" s="373"/>
      <c r="FQ24" s="373"/>
      <c r="FR24" s="373"/>
      <c r="FS24" s="373"/>
      <c r="FT24" s="373"/>
      <c r="FU24" s="373"/>
      <c r="FV24" s="373"/>
      <c r="FW24" s="373"/>
      <c r="FX24" s="373"/>
      <c r="FY24" s="373" t="s">
        <v>1194</v>
      </c>
      <c r="FZ24" s="373"/>
      <c r="GA24" s="373" t="s">
        <v>1194</v>
      </c>
      <c r="GB24" s="373"/>
      <c r="GC24" s="373" t="s">
        <v>369</v>
      </c>
      <c r="GD24" s="373" t="s">
        <v>366</v>
      </c>
      <c r="GE24" s="373"/>
      <c r="GF24" s="373"/>
      <c r="GG24" s="373"/>
      <c r="GH24" s="373"/>
      <c r="GI24" s="373"/>
      <c r="GJ24" s="373" t="s">
        <v>369</v>
      </c>
      <c r="GK24" s="373" t="s">
        <v>1194</v>
      </c>
      <c r="GL24" s="373"/>
      <c r="GM24" s="373"/>
      <c r="GN24" s="373"/>
      <c r="GO24" s="373"/>
      <c r="GP24" s="373"/>
      <c r="GQ24" s="373"/>
      <c r="GR24" s="373"/>
      <c r="GS24" s="373"/>
      <c r="GT24" s="373"/>
      <c r="GU24" s="373"/>
      <c r="GV24" s="373"/>
      <c r="GW24" s="373"/>
      <c r="GX24" s="373"/>
      <c r="GY24" s="373"/>
      <c r="GZ24" s="373"/>
      <c r="HA24" s="373"/>
      <c r="HB24" s="373"/>
      <c r="HC24" s="373"/>
      <c r="HD24" s="373"/>
      <c r="HE24" s="373"/>
      <c r="HF24" s="373"/>
      <c r="HG24" s="373"/>
      <c r="HH24" s="373" t="s">
        <v>1194</v>
      </c>
      <c r="HI24" s="373"/>
      <c r="HJ24" s="373"/>
      <c r="HK24" s="373"/>
      <c r="HL24" s="373"/>
      <c r="HM24" s="373"/>
      <c r="HN24" s="373"/>
      <c r="HO24" s="373"/>
      <c r="HP24" s="373"/>
      <c r="HQ24" s="373"/>
      <c r="HR24" s="373"/>
      <c r="HS24" s="373"/>
      <c r="HT24" s="373" t="s">
        <v>1194</v>
      </c>
      <c r="HU24" s="373"/>
      <c r="HV24" s="373"/>
      <c r="HW24" s="373"/>
      <c r="HX24" s="373"/>
      <c r="HY24" s="373"/>
      <c r="HZ24" s="373"/>
      <c r="IA24" s="373"/>
      <c r="IB24" s="373"/>
      <c r="IC24" s="373"/>
      <c r="ID24" s="373"/>
      <c r="IE24" s="373"/>
      <c r="IF24" s="373"/>
      <c r="IG24" s="373" t="s">
        <v>1194</v>
      </c>
      <c r="IH24" s="373"/>
      <c r="II24" s="373" t="s">
        <v>1194</v>
      </c>
      <c r="IJ24" s="373"/>
      <c r="IK24" s="373" t="s">
        <v>1194</v>
      </c>
      <c r="IL24" s="373"/>
      <c r="IM24" s="373"/>
      <c r="IN24" s="373"/>
      <c r="IO24" s="373"/>
      <c r="IP24" s="373"/>
      <c r="IQ24" s="373" t="s">
        <v>1194</v>
      </c>
      <c r="IR24" s="373" t="s">
        <v>1194</v>
      </c>
      <c r="IS24" s="373" t="s">
        <v>1194</v>
      </c>
      <c r="IT24" s="373" t="s">
        <v>370</v>
      </c>
      <c r="IU24" s="373" t="s">
        <v>1194</v>
      </c>
      <c r="IV24" s="373" t="s">
        <v>1194</v>
      </c>
      <c r="IW24" s="373" t="s">
        <v>1194</v>
      </c>
      <c r="IX24" s="373"/>
      <c r="IY24" s="373"/>
      <c r="IZ24" s="373"/>
      <c r="JA24" s="373"/>
      <c r="JB24" s="373"/>
      <c r="JC24" s="373"/>
      <c r="JD24" s="373"/>
      <c r="JE24" s="373"/>
      <c r="JF24" s="373"/>
      <c r="JG24" s="373"/>
      <c r="JH24" s="373"/>
      <c r="JI24" s="373"/>
      <c r="JJ24" s="373"/>
      <c r="JK24" s="373"/>
      <c r="JL24" s="373"/>
      <c r="JM24" s="373"/>
      <c r="JN24" s="373"/>
      <c r="JO24" s="373"/>
      <c r="JP24" s="373"/>
      <c r="JQ24" s="373"/>
      <c r="JR24" s="373"/>
      <c r="JS24" s="373"/>
      <c r="JT24" s="373"/>
      <c r="JU24" s="373"/>
      <c r="JV24" s="373"/>
      <c r="JW24" s="373"/>
      <c r="JX24" s="373"/>
      <c r="JY24" s="373"/>
      <c r="JZ24" s="373"/>
      <c r="KA24" s="373"/>
      <c r="KB24" s="373"/>
      <c r="KC24" s="373"/>
      <c r="KD24" s="373"/>
      <c r="KE24" s="373"/>
      <c r="KF24" s="373"/>
      <c r="KG24" s="373"/>
      <c r="KH24" s="373"/>
      <c r="KI24" s="373"/>
      <c r="KJ24" s="373"/>
      <c r="KK24" s="373"/>
      <c r="KL24" s="373"/>
      <c r="KM24" s="373"/>
      <c r="KN24" s="373" t="s">
        <v>1194</v>
      </c>
      <c r="KO24" s="373" t="s">
        <v>1194</v>
      </c>
      <c r="KP24" s="373"/>
      <c r="KQ24" s="373"/>
      <c r="KR24" s="373" t="s">
        <v>1194</v>
      </c>
      <c r="KS24" s="373"/>
      <c r="KT24" s="373"/>
      <c r="KU24" s="373"/>
      <c r="KV24" s="373"/>
      <c r="KW24" s="373"/>
      <c r="KX24" s="373" t="s">
        <v>1194</v>
      </c>
      <c r="KY24" s="373"/>
      <c r="KZ24" s="373"/>
      <c r="LA24" s="373" t="s">
        <v>1194</v>
      </c>
      <c r="LB24" s="373"/>
      <c r="LC24" s="373" t="s">
        <v>1194</v>
      </c>
      <c r="LD24" s="373"/>
      <c r="LE24" s="373"/>
      <c r="LF24" s="373"/>
      <c r="LG24" s="373"/>
      <c r="LH24" s="373"/>
      <c r="LI24" s="373"/>
      <c r="LJ24" s="373"/>
      <c r="LK24" s="373"/>
      <c r="LL24" s="373"/>
      <c r="LM24" s="373"/>
      <c r="LN24" s="373"/>
      <c r="LO24" s="373"/>
      <c r="LP24" s="373"/>
      <c r="LQ24" s="373" t="s">
        <v>370</v>
      </c>
      <c r="LR24" s="373"/>
      <c r="LS24" s="373"/>
      <c r="LT24" s="373"/>
      <c r="LU24" s="373"/>
      <c r="LV24" s="373"/>
      <c r="LW24" s="373"/>
      <c r="LX24" s="373"/>
      <c r="LY24" s="373"/>
      <c r="LZ24" s="373"/>
      <c r="MA24" s="373" t="s">
        <v>1194</v>
      </c>
      <c r="MB24" s="373"/>
      <c r="MC24" s="373"/>
      <c r="MD24" s="373"/>
      <c r="ME24" s="373"/>
      <c r="MF24" s="373"/>
      <c r="MG24" s="373"/>
      <c r="MH24" s="373"/>
      <c r="MI24" s="373"/>
      <c r="MJ24" s="373"/>
      <c r="MK24" s="373"/>
      <c r="ML24" s="373" t="s">
        <v>1194</v>
      </c>
      <c r="MM24" s="373"/>
      <c r="MN24" s="373"/>
      <c r="MO24" s="373"/>
      <c r="MP24" s="373"/>
      <c r="MQ24" s="373"/>
      <c r="MR24" s="373" t="s">
        <v>367</v>
      </c>
      <c r="MS24" s="373"/>
      <c r="MT24" s="373" t="s">
        <v>1194</v>
      </c>
      <c r="MU24" s="373" t="s">
        <v>1832</v>
      </c>
      <c r="MV24" s="373" t="s">
        <v>318</v>
      </c>
      <c r="MW24" s="373" t="s">
        <v>1194</v>
      </c>
      <c r="MX24" s="373" t="s">
        <v>1194</v>
      </c>
      <c r="MY24" s="373"/>
      <c r="MZ24" s="373"/>
      <c r="NA24" s="373" t="s">
        <v>1660</v>
      </c>
      <c r="NB24" s="373"/>
      <c r="NC24" s="373"/>
      <c r="ND24" s="373"/>
      <c r="NE24" s="373"/>
      <c r="NF24" s="373"/>
      <c r="NG24" s="373" t="s">
        <v>366</v>
      </c>
      <c r="NH24" s="373"/>
      <c r="NI24" s="373" t="s">
        <v>367</v>
      </c>
      <c r="NJ24" s="373" t="s">
        <v>372</v>
      </c>
      <c r="NK24" s="373"/>
      <c r="NL24" s="373" t="s">
        <v>366</v>
      </c>
      <c r="NM24" s="373"/>
      <c r="NN24" s="373" t="s">
        <v>1194</v>
      </c>
      <c r="NO24" s="373" t="s">
        <v>1194</v>
      </c>
      <c r="NP24" s="373" t="s">
        <v>1194</v>
      </c>
      <c r="NQ24" s="373"/>
      <c r="NR24" s="373"/>
      <c r="NS24" s="373"/>
      <c r="NT24" s="373"/>
      <c r="NU24" s="373"/>
      <c r="NV24" s="373" t="s">
        <v>1850</v>
      </c>
      <c r="NW24" s="373"/>
      <c r="NX24" s="373" t="s">
        <v>371</v>
      </c>
      <c r="NY24" s="373"/>
      <c r="NZ24" s="373"/>
      <c r="OA24" s="373"/>
      <c r="OB24" s="373"/>
      <c r="OC24" s="373"/>
      <c r="OD24" s="373"/>
      <c r="OE24" s="373"/>
      <c r="OF24" s="373" t="s">
        <v>1194</v>
      </c>
      <c r="OG24" s="373"/>
    </row>
    <row r="25" spans="2:397" ht="40.799999999999997">
      <c r="B25" s="382" t="s">
        <v>310</v>
      </c>
      <c r="C25" s="373" t="s">
        <v>1605</v>
      </c>
      <c r="D25" s="373" t="s">
        <v>94</v>
      </c>
      <c r="E25" s="373" t="s">
        <v>1605</v>
      </c>
      <c r="F25" s="373" t="s">
        <v>94</v>
      </c>
      <c r="G25" s="373" t="s">
        <v>94</v>
      </c>
      <c r="H25" s="373" t="s">
        <v>94</v>
      </c>
      <c r="I25" s="373" t="s">
        <v>94</v>
      </c>
      <c r="J25" s="373" t="s">
        <v>94</v>
      </c>
      <c r="K25" s="373" t="s">
        <v>280</v>
      </c>
      <c r="L25" s="373" t="s">
        <v>94</v>
      </c>
      <c r="M25" s="373" t="s">
        <v>318</v>
      </c>
      <c r="N25" s="373" t="s">
        <v>318</v>
      </c>
      <c r="O25" s="373" t="s">
        <v>280</v>
      </c>
      <c r="P25" s="373" t="s">
        <v>280</v>
      </c>
      <c r="Q25" s="373" t="s">
        <v>1240</v>
      </c>
      <c r="R25" s="373" t="s">
        <v>280</v>
      </c>
      <c r="S25" s="373" t="s">
        <v>94</v>
      </c>
      <c r="T25" s="373" t="s">
        <v>280</v>
      </c>
      <c r="U25" s="373" t="s">
        <v>280</v>
      </c>
      <c r="V25" s="373" t="s">
        <v>280</v>
      </c>
      <c r="W25" s="373" t="s">
        <v>280</v>
      </c>
      <c r="X25" s="373" t="s">
        <v>280</v>
      </c>
      <c r="Y25" s="373" t="s">
        <v>280</v>
      </c>
      <c r="Z25" s="373" t="s">
        <v>280</v>
      </c>
      <c r="AA25" s="373" t="s">
        <v>280</v>
      </c>
      <c r="AB25" s="373" t="s">
        <v>94</v>
      </c>
      <c r="AC25" s="373" t="s">
        <v>94</v>
      </c>
      <c r="AD25" s="373" t="s">
        <v>94</v>
      </c>
      <c r="AE25" s="373" t="s">
        <v>94</v>
      </c>
      <c r="AF25" s="373" t="s">
        <v>94</v>
      </c>
      <c r="AG25" s="373" t="s">
        <v>280</v>
      </c>
      <c r="AH25" s="373" t="s">
        <v>1605</v>
      </c>
      <c r="AI25" s="373" t="s">
        <v>1605</v>
      </c>
      <c r="AJ25" s="373" t="s">
        <v>280</v>
      </c>
      <c r="AK25" s="373" t="s">
        <v>1282</v>
      </c>
      <c r="AL25" s="373" t="s">
        <v>1282</v>
      </c>
      <c r="AM25" s="373" t="s">
        <v>94</v>
      </c>
      <c r="AN25" s="373" t="s">
        <v>94</v>
      </c>
      <c r="AO25" s="373" t="s">
        <v>94</v>
      </c>
      <c r="AP25" s="373" t="s">
        <v>94</v>
      </c>
      <c r="AQ25" s="373" t="s">
        <v>1605</v>
      </c>
      <c r="AR25" s="373" t="s">
        <v>1605</v>
      </c>
      <c r="AS25" s="373" t="s">
        <v>94</v>
      </c>
      <c r="AT25" s="373" t="s">
        <v>94</v>
      </c>
      <c r="AU25" s="373" t="s">
        <v>94</v>
      </c>
      <c r="AV25" s="373" t="s">
        <v>94</v>
      </c>
      <c r="AW25" s="373" t="s">
        <v>1311</v>
      </c>
      <c r="AX25" s="373" t="s">
        <v>94</v>
      </c>
      <c r="AY25" s="373" t="s">
        <v>94</v>
      </c>
      <c r="AZ25" s="373" t="s">
        <v>1605</v>
      </c>
      <c r="BA25" s="373" t="s">
        <v>1582</v>
      </c>
      <c r="BB25" s="373" t="s">
        <v>94</v>
      </c>
      <c r="BC25" s="373" t="s">
        <v>94</v>
      </c>
      <c r="BD25" s="373" t="s">
        <v>1582</v>
      </c>
      <c r="BE25" s="373" t="s">
        <v>1595</v>
      </c>
      <c r="BF25" s="373" t="s">
        <v>280</v>
      </c>
      <c r="BG25" s="373" t="s">
        <v>1595</v>
      </c>
      <c r="BH25" s="373" t="s">
        <v>280</v>
      </c>
      <c r="BI25" s="373" t="s">
        <v>1597</v>
      </c>
      <c r="BJ25" s="373" t="s">
        <v>1597</v>
      </c>
      <c r="BK25" s="373" t="s">
        <v>280</v>
      </c>
      <c r="BL25" s="373" t="s">
        <v>280</v>
      </c>
      <c r="BM25" s="373" t="s">
        <v>280</v>
      </c>
      <c r="BN25" s="373" t="s">
        <v>280</v>
      </c>
      <c r="BO25" s="373" t="s">
        <v>280</v>
      </c>
      <c r="BP25" s="373" t="s">
        <v>1605</v>
      </c>
      <c r="BQ25" s="373" t="s">
        <v>1605</v>
      </c>
      <c r="BR25" s="373" t="s">
        <v>94</v>
      </c>
      <c r="BS25" s="373" t="s">
        <v>94</v>
      </c>
      <c r="BT25" s="373" t="s">
        <v>1605</v>
      </c>
      <c r="BU25" s="373" t="s">
        <v>1619</v>
      </c>
      <c r="BV25" s="373" t="s">
        <v>94</v>
      </c>
      <c r="BW25" s="373" t="s">
        <v>1605</v>
      </c>
      <c r="BX25" s="373" t="s">
        <v>280</v>
      </c>
      <c r="BY25" s="373" t="s">
        <v>94</v>
      </c>
      <c r="BZ25" s="373" t="s">
        <v>94</v>
      </c>
      <c r="CA25" s="373" t="s">
        <v>94</v>
      </c>
      <c r="CB25" s="373"/>
      <c r="CC25" s="373"/>
      <c r="CD25" s="373"/>
      <c r="CE25" s="373"/>
      <c r="CF25" s="373"/>
      <c r="CG25" s="373" t="s">
        <v>1605</v>
      </c>
      <c r="CH25" s="373" t="s">
        <v>94</v>
      </c>
      <c r="CI25" s="373"/>
      <c r="CJ25" s="373"/>
      <c r="CK25" s="373"/>
      <c r="CL25" s="373"/>
      <c r="CM25" s="373"/>
      <c r="CN25" s="373"/>
      <c r="CO25" s="373"/>
      <c r="CP25" s="373"/>
      <c r="CQ25" s="373"/>
      <c r="CR25" s="373"/>
      <c r="CS25" s="373"/>
      <c r="CT25" s="373"/>
      <c r="CU25" s="373"/>
      <c r="CV25" s="373"/>
      <c r="CW25" s="373"/>
      <c r="CX25" s="373"/>
      <c r="CY25" s="373"/>
      <c r="CZ25" s="373"/>
      <c r="DA25" s="373" t="s">
        <v>94</v>
      </c>
      <c r="DB25" s="373" t="s">
        <v>94</v>
      </c>
      <c r="DC25" s="373" t="s">
        <v>94</v>
      </c>
      <c r="DD25" s="373" t="s">
        <v>1716</v>
      </c>
      <c r="DE25" s="373" t="s">
        <v>94</v>
      </c>
      <c r="DF25" s="373"/>
      <c r="DG25" s="373"/>
      <c r="DH25" s="373"/>
      <c r="DI25" s="373"/>
      <c r="DJ25" s="373"/>
      <c r="DK25" s="373"/>
      <c r="DL25" s="373"/>
      <c r="DM25" s="373"/>
      <c r="DN25" s="373"/>
      <c r="DO25" s="373"/>
      <c r="DP25" s="373"/>
      <c r="DQ25" s="373"/>
      <c r="DR25" s="373"/>
      <c r="DS25" s="373"/>
      <c r="DT25" s="373"/>
      <c r="DU25" s="373"/>
      <c r="DV25" s="373"/>
      <c r="DW25" s="373" t="s">
        <v>1595</v>
      </c>
      <c r="DX25" s="373"/>
      <c r="DY25" s="373" t="s">
        <v>94</v>
      </c>
      <c r="DZ25" s="373"/>
      <c r="EA25" s="373" t="s">
        <v>94</v>
      </c>
      <c r="EB25" s="373" t="s">
        <v>318</v>
      </c>
      <c r="EC25" s="373" t="s">
        <v>280</v>
      </c>
      <c r="ED25" s="373" t="s">
        <v>280</v>
      </c>
      <c r="EE25" s="373" t="s">
        <v>280</v>
      </c>
      <c r="EF25" s="373" t="s">
        <v>1751</v>
      </c>
      <c r="EG25" s="373" t="s">
        <v>94</v>
      </c>
      <c r="EH25" s="373" t="s">
        <v>1751</v>
      </c>
      <c r="EI25" s="373" t="s">
        <v>378</v>
      </c>
      <c r="EJ25" s="373" t="s">
        <v>280</v>
      </c>
      <c r="EK25" s="373" t="s">
        <v>94</v>
      </c>
      <c r="EL25" s="373" t="s">
        <v>94</v>
      </c>
      <c r="EM25" s="373" t="s">
        <v>280</v>
      </c>
      <c r="EN25" s="373" t="s">
        <v>94</v>
      </c>
      <c r="EO25" s="373" t="s">
        <v>94</v>
      </c>
      <c r="EP25" s="373" t="s">
        <v>1770</v>
      </c>
      <c r="EQ25" s="373" t="s">
        <v>94</v>
      </c>
      <c r="ER25" s="373" t="s">
        <v>94</v>
      </c>
      <c r="ES25" s="373" t="s">
        <v>94</v>
      </c>
      <c r="ET25" s="373" t="s">
        <v>318</v>
      </c>
      <c r="EU25" s="373" t="s">
        <v>280</v>
      </c>
      <c r="EV25" s="373" t="s">
        <v>280</v>
      </c>
      <c r="EW25" s="373" t="s">
        <v>378</v>
      </c>
      <c r="EX25" s="373" t="s">
        <v>280</v>
      </c>
      <c r="EY25" s="373" t="s">
        <v>280</v>
      </c>
      <c r="EZ25" s="373" t="s">
        <v>373</v>
      </c>
      <c r="FA25" s="373" t="s">
        <v>373</v>
      </c>
      <c r="FB25" s="373" t="s">
        <v>280</v>
      </c>
      <c r="FC25" s="373" t="s">
        <v>280</v>
      </c>
      <c r="FD25" s="373" t="s">
        <v>280</v>
      </c>
      <c r="FE25" s="373" t="s">
        <v>94</v>
      </c>
      <c r="FF25" s="373"/>
      <c r="FG25" s="373"/>
      <c r="FH25" s="373"/>
      <c r="FI25" s="373"/>
      <c r="FJ25" s="373"/>
      <c r="FK25" s="373"/>
      <c r="FL25" s="373"/>
      <c r="FM25" s="373"/>
      <c r="FN25" s="373"/>
      <c r="FO25" s="373"/>
      <c r="FP25" s="373"/>
      <c r="FQ25" s="373"/>
      <c r="FR25" s="373"/>
      <c r="FS25" s="373"/>
      <c r="FT25" s="373"/>
      <c r="FU25" s="373"/>
      <c r="FV25" s="373"/>
      <c r="FW25" s="373"/>
      <c r="FX25" s="373"/>
      <c r="FY25" s="373" t="s">
        <v>378</v>
      </c>
      <c r="FZ25" s="373"/>
      <c r="GA25" s="373" t="s">
        <v>94</v>
      </c>
      <c r="GB25" s="373"/>
      <c r="GC25" s="373" t="s">
        <v>378</v>
      </c>
      <c r="GD25" s="373" t="s">
        <v>374</v>
      </c>
      <c r="GE25" s="373"/>
      <c r="GF25" s="373"/>
      <c r="GG25" s="373"/>
      <c r="GH25" s="373"/>
      <c r="GI25" s="373"/>
      <c r="GJ25" s="373" t="s">
        <v>369</v>
      </c>
      <c r="GK25" s="373" t="s">
        <v>94</v>
      </c>
      <c r="GL25" s="373"/>
      <c r="GM25" s="373"/>
      <c r="GN25" s="373"/>
      <c r="GO25" s="373"/>
      <c r="GP25" s="373"/>
      <c r="GQ25" s="373"/>
      <c r="GR25" s="373"/>
      <c r="GS25" s="373"/>
      <c r="GT25" s="373"/>
      <c r="GU25" s="373"/>
      <c r="GV25" s="373"/>
      <c r="GW25" s="373"/>
      <c r="GX25" s="373"/>
      <c r="GY25" s="373"/>
      <c r="GZ25" s="373"/>
      <c r="HA25" s="373"/>
      <c r="HB25" s="373"/>
      <c r="HC25" s="373"/>
      <c r="HD25" s="373"/>
      <c r="HE25" s="373"/>
      <c r="HF25" s="373"/>
      <c r="HG25" s="373"/>
      <c r="HH25" s="373" t="s">
        <v>94</v>
      </c>
      <c r="HI25" s="373"/>
      <c r="HJ25" s="373"/>
      <c r="HK25" s="373"/>
      <c r="HL25" s="373"/>
      <c r="HM25" s="373"/>
      <c r="HN25" s="373"/>
      <c r="HO25" s="373"/>
      <c r="HP25" s="373"/>
      <c r="HQ25" s="373"/>
      <c r="HR25" s="373"/>
      <c r="HS25" s="373"/>
      <c r="HT25" s="373" t="s">
        <v>94</v>
      </c>
      <c r="HU25" s="373"/>
      <c r="HV25" s="373"/>
      <c r="HW25" s="373"/>
      <c r="HX25" s="373"/>
      <c r="HY25" s="373"/>
      <c r="HZ25" s="373"/>
      <c r="IA25" s="373"/>
      <c r="IB25" s="373"/>
      <c r="IC25" s="373"/>
      <c r="ID25" s="373"/>
      <c r="IE25" s="373"/>
      <c r="IF25" s="373"/>
      <c r="IG25" s="373" t="s">
        <v>280</v>
      </c>
      <c r="IH25" s="373"/>
      <c r="II25" s="373" t="s">
        <v>94</v>
      </c>
      <c r="IJ25" s="373"/>
      <c r="IK25" s="373" t="s">
        <v>94</v>
      </c>
      <c r="IL25" s="373"/>
      <c r="IM25" s="373"/>
      <c r="IN25" s="373"/>
      <c r="IO25" s="373"/>
      <c r="IP25" s="373"/>
      <c r="IQ25" s="373" t="s">
        <v>94</v>
      </c>
      <c r="IR25" s="373" t="s">
        <v>94</v>
      </c>
      <c r="IS25" s="373" t="s">
        <v>1817</v>
      </c>
      <c r="IT25" s="373" t="s">
        <v>1282</v>
      </c>
      <c r="IU25" s="373" t="s">
        <v>94</v>
      </c>
      <c r="IV25" s="373" t="s">
        <v>1651</v>
      </c>
      <c r="IW25" s="373" t="s">
        <v>94</v>
      </c>
      <c r="IX25" s="373"/>
      <c r="IY25" s="373"/>
      <c r="IZ25" s="373"/>
      <c r="JA25" s="373"/>
      <c r="JB25" s="373"/>
      <c r="JC25" s="373"/>
      <c r="JD25" s="373"/>
      <c r="JE25" s="373"/>
      <c r="JF25" s="373"/>
      <c r="JG25" s="373"/>
      <c r="JH25" s="373"/>
      <c r="JI25" s="373"/>
      <c r="JJ25" s="373"/>
      <c r="JK25" s="373"/>
      <c r="JL25" s="373"/>
      <c r="JM25" s="373"/>
      <c r="JN25" s="373"/>
      <c r="JO25" s="373"/>
      <c r="JP25" s="373"/>
      <c r="JQ25" s="373"/>
      <c r="JR25" s="373"/>
      <c r="JS25" s="373"/>
      <c r="JT25" s="373"/>
      <c r="JU25" s="373"/>
      <c r="JV25" s="373"/>
      <c r="JW25" s="373"/>
      <c r="JX25" s="373"/>
      <c r="JY25" s="373"/>
      <c r="JZ25" s="373"/>
      <c r="KA25" s="373"/>
      <c r="KB25" s="373"/>
      <c r="KC25" s="373"/>
      <c r="KD25" s="373"/>
      <c r="KE25" s="373"/>
      <c r="KF25" s="373"/>
      <c r="KG25" s="373"/>
      <c r="KH25" s="373"/>
      <c r="KI25" s="373"/>
      <c r="KJ25" s="373"/>
      <c r="KK25" s="373"/>
      <c r="KL25" s="373"/>
      <c r="KM25" s="373"/>
      <c r="KN25" s="373" t="s">
        <v>94</v>
      </c>
      <c r="KO25" s="373" t="s">
        <v>94</v>
      </c>
      <c r="KP25" s="373"/>
      <c r="KQ25" s="373"/>
      <c r="KR25" s="373" t="s">
        <v>94</v>
      </c>
      <c r="KS25" s="373"/>
      <c r="KT25" s="373"/>
      <c r="KU25" s="373"/>
      <c r="KV25" s="373"/>
      <c r="KW25" s="373"/>
      <c r="KX25" s="373" t="s">
        <v>94</v>
      </c>
      <c r="KY25" s="373"/>
      <c r="KZ25" s="373"/>
      <c r="LA25" s="373" t="s">
        <v>376</v>
      </c>
      <c r="LB25" s="373"/>
      <c r="LC25" s="373" t="s">
        <v>376</v>
      </c>
      <c r="LD25" s="373"/>
      <c r="LE25" s="373"/>
      <c r="LF25" s="373"/>
      <c r="LG25" s="373"/>
      <c r="LH25" s="373"/>
      <c r="LI25" s="373"/>
      <c r="LJ25" s="373"/>
      <c r="LK25" s="373"/>
      <c r="LL25" s="373"/>
      <c r="LM25" s="373"/>
      <c r="LN25" s="373"/>
      <c r="LO25" s="373"/>
      <c r="LP25" s="373"/>
      <c r="LQ25" s="373" t="s">
        <v>1282</v>
      </c>
      <c r="LR25" s="373"/>
      <c r="LS25" s="373"/>
      <c r="LT25" s="373"/>
      <c r="LU25" s="373"/>
      <c r="LV25" s="373"/>
      <c r="LW25" s="373"/>
      <c r="LX25" s="373"/>
      <c r="LY25" s="373"/>
      <c r="LZ25" s="373"/>
      <c r="MA25" s="373" t="s">
        <v>94</v>
      </c>
      <c r="MB25" s="373"/>
      <c r="MC25" s="373"/>
      <c r="MD25" s="373"/>
      <c r="ME25" s="373"/>
      <c r="MF25" s="373"/>
      <c r="MG25" s="373"/>
      <c r="MH25" s="373"/>
      <c r="MI25" s="373"/>
      <c r="MJ25" s="373"/>
      <c r="MK25" s="373"/>
      <c r="ML25" s="373" t="s">
        <v>94</v>
      </c>
      <c r="MM25" s="373"/>
      <c r="MN25" s="373"/>
      <c r="MO25" s="373"/>
      <c r="MP25" s="373"/>
      <c r="MQ25" s="373"/>
      <c r="MR25" s="373" t="s">
        <v>280</v>
      </c>
      <c r="MS25" s="373"/>
      <c r="MT25" s="373" t="s">
        <v>375</v>
      </c>
      <c r="MU25" s="373" t="s">
        <v>280</v>
      </c>
      <c r="MV25" s="373" t="s">
        <v>377</v>
      </c>
      <c r="MW25" s="373" t="s">
        <v>378</v>
      </c>
      <c r="MX25" s="373" t="s">
        <v>379</v>
      </c>
      <c r="MY25" s="373"/>
      <c r="MZ25" s="373"/>
      <c r="NA25" s="373" t="s">
        <v>1661</v>
      </c>
      <c r="NB25" s="373"/>
      <c r="NC25" s="373"/>
      <c r="ND25" s="373"/>
      <c r="NE25" s="373"/>
      <c r="NF25" s="373"/>
      <c r="NG25" s="373" t="s">
        <v>94</v>
      </c>
      <c r="NH25" s="373"/>
      <c r="NI25" s="373" t="s">
        <v>280</v>
      </c>
      <c r="NJ25" s="373" t="s">
        <v>280</v>
      </c>
      <c r="NK25" s="373"/>
      <c r="NL25" s="373" t="s">
        <v>280</v>
      </c>
      <c r="NM25" s="373"/>
      <c r="NN25" s="373" t="s">
        <v>1595</v>
      </c>
      <c r="NO25" s="373" t="s">
        <v>1595</v>
      </c>
      <c r="NP25" s="373" t="s">
        <v>94</v>
      </c>
      <c r="NQ25" s="373"/>
      <c r="NR25" s="373"/>
      <c r="NS25" s="373"/>
      <c r="NT25" s="373"/>
      <c r="NU25" s="373"/>
      <c r="NV25" s="373" t="s">
        <v>280</v>
      </c>
      <c r="NW25" s="373"/>
      <c r="NX25" s="373" t="s">
        <v>280</v>
      </c>
      <c r="NY25" s="373"/>
      <c r="NZ25" s="373"/>
      <c r="OA25" s="373"/>
      <c r="OB25" s="373"/>
      <c r="OC25" s="373"/>
      <c r="OD25" s="373"/>
      <c r="OE25" s="373"/>
      <c r="OF25" s="373" t="s">
        <v>280</v>
      </c>
      <c r="OG25" s="373"/>
    </row>
    <row r="26" spans="2:397" ht="40.799999999999997">
      <c r="B26" s="382" t="s">
        <v>311</v>
      </c>
      <c r="C26" s="374" t="s">
        <v>318</v>
      </c>
      <c r="D26" s="374" t="s">
        <v>1195</v>
      </c>
      <c r="E26" s="374" t="s">
        <v>318</v>
      </c>
      <c r="F26" s="374" t="s">
        <v>1195</v>
      </c>
      <c r="G26" s="374" t="s">
        <v>1195</v>
      </c>
      <c r="H26" s="374" t="s">
        <v>318</v>
      </c>
      <c r="I26" s="374" t="s">
        <v>318</v>
      </c>
      <c r="J26" s="374" t="s">
        <v>318</v>
      </c>
      <c r="K26" s="374" t="s">
        <v>1214</v>
      </c>
      <c r="L26" s="374" t="s">
        <v>318</v>
      </c>
      <c r="M26" s="374" t="s">
        <v>318</v>
      </c>
      <c r="N26" s="374" t="s">
        <v>318</v>
      </c>
      <c r="O26" s="374" t="s">
        <v>1214</v>
      </c>
      <c r="P26" s="374" t="s">
        <v>1214</v>
      </c>
      <c r="Q26" s="374" t="s">
        <v>1214</v>
      </c>
      <c r="R26" s="374" t="s">
        <v>1214</v>
      </c>
      <c r="S26" s="374" t="s">
        <v>1195</v>
      </c>
      <c r="T26" s="374" t="s">
        <v>1214</v>
      </c>
      <c r="U26" s="374" t="s">
        <v>1214</v>
      </c>
      <c r="V26" s="374" t="s">
        <v>1214</v>
      </c>
      <c r="W26" s="374" t="s">
        <v>1214</v>
      </c>
      <c r="X26" s="374" t="s">
        <v>1214</v>
      </c>
      <c r="Y26" s="374" t="s">
        <v>1195</v>
      </c>
      <c r="Z26" s="374" t="s">
        <v>1195</v>
      </c>
      <c r="AA26" s="374" t="s">
        <v>1195</v>
      </c>
      <c r="AB26" s="374" t="s">
        <v>1195</v>
      </c>
      <c r="AC26" s="374" t="s">
        <v>1195</v>
      </c>
      <c r="AD26" s="374" t="s">
        <v>1195</v>
      </c>
      <c r="AE26" s="374" t="s">
        <v>1195</v>
      </c>
      <c r="AF26" s="374" t="s">
        <v>1195</v>
      </c>
      <c r="AG26" s="374" t="s">
        <v>1195</v>
      </c>
      <c r="AH26" s="374" t="s">
        <v>318</v>
      </c>
      <c r="AI26" s="374" t="s">
        <v>318</v>
      </c>
      <c r="AJ26" s="374" t="s">
        <v>1195</v>
      </c>
      <c r="AK26" s="374" t="s">
        <v>1214</v>
      </c>
      <c r="AL26" s="374" t="s">
        <v>1286</v>
      </c>
      <c r="AM26" s="374" t="s">
        <v>1195</v>
      </c>
      <c r="AN26" s="374" t="s">
        <v>1195</v>
      </c>
      <c r="AO26" s="374" t="s">
        <v>1195</v>
      </c>
      <c r="AP26" s="374" t="s">
        <v>1195</v>
      </c>
      <c r="AQ26" s="374">
        <v>0</v>
      </c>
      <c r="AR26" s="374">
        <v>0</v>
      </c>
      <c r="AS26" s="374" t="s">
        <v>1195</v>
      </c>
      <c r="AT26" s="374" t="s">
        <v>1195</v>
      </c>
      <c r="AU26" s="374">
        <v>0</v>
      </c>
      <c r="AV26" s="374" t="s">
        <v>1214</v>
      </c>
      <c r="AW26" s="374">
        <v>0</v>
      </c>
      <c r="AX26" s="374" t="s">
        <v>318</v>
      </c>
      <c r="AY26" s="374" t="s">
        <v>1195</v>
      </c>
      <c r="AZ26" s="373" t="s">
        <v>318</v>
      </c>
      <c r="BA26" s="374" t="s">
        <v>1195</v>
      </c>
      <c r="BB26" s="374" t="s">
        <v>1195</v>
      </c>
      <c r="BC26" s="374" t="s">
        <v>1195</v>
      </c>
      <c r="BD26" s="373" t="s">
        <v>318</v>
      </c>
      <c r="BE26" s="374" t="s">
        <v>1591</v>
      </c>
      <c r="BF26" s="374" t="s">
        <v>1591</v>
      </c>
      <c r="BG26" s="374" t="s">
        <v>1591</v>
      </c>
      <c r="BH26" s="374" t="s">
        <v>1591</v>
      </c>
      <c r="BI26" s="374" t="s">
        <v>1591</v>
      </c>
      <c r="BJ26" s="374" t="s">
        <v>1591</v>
      </c>
      <c r="BK26" s="374" t="s">
        <v>318</v>
      </c>
      <c r="BL26" s="374" t="s">
        <v>1591</v>
      </c>
      <c r="BM26" s="374" t="s">
        <v>1591</v>
      </c>
      <c r="BN26" s="374" t="s">
        <v>1195</v>
      </c>
      <c r="BO26" s="374" t="s">
        <v>1195</v>
      </c>
      <c r="BP26" s="374" t="s">
        <v>318</v>
      </c>
      <c r="BQ26" s="374" t="s">
        <v>318</v>
      </c>
      <c r="BR26" s="374" t="s">
        <v>1214</v>
      </c>
      <c r="BS26" s="374" t="s">
        <v>1214</v>
      </c>
      <c r="BT26" s="374" t="s">
        <v>318</v>
      </c>
      <c r="BU26" s="374" t="s">
        <v>1195</v>
      </c>
      <c r="BV26" s="374" t="s">
        <v>318</v>
      </c>
      <c r="BW26" s="374" t="s">
        <v>318</v>
      </c>
      <c r="BX26" s="374" t="s">
        <v>1195</v>
      </c>
      <c r="BY26" s="374" t="s">
        <v>1195</v>
      </c>
      <c r="BZ26" s="374" t="s">
        <v>1195</v>
      </c>
      <c r="CA26" s="374" t="s">
        <v>1195</v>
      </c>
      <c r="CB26" s="374"/>
      <c r="CC26" s="374"/>
      <c r="CD26" s="374"/>
      <c r="CE26" s="374"/>
      <c r="CF26" s="374"/>
      <c r="CG26" s="374" t="s">
        <v>318</v>
      </c>
      <c r="CH26" s="374" t="s">
        <v>318</v>
      </c>
      <c r="CI26" s="374"/>
      <c r="CJ26" s="374"/>
      <c r="CK26" s="374"/>
      <c r="CL26" s="374"/>
      <c r="CM26" s="374"/>
      <c r="CN26" s="374"/>
      <c r="CO26" s="374"/>
      <c r="CP26" s="374"/>
      <c r="CQ26" s="374"/>
      <c r="CR26" s="374"/>
      <c r="CS26" s="374"/>
      <c r="CT26" s="374"/>
      <c r="CU26" s="374"/>
      <c r="CV26" s="374"/>
      <c r="CW26" s="374"/>
      <c r="CX26" s="374"/>
      <c r="CY26" s="374"/>
      <c r="CZ26" s="374"/>
      <c r="DA26" s="374" t="s">
        <v>318</v>
      </c>
      <c r="DB26" s="374" t="s">
        <v>318</v>
      </c>
      <c r="DC26" s="374" t="s">
        <v>318</v>
      </c>
      <c r="DD26" s="374" t="s">
        <v>318</v>
      </c>
      <c r="DE26" s="374" t="s">
        <v>1195</v>
      </c>
      <c r="DF26" s="374"/>
      <c r="DG26" s="374"/>
      <c r="DH26" s="374"/>
      <c r="DI26" s="374"/>
      <c r="DJ26" s="374"/>
      <c r="DK26" s="374"/>
      <c r="DL26" s="374"/>
      <c r="DM26" s="374"/>
      <c r="DN26" s="374"/>
      <c r="DO26" s="374"/>
      <c r="DP26" s="374"/>
      <c r="DQ26" s="374"/>
      <c r="DR26" s="374"/>
      <c r="DS26" s="374"/>
      <c r="DT26" s="374"/>
      <c r="DU26" s="374"/>
      <c r="DV26" s="374"/>
      <c r="DW26" s="374" t="s">
        <v>1195</v>
      </c>
      <c r="DX26" s="374"/>
      <c r="DY26" s="374" t="s">
        <v>1195</v>
      </c>
      <c r="DZ26" s="374"/>
      <c r="EA26" s="374" t="s">
        <v>1195</v>
      </c>
      <c r="EB26" s="373" t="s">
        <v>318</v>
      </c>
      <c r="EC26" s="374" t="s">
        <v>1724</v>
      </c>
      <c r="ED26" s="374" t="s">
        <v>1724</v>
      </c>
      <c r="EE26" s="374" t="s">
        <v>1286</v>
      </c>
      <c r="EF26" s="374" t="s">
        <v>1739</v>
      </c>
      <c r="EG26" s="374" t="s">
        <v>318</v>
      </c>
      <c r="EH26" s="374">
        <v>0</v>
      </c>
      <c r="EI26" s="374" t="s">
        <v>1195</v>
      </c>
      <c r="EJ26" s="374" t="s">
        <v>1759</v>
      </c>
      <c r="EK26" s="374" t="s">
        <v>1195</v>
      </c>
      <c r="EL26" s="374" t="s">
        <v>1195</v>
      </c>
      <c r="EM26" s="374" t="s">
        <v>1195</v>
      </c>
      <c r="EN26" s="374" t="s">
        <v>1195</v>
      </c>
      <c r="EO26" s="374" t="s">
        <v>1195</v>
      </c>
      <c r="EP26" s="374" t="s">
        <v>1195</v>
      </c>
      <c r="EQ26" s="374" t="s">
        <v>1195</v>
      </c>
      <c r="ER26" s="374" t="s">
        <v>318</v>
      </c>
      <c r="ES26" s="374" t="s">
        <v>318</v>
      </c>
      <c r="ET26" s="374" t="s">
        <v>318</v>
      </c>
      <c r="EU26" s="374" t="s">
        <v>318</v>
      </c>
      <c r="EV26" s="374">
        <v>0</v>
      </c>
      <c r="EW26" s="374" t="s">
        <v>1286</v>
      </c>
      <c r="EX26" s="374" t="s">
        <v>1759</v>
      </c>
      <c r="EY26" s="374" t="s">
        <v>403</v>
      </c>
      <c r="EZ26" s="374" t="s">
        <v>404</v>
      </c>
      <c r="FA26" s="374" t="s">
        <v>404</v>
      </c>
      <c r="FB26" s="374" t="s">
        <v>405</v>
      </c>
      <c r="FC26" s="374">
        <v>0</v>
      </c>
      <c r="FD26" s="374">
        <v>0</v>
      </c>
      <c r="FE26" s="374">
        <v>0</v>
      </c>
      <c r="FF26" s="374"/>
      <c r="FG26" s="374"/>
      <c r="FH26" s="374"/>
      <c r="FI26" s="374"/>
      <c r="FJ26" s="374"/>
      <c r="FK26" s="374"/>
      <c r="FL26" s="374"/>
      <c r="FM26" s="374"/>
      <c r="FN26" s="374"/>
      <c r="FO26" s="374"/>
      <c r="FP26" s="374"/>
      <c r="FQ26" s="374"/>
      <c r="FR26" s="374"/>
      <c r="FS26" s="374"/>
      <c r="FT26" s="374"/>
      <c r="FU26" s="374"/>
      <c r="FV26" s="374"/>
      <c r="FW26" s="374"/>
      <c r="FX26" s="374"/>
      <c r="FY26" s="374" t="s">
        <v>1286</v>
      </c>
      <c r="FZ26" s="374"/>
      <c r="GA26" s="374" t="s">
        <v>318</v>
      </c>
      <c r="GB26" s="374"/>
      <c r="GC26" s="374" t="s">
        <v>1286</v>
      </c>
      <c r="GD26" s="374" t="s">
        <v>1804</v>
      </c>
      <c r="GE26" s="374"/>
      <c r="GF26" s="374"/>
      <c r="GG26" s="374"/>
      <c r="GH26" s="374"/>
      <c r="GI26" s="374"/>
      <c r="GJ26" s="374" t="s">
        <v>318</v>
      </c>
      <c r="GK26" s="374" t="s">
        <v>1195</v>
      </c>
      <c r="GL26" s="374"/>
      <c r="GM26" s="374"/>
      <c r="GN26" s="374"/>
      <c r="GO26" s="374"/>
      <c r="GP26" s="374"/>
      <c r="GQ26" s="374"/>
      <c r="GR26" s="374"/>
      <c r="GS26" s="374"/>
      <c r="GT26" s="374"/>
      <c r="GU26" s="374"/>
      <c r="GV26" s="374"/>
      <c r="GW26" s="374"/>
      <c r="GX26" s="374"/>
      <c r="GY26" s="374"/>
      <c r="GZ26" s="374"/>
      <c r="HA26" s="374"/>
      <c r="HB26" s="374"/>
      <c r="HC26" s="374"/>
      <c r="HD26" s="374"/>
      <c r="HE26" s="374"/>
      <c r="HF26" s="374"/>
      <c r="HG26" s="374"/>
      <c r="HH26" s="374">
        <v>0</v>
      </c>
      <c r="HI26" s="374"/>
      <c r="HJ26" s="374"/>
      <c r="HK26" s="374"/>
      <c r="HL26" s="374"/>
      <c r="HM26" s="374"/>
      <c r="HN26" s="374"/>
      <c r="HO26" s="374"/>
      <c r="HP26" s="374"/>
      <c r="HQ26" s="374"/>
      <c r="HR26" s="374"/>
      <c r="HS26" s="374"/>
      <c r="HT26" s="374" t="s">
        <v>1195</v>
      </c>
      <c r="HU26" s="374"/>
      <c r="HV26" s="374"/>
      <c r="HW26" s="374"/>
      <c r="HX26" s="374"/>
      <c r="HY26" s="374"/>
      <c r="HZ26" s="374"/>
      <c r="IA26" s="374"/>
      <c r="IB26" s="374"/>
      <c r="IC26" s="374"/>
      <c r="ID26" s="374"/>
      <c r="IE26" s="374"/>
      <c r="IF26" s="374"/>
      <c r="IG26" s="374" t="s">
        <v>1214</v>
      </c>
      <c r="IH26" s="374"/>
      <c r="II26" s="374" t="s">
        <v>318</v>
      </c>
      <c r="IJ26" s="374"/>
      <c r="IK26" s="374">
        <v>0</v>
      </c>
      <c r="IL26" s="374"/>
      <c r="IM26" s="374"/>
      <c r="IN26" s="374"/>
      <c r="IO26" s="374"/>
      <c r="IP26" s="374"/>
      <c r="IQ26" s="374">
        <v>0</v>
      </c>
      <c r="IR26" s="374" t="s">
        <v>318</v>
      </c>
      <c r="IS26" s="374" t="s">
        <v>318</v>
      </c>
      <c r="IT26" s="374" t="s">
        <v>1286</v>
      </c>
      <c r="IU26" s="374" t="s">
        <v>318</v>
      </c>
      <c r="IV26" s="374" t="s">
        <v>1195</v>
      </c>
      <c r="IW26" s="374" t="s">
        <v>1195</v>
      </c>
      <c r="IX26" s="374"/>
      <c r="IY26" s="374"/>
      <c r="IZ26" s="374"/>
      <c r="JA26" s="374"/>
      <c r="JB26" s="374"/>
      <c r="JC26" s="374"/>
      <c r="JD26" s="374"/>
      <c r="JE26" s="374"/>
      <c r="JF26" s="374"/>
      <c r="JG26" s="374"/>
      <c r="JH26" s="374"/>
      <c r="JI26" s="374"/>
      <c r="JJ26" s="374"/>
      <c r="JK26" s="374"/>
      <c r="JL26" s="374"/>
      <c r="JM26" s="374"/>
      <c r="JN26" s="374"/>
      <c r="JO26" s="374"/>
      <c r="JP26" s="374"/>
      <c r="JQ26" s="374"/>
      <c r="JR26" s="374"/>
      <c r="JS26" s="374"/>
      <c r="JT26" s="374"/>
      <c r="JU26" s="374"/>
      <c r="JV26" s="374"/>
      <c r="JW26" s="374"/>
      <c r="JX26" s="374"/>
      <c r="JY26" s="374"/>
      <c r="JZ26" s="374"/>
      <c r="KA26" s="374"/>
      <c r="KB26" s="374"/>
      <c r="KC26" s="374"/>
      <c r="KD26" s="374"/>
      <c r="KE26" s="374"/>
      <c r="KF26" s="374"/>
      <c r="KG26" s="374"/>
      <c r="KH26" s="374"/>
      <c r="KI26" s="374"/>
      <c r="KJ26" s="374"/>
      <c r="KK26" s="374"/>
      <c r="KL26" s="374"/>
      <c r="KM26" s="374"/>
      <c r="KN26" s="374" t="s">
        <v>318</v>
      </c>
      <c r="KO26" s="374" t="s">
        <v>318</v>
      </c>
      <c r="KP26" s="374"/>
      <c r="KQ26" s="374"/>
      <c r="KR26" s="374" t="s">
        <v>318</v>
      </c>
      <c r="KS26" s="374"/>
      <c r="KT26" s="374"/>
      <c r="KU26" s="374"/>
      <c r="KV26" s="374"/>
      <c r="KW26" s="374"/>
      <c r="KX26" s="374" t="s">
        <v>318</v>
      </c>
      <c r="KY26" s="374"/>
      <c r="KZ26" s="374"/>
      <c r="LA26" s="373" t="s">
        <v>1195</v>
      </c>
      <c r="LB26" s="374"/>
      <c r="LC26" s="373" t="s">
        <v>1195</v>
      </c>
      <c r="LD26" s="374"/>
      <c r="LE26" s="374"/>
      <c r="LF26" s="374"/>
      <c r="LG26" s="374"/>
      <c r="LH26" s="374"/>
      <c r="LI26" s="374"/>
      <c r="LJ26" s="374"/>
      <c r="LK26" s="374"/>
      <c r="LL26" s="374"/>
      <c r="LM26" s="374"/>
      <c r="LN26" s="374"/>
      <c r="LO26" s="374"/>
      <c r="LP26" s="374"/>
      <c r="LQ26" s="374" t="s">
        <v>1286</v>
      </c>
      <c r="LR26" s="374"/>
      <c r="LS26" s="374"/>
      <c r="LT26" s="374"/>
      <c r="LU26" s="374"/>
      <c r="LV26" s="374"/>
      <c r="LW26" s="374"/>
      <c r="LX26" s="374"/>
      <c r="LY26" s="374"/>
      <c r="LZ26" s="374"/>
      <c r="MA26" s="374">
        <v>0</v>
      </c>
      <c r="MB26" s="374"/>
      <c r="MC26" s="374"/>
      <c r="MD26" s="374"/>
      <c r="ME26" s="374"/>
      <c r="MF26" s="374"/>
      <c r="MG26" s="374"/>
      <c r="MH26" s="374"/>
      <c r="MI26" s="374"/>
      <c r="MJ26" s="374"/>
      <c r="MK26" s="374"/>
      <c r="ML26" s="374">
        <v>0</v>
      </c>
      <c r="MM26" s="374"/>
      <c r="MN26" s="374"/>
      <c r="MO26" s="374"/>
      <c r="MP26" s="374"/>
      <c r="MQ26" s="374"/>
      <c r="MR26" s="373" t="s">
        <v>1195</v>
      </c>
      <c r="MS26" s="374"/>
      <c r="MT26" s="374">
        <v>0</v>
      </c>
      <c r="MU26" s="374" t="s">
        <v>318</v>
      </c>
      <c r="MV26" s="374" t="s">
        <v>318</v>
      </c>
      <c r="MW26" s="374" t="s">
        <v>318</v>
      </c>
      <c r="MX26" s="374">
        <v>0</v>
      </c>
      <c r="MY26" s="374"/>
      <c r="MZ26" s="374"/>
      <c r="NA26" s="374" t="s">
        <v>1662</v>
      </c>
      <c r="NB26" s="374"/>
      <c r="NC26" s="374"/>
      <c r="ND26" s="374"/>
      <c r="NE26" s="374"/>
      <c r="NF26" s="374"/>
      <c r="NG26" s="374">
        <v>0</v>
      </c>
      <c r="NH26" s="374"/>
      <c r="NI26" s="374">
        <v>0.02</v>
      </c>
      <c r="NJ26" s="374" t="s">
        <v>318</v>
      </c>
      <c r="NK26" s="374"/>
      <c r="NL26" s="374" t="s">
        <v>318</v>
      </c>
      <c r="NM26" s="374"/>
      <c r="NN26" s="374">
        <v>0</v>
      </c>
      <c r="NO26" s="374">
        <v>0</v>
      </c>
      <c r="NP26" s="374">
        <v>0</v>
      </c>
      <c r="NQ26" s="374"/>
      <c r="NR26" s="374"/>
      <c r="NS26" s="374"/>
      <c r="NT26" s="374"/>
      <c r="NU26" s="374"/>
      <c r="NV26" s="374">
        <v>0</v>
      </c>
      <c r="NW26" s="374"/>
      <c r="NX26" s="374" t="s">
        <v>318</v>
      </c>
      <c r="NY26" s="374"/>
      <c r="NZ26" s="374"/>
      <c r="OA26" s="374"/>
      <c r="OB26" s="374"/>
      <c r="OC26" s="374"/>
      <c r="OD26" s="374"/>
      <c r="OE26" s="374"/>
      <c r="OF26" s="374" t="s">
        <v>1214</v>
      </c>
      <c r="OG26" s="374"/>
    </row>
    <row r="27" spans="2:397" ht="20.399999999999999">
      <c r="B27" s="382" t="s">
        <v>312</v>
      </c>
      <c r="C27" s="374">
        <v>0.02</v>
      </c>
      <c r="D27" s="374">
        <v>1.4999999999999999E-2</v>
      </c>
      <c r="E27" s="374">
        <v>0.01</v>
      </c>
      <c r="F27" s="374">
        <v>0.01</v>
      </c>
      <c r="G27" s="374">
        <v>0</v>
      </c>
      <c r="H27" s="374">
        <v>0.03</v>
      </c>
      <c r="I27" s="374">
        <v>0.03</v>
      </c>
      <c r="J27" s="374">
        <v>0.03</v>
      </c>
      <c r="K27" s="374">
        <v>0.03</v>
      </c>
      <c r="L27" s="374">
        <v>0.03</v>
      </c>
      <c r="M27" s="374" t="s">
        <v>318</v>
      </c>
      <c r="N27" s="374" t="s">
        <v>318</v>
      </c>
      <c r="O27" s="374">
        <v>0.03</v>
      </c>
      <c r="P27" s="374">
        <v>0.03</v>
      </c>
      <c r="Q27" s="374">
        <v>0.03</v>
      </c>
      <c r="R27" s="374">
        <v>0.03</v>
      </c>
      <c r="S27" s="374">
        <v>0</v>
      </c>
      <c r="T27" s="374">
        <v>0.03</v>
      </c>
      <c r="U27" s="374">
        <v>0.03</v>
      </c>
      <c r="V27" s="374">
        <v>0.03</v>
      </c>
      <c r="W27" s="374">
        <v>0.03</v>
      </c>
      <c r="X27" s="374">
        <v>0.03</v>
      </c>
      <c r="Y27" s="374">
        <v>0.03</v>
      </c>
      <c r="Z27" s="374">
        <v>0.03</v>
      </c>
      <c r="AA27" s="374">
        <v>0.03</v>
      </c>
      <c r="AB27" s="374">
        <v>0.03</v>
      </c>
      <c r="AC27" s="374">
        <v>0</v>
      </c>
      <c r="AD27" s="374">
        <v>0</v>
      </c>
      <c r="AE27" s="374">
        <v>0</v>
      </c>
      <c r="AF27" s="374" t="s">
        <v>318</v>
      </c>
      <c r="AG27" s="374">
        <v>0.01</v>
      </c>
      <c r="AH27" s="374">
        <v>2.5000000000000001E-2</v>
      </c>
      <c r="AI27" s="374">
        <v>0.03</v>
      </c>
      <c r="AJ27" s="374">
        <v>0.01</v>
      </c>
      <c r="AK27" s="374">
        <v>0.03</v>
      </c>
      <c r="AL27" s="374">
        <v>0.03</v>
      </c>
      <c r="AM27" s="374">
        <v>0</v>
      </c>
      <c r="AN27" s="374">
        <v>0</v>
      </c>
      <c r="AO27" s="374">
        <v>0.03</v>
      </c>
      <c r="AP27" s="374">
        <v>0.03</v>
      </c>
      <c r="AQ27" s="374">
        <v>0</v>
      </c>
      <c r="AR27" s="374">
        <v>0</v>
      </c>
      <c r="AS27" s="374">
        <v>0</v>
      </c>
      <c r="AT27" s="374">
        <v>0</v>
      </c>
      <c r="AU27" s="374">
        <v>0.02</v>
      </c>
      <c r="AV27" s="374" t="s">
        <v>318</v>
      </c>
      <c r="AW27" s="374">
        <v>1.4999999999999999E-2</v>
      </c>
      <c r="AX27" s="374">
        <v>0</v>
      </c>
      <c r="AY27" s="374">
        <v>5.0000000000000001E-3</v>
      </c>
      <c r="AZ27" s="373" t="s">
        <v>318</v>
      </c>
      <c r="BA27" s="374">
        <v>0.03</v>
      </c>
      <c r="BB27" s="374" t="s">
        <v>318</v>
      </c>
      <c r="BC27" s="374">
        <v>0.03</v>
      </c>
      <c r="BD27" s="374" t="s">
        <v>318</v>
      </c>
      <c r="BE27" s="374">
        <v>0.03</v>
      </c>
      <c r="BF27" s="374">
        <v>0.03</v>
      </c>
      <c r="BG27" s="374">
        <v>0.03</v>
      </c>
      <c r="BH27" s="374">
        <v>0.03</v>
      </c>
      <c r="BI27" s="374">
        <v>0.03</v>
      </c>
      <c r="BJ27" s="374">
        <v>0.03</v>
      </c>
      <c r="BK27" s="374" t="s">
        <v>318</v>
      </c>
      <c r="BL27" s="374">
        <v>0.03</v>
      </c>
      <c r="BM27" s="374">
        <v>0.03</v>
      </c>
      <c r="BN27" s="374">
        <v>0.03</v>
      </c>
      <c r="BO27" s="374">
        <v>0.03</v>
      </c>
      <c r="BP27" s="374">
        <v>5.0000000000000001E-3</v>
      </c>
      <c r="BQ27" s="374">
        <v>5.0000000000000001E-3</v>
      </c>
      <c r="BR27" s="374">
        <v>1.4999999999999999E-2</v>
      </c>
      <c r="BS27" s="374">
        <v>1.4999999999999999E-2</v>
      </c>
      <c r="BT27" s="374">
        <v>5.0000000000000001E-3</v>
      </c>
      <c r="BU27" s="374">
        <v>1.4999999999999999E-2</v>
      </c>
      <c r="BV27" s="374">
        <v>0.01</v>
      </c>
      <c r="BW27" s="374">
        <v>5.0000000000000001E-3</v>
      </c>
      <c r="BX27" s="374">
        <v>0.03</v>
      </c>
      <c r="BY27" s="374">
        <v>2.8000000000000001E-2</v>
      </c>
      <c r="BZ27" s="374">
        <v>1.4999999999999999E-2</v>
      </c>
      <c r="CA27" s="374">
        <v>1.4999999999999999E-2</v>
      </c>
      <c r="CB27" s="374"/>
      <c r="CC27" s="374"/>
      <c r="CD27" s="374"/>
      <c r="CE27" s="374"/>
      <c r="CF27" s="374"/>
      <c r="CG27" s="374">
        <v>5.0000000000000001E-3</v>
      </c>
      <c r="CH27" s="374">
        <v>0.01</v>
      </c>
      <c r="CI27" s="374"/>
      <c r="CJ27" s="374"/>
      <c r="CK27" s="374"/>
      <c r="CL27" s="374"/>
      <c r="CM27" s="374"/>
      <c r="CN27" s="374"/>
      <c r="CO27" s="374"/>
      <c r="CP27" s="374"/>
      <c r="CQ27" s="374"/>
      <c r="CR27" s="374"/>
      <c r="CS27" s="374"/>
      <c r="CT27" s="374"/>
      <c r="CU27" s="374"/>
      <c r="CV27" s="374"/>
      <c r="CW27" s="374"/>
      <c r="CX27" s="374"/>
      <c r="CY27" s="374"/>
      <c r="CZ27" s="374"/>
      <c r="DA27" s="374">
        <v>0.03</v>
      </c>
      <c r="DB27" s="374" t="s">
        <v>318</v>
      </c>
      <c r="DC27" s="374">
        <v>0.03</v>
      </c>
      <c r="DD27" s="374">
        <v>0.03</v>
      </c>
      <c r="DE27" s="374">
        <v>5.0000000000000001E-3</v>
      </c>
      <c r="DF27" s="374"/>
      <c r="DG27" s="374"/>
      <c r="DH27" s="374"/>
      <c r="DI27" s="374"/>
      <c r="DJ27" s="374"/>
      <c r="DK27" s="374"/>
      <c r="DL27" s="374"/>
      <c r="DM27" s="374"/>
      <c r="DN27" s="374"/>
      <c r="DO27" s="374"/>
      <c r="DP27" s="374"/>
      <c r="DQ27" s="374"/>
      <c r="DR27" s="374"/>
      <c r="DS27" s="374"/>
      <c r="DT27" s="374"/>
      <c r="DU27" s="374"/>
      <c r="DV27" s="374"/>
      <c r="DW27" s="374">
        <v>0.03</v>
      </c>
      <c r="DX27" s="374"/>
      <c r="DY27" s="374">
        <v>0.03</v>
      </c>
      <c r="DZ27" s="374"/>
      <c r="EA27" s="374">
        <v>0.03</v>
      </c>
      <c r="EB27" s="374" t="s">
        <v>318</v>
      </c>
      <c r="EC27" s="374">
        <v>0.03</v>
      </c>
      <c r="ED27" s="374">
        <v>0.03</v>
      </c>
      <c r="EE27" s="374">
        <v>0</v>
      </c>
      <c r="EF27" s="374">
        <v>0</v>
      </c>
      <c r="EG27" s="374" t="s">
        <v>318</v>
      </c>
      <c r="EH27" s="374">
        <v>0</v>
      </c>
      <c r="EI27" s="374">
        <v>0.03</v>
      </c>
      <c r="EJ27" s="374">
        <v>0.03</v>
      </c>
      <c r="EK27" s="374">
        <v>0</v>
      </c>
      <c r="EL27" s="374">
        <v>0.03</v>
      </c>
      <c r="EM27" s="374">
        <v>0</v>
      </c>
      <c r="EN27" s="374">
        <v>0.03</v>
      </c>
      <c r="EO27" s="374">
        <v>0</v>
      </c>
      <c r="EP27" s="374">
        <v>0.03</v>
      </c>
      <c r="EQ27" s="374">
        <v>0.03</v>
      </c>
      <c r="ER27" s="374" t="s">
        <v>318</v>
      </c>
      <c r="ES27" s="374" t="s">
        <v>318</v>
      </c>
      <c r="ET27" s="374" t="s">
        <v>318</v>
      </c>
      <c r="EU27" s="374">
        <v>0.03</v>
      </c>
      <c r="EV27" s="374" t="s">
        <v>318</v>
      </c>
      <c r="EW27" s="374">
        <v>0.03</v>
      </c>
      <c r="EX27" s="374">
        <v>0.03</v>
      </c>
      <c r="EY27" s="374">
        <v>0</v>
      </c>
      <c r="EZ27" s="374">
        <v>0</v>
      </c>
      <c r="FA27" s="374">
        <v>0</v>
      </c>
      <c r="FB27" s="374">
        <v>0</v>
      </c>
      <c r="FC27" s="374">
        <v>0</v>
      </c>
      <c r="FD27" s="374">
        <v>0</v>
      </c>
      <c r="FE27" s="374">
        <v>0</v>
      </c>
      <c r="FF27" s="374"/>
      <c r="FG27" s="374"/>
      <c r="FH27" s="374"/>
      <c r="FI27" s="374"/>
      <c r="FJ27" s="374"/>
      <c r="FK27" s="374"/>
      <c r="FL27" s="374"/>
      <c r="FM27" s="374"/>
      <c r="FN27" s="374"/>
      <c r="FO27" s="374"/>
      <c r="FP27" s="374"/>
      <c r="FQ27" s="374"/>
      <c r="FR27" s="374"/>
      <c r="FS27" s="374"/>
      <c r="FT27" s="374"/>
      <c r="FU27" s="374"/>
      <c r="FV27" s="374"/>
      <c r="FW27" s="374"/>
      <c r="FX27" s="374"/>
      <c r="FY27" s="374">
        <v>0.03</v>
      </c>
      <c r="FZ27" s="374"/>
      <c r="GA27" s="374">
        <v>0.03</v>
      </c>
      <c r="GB27" s="374"/>
      <c r="GC27" s="374">
        <v>0.03</v>
      </c>
      <c r="GD27" s="374">
        <v>0.03</v>
      </c>
      <c r="GE27" s="374"/>
      <c r="GF27" s="374"/>
      <c r="GG27" s="374"/>
      <c r="GH27" s="374"/>
      <c r="GI27" s="374"/>
      <c r="GJ27" s="374">
        <v>0.03</v>
      </c>
      <c r="GK27" s="374">
        <v>0.03</v>
      </c>
      <c r="GL27" s="374"/>
      <c r="GM27" s="374"/>
      <c r="GN27" s="374"/>
      <c r="GO27" s="374"/>
      <c r="GP27" s="374"/>
      <c r="GQ27" s="374"/>
      <c r="GR27" s="374"/>
      <c r="GS27" s="374"/>
      <c r="GT27" s="374"/>
      <c r="GU27" s="374"/>
      <c r="GV27" s="374"/>
      <c r="GW27" s="374"/>
      <c r="GX27" s="374"/>
      <c r="GY27" s="374"/>
      <c r="GZ27" s="374"/>
      <c r="HA27" s="374"/>
      <c r="HB27" s="374"/>
      <c r="HC27" s="374"/>
      <c r="HD27" s="374"/>
      <c r="HE27" s="374"/>
      <c r="HF27" s="374"/>
      <c r="HG27" s="374"/>
      <c r="HH27" s="374">
        <v>0</v>
      </c>
      <c r="HI27" s="374"/>
      <c r="HJ27" s="374"/>
      <c r="HK27" s="374"/>
      <c r="HL27" s="374"/>
      <c r="HM27" s="374"/>
      <c r="HN27" s="374"/>
      <c r="HO27" s="374"/>
      <c r="HP27" s="374"/>
      <c r="HQ27" s="374"/>
      <c r="HR27" s="374"/>
      <c r="HS27" s="374"/>
      <c r="HT27" s="374">
        <v>0</v>
      </c>
      <c r="HU27" s="374"/>
      <c r="HV27" s="374"/>
      <c r="HW27" s="374"/>
      <c r="HX27" s="374"/>
      <c r="HY27" s="374"/>
      <c r="HZ27" s="374"/>
      <c r="IA27" s="374"/>
      <c r="IB27" s="374"/>
      <c r="IC27" s="374"/>
      <c r="ID27" s="374"/>
      <c r="IE27" s="374"/>
      <c r="IF27" s="374"/>
      <c r="IG27" s="374">
        <v>0.03</v>
      </c>
      <c r="IH27" s="374"/>
      <c r="II27" s="374">
        <v>0.03</v>
      </c>
      <c r="IJ27" s="374"/>
      <c r="IK27" s="374">
        <v>0</v>
      </c>
      <c r="IL27" s="374"/>
      <c r="IM27" s="374"/>
      <c r="IN27" s="374"/>
      <c r="IO27" s="374"/>
      <c r="IP27" s="374"/>
      <c r="IQ27" s="374">
        <v>0.03</v>
      </c>
      <c r="IR27" s="374">
        <v>0.03</v>
      </c>
      <c r="IS27" s="374">
        <v>0.03</v>
      </c>
      <c r="IT27" s="374">
        <v>0.03</v>
      </c>
      <c r="IU27" s="374">
        <v>0.03</v>
      </c>
      <c r="IV27" s="374">
        <v>1.4999999999999999E-2</v>
      </c>
      <c r="IW27" s="374">
        <v>1.4999999999999999E-2</v>
      </c>
      <c r="IX27" s="374"/>
      <c r="IY27" s="374"/>
      <c r="IZ27" s="374"/>
      <c r="JA27" s="374"/>
      <c r="JB27" s="374"/>
      <c r="JC27" s="374"/>
      <c r="JD27" s="374"/>
      <c r="JE27" s="374"/>
      <c r="JF27" s="374"/>
      <c r="JG27" s="374"/>
      <c r="JH27" s="374"/>
      <c r="JI27" s="374"/>
      <c r="JJ27" s="374"/>
      <c r="JK27" s="374"/>
      <c r="JL27" s="374"/>
      <c r="JM27" s="374"/>
      <c r="JN27" s="374"/>
      <c r="JO27" s="374"/>
      <c r="JP27" s="374"/>
      <c r="JQ27" s="374"/>
      <c r="JR27" s="374"/>
      <c r="JS27" s="374"/>
      <c r="JT27" s="374"/>
      <c r="JU27" s="374"/>
      <c r="JV27" s="374"/>
      <c r="JW27" s="374"/>
      <c r="JX27" s="374"/>
      <c r="JY27" s="374"/>
      <c r="JZ27" s="374"/>
      <c r="KA27" s="374"/>
      <c r="KB27" s="374"/>
      <c r="KC27" s="374"/>
      <c r="KD27" s="374"/>
      <c r="KE27" s="374"/>
      <c r="KF27" s="374"/>
      <c r="KG27" s="374"/>
      <c r="KH27" s="374"/>
      <c r="KI27" s="374"/>
      <c r="KJ27" s="374"/>
      <c r="KK27" s="374"/>
      <c r="KL27" s="374"/>
      <c r="KM27" s="374"/>
      <c r="KN27" s="374">
        <v>0.01</v>
      </c>
      <c r="KO27" s="374">
        <v>0.01</v>
      </c>
      <c r="KP27" s="374"/>
      <c r="KQ27" s="374"/>
      <c r="KR27" s="374">
        <v>0.03</v>
      </c>
      <c r="KS27" s="374"/>
      <c r="KT27" s="374"/>
      <c r="KU27" s="374"/>
      <c r="KV27" s="374"/>
      <c r="KW27" s="374"/>
      <c r="KX27" s="374">
        <v>0.03</v>
      </c>
      <c r="KY27" s="374"/>
      <c r="KZ27" s="374"/>
      <c r="LA27" s="374">
        <v>0.01</v>
      </c>
      <c r="LB27" s="374"/>
      <c r="LC27" s="374">
        <v>0.01</v>
      </c>
      <c r="LD27" s="374"/>
      <c r="LE27" s="374"/>
      <c r="LF27" s="374"/>
      <c r="LG27" s="374"/>
      <c r="LH27" s="374"/>
      <c r="LI27" s="374"/>
      <c r="LJ27" s="374"/>
      <c r="LK27" s="374"/>
      <c r="LL27" s="374"/>
      <c r="LM27" s="374"/>
      <c r="LN27" s="374"/>
      <c r="LO27" s="374"/>
      <c r="LP27" s="374"/>
      <c r="LQ27" s="374">
        <v>0.03</v>
      </c>
      <c r="LR27" s="374"/>
      <c r="LS27" s="374"/>
      <c r="LT27" s="374"/>
      <c r="LU27" s="374"/>
      <c r="LV27" s="374"/>
      <c r="LW27" s="374"/>
      <c r="LX27" s="374"/>
      <c r="LY27" s="374"/>
      <c r="LZ27" s="374"/>
      <c r="MA27" s="374">
        <v>1.4999999999999999E-2</v>
      </c>
      <c r="MB27" s="374"/>
      <c r="MC27" s="374"/>
      <c r="MD27" s="374"/>
      <c r="ME27" s="374"/>
      <c r="MF27" s="374"/>
      <c r="MG27" s="374"/>
      <c r="MH27" s="374"/>
      <c r="MI27" s="374"/>
      <c r="MJ27" s="374"/>
      <c r="MK27" s="374"/>
      <c r="ML27" s="374">
        <v>1.4999999999999999E-2</v>
      </c>
      <c r="MM27" s="374"/>
      <c r="MN27" s="374"/>
      <c r="MO27" s="374"/>
      <c r="MP27" s="374"/>
      <c r="MQ27" s="374"/>
      <c r="MR27" s="374">
        <v>0.03</v>
      </c>
      <c r="MS27" s="374"/>
      <c r="MT27" s="374">
        <v>0.02</v>
      </c>
      <c r="MU27" s="374" t="s">
        <v>380</v>
      </c>
      <c r="MV27" s="374" t="s">
        <v>380</v>
      </c>
      <c r="MW27" s="374" t="s">
        <v>380</v>
      </c>
      <c r="MX27" s="374">
        <v>0.01</v>
      </c>
      <c r="MY27" s="374"/>
      <c r="MZ27" s="374"/>
      <c r="NA27" s="374" t="s">
        <v>318</v>
      </c>
      <c r="NB27" s="374"/>
      <c r="NC27" s="374"/>
      <c r="ND27" s="374"/>
      <c r="NE27" s="374"/>
      <c r="NF27" s="374"/>
      <c r="NG27" s="374">
        <v>0.02</v>
      </c>
      <c r="NH27" s="374"/>
      <c r="NI27" s="374">
        <v>0.03</v>
      </c>
      <c r="NJ27" s="374">
        <v>0.03</v>
      </c>
      <c r="NK27" s="374"/>
      <c r="NL27" s="374">
        <v>0.03</v>
      </c>
      <c r="NM27" s="374"/>
      <c r="NN27" s="374">
        <v>0.03</v>
      </c>
      <c r="NO27" s="374">
        <v>0.03</v>
      </c>
      <c r="NP27" s="374" t="s">
        <v>318</v>
      </c>
      <c r="NQ27" s="374"/>
      <c r="NR27" s="374"/>
      <c r="NS27" s="374"/>
      <c r="NT27" s="374"/>
      <c r="NU27" s="374"/>
      <c r="NV27" s="374">
        <v>0.03</v>
      </c>
      <c r="NW27" s="374"/>
      <c r="NX27" s="374">
        <v>0.03</v>
      </c>
      <c r="NY27" s="374"/>
      <c r="NZ27" s="374"/>
      <c r="OA27" s="374"/>
      <c r="OB27" s="374"/>
      <c r="OC27" s="374"/>
      <c r="OD27" s="374"/>
      <c r="OE27" s="374"/>
      <c r="OF27" s="374">
        <v>0.03</v>
      </c>
      <c r="OG27" s="374"/>
    </row>
    <row r="28" spans="2:397" ht="20.399999999999999">
      <c r="B28" s="382" t="s">
        <v>313</v>
      </c>
      <c r="C28" s="373" t="s">
        <v>382</v>
      </c>
      <c r="D28" s="373" t="s">
        <v>382</v>
      </c>
      <c r="E28" s="373" t="s">
        <v>382</v>
      </c>
      <c r="F28" s="373" t="s">
        <v>382</v>
      </c>
      <c r="G28" s="373" t="s">
        <v>382</v>
      </c>
      <c r="H28" s="373" t="s">
        <v>94</v>
      </c>
      <c r="I28" s="373" t="s">
        <v>382</v>
      </c>
      <c r="J28" s="373" t="s">
        <v>382</v>
      </c>
      <c r="K28" s="373" t="s">
        <v>382</v>
      </c>
      <c r="L28" s="373" t="s">
        <v>94</v>
      </c>
      <c r="M28" s="373" t="s">
        <v>382</v>
      </c>
      <c r="N28" s="373" t="s">
        <v>382</v>
      </c>
      <c r="O28" s="373" t="s">
        <v>382</v>
      </c>
      <c r="P28" s="373" t="s">
        <v>382</v>
      </c>
      <c r="Q28" s="373" t="s">
        <v>382</v>
      </c>
      <c r="R28" s="373" t="s">
        <v>382</v>
      </c>
      <c r="S28" s="373" t="s">
        <v>382</v>
      </c>
      <c r="T28" s="373" t="s">
        <v>382</v>
      </c>
      <c r="U28" s="373" t="s">
        <v>382</v>
      </c>
      <c r="V28" s="373" t="s">
        <v>382</v>
      </c>
      <c r="W28" s="373" t="s">
        <v>382</v>
      </c>
      <c r="X28" s="373" t="s">
        <v>382</v>
      </c>
      <c r="Y28" s="373" t="s">
        <v>382</v>
      </c>
      <c r="Z28" s="373" t="s">
        <v>382</v>
      </c>
      <c r="AA28" s="373" t="s">
        <v>382</v>
      </c>
      <c r="AB28" s="373" t="s">
        <v>382</v>
      </c>
      <c r="AC28" s="373" t="s">
        <v>382</v>
      </c>
      <c r="AD28" s="373" t="s">
        <v>382</v>
      </c>
      <c r="AE28" s="373" t="s">
        <v>382</v>
      </c>
      <c r="AF28" s="373" t="s">
        <v>318</v>
      </c>
      <c r="AG28" s="373" t="s">
        <v>318</v>
      </c>
      <c r="AH28" s="373" t="s">
        <v>94</v>
      </c>
      <c r="AI28" s="373" t="s">
        <v>94</v>
      </c>
      <c r="AJ28" s="373" t="s">
        <v>318</v>
      </c>
      <c r="AK28" s="373" t="s">
        <v>382</v>
      </c>
      <c r="AL28" s="373" t="s">
        <v>382</v>
      </c>
      <c r="AM28" s="373" t="s">
        <v>382</v>
      </c>
      <c r="AN28" s="373" t="s">
        <v>382</v>
      </c>
      <c r="AO28" s="373" t="s">
        <v>382</v>
      </c>
      <c r="AP28" s="373" t="s">
        <v>94</v>
      </c>
      <c r="AQ28" s="373" t="s">
        <v>94</v>
      </c>
      <c r="AR28" s="373" t="s">
        <v>94</v>
      </c>
      <c r="AS28" s="373" t="s">
        <v>382</v>
      </c>
      <c r="AT28" s="373" t="s">
        <v>382</v>
      </c>
      <c r="AU28" s="373" t="s">
        <v>382</v>
      </c>
      <c r="AV28" s="373" t="s">
        <v>382</v>
      </c>
      <c r="AW28" s="373" t="s">
        <v>382</v>
      </c>
      <c r="AX28" s="373" t="s">
        <v>382</v>
      </c>
      <c r="AY28" s="373" t="s">
        <v>382</v>
      </c>
      <c r="AZ28" s="373" t="s">
        <v>382</v>
      </c>
      <c r="BA28" s="373" t="s">
        <v>382</v>
      </c>
      <c r="BB28" s="373" t="s">
        <v>382</v>
      </c>
      <c r="BC28" s="373" t="s">
        <v>94</v>
      </c>
      <c r="BD28" s="373" t="s">
        <v>382</v>
      </c>
      <c r="BE28" s="373" t="s">
        <v>382</v>
      </c>
      <c r="BF28" s="373" t="s">
        <v>382</v>
      </c>
      <c r="BG28" s="373" t="s">
        <v>382</v>
      </c>
      <c r="BH28" s="373" t="s">
        <v>382</v>
      </c>
      <c r="BI28" s="373" t="s">
        <v>382</v>
      </c>
      <c r="BJ28" s="373" t="s">
        <v>382</v>
      </c>
      <c r="BK28" s="373" t="s">
        <v>382</v>
      </c>
      <c r="BL28" s="373" t="s">
        <v>382</v>
      </c>
      <c r="BM28" s="373" t="s">
        <v>382</v>
      </c>
      <c r="BN28" s="373" t="s">
        <v>382</v>
      </c>
      <c r="BO28" s="373" t="s">
        <v>382</v>
      </c>
      <c r="BP28" s="373" t="s">
        <v>1606</v>
      </c>
      <c r="BQ28" s="373" t="s">
        <v>1606</v>
      </c>
      <c r="BR28" s="373" t="s">
        <v>382</v>
      </c>
      <c r="BS28" s="373" t="s">
        <v>382</v>
      </c>
      <c r="BT28" s="373" t="s">
        <v>1606</v>
      </c>
      <c r="BU28" s="373" t="s">
        <v>382</v>
      </c>
      <c r="BV28" s="373" t="s">
        <v>382</v>
      </c>
      <c r="BW28" s="373" t="s">
        <v>1606</v>
      </c>
      <c r="BX28" s="373" t="s">
        <v>382</v>
      </c>
      <c r="BY28" s="373" t="s">
        <v>382</v>
      </c>
      <c r="BZ28" s="373" t="s">
        <v>94</v>
      </c>
      <c r="CA28" s="373" t="s">
        <v>382</v>
      </c>
      <c r="CB28" s="373"/>
      <c r="CC28" s="373"/>
      <c r="CD28" s="373"/>
      <c r="CE28" s="373"/>
      <c r="CF28" s="373"/>
      <c r="CG28" s="373" t="s">
        <v>1606</v>
      </c>
      <c r="CH28" s="373" t="s">
        <v>382</v>
      </c>
      <c r="CI28" s="373"/>
      <c r="CJ28" s="373"/>
      <c r="CK28" s="373"/>
      <c r="CL28" s="373"/>
      <c r="CM28" s="373"/>
      <c r="CN28" s="373"/>
      <c r="CO28" s="373"/>
      <c r="CP28" s="373"/>
      <c r="CQ28" s="373"/>
      <c r="CR28" s="373"/>
      <c r="CS28" s="373"/>
      <c r="CT28" s="373"/>
      <c r="CU28" s="373"/>
      <c r="CV28" s="373"/>
      <c r="CW28" s="373"/>
      <c r="CX28" s="373"/>
      <c r="CY28" s="373"/>
      <c r="CZ28" s="373"/>
      <c r="DA28" s="373" t="s">
        <v>382</v>
      </c>
      <c r="DB28" s="373" t="s">
        <v>94</v>
      </c>
      <c r="DC28" s="373" t="s">
        <v>94</v>
      </c>
      <c r="DD28" s="373" t="s">
        <v>382</v>
      </c>
      <c r="DE28" s="373" t="s">
        <v>382</v>
      </c>
      <c r="DF28" s="373"/>
      <c r="DG28" s="373"/>
      <c r="DH28" s="373"/>
      <c r="DI28" s="373"/>
      <c r="DJ28" s="373"/>
      <c r="DK28" s="373"/>
      <c r="DL28" s="373"/>
      <c r="DM28" s="373"/>
      <c r="DN28" s="373"/>
      <c r="DO28" s="373"/>
      <c r="DP28" s="373"/>
      <c r="DQ28" s="373"/>
      <c r="DR28" s="373"/>
      <c r="DS28" s="373"/>
      <c r="DT28" s="373"/>
      <c r="DU28" s="373"/>
      <c r="DV28" s="373"/>
      <c r="DW28" s="373" t="s">
        <v>382</v>
      </c>
      <c r="DX28" s="373"/>
      <c r="DY28" s="373" t="s">
        <v>382</v>
      </c>
      <c r="DZ28" s="373"/>
      <c r="EA28" s="373" t="s">
        <v>382</v>
      </c>
      <c r="EB28" s="373" t="s">
        <v>318</v>
      </c>
      <c r="EC28" s="373" t="s">
        <v>94</v>
      </c>
      <c r="ED28" s="373" t="s">
        <v>382</v>
      </c>
      <c r="EE28" s="373" t="s">
        <v>1734</v>
      </c>
      <c r="EF28" s="373" t="s">
        <v>382</v>
      </c>
      <c r="EG28" s="373" t="s">
        <v>382</v>
      </c>
      <c r="EH28" s="373" t="s">
        <v>94</v>
      </c>
      <c r="EI28" s="373" t="s">
        <v>382</v>
      </c>
      <c r="EJ28" s="373" t="s">
        <v>94</v>
      </c>
      <c r="EK28" s="373" t="s">
        <v>94</v>
      </c>
      <c r="EL28" s="373" t="s">
        <v>382</v>
      </c>
      <c r="EM28" s="373" t="s">
        <v>382</v>
      </c>
      <c r="EN28" s="373" t="s">
        <v>382</v>
      </c>
      <c r="EO28" s="373" t="s">
        <v>382</v>
      </c>
      <c r="EP28" s="373" t="s">
        <v>382</v>
      </c>
      <c r="EQ28" s="373" t="s">
        <v>382</v>
      </c>
      <c r="ER28" s="373" t="s">
        <v>382</v>
      </c>
      <c r="ES28" s="373" t="s">
        <v>382</v>
      </c>
      <c r="ET28" s="373" t="s">
        <v>94</v>
      </c>
      <c r="EU28" s="373" t="s">
        <v>382</v>
      </c>
      <c r="EV28" s="373" t="s">
        <v>94</v>
      </c>
      <c r="EW28" s="373" t="s">
        <v>382</v>
      </c>
      <c r="EX28" s="373" t="s">
        <v>94</v>
      </c>
      <c r="EY28" s="373" t="s">
        <v>383</v>
      </c>
      <c r="EZ28" s="373" t="s">
        <v>381</v>
      </c>
      <c r="FA28" s="373" t="s">
        <v>381</v>
      </c>
      <c r="FB28" s="373" t="s">
        <v>381</v>
      </c>
      <c r="FC28" s="373" t="s">
        <v>381</v>
      </c>
      <c r="FD28" s="373" t="s">
        <v>381</v>
      </c>
      <c r="FE28" s="373" t="s">
        <v>382</v>
      </c>
      <c r="FF28" s="373"/>
      <c r="FG28" s="373"/>
      <c r="FH28" s="373"/>
      <c r="FI28" s="373"/>
      <c r="FJ28" s="373"/>
      <c r="FK28" s="373"/>
      <c r="FL28" s="373"/>
      <c r="FM28" s="373"/>
      <c r="FN28" s="373"/>
      <c r="FO28" s="373"/>
      <c r="FP28" s="373"/>
      <c r="FQ28" s="373"/>
      <c r="FR28" s="373"/>
      <c r="FS28" s="373"/>
      <c r="FT28" s="373"/>
      <c r="FU28" s="373"/>
      <c r="FV28" s="373"/>
      <c r="FW28" s="373"/>
      <c r="FX28" s="373"/>
      <c r="FY28" s="373" t="s">
        <v>382</v>
      </c>
      <c r="FZ28" s="373"/>
      <c r="GA28" s="373" t="s">
        <v>94</v>
      </c>
      <c r="GB28" s="373"/>
      <c r="GC28" s="373" t="s">
        <v>382</v>
      </c>
      <c r="GD28" s="373" t="s">
        <v>382</v>
      </c>
      <c r="GE28" s="373"/>
      <c r="GF28" s="373"/>
      <c r="GG28" s="373"/>
      <c r="GH28" s="373"/>
      <c r="GI28" s="373"/>
      <c r="GJ28" s="373" t="s">
        <v>94</v>
      </c>
      <c r="GK28" s="373" t="s">
        <v>382</v>
      </c>
      <c r="GL28" s="373"/>
      <c r="GM28" s="373"/>
      <c r="GN28" s="373"/>
      <c r="GO28" s="373"/>
      <c r="GP28" s="373"/>
      <c r="GQ28" s="373"/>
      <c r="GR28" s="373"/>
      <c r="GS28" s="373"/>
      <c r="GT28" s="373"/>
      <c r="GU28" s="373"/>
      <c r="GV28" s="373"/>
      <c r="GW28" s="373"/>
      <c r="GX28" s="373"/>
      <c r="GY28" s="373"/>
      <c r="GZ28" s="373"/>
      <c r="HA28" s="373"/>
      <c r="HB28" s="373"/>
      <c r="HC28" s="373"/>
      <c r="HD28" s="373"/>
      <c r="HE28" s="373"/>
      <c r="HF28" s="373"/>
      <c r="HG28" s="373"/>
      <c r="HH28" s="373" t="s">
        <v>382</v>
      </c>
      <c r="HI28" s="373"/>
      <c r="HJ28" s="373"/>
      <c r="HK28" s="373"/>
      <c r="HL28" s="373"/>
      <c r="HM28" s="373"/>
      <c r="HN28" s="373"/>
      <c r="HO28" s="373"/>
      <c r="HP28" s="373"/>
      <c r="HQ28" s="373"/>
      <c r="HR28" s="373"/>
      <c r="HS28" s="373"/>
      <c r="HT28" s="373" t="s">
        <v>382</v>
      </c>
      <c r="HU28" s="373"/>
      <c r="HV28" s="373"/>
      <c r="HW28" s="373"/>
      <c r="HX28" s="373"/>
      <c r="HY28" s="373"/>
      <c r="HZ28" s="373"/>
      <c r="IA28" s="373"/>
      <c r="IB28" s="373"/>
      <c r="IC28" s="373"/>
      <c r="ID28" s="373"/>
      <c r="IE28" s="373"/>
      <c r="IF28" s="373"/>
      <c r="IG28" s="373" t="s">
        <v>382</v>
      </c>
      <c r="IH28" s="373"/>
      <c r="II28" s="373" t="s">
        <v>382</v>
      </c>
      <c r="IJ28" s="373"/>
      <c r="IK28" s="373" t="s">
        <v>382</v>
      </c>
      <c r="IL28" s="373"/>
      <c r="IM28" s="373"/>
      <c r="IN28" s="373"/>
      <c r="IO28" s="373"/>
      <c r="IP28" s="373"/>
      <c r="IQ28" s="373" t="s">
        <v>382</v>
      </c>
      <c r="IR28" s="373" t="s">
        <v>382</v>
      </c>
      <c r="IS28" s="373" t="s">
        <v>382</v>
      </c>
      <c r="IT28" s="373" t="s">
        <v>382</v>
      </c>
      <c r="IU28" s="373" t="s">
        <v>382</v>
      </c>
      <c r="IV28" s="373" t="s">
        <v>382</v>
      </c>
      <c r="IW28" s="373" t="s">
        <v>382</v>
      </c>
      <c r="IX28" s="373"/>
      <c r="IY28" s="373"/>
      <c r="IZ28" s="373"/>
      <c r="JA28" s="373"/>
      <c r="JB28" s="373"/>
      <c r="JC28" s="373"/>
      <c r="JD28" s="373"/>
      <c r="JE28" s="373"/>
      <c r="JF28" s="373"/>
      <c r="JG28" s="373"/>
      <c r="JH28" s="373"/>
      <c r="JI28" s="373"/>
      <c r="JJ28" s="373"/>
      <c r="JK28" s="373"/>
      <c r="JL28" s="373"/>
      <c r="JM28" s="373"/>
      <c r="JN28" s="373"/>
      <c r="JO28" s="373"/>
      <c r="JP28" s="373"/>
      <c r="JQ28" s="373"/>
      <c r="JR28" s="373"/>
      <c r="JS28" s="373"/>
      <c r="JT28" s="373"/>
      <c r="JU28" s="373"/>
      <c r="JV28" s="373"/>
      <c r="JW28" s="373"/>
      <c r="JX28" s="373"/>
      <c r="JY28" s="373"/>
      <c r="JZ28" s="373"/>
      <c r="KA28" s="373"/>
      <c r="KB28" s="373"/>
      <c r="KC28" s="373"/>
      <c r="KD28" s="373"/>
      <c r="KE28" s="373"/>
      <c r="KF28" s="373"/>
      <c r="KG28" s="373"/>
      <c r="KH28" s="373"/>
      <c r="KI28" s="373"/>
      <c r="KJ28" s="373"/>
      <c r="KK28" s="373"/>
      <c r="KL28" s="373"/>
      <c r="KM28" s="373"/>
      <c r="KN28" s="373" t="s">
        <v>382</v>
      </c>
      <c r="KO28" s="373" t="s">
        <v>382</v>
      </c>
      <c r="KP28" s="373"/>
      <c r="KQ28" s="373"/>
      <c r="KR28" s="373" t="s">
        <v>382</v>
      </c>
      <c r="KS28" s="373"/>
      <c r="KT28" s="373"/>
      <c r="KU28" s="373"/>
      <c r="KV28" s="373"/>
      <c r="KW28" s="373"/>
      <c r="KX28" s="373" t="s">
        <v>382</v>
      </c>
      <c r="KY28" s="373"/>
      <c r="KZ28" s="373"/>
      <c r="LA28" s="373" t="s">
        <v>382</v>
      </c>
      <c r="LB28" s="373"/>
      <c r="LC28" s="373" t="s">
        <v>382</v>
      </c>
      <c r="LD28" s="373"/>
      <c r="LE28" s="373"/>
      <c r="LF28" s="373"/>
      <c r="LG28" s="373"/>
      <c r="LH28" s="373"/>
      <c r="LI28" s="373"/>
      <c r="LJ28" s="373"/>
      <c r="LK28" s="373"/>
      <c r="LL28" s="373"/>
      <c r="LM28" s="373"/>
      <c r="LN28" s="373"/>
      <c r="LO28" s="373"/>
      <c r="LP28" s="373"/>
      <c r="LQ28" s="373" t="s">
        <v>382</v>
      </c>
      <c r="LR28" s="373"/>
      <c r="LS28" s="373"/>
      <c r="LT28" s="373"/>
      <c r="LU28" s="373"/>
      <c r="LV28" s="373"/>
      <c r="LW28" s="373"/>
      <c r="LX28" s="373"/>
      <c r="LY28" s="373"/>
      <c r="LZ28" s="373"/>
      <c r="MA28" s="373" t="s">
        <v>382</v>
      </c>
      <c r="MB28" s="373"/>
      <c r="MC28" s="373"/>
      <c r="MD28" s="373"/>
      <c r="ME28" s="373"/>
      <c r="MF28" s="373"/>
      <c r="MG28" s="373"/>
      <c r="MH28" s="373"/>
      <c r="MI28" s="373"/>
      <c r="MJ28" s="373"/>
      <c r="MK28" s="373"/>
      <c r="ML28" s="373" t="s">
        <v>382</v>
      </c>
      <c r="MM28" s="373"/>
      <c r="MN28" s="373"/>
      <c r="MO28" s="373"/>
      <c r="MP28" s="373"/>
      <c r="MQ28" s="373"/>
      <c r="MR28" s="373" t="s">
        <v>94</v>
      </c>
      <c r="MS28" s="373"/>
      <c r="MT28" s="373" t="s">
        <v>382</v>
      </c>
      <c r="MU28" s="373" t="s">
        <v>382</v>
      </c>
      <c r="MV28" s="373" t="s">
        <v>382</v>
      </c>
      <c r="MW28" s="373" t="s">
        <v>382</v>
      </c>
      <c r="MX28" s="373" t="s">
        <v>382</v>
      </c>
      <c r="MY28" s="373"/>
      <c r="MZ28" s="373"/>
      <c r="NA28" s="373" t="s">
        <v>382</v>
      </c>
      <c r="NB28" s="373"/>
      <c r="NC28" s="373"/>
      <c r="ND28" s="373"/>
      <c r="NE28" s="373"/>
      <c r="NF28" s="373"/>
      <c r="NG28" s="373" t="s">
        <v>382</v>
      </c>
      <c r="NH28" s="373"/>
      <c r="NI28" s="373" t="s">
        <v>382</v>
      </c>
      <c r="NJ28" s="373" t="s">
        <v>382</v>
      </c>
      <c r="NK28" s="373"/>
      <c r="NL28" s="373" t="s">
        <v>382</v>
      </c>
      <c r="NM28" s="373"/>
      <c r="NN28" s="373" t="s">
        <v>382</v>
      </c>
      <c r="NO28" s="373" t="s">
        <v>382</v>
      </c>
      <c r="NP28" s="373" t="s">
        <v>382</v>
      </c>
      <c r="NQ28" s="373"/>
      <c r="NR28" s="373"/>
      <c r="NS28" s="373"/>
      <c r="NT28" s="373"/>
      <c r="NU28" s="373"/>
      <c r="NV28" s="373" t="s">
        <v>382</v>
      </c>
      <c r="NW28" s="373"/>
      <c r="NX28" s="373" t="s">
        <v>382</v>
      </c>
      <c r="NY28" s="373"/>
      <c r="NZ28" s="373"/>
      <c r="OA28" s="373"/>
      <c r="OB28" s="373"/>
      <c r="OC28" s="373"/>
      <c r="OD28" s="373"/>
      <c r="OE28" s="373"/>
      <c r="OF28" s="373" t="s">
        <v>382</v>
      </c>
      <c r="OG28" s="373"/>
    </row>
    <row r="29" spans="2:397" ht="20.399999999999999">
      <c r="B29" s="382" t="s">
        <v>314</v>
      </c>
      <c r="C29" s="373" t="s">
        <v>1187</v>
      </c>
      <c r="D29" s="373" t="s">
        <v>382</v>
      </c>
      <c r="E29" s="373" t="s">
        <v>1187</v>
      </c>
      <c r="F29" s="373" t="s">
        <v>1187</v>
      </c>
      <c r="G29" s="373" t="s">
        <v>1187</v>
      </c>
      <c r="H29" s="373" t="s">
        <v>382</v>
      </c>
      <c r="I29" s="373" t="s">
        <v>1208</v>
      </c>
      <c r="J29" s="373" t="s">
        <v>1210</v>
      </c>
      <c r="K29" s="373" t="s">
        <v>1210</v>
      </c>
      <c r="L29" s="373" t="s">
        <v>1222</v>
      </c>
      <c r="M29" s="373" t="s">
        <v>1222</v>
      </c>
      <c r="N29" s="373" t="s">
        <v>1222</v>
      </c>
      <c r="O29" s="373" t="s">
        <v>1236</v>
      </c>
      <c r="P29" s="373" t="s">
        <v>1239</v>
      </c>
      <c r="Q29" s="373" t="s">
        <v>1236</v>
      </c>
      <c r="R29" s="373" t="s">
        <v>1242</v>
      </c>
      <c r="S29" s="373" t="s">
        <v>391</v>
      </c>
      <c r="T29" s="373" t="s">
        <v>1248</v>
      </c>
      <c r="U29" s="373" t="s">
        <v>1263</v>
      </c>
      <c r="V29" s="373" t="s">
        <v>1263</v>
      </c>
      <c r="W29" s="373" t="s">
        <v>392</v>
      </c>
      <c r="X29" s="373" t="s">
        <v>391</v>
      </c>
      <c r="Y29" s="373" t="s">
        <v>391</v>
      </c>
      <c r="Z29" s="373" t="s">
        <v>391</v>
      </c>
      <c r="AA29" s="373" t="s">
        <v>391</v>
      </c>
      <c r="AB29" s="373" t="s">
        <v>1259</v>
      </c>
      <c r="AC29" s="373" t="s">
        <v>1263</v>
      </c>
      <c r="AD29" s="373" t="s">
        <v>1267</v>
      </c>
      <c r="AE29" s="373" t="s">
        <v>382</v>
      </c>
      <c r="AF29" s="373" t="s">
        <v>318</v>
      </c>
      <c r="AG29" s="373" t="s">
        <v>382</v>
      </c>
      <c r="AH29" s="373" t="s">
        <v>1274</v>
      </c>
      <c r="AI29" s="373" t="s">
        <v>1274</v>
      </c>
      <c r="AJ29" s="373" t="s">
        <v>382</v>
      </c>
      <c r="AK29" s="373" t="s">
        <v>1263</v>
      </c>
      <c r="AL29" s="373" t="s">
        <v>1287</v>
      </c>
      <c r="AM29" s="373" t="s">
        <v>382</v>
      </c>
      <c r="AN29" s="373" t="s">
        <v>1267</v>
      </c>
      <c r="AO29" s="373" t="s">
        <v>1295</v>
      </c>
      <c r="AP29" s="373" t="s">
        <v>1299</v>
      </c>
      <c r="AQ29" s="373" t="s">
        <v>1304</v>
      </c>
      <c r="AR29" s="373" t="s">
        <v>1304</v>
      </c>
      <c r="AS29" s="373" t="s">
        <v>1267</v>
      </c>
      <c r="AT29" s="373" t="s">
        <v>1267</v>
      </c>
      <c r="AU29" s="373" t="s">
        <v>399</v>
      </c>
      <c r="AV29" s="373" t="s">
        <v>399</v>
      </c>
      <c r="AW29" s="373" t="s">
        <v>382</v>
      </c>
      <c r="AX29" s="373" t="s">
        <v>399</v>
      </c>
      <c r="AY29" s="373" t="s">
        <v>396</v>
      </c>
      <c r="AZ29" s="373" t="s">
        <v>1577</v>
      </c>
      <c r="BA29" s="373" t="s">
        <v>1580</v>
      </c>
      <c r="BB29" s="373" t="s">
        <v>1585</v>
      </c>
      <c r="BC29" s="373" t="s">
        <v>1588</v>
      </c>
      <c r="BD29" s="373" t="s">
        <v>1588</v>
      </c>
      <c r="BE29" s="373" t="s">
        <v>1585</v>
      </c>
      <c r="BF29" s="373" t="s">
        <v>1585</v>
      </c>
      <c r="BG29" s="373" t="s">
        <v>1585</v>
      </c>
      <c r="BH29" s="373" t="s">
        <v>1585</v>
      </c>
      <c r="BI29" s="373" t="s">
        <v>1585</v>
      </c>
      <c r="BJ29" s="373" t="s">
        <v>1585</v>
      </c>
      <c r="BK29" s="373" t="s">
        <v>390</v>
      </c>
      <c r="BL29" s="373" t="s">
        <v>1585</v>
      </c>
      <c r="BM29" s="373" t="s">
        <v>1585</v>
      </c>
      <c r="BN29" s="373" t="s">
        <v>1585</v>
      </c>
      <c r="BO29" s="373" t="s">
        <v>1585</v>
      </c>
      <c r="BP29" s="373" t="s">
        <v>1607</v>
      </c>
      <c r="BQ29" s="373" t="s">
        <v>1607</v>
      </c>
      <c r="BR29" s="373" t="s">
        <v>1585</v>
      </c>
      <c r="BS29" s="373" t="s">
        <v>1585</v>
      </c>
      <c r="BT29" s="373" t="s">
        <v>1607</v>
      </c>
      <c r="BU29" s="373" t="s">
        <v>1585</v>
      </c>
      <c r="BV29" s="373" t="s">
        <v>1624</v>
      </c>
      <c r="BW29" s="373" t="s">
        <v>1607</v>
      </c>
      <c r="BX29" s="373" t="s">
        <v>1624</v>
      </c>
      <c r="BY29" s="373" t="s">
        <v>1585</v>
      </c>
      <c r="BZ29" s="373" t="s">
        <v>1624</v>
      </c>
      <c r="CA29" s="373" t="s">
        <v>1624</v>
      </c>
      <c r="CB29" s="373"/>
      <c r="CC29" s="373"/>
      <c r="CD29" s="373"/>
      <c r="CE29" s="373"/>
      <c r="CF29" s="373"/>
      <c r="CG29" s="373" t="s">
        <v>1607</v>
      </c>
      <c r="CH29" s="373" t="s">
        <v>1624</v>
      </c>
      <c r="CI29" s="373"/>
      <c r="CJ29" s="373"/>
      <c r="CK29" s="373"/>
      <c r="CL29" s="373"/>
      <c r="CM29" s="373"/>
      <c r="CN29" s="373"/>
      <c r="CO29" s="373"/>
      <c r="CP29" s="373"/>
      <c r="CQ29" s="373"/>
      <c r="CR29" s="373"/>
      <c r="CS29" s="373"/>
      <c r="CT29" s="373"/>
      <c r="CU29" s="373"/>
      <c r="CV29" s="373"/>
      <c r="CW29" s="373"/>
      <c r="CX29" s="373"/>
      <c r="CY29" s="373"/>
      <c r="CZ29" s="373"/>
      <c r="DA29" s="373" t="s">
        <v>1624</v>
      </c>
      <c r="DB29" s="373" t="s">
        <v>1624</v>
      </c>
      <c r="DC29" s="373" t="s">
        <v>1624</v>
      </c>
      <c r="DD29" s="373" t="s">
        <v>1715</v>
      </c>
      <c r="DE29" s="373" t="s">
        <v>382</v>
      </c>
      <c r="DF29" s="373"/>
      <c r="DG29" s="373"/>
      <c r="DH29" s="373"/>
      <c r="DI29" s="373"/>
      <c r="DJ29" s="373"/>
      <c r="DK29" s="373"/>
      <c r="DL29" s="373"/>
      <c r="DM29" s="373"/>
      <c r="DN29" s="373"/>
      <c r="DO29" s="373"/>
      <c r="DP29" s="373"/>
      <c r="DQ29" s="373"/>
      <c r="DR29" s="373"/>
      <c r="DS29" s="373"/>
      <c r="DT29" s="373"/>
      <c r="DU29" s="373"/>
      <c r="DV29" s="373"/>
      <c r="DW29" s="373" t="s">
        <v>397</v>
      </c>
      <c r="DX29" s="373"/>
      <c r="DY29" s="373" t="s">
        <v>1585</v>
      </c>
      <c r="DZ29" s="373"/>
      <c r="EA29" s="373" t="s">
        <v>397</v>
      </c>
      <c r="EB29" s="373" t="s">
        <v>318</v>
      </c>
      <c r="EC29" s="373" t="s">
        <v>382</v>
      </c>
      <c r="ED29" s="373" t="s">
        <v>1728</v>
      </c>
      <c r="EE29" s="373" t="s">
        <v>1735</v>
      </c>
      <c r="EF29" s="373" t="s">
        <v>1750</v>
      </c>
      <c r="EG29" s="373" t="s">
        <v>1746</v>
      </c>
      <c r="EH29" s="373" t="s">
        <v>1749</v>
      </c>
      <c r="EI29" s="373" t="s">
        <v>395</v>
      </c>
      <c r="EJ29" s="373" t="s">
        <v>397</v>
      </c>
      <c r="EK29" s="373" t="s">
        <v>1749</v>
      </c>
      <c r="EL29" s="373" t="s">
        <v>1763</v>
      </c>
      <c r="EM29" s="373" t="s">
        <v>1749</v>
      </c>
      <c r="EN29" s="373" t="s">
        <v>395</v>
      </c>
      <c r="EO29" s="373" t="s">
        <v>385</v>
      </c>
      <c r="EP29" s="373" t="s">
        <v>395</v>
      </c>
      <c r="EQ29" s="373" t="s">
        <v>1773</v>
      </c>
      <c r="ER29" s="373" t="s">
        <v>1773</v>
      </c>
      <c r="ES29" s="373" t="s">
        <v>1773</v>
      </c>
      <c r="ET29" s="373" t="s">
        <v>1763</v>
      </c>
      <c r="EU29" s="373" t="s">
        <v>384</v>
      </c>
      <c r="EV29" s="373" t="s">
        <v>1749</v>
      </c>
      <c r="EW29" s="373" t="s">
        <v>395</v>
      </c>
      <c r="EX29" s="373" t="s">
        <v>384</v>
      </c>
      <c r="EY29" s="373" t="s">
        <v>280</v>
      </c>
      <c r="EZ29" s="373" t="s">
        <v>280</v>
      </c>
      <c r="FA29" s="373" t="s">
        <v>280</v>
      </c>
      <c r="FB29" s="373" t="s">
        <v>280</v>
      </c>
      <c r="FC29" s="373" t="s">
        <v>280</v>
      </c>
      <c r="FD29" s="373" t="s">
        <v>280</v>
      </c>
      <c r="FE29" s="373" t="s">
        <v>382</v>
      </c>
      <c r="FF29" s="373"/>
      <c r="FG29" s="373"/>
      <c r="FH29" s="373"/>
      <c r="FI29" s="373"/>
      <c r="FJ29" s="373"/>
      <c r="FK29" s="373"/>
      <c r="FL29" s="373"/>
      <c r="FM29" s="373"/>
      <c r="FN29" s="373"/>
      <c r="FO29" s="373"/>
      <c r="FP29" s="373"/>
      <c r="FQ29" s="373"/>
      <c r="FR29" s="373"/>
      <c r="FS29" s="373"/>
      <c r="FT29" s="373"/>
      <c r="FU29" s="373"/>
      <c r="FV29" s="373"/>
      <c r="FW29" s="373"/>
      <c r="FX29" s="373"/>
      <c r="FY29" s="373" t="s">
        <v>384</v>
      </c>
      <c r="FZ29" s="373"/>
      <c r="GA29" s="373" t="s">
        <v>1798</v>
      </c>
      <c r="GB29" s="373"/>
      <c r="GC29" s="373" t="s">
        <v>384</v>
      </c>
      <c r="GD29" s="373" t="s">
        <v>384</v>
      </c>
      <c r="GE29" s="373"/>
      <c r="GF29" s="373"/>
      <c r="GG29" s="373"/>
      <c r="GH29" s="373"/>
      <c r="GI29" s="373"/>
      <c r="GJ29" s="373" t="s">
        <v>384</v>
      </c>
      <c r="GK29" s="373" t="s">
        <v>397</v>
      </c>
      <c r="GL29" s="373"/>
      <c r="GM29" s="373"/>
      <c r="GN29" s="373"/>
      <c r="GO29" s="373"/>
      <c r="GP29" s="373"/>
      <c r="GQ29" s="373"/>
      <c r="GR29" s="373"/>
      <c r="GS29" s="373"/>
      <c r="GT29" s="373"/>
      <c r="GU29" s="373"/>
      <c r="GV29" s="373"/>
      <c r="GW29" s="373"/>
      <c r="GX29" s="373"/>
      <c r="GY29" s="373"/>
      <c r="GZ29" s="373"/>
      <c r="HA29" s="373"/>
      <c r="HB29" s="373"/>
      <c r="HC29" s="373"/>
      <c r="HD29" s="373"/>
      <c r="HE29" s="373"/>
      <c r="HF29" s="373"/>
      <c r="HG29" s="373"/>
      <c r="HH29" s="373" t="s">
        <v>394</v>
      </c>
      <c r="HI29" s="373"/>
      <c r="HJ29" s="373"/>
      <c r="HK29" s="373"/>
      <c r="HL29" s="373"/>
      <c r="HM29" s="373"/>
      <c r="HN29" s="373"/>
      <c r="HO29" s="373"/>
      <c r="HP29" s="373"/>
      <c r="HQ29" s="373"/>
      <c r="HR29" s="373"/>
      <c r="HS29" s="373"/>
      <c r="HT29" s="373" t="s">
        <v>1267</v>
      </c>
      <c r="HU29" s="373"/>
      <c r="HV29" s="373"/>
      <c r="HW29" s="373"/>
      <c r="HX29" s="373"/>
      <c r="HY29" s="373"/>
      <c r="HZ29" s="373"/>
      <c r="IA29" s="373"/>
      <c r="IB29" s="373"/>
      <c r="IC29" s="373"/>
      <c r="ID29" s="373"/>
      <c r="IE29" s="373"/>
      <c r="IF29" s="373"/>
      <c r="IG29" s="373" t="s">
        <v>384</v>
      </c>
      <c r="IH29" s="373"/>
      <c r="II29" s="373" t="s">
        <v>384</v>
      </c>
      <c r="IJ29" s="373"/>
      <c r="IK29" s="373" t="s">
        <v>386</v>
      </c>
      <c r="IL29" s="373"/>
      <c r="IM29" s="373"/>
      <c r="IN29" s="373"/>
      <c r="IO29" s="373"/>
      <c r="IP29" s="373"/>
      <c r="IQ29" s="373" t="s">
        <v>382</v>
      </c>
      <c r="IR29" s="373" t="s">
        <v>382</v>
      </c>
      <c r="IS29" s="373" t="s">
        <v>1818</v>
      </c>
      <c r="IT29" s="373" t="s">
        <v>1287</v>
      </c>
      <c r="IU29" s="373" t="s">
        <v>1820</v>
      </c>
      <c r="IV29" s="373" t="s">
        <v>382</v>
      </c>
      <c r="IW29" s="373" t="s">
        <v>382</v>
      </c>
      <c r="IX29" s="373"/>
      <c r="IY29" s="373"/>
      <c r="IZ29" s="373"/>
      <c r="JA29" s="373"/>
      <c r="JB29" s="373"/>
      <c r="JC29" s="373"/>
      <c r="JD29" s="373"/>
      <c r="JE29" s="373"/>
      <c r="JF29" s="373"/>
      <c r="JG29" s="373"/>
      <c r="JH29" s="373"/>
      <c r="JI29" s="373"/>
      <c r="JJ29" s="373"/>
      <c r="JK29" s="373"/>
      <c r="JL29" s="373"/>
      <c r="JM29" s="373"/>
      <c r="JN29" s="373"/>
      <c r="JO29" s="373"/>
      <c r="JP29" s="373"/>
      <c r="JQ29" s="373"/>
      <c r="JR29" s="373"/>
      <c r="JS29" s="373"/>
      <c r="JT29" s="373"/>
      <c r="JU29" s="373"/>
      <c r="JV29" s="373"/>
      <c r="JW29" s="373"/>
      <c r="JX29" s="373"/>
      <c r="JY29" s="373"/>
      <c r="JZ29" s="373"/>
      <c r="KA29" s="373"/>
      <c r="KB29" s="373"/>
      <c r="KC29" s="373"/>
      <c r="KD29" s="373"/>
      <c r="KE29" s="373"/>
      <c r="KF29" s="373"/>
      <c r="KG29" s="373"/>
      <c r="KH29" s="373"/>
      <c r="KI29" s="373"/>
      <c r="KJ29" s="373"/>
      <c r="KK29" s="373"/>
      <c r="KL29" s="373"/>
      <c r="KM29" s="373"/>
      <c r="KN29" s="373" t="s">
        <v>389</v>
      </c>
      <c r="KO29" s="373" t="s">
        <v>389</v>
      </c>
      <c r="KP29" s="373"/>
      <c r="KQ29" s="373"/>
      <c r="KR29" s="373" t="s">
        <v>389</v>
      </c>
      <c r="KS29" s="373"/>
      <c r="KT29" s="373"/>
      <c r="KU29" s="373"/>
      <c r="KV29" s="373"/>
      <c r="KW29" s="373"/>
      <c r="KX29" s="373" t="s">
        <v>384</v>
      </c>
      <c r="KY29" s="373"/>
      <c r="KZ29" s="373"/>
      <c r="LA29" s="373" t="s">
        <v>382</v>
      </c>
      <c r="LB29" s="373"/>
      <c r="LC29" s="373" t="s">
        <v>382</v>
      </c>
      <c r="LD29" s="373"/>
      <c r="LE29" s="373"/>
      <c r="LF29" s="373"/>
      <c r="LG29" s="373"/>
      <c r="LH29" s="373"/>
      <c r="LI29" s="373"/>
      <c r="LJ29" s="373"/>
      <c r="LK29" s="373"/>
      <c r="LL29" s="373"/>
      <c r="LM29" s="373"/>
      <c r="LN29" s="373"/>
      <c r="LO29" s="373"/>
      <c r="LP29" s="373"/>
      <c r="LQ29" s="373" t="s">
        <v>1287</v>
      </c>
      <c r="LR29" s="373"/>
      <c r="LS29" s="373"/>
      <c r="LT29" s="373"/>
      <c r="LU29" s="373"/>
      <c r="LV29" s="373"/>
      <c r="LW29" s="373"/>
      <c r="LX29" s="373"/>
      <c r="LY29" s="373"/>
      <c r="LZ29" s="373"/>
      <c r="MA29" s="373" t="s">
        <v>382</v>
      </c>
      <c r="MB29" s="373"/>
      <c r="MC29" s="373"/>
      <c r="MD29" s="373"/>
      <c r="ME29" s="373"/>
      <c r="MF29" s="373"/>
      <c r="MG29" s="373"/>
      <c r="MH29" s="373"/>
      <c r="MI29" s="373"/>
      <c r="MJ29" s="373"/>
      <c r="MK29" s="373"/>
      <c r="ML29" s="373" t="s">
        <v>388</v>
      </c>
      <c r="MM29" s="373"/>
      <c r="MN29" s="373"/>
      <c r="MO29" s="373"/>
      <c r="MP29" s="373"/>
      <c r="MQ29" s="373"/>
      <c r="MR29" s="373" t="s">
        <v>387</v>
      </c>
      <c r="MS29" s="373"/>
      <c r="MT29" s="373" t="s">
        <v>382</v>
      </c>
      <c r="MU29" s="373" t="s">
        <v>1833</v>
      </c>
      <c r="MV29" s="373" t="s">
        <v>393</v>
      </c>
      <c r="MW29" s="373" t="s">
        <v>386</v>
      </c>
      <c r="MX29" s="373" t="s">
        <v>398</v>
      </c>
      <c r="MY29" s="373"/>
      <c r="MZ29" s="373"/>
      <c r="NA29" s="373" t="s">
        <v>1659</v>
      </c>
      <c r="NB29" s="373"/>
      <c r="NC29" s="373"/>
      <c r="ND29" s="373"/>
      <c r="NE29" s="373"/>
      <c r="NF29" s="373"/>
      <c r="NG29" s="373" t="s">
        <v>399</v>
      </c>
      <c r="NH29" s="373"/>
      <c r="NI29" s="373" t="s">
        <v>1837</v>
      </c>
      <c r="NJ29" s="373" t="s">
        <v>400</v>
      </c>
      <c r="NK29" s="373"/>
      <c r="NL29" s="373" t="s">
        <v>400</v>
      </c>
      <c r="NM29" s="373"/>
      <c r="NN29" s="373" t="s">
        <v>382</v>
      </c>
      <c r="NO29" s="373" t="s">
        <v>382</v>
      </c>
      <c r="NP29" s="373" t="s">
        <v>382</v>
      </c>
      <c r="NQ29" s="373"/>
      <c r="NR29" s="373"/>
      <c r="NS29" s="373"/>
      <c r="NT29" s="373"/>
      <c r="NU29" s="373"/>
      <c r="NV29" s="373" t="s">
        <v>382</v>
      </c>
      <c r="NW29" s="373"/>
      <c r="NX29" s="373" t="s">
        <v>395</v>
      </c>
      <c r="NY29" s="373"/>
      <c r="NZ29" s="373"/>
      <c r="OA29" s="373"/>
      <c r="OB29" s="373"/>
      <c r="OC29" s="373"/>
      <c r="OD29" s="373"/>
      <c r="OE29" s="373"/>
      <c r="OF29" s="373" t="s">
        <v>382</v>
      </c>
      <c r="OG29" s="373"/>
    </row>
    <row r="30" spans="2:397">
      <c r="B30" s="382" t="s">
        <v>319</v>
      </c>
      <c r="C30" s="373" t="s">
        <v>94</v>
      </c>
      <c r="D30" s="373" t="s">
        <v>94</v>
      </c>
      <c r="E30" s="373" t="s">
        <v>94</v>
      </c>
      <c r="F30" s="373" t="s">
        <v>94</v>
      </c>
      <c r="G30" s="373" t="s">
        <v>94</v>
      </c>
      <c r="H30" s="373" t="s">
        <v>94</v>
      </c>
      <c r="I30" s="373" t="s">
        <v>94</v>
      </c>
      <c r="J30" s="373" t="s">
        <v>94</v>
      </c>
      <c r="K30" s="373" t="s">
        <v>94</v>
      </c>
      <c r="L30" s="373" t="s">
        <v>94</v>
      </c>
      <c r="M30" s="373" t="s">
        <v>94</v>
      </c>
      <c r="N30" s="373" t="s">
        <v>94</v>
      </c>
      <c r="O30" s="373" t="s">
        <v>94</v>
      </c>
      <c r="P30" s="373" t="s">
        <v>94</v>
      </c>
      <c r="Q30" s="373" t="s">
        <v>94</v>
      </c>
      <c r="R30" s="373" t="s">
        <v>94</v>
      </c>
      <c r="S30" s="373" t="s">
        <v>94</v>
      </c>
      <c r="T30" s="373" t="s">
        <v>94</v>
      </c>
      <c r="U30" s="373" t="s">
        <v>94</v>
      </c>
      <c r="V30" s="373" t="s">
        <v>94</v>
      </c>
      <c r="W30" s="373" t="s">
        <v>94</v>
      </c>
      <c r="X30" s="373" t="s">
        <v>94</v>
      </c>
      <c r="Y30" s="373" t="s">
        <v>94</v>
      </c>
      <c r="Z30" s="373" t="s">
        <v>94</v>
      </c>
      <c r="AA30" s="373" t="s">
        <v>94</v>
      </c>
      <c r="AB30" s="373" t="s">
        <v>94</v>
      </c>
      <c r="AC30" s="373" t="s">
        <v>94</v>
      </c>
      <c r="AD30" s="373" t="s">
        <v>94</v>
      </c>
      <c r="AE30" s="373" t="s">
        <v>94</v>
      </c>
      <c r="AF30" s="373" t="s">
        <v>94</v>
      </c>
      <c r="AG30" s="373" t="s">
        <v>94</v>
      </c>
      <c r="AH30" s="373" t="s">
        <v>94</v>
      </c>
      <c r="AI30" s="373" t="s">
        <v>94</v>
      </c>
      <c r="AJ30" s="373" t="s">
        <v>94</v>
      </c>
      <c r="AK30" s="373" t="s">
        <v>94</v>
      </c>
      <c r="AL30" s="373" t="s">
        <v>94</v>
      </c>
      <c r="AM30" s="373" t="s">
        <v>94</v>
      </c>
      <c r="AN30" s="373" t="s">
        <v>94</v>
      </c>
      <c r="AO30" s="373" t="s">
        <v>94</v>
      </c>
      <c r="AP30" s="373" t="s">
        <v>94</v>
      </c>
      <c r="AQ30" s="373" t="s">
        <v>94</v>
      </c>
      <c r="AR30" s="373" t="s">
        <v>94</v>
      </c>
      <c r="AS30" s="373" t="s">
        <v>94</v>
      </c>
      <c r="AT30" s="373" t="s">
        <v>94</v>
      </c>
      <c r="AU30" s="373" t="s">
        <v>94</v>
      </c>
      <c r="AV30" s="373" t="s">
        <v>94</v>
      </c>
      <c r="AW30" s="373" t="s">
        <v>94</v>
      </c>
      <c r="AX30" s="373" t="s">
        <v>94</v>
      </c>
      <c r="AY30" s="373" t="s">
        <v>94</v>
      </c>
      <c r="AZ30" s="373" t="s">
        <v>94</v>
      </c>
      <c r="BA30" s="373" t="s">
        <v>94</v>
      </c>
      <c r="BB30" s="373" t="s">
        <v>94</v>
      </c>
      <c r="BC30" s="373" t="s">
        <v>94</v>
      </c>
      <c r="BD30" s="373" t="s">
        <v>94</v>
      </c>
      <c r="BE30" s="373" t="s">
        <v>94</v>
      </c>
      <c r="BF30" s="373" t="s">
        <v>94</v>
      </c>
      <c r="BG30" s="373" t="s">
        <v>94</v>
      </c>
      <c r="BH30" s="373" t="s">
        <v>94</v>
      </c>
      <c r="BI30" s="373" t="s">
        <v>94</v>
      </c>
      <c r="BJ30" s="373" t="s">
        <v>94</v>
      </c>
      <c r="BK30" s="373" t="s">
        <v>94</v>
      </c>
      <c r="BL30" s="373" t="s">
        <v>94</v>
      </c>
      <c r="BM30" s="373" t="s">
        <v>94</v>
      </c>
      <c r="BN30" s="373" t="s">
        <v>94</v>
      </c>
      <c r="BO30" s="373" t="s">
        <v>94</v>
      </c>
      <c r="BP30" s="373" t="s">
        <v>1604</v>
      </c>
      <c r="BQ30" s="373" t="s">
        <v>1604</v>
      </c>
      <c r="BR30" s="373" t="s">
        <v>94</v>
      </c>
      <c r="BS30" s="373" t="s">
        <v>94</v>
      </c>
      <c r="BT30" s="373" t="s">
        <v>1604</v>
      </c>
      <c r="BU30" s="373" t="s">
        <v>94</v>
      </c>
      <c r="BV30" s="373" t="s">
        <v>94</v>
      </c>
      <c r="BW30" s="373" t="s">
        <v>1604</v>
      </c>
      <c r="BX30" s="373" t="s">
        <v>94</v>
      </c>
      <c r="BY30" s="373" t="s">
        <v>94</v>
      </c>
      <c r="BZ30" s="373" t="s">
        <v>94</v>
      </c>
      <c r="CA30" s="373" t="s">
        <v>94</v>
      </c>
      <c r="CB30" s="373"/>
      <c r="CC30" s="373"/>
      <c r="CD30" s="373"/>
      <c r="CE30" s="373"/>
      <c r="CF30" s="373"/>
      <c r="CG30" s="373" t="s">
        <v>1604</v>
      </c>
      <c r="CH30" s="373" t="s">
        <v>94</v>
      </c>
      <c r="CI30" s="373"/>
      <c r="CJ30" s="373"/>
      <c r="CK30" s="373"/>
      <c r="CL30" s="373"/>
      <c r="CM30" s="373"/>
      <c r="CN30" s="373"/>
      <c r="CO30" s="373"/>
      <c r="CP30" s="373"/>
      <c r="CQ30" s="373"/>
      <c r="CR30" s="373"/>
      <c r="CS30" s="373"/>
      <c r="CT30" s="373"/>
      <c r="CU30" s="373"/>
      <c r="CV30" s="373"/>
      <c r="CW30" s="373"/>
      <c r="CX30" s="373"/>
      <c r="CY30" s="373"/>
      <c r="CZ30" s="373"/>
      <c r="DA30" s="373" t="s">
        <v>94</v>
      </c>
      <c r="DB30" s="373" t="s">
        <v>94</v>
      </c>
      <c r="DC30" s="373" t="s">
        <v>94</v>
      </c>
      <c r="DD30" s="373" t="s">
        <v>94</v>
      </c>
      <c r="DE30" s="373" t="s">
        <v>94</v>
      </c>
      <c r="DF30" s="373"/>
      <c r="DG30" s="373"/>
      <c r="DH30" s="373"/>
      <c r="DI30" s="373"/>
      <c r="DJ30" s="373"/>
      <c r="DK30" s="373"/>
      <c r="DL30" s="373"/>
      <c r="DM30" s="373"/>
      <c r="DN30" s="373"/>
      <c r="DO30" s="373"/>
      <c r="DP30" s="373"/>
      <c r="DQ30" s="373"/>
      <c r="DR30" s="373"/>
      <c r="DS30" s="373"/>
      <c r="DT30" s="373"/>
      <c r="DU30" s="373"/>
      <c r="DV30" s="373"/>
      <c r="DW30" s="373" t="s">
        <v>94</v>
      </c>
      <c r="DX30" s="373"/>
      <c r="DY30" s="373" t="s">
        <v>94</v>
      </c>
      <c r="DZ30" s="373"/>
      <c r="EA30" s="373" t="s">
        <v>94</v>
      </c>
      <c r="EB30" s="373" t="s">
        <v>94</v>
      </c>
      <c r="EC30" s="373" t="s">
        <v>94</v>
      </c>
      <c r="ED30" s="373" t="s">
        <v>94</v>
      </c>
      <c r="EE30" s="373" t="s">
        <v>1733</v>
      </c>
      <c r="EF30" s="373" t="s">
        <v>1742</v>
      </c>
      <c r="EG30" s="373" t="s">
        <v>94</v>
      </c>
      <c r="EH30" s="373" t="s">
        <v>94</v>
      </c>
      <c r="EI30" s="373" t="s">
        <v>94</v>
      </c>
      <c r="EJ30" s="373" t="s">
        <v>94</v>
      </c>
      <c r="EK30" s="373" t="s">
        <v>94</v>
      </c>
      <c r="EL30" s="373" t="s">
        <v>94</v>
      </c>
      <c r="EM30" s="373" t="s">
        <v>318</v>
      </c>
      <c r="EN30" s="373" t="s">
        <v>94</v>
      </c>
      <c r="EO30" s="373" t="s">
        <v>94</v>
      </c>
      <c r="EP30" s="373" t="s">
        <v>94</v>
      </c>
      <c r="EQ30" s="373" t="s">
        <v>94</v>
      </c>
      <c r="ER30" s="373" t="s">
        <v>318</v>
      </c>
      <c r="ES30" s="373" t="s">
        <v>318</v>
      </c>
      <c r="ET30" s="373" t="s">
        <v>318</v>
      </c>
      <c r="EU30" s="373" t="s">
        <v>318</v>
      </c>
      <c r="EV30" s="373" t="s">
        <v>318</v>
      </c>
      <c r="EW30" s="373" t="s">
        <v>94</v>
      </c>
      <c r="EX30" s="373" t="s">
        <v>94</v>
      </c>
      <c r="EY30" s="373" t="s">
        <v>1742</v>
      </c>
      <c r="EZ30" s="373" t="s">
        <v>1785</v>
      </c>
      <c r="FA30" s="373" t="s">
        <v>1785</v>
      </c>
      <c r="FB30" s="373" t="s">
        <v>1785</v>
      </c>
      <c r="FC30" s="373" t="s">
        <v>1785</v>
      </c>
      <c r="FD30" s="373" t="s">
        <v>1793</v>
      </c>
      <c r="FE30" s="373" t="s">
        <v>94</v>
      </c>
      <c r="FF30" s="373"/>
      <c r="FG30" s="373"/>
      <c r="FH30" s="373"/>
      <c r="FI30" s="373"/>
      <c r="FJ30" s="373"/>
      <c r="FK30" s="373"/>
      <c r="FL30" s="373"/>
      <c r="FM30" s="373"/>
      <c r="FN30" s="373"/>
      <c r="FO30" s="373"/>
      <c r="FP30" s="373"/>
      <c r="FQ30" s="373"/>
      <c r="FR30" s="373"/>
      <c r="FS30" s="373"/>
      <c r="FT30" s="373"/>
      <c r="FU30" s="373"/>
      <c r="FV30" s="373"/>
      <c r="FW30" s="373"/>
      <c r="FX30" s="373"/>
      <c r="FY30" s="373" t="s">
        <v>94</v>
      </c>
      <c r="FZ30" s="373"/>
      <c r="GA30" s="373" t="s">
        <v>94</v>
      </c>
      <c r="GB30" s="373"/>
      <c r="GC30" s="373" t="s">
        <v>94</v>
      </c>
      <c r="GD30" s="373" t="s">
        <v>94</v>
      </c>
      <c r="GE30" s="373"/>
      <c r="GF30" s="373"/>
      <c r="GG30" s="373"/>
      <c r="GH30" s="373"/>
      <c r="GI30" s="373"/>
      <c r="GJ30" s="373" t="s">
        <v>94</v>
      </c>
      <c r="GK30" s="373" t="s">
        <v>94</v>
      </c>
      <c r="GL30" s="373"/>
      <c r="GM30" s="373"/>
      <c r="GN30" s="373"/>
      <c r="GO30" s="373"/>
      <c r="GP30" s="373"/>
      <c r="GQ30" s="373"/>
      <c r="GR30" s="373"/>
      <c r="GS30" s="373"/>
      <c r="GT30" s="373"/>
      <c r="GU30" s="373"/>
      <c r="GV30" s="373"/>
      <c r="GW30" s="373"/>
      <c r="GX30" s="373"/>
      <c r="GY30" s="373"/>
      <c r="GZ30" s="373"/>
      <c r="HA30" s="373"/>
      <c r="HB30" s="373"/>
      <c r="HC30" s="373"/>
      <c r="HD30" s="373"/>
      <c r="HE30" s="373"/>
      <c r="HF30" s="373"/>
      <c r="HG30" s="373"/>
      <c r="HH30" s="373" t="s">
        <v>94</v>
      </c>
      <c r="HI30" s="373"/>
      <c r="HJ30" s="373"/>
      <c r="HK30" s="373"/>
      <c r="HL30" s="373"/>
      <c r="HM30" s="373"/>
      <c r="HN30" s="373"/>
      <c r="HO30" s="373"/>
      <c r="HP30" s="373"/>
      <c r="HQ30" s="373"/>
      <c r="HR30" s="373"/>
      <c r="HS30" s="373"/>
      <c r="HT30" s="373" t="s">
        <v>94</v>
      </c>
      <c r="HU30" s="373"/>
      <c r="HV30" s="373"/>
      <c r="HW30" s="373"/>
      <c r="HX30" s="373"/>
      <c r="HY30" s="373"/>
      <c r="HZ30" s="373"/>
      <c r="IA30" s="373"/>
      <c r="IB30" s="373"/>
      <c r="IC30" s="373"/>
      <c r="ID30" s="373"/>
      <c r="IE30" s="373"/>
      <c r="IF30" s="373"/>
      <c r="IG30" s="373" t="s">
        <v>94</v>
      </c>
      <c r="IH30" s="373"/>
      <c r="II30" s="373" t="s">
        <v>94</v>
      </c>
      <c r="IJ30" s="373"/>
      <c r="IK30" s="373" t="s">
        <v>94</v>
      </c>
      <c r="IL30" s="373"/>
      <c r="IM30" s="373"/>
      <c r="IN30" s="373"/>
      <c r="IO30" s="373"/>
      <c r="IP30" s="373"/>
      <c r="IQ30" s="373" t="s">
        <v>94</v>
      </c>
      <c r="IR30" s="373" t="s">
        <v>94</v>
      </c>
      <c r="IS30" s="373" t="s">
        <v>94</v>
      </c>
      <c r="IT30" s="373" t="s">
        <v>94</v>
      </c>
      <c r="IU30" s="373" t="s">
        <v>94</v>
      </c>
      <c r="IV30" s="373" t="s">
        <v>94</v>
      </c>
      <c r="IW30" s="373" t="s">
        <v>94</v>
      </c>
      <c r="IX30" s="373"/>
      <c r="IY30" s="373"/>
      <c r="IZ30" s="373"/>
      <c r="JA30" s="373"/>
      <c r="JB30" s="373"/>
      <c r="JC30" s="373"/>
      <c r="JD30" s="373"/>
      <c r="JE30" s="373"/>
      <c r="JF30" s="373"/>
      <c r="JG30" s="373"/>
      <c r="JH30" s="373"/>
      <c r="JI30" s="373"/>
      <c r="JJ30" s="373"/>
      <c r="JK30" s="373"/>
      <c r="JL30" s="373"/>
      <c r="JM30" s="373"/>
      <c r="JN30" s="373"/>
      <c r="JO30" s="373"/>
      <c r="JP30" s="373"/>
      <c r="JQ30" s="373"/>
      <c r="JR30" s="373"/>
      <c r="JS30" s="373"/>
      <c r="JT30" s="373"/>
      <c r="JU30" s="373"/>
      <c r="JV30" s="373"/>
      <c r="JW30" s="373"/>
      <c r="JX30" s="373"/>
      <c r="JY30" s="373"/>
      <c r="JZ30" s="373"/>
      <c r="KA30" s="373"/>
      <c r="KB30" s="373"/>
      <c r="KC30" s="373"/>
      <c r="KD30" s="373"/>
      <c r="KE30" s="373"/>
      <c r="KF30" s="373"/>
      <c r="KG30" s="373"/>
      <c r="KH30" s="373"/>
      <c r="KI30" s="373"/>
      <c r="KJ30" s="373"/>
      <c r="KK30" s="373"/>
      <c r="KL30" s="373"/>
      <c r="KM30" s="373"/>
      <c r="KN30" s="373" t="s">
        <v>94</v>
      </c>
      <c r="KO30" s="373" t="s">
        <v>94</v>
      </c>
      <c r="KP30" s="373"/>
      <c r="KQ30" s="373"/>
      <c r="KR30" s="373" t="s">
        <v>94</v>
      </c>
      <c r="KS30" s="373"/>
      <c r="KT30" s="373"/>
      <c r="KU30" s="373"/>
      <c r="KV30" s="373"/>
      <c r="KW30" s="373"/>
      <c r="KX30" s="373" t="s">
        <v>94</v>
      </c>
      <c r="KY30" s="373"/>
      <c r="KZ30" s="373"/>
      <c r="LA30" s="373" t="s">
        <v>94</v>
      </c>
      <c r="LB30" s="373"/>
      <c r="LC30" s="373" t="s">
        <v>94</v>
      </c>
      <c r="LD30" s="373"/>
      <c r="LE30" s="373"/>
      <c r="LF30" s="373"/>
      <c r="LG30" s="373"/>
      <c r="LH30" s="373"/>
      <c r="LI30" s="373"/>
      <c r="LJ30" s="373"/>
      <c r="LK30" s="373"/>
      <c r="LL30" s="373"/>
      <c r="LM30" s="373"/>
      <c r="LN30" s="373"/>
      <c r="LO30" s="373"/>
      <c r="LP30" s="373"/>
      <c r="LQ30" s="373" t="s">
        <v>94</v>
      </c>
      <c r="LR30" s="373"/>
      <c r="LS30" s="373"/>
      <c r="LT30" s="373"/>
      <c r="LU30" s="373"/>
      <c r="LV30" s="373"/>
      <c r="LW30" s="373"/>
      <c r="LX30" s="373"/>
      <c r="LY30" s="373"/>
      <c r="LZ30" s="373"/>
      <c r="MA30" s="373" t="s">
        <v>94</v>
      </c>
      <c r="MB30" s="373"/>
      <c r="MC30" s="373"/>
      <c r="MD30" s="373"/>
      <c r="ME30" s="373"/>
      <c r="MF30" s="373"/>
      <c r="MG30" s="373"/>
      <c r="MH30" s="373"/>
      <c r="MI30" s="373"/>
      <c r="MJ30" s="373"/>
      <c r="MK30" s="373"/>
      <c r="ML30" s="373" t="s">
        <v>94</v>
      </c>
      <c r="MM30" s="373"/>
      <c r="MN30" s="373"/>
      <c r="MO30" s="373"/>
      <c r="MP30" s="373"/>
      <c r="MQ30" s="373"/>
      <c r="MR30" s="373" t="s">
        <v>94</v>
      </c>
      <c r="MS30" s="373"/>
      <c r="MT30" s="373" t="s">
        <v>94</v>
      </c>
      <c r="MU30" s="373" t="s">
        <v>94</v>
      </c>
      <c r="MV30" s="373" t="s">
        <v>94</v>
      </c>
      <c r="MW30" s="373" t="s">
        <v>94</v>
      </c>
      <c r="MX30" s="373" t="s">
        <v>94</v>
      </c>
      <c r="MY30" s="373"/>
      <c r="MZ30" s="373"/>
      <c r="NA30" s="373" t="s">
        <v>94</v>
      </c>
      <c r="NB30" s="373"/>
      <c r="NC30" s="373"/>
      <c r="ND30" s="373"/>
      <c r="NE30" s="373"/>
      <c r="NF30" s="373"/>
      <c r="NG30" s="373" t="s">
        <v>94</v>
      </c>
      <c r="NH30" s="373"/>
      <c r="NI30" s="373" t="s">
        <v>94</v>
      </c>
      <c r="NJ30" s="373" t="s">
        <v>94</v>
      </c>
      <c r="NK30" s="373"/>
      <c r="NL30" s="373" t="s">
        <v>94</v>
      </c>
      <c r="NM30" s="373"/>
      <c r="NN30" s="373" t="s">
        <v>94</v>
      </c>
      <c r="NO30" s="373" t="s">
        <v>94</v>
      </c>
      <c r="NP30" s="373" t="s">
        <v>94</v>
      </c>
      <c r="NQ30" s="373"/>
      <c r="NR30" s="373"/>
      <c r="NS30" s="373"/>
      <c r="NT30" s="373"/>
      <c r="NU30" s="373"/>
      <c r="NV30" s="373" t="s">
        <v>94</v>
      </c>
      <c r="NW30" s="373"/>
      <c r="NX30" s="373" t="s">
        <v>94</v>
      </c>
      <c r="NY30" s="373"/>
      <c r="NZ30" s="373"/>
      <c r="OA30" s="373"/>
      <c r="OB30" s="373"/>
      <c r="OC30" s="373"/>
      <c r="OD30" s="373"/>
      <c r="OE30" s="373"/>
      <c r="OF30" s="373" t="s">
        <v>94</v>
      </c>
      <c r="OG30" s="373"/>
    </row>
    <row r="31" spans="2:397">
      <c r="B31" s="363" t="s">
        <v>315</v>
      </c>
      <c r="C31" s="373"/>
      <c r="D31" s="373"/>
      <c r="E31" s="373"/>
      <c r="F31" s="373"/>
      <c r="G31" s="373"/>
      <c r="H31" s="373"/>
      <c r="I31" s="373"/>
      <c r="J31" s="373"/>
      <c r="K31" s="373"/>
      <c r="L31" s="373"/>
      <c r="M31" s="373"/>
      <c r="N31" s="373"/>
      <c r="O31" s="373"/>
      <c r="P31" s="373"/>
      <c r="Q31" s="373"/>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73"/>
      <c r="AT31" s="373"/>
      <c r="AU31" s="373"/>
      <c r="AV31" s="373"/>
      <c r="AW31" s="373"/>
      <c r="AX31" s="373"/>
      <c r="AY31" s="373"/>
      <c r="AZ31" s="373"/>
      <c r="BA31" s="373"/>
      <c r="BB31" s="373"/>
      <c r="BC31" s="373"/>
      <c r="BD31" s="373"/>
      <c r="BE31" s="373"/>
      <c r="BF31" s="373"/>
      <c r="BG31" s="373"/>
      <c r="BH31" s="373"/>
      <c r="BI31" s="373"/>
      <c r="BJ31" s="373"/>
      <c r="BK31" s="373"/>
      <c r="BL31" s="373"/>
      <c r="BM31" s="373"/>
      <c r="BN31" s="373"/>
      <c r="BO31" s="373"/>
      <c r="BP31" s="373"/>
      <c r="BQ31" s="373"/>
      <c r="BR31" s="373"/>
      <c r="BS31" s="373"/>
      <c r="BT31" s="373"/>
      <c r="BU31" s="373"/>
      <c r="BV31" s="373"/>
      <c r="BW31" s="373"/>
      <c r="BX31" s="373"/>
      <c r="BY31" s="373"/>
      <c r="BZ31" s="373"/>
      <c r="CA31" s="373"/>
      <c r="CB31" s="373"/>
      <c r="CC31" s="373"/>
      <c r="CD31" s="373"/>
      <c r="CE31" s="373"/>
      <c r="CF31" s="373"/>
      <c r="CG31" s="373"/>
      <c r="CH31" s="373"/>
      <c r="CI31" s="373"/>
      <c r="CJ31" s="373"/>
      <c r="CK31" s="373"/>
      <c r="CL31" s="373"/>
      <c r="CM31" s="373"/>
      <c r="CN31" s="373"/>
      <c r="CO31" s="373"/>
      <c r="CP31" s="373"/>
      <c r="CQ31" s="373"/>
      <c r="CR31" s="373"/>
      <c r="CS31" s="373"/>
      <c r="CT31" s="373"/>
      <c r="CU31" s="373"/>
      <c r="CV31" s="373"/>
      <c r="CW31" s="373"/>
      <c r="CX31" s="373"/>
      <c r="CY31" s="373"/>
      <c r="CZ31" s="373"/>
      <c r="DA31" s="373"/>
      <c r="DB31" s="373"/>
      <c r="DC31" s="373"/>
      <c r="DD31" s="373"/>
      <c r="DE31" s="373"/>
      <c r="DF31" s="373"/>
      <c r="DG31" s="373"/>
      <c r="DH31" s="373"/>
      <c r="DI31" s="373"/>
      <c r="DJ31" s="373"/>
      <c r="DK31" s="373"/>
      <c r="DL31" s="373"/>
      <c r="DM31" s="373"/>
      <c r="DN31" s="373"/>
      <c r="DO31" s="373"/>
      <c r="DP31" s="373"/>
      <c r="DQ31" s="373"/>
      <c r="DR31" s="373"/>
      <c r="DS31" s="373"/>
      <c r="DT31" s="373"/>
      <c r="DU31" s="373"/>
      <c r="DV31" s="373"/>
      <c r="DW31" s="373"/>
      <c r="DX31" s="373"/>
      <c r="DY31" s="373"/>
      <c r="DZ31" s="373"/>
      <c r="EA31" s="373"/>
      <c r="EB31" s="373"/>
      <c r="EC31" s="373"/>
      <c r="ED31" s="373"/>
      <c r="EE31" s="373"/>
      <c r="EF31" s="373"/>
      <c r="EG31" s="373"/>
      <c r="EH31" s="373"/>
      <c r="EI31" s="373"/>
      <c r="EJ31" s="373"/>
      <c r="EK31" s="373"/>
      <c r="EL31" s="373"/>
      <c r="EM31" s="373"/>
      <c r="EN31" s="373"/>
      <c r="EO31" s="373"/>
      <c r="EP31" s="373"/>
      <c r="EQ31" s="373"/>
      <c r="ER31" s="373"/>
      <c r="ES31" s="373"/>
      <c r="ET31" s="373"/>
      <c r="EU31" s="373"/>
      <c r="EV31" s="373"/>
      <c r="EW31" s="373"/>
      <c r="EX31" s="373"/>
      <c r="EY31" s="373"/>
      <c r="EZ31" s="373"/>
      <c r="FA31" s="373"/>
      <c r="FB31" s="373"/>
      <c r="FC31" s="373"/>
      <c r="FD31" s="373"/>
      <c r="FE31" s="373"/>
      <c r="FF31" s="373"/>
      <c r="FG31" s="373"/>
      <c r="FH31" s="373"/>
      <c r="FI31" s="373"/>
      <c r="FJ31" s="373"/>
      <c r="FK31" s="373"/>
      <c r="FL31" s="373"/>
      <c r="FM31" s="373"/>
      <c r="FN31" s="373"/>
      <c r="FO31" s="373"/>
      <c r="FP31" s="373"/>
      <c r="FQ31" s="373"/>
      <c r="FR31" s="373"/>
      <c r="FS31" s="373"/>
      <c r="FT31" s="373"/>
      <c r="FU31" s="373"/>
      <c r="FV31" s="373"/>
      <c r="FW31" s="373"/>
      <c r="FX31" s="373"/>
      <c r="FY31" s="373"/>
      <c r="FZ31" s="373"/>
      <c r="GA31" s="373"/>
      <c r="GB31" s="373"/>
      <c r="GC31" s="373"/>
      <c r="GD31" s="373"/>
      <c r="GE31" s="373"/>
      <c r="GF31" s="373"/>
      <c r="GG31" s="373"/>
      <c r="GH31" s="373"/>
      <c r="GI31" s="373"/>
      <c r="GJ31" s="373"/>
      <c r="GK31" s="373"/>
      <c r="GL31" s="373"/>
      <c r="GM31" s="373"/>
      <c r="GN31" s="373"/>
      <c r="GO31" s="373"/>
      <c r="GP31" s="373"/>
      <c r="GQ31" s="373"/>
      <c r="GR31" s="373"/>
      <c r="GS31" s="373"/>
      <c r="GT31" s="373"/>
      <c r="GU31" s="373"/>
      <c r="GV31" s="373"/>
      <c r="GW31" s="373"/>
      <c r="GX31" s="373"/>
      <c r="GY31" s="373"/>
      <c r="GZ31" s="373"/>
      <c r="HA31" s="373"/>
      <c r="HB31" s="373"/>
      <c r="HC31" s="373"/>
      <c r="HD31" s="373"/>
      <c r="HE31" s="373"/>
      <c r="HF31" s="373"/>
      <c r="HG31" s="373"/>
      <c r="HH31" s="373"/>
      <c r="HI31" s="373"/>
      <c r="HJ31" s="373"/>
      <c r="HK31" s="373"/>
      <c r="HL31" s="373"/>
      <c r="HM31" s="373"/>
      <c r="HN31" s="373"/>
      <c r="HO31" s="373"/>
      <c r="HP31" s="373"/>
      <c r="HQ31" s="373"/>
      <c r="HR31" s="373"/>
      <c r="HS31" s="373"/>
      <c r="HT31" s="373"/>
      <c r="HU31" s="373"/>
      <c r="HV31" s="373"/>
      <c r="HW31" s="373"/>
      <c r="HX31" s="373"/>
      <c r="HY31" s="373"/>
      <c r="HZ31" s="373"/>
      <c r="IA31" s="373"/>
      <c r="IB31" s="373"/>
      <c r="IC31" s="373"/>
      <c r="ID31" s="373"/>
      <c r="IE31" s="373"/>
      <c r="IF31" s="373"/>
      <c r="IG31" s="373"/>
      <c r="IH31" s="373"/>
      <c r="II31" s="373"/>
      <c r="IJ31" s="373"/>
      <c r="IK31" s="373"/>
      <c r="IL31" s="373"/>
      <c r="IM31" s="373"/>
      <c r="IN31" s="373"/>
      <c r="IO31" s="373"/>
      <c r="IP31" s="373"/>
      <c r="IQ31" s="373"/>
      <c r="IR31" s="373"/>
      <c r="IS31" s="373"/>
      <c r="IT31" s="373"/>
      <c r="IU31" s="373"/>
      <c r="IV31" s="373"/>
      <c r="IW31" s="373"/>
      <c r="IX31" s="373"/>
      <c r="IY31" s="373"/>
      <c r="IZ31" s="373"/>
      <c r="JA31" s="373"/>
      <c r="JB31" s="373"/>
      <c r="JC31" s="373"/>
      <c r="JD31" s="373"/>
      <c r="JE31" s="373"/>
      <c r="JF31" s="373"/>
      <c r="JG31" s="373"/>
      <c r="JH31" s="373"/>
      <c r="JI31" s="373"/>
      <c r="JJ31" s="373"/>
      <c r="JK31" s="373"/>
      <c r="JL31" s="373"/>
      <c r="JM31" s="373"/>
      <c r="JN31" s="373"/>
      <c r="JO31" s="373"/>
      <c r="JP31" s="373"/>
      <c r="JQ31" s="373"/>
      <c r="JR31" s="373"/>
      <c r="JS31" s="373"/>
      <c r="JT31" s="373"/>
      <c r="JU31" s="373"/>
      <c r="JV31" s="373"/>
      <c r="JW31" s="373"/>
      <c r="JX31" s="373"/>
      <c r="JY31" s="373"/>
      <c r="JZ31" s="373"/>
      <c r="KA31" s="373"/>
      <c r="KB31" s="373"/>
      <c r="KC31" s="373"/>
      <c r="KD31" s="373"/>
      <c r="KE31" s="373"/>
      <c r="KF31" s="373"/>
      <c r="KG31" s="373"/>
      <c r="KH31" s="373"/>
      <c r="KI31" s="373"/>
      <c r="KJ31" s="373"/>
      <c r="KK31" s="373"/>
      <c r="KL31" s="373"/>
      <c r="KM31" s="373"/>
      <c r="KN31" s="373"/>
      <c r="KO31" s="373"/>
      <c r="KP31" s="373"/>
      <c r="KQ31" s="373"/>
      <c r="KR31" s="373"/>
      <c r="KS31" s="373"/>
      <c r="KT31" s="373"/>
      <c r="KU31" s="373"/>
      <c r="KV31" s="373"/>
      <c r="KW31" s="373"/>
      <c r="KX31" s="373"/>
      <c r="KY31" s="373"/>
      <c r="KZ31" s="373"/>
      <c r="LA31" s="373"/>
      <c r="LB31" s="373"/>
      <c r="LC31" s="373"/>
      <c r="LD31" s="373"/>
      <c r="LE31" s="373"/>
      <c r="LF31" s="373"/>
      <c r="LG31" s="373"/>
      <c r="LH31" s="373"/>
      <c r="LI31" s="373"/>
      <c r="LJ31" s="373"/>
      <c r="LK31" s="373"/>
      <c r="LL31" s="373"/>
      <c r="LM31" s="373"/>
      <c r="LN31" s="373"/>
      <c r="LO31" s="373"/>
      <c r="LP31" s="373"/>
      <c r="LQ31" s="373"/>
      <c r="LR31" s="373"/>
      <c r="LS31" s="373"/>
      <c r="LT31" s="373"/>
      <c r="LU31" s="373"/>
      <c r="LV31" s="373"/>
      <c r="LW31" s="373"/>
      <c r="LX31" s="373"/>
      <c r="LY31" s="373"/>
      <c r="LZ31" s="373"/>
      <c r="MA31" s="373"/>
      <c r="MB31" s="373"/>
      <c r="MC31" s="373"/>
      <c r="MD31" s="373"/>
      <c r="ME31" s="373"/>
      <c r="MF31" s="373"/>
      <c r="MG31" s="373"/>
      <c r="MH31" s="373"/>
      <c r="MI31" s="373"/>
      <c r="MJ31" s="373"/>
      <c r="MK31" s="373"/>
      <c r="ML31" s="373"/>
      <c r="MM31" s="373"/>
      <c r="MN31" s="373"/>
      <c r="MO31" s="373"/>
      <c r="MP31" s="373"/>
      <c r="MQ31" s="373"/>
      <c r="MR31" s="373"/>
      <c r="MS31" s="373"/>
      <c r="MT31" s="373"/>
      <c r="MU31" s="373"/>
      <c r="MV31" s="373"/>
      <c r="MW31" s="373"/>
      <c r="MX31" s="373"/>
      <c r="MY31" s="373"/>
      <c r="MZ31" s="373"/>
      <c r="NA31" s="373"/>
      <c r="NB31" s="373"/>
      <c r="NC31" s="373"/>
      <c r="ND31" s="373"/>
      <c r="NE31" s="373"/>
      <c r="NF31" s="373"/>
      <c r="NG31" s="373"/>
      <c r="NH31" s="373"/>
      <c r="NI31" s="373"/>
      <c r="NJ31" s="373"/>
      <c r="NK31" s="373"/>
      <c r="NL31" s="373"/>
      <c r="NM31" s="373"/>
      <c r="NN31" s="373"/>
      <c r="NO31" s="373"/>
      <c r="NP31" s="373"/>
      <c r="NQ31" s="373"/>
      <c r="NR31" s="373"/>
      <c r="NS31" s="373"/>
      <c r="NT31" s="373"/>
      <c r="NU31" s="373"/>
      <c r="NV31" s="373"/>
      <c r="NW31" s="373"/>
      <c r="NX31" s="373"/>
      <c r="NY31" s="373"/>
      <c r="NZ31" s="373"/>
      <c r="OA31" s="373"/>
      <c r="OB31" s="373"/>
      <c r="OC31" s="373"/>
      <c r="OD31" s="373"/>
      <c r="OE31" s="373"/>
      <c r="OF31" s="373"/>
      <c r="OG31" s="373"/>
    </row>
    <row r="36" spans="1:63">
      <c r="A36" s="366"/>
      <c r="B36" s="366"/>
      <c r="BG36"/>
      <c r="BH36"/>
      <c r="BI36"/>
      <c r="BJ36"/>
      <c r="BK36"/>
    </row>
    <row r="37" spans="1:63">
      <c r="A37" s="366"/>
      <c r="B37" s="366"/>
      <c r="BG37"/>
      <c r="BH37"/>
      <c r="BI37"/>
      <c r="BJ37"/>
      <c r="BK37"/>
    </row>
    <row r="38" spans="1:63">
      <c r="A38" s="366"/>
      <c r="B38" s="366"/>
      <c r="BG38"/>
      <c r="BH38"/>
      <c r="BI38"/>
      <c r="BJ38"/>
      <c r="BK38"/>
    </row>
    <row r="39" spans="1:63">
      <c r="A39" s="366"/>
      <c r="B39" s="366"/>
      <c r="BG39"/>
      <c r="BH39"/>
      <c r="BI39"/>
      <c r="BJ39"/>
      <c r="BK39"/>
    </row>
    <row r="40" spans="1:63">
      <c r="A40" s="366"/>
      <c r="B40" s="366"/>
      <c r="BG40"/>
      <c r="BH40"/>
      <c r="BI40"/>
      <c r="BJ40"/>
      <c r="BK40"/>
    </row>
    <row r="41" spans="1:63" ht="15" customHeight="1">
      <c r="A41" s="366"/>
      <c r="B41" s="366"/>
      <c r="BG41"/>
      <c r="BH41"/>
      <c r="BI41"/>
      <c r="BJ41"/>
      <c r="BK41"/>
    </row>
    <row r="42" spans="1:63" ht="15" customHeight="1">
      <c r="A42" s="366"/>
      <c r="B42" s="366"/>
      <c r="BG42"/>
      <c r="BH42"/>
      <c r="BI42"/>
      <c r="BJ42"/>
      <c r="BK42"/>
    </row>
    <row r="43" spans="1:63" ht="15" customHeight="1">
      <c r="A43" s="366"/>
      <c r="B43" s="366"/>
      <c r="BG43"/>
      <c r="BH43"/>
      <c r="BI43"/>
      <c r="BJ43"/>
      <c r="BK43"/>
    </row>
    <row r="44" spans="1:63" ht="15" customHeight="1">
      <c r="A44" s="366"/>
      <c r="B44" s="366"/>
      <c r="BG44"/>
      <c r="BH44"/>
      <c r="BI44"/>
      <c r="BJ44"/>
      <c r="BK44"/>
    </row>
    <row r="45" spans="1:63" ht="15" customHeight="1">
      <c r="A45" s="366"/>
      <c r="B45" s="366"/>
      <c r="BG45"/>
      <c r="BH45"/>
      <c r="BI45"/>
      <c r="BJ45"/>
      <c r="BK45"/>
    </row>
    <row r="46" spans="1:63">
      <c r="A46" s="366"/>
      <c r="B46" s="366"/>
      <c r="BG46"/>
      <c r="BH46"/>
      <c r="BI46"/>
      <c r="BJ46"/>
      <c r="BK46"/>
    </row>
    <row r="47" spans="1:63">
      <c r="A47" s="366"/>
      <c r="B47" s="366"/>
      <c r="BG47"/>
      <c r="BH47"/>
      <c r="BI47"/>
      <c r="BJ47"/>
      <c r="BK47"/>
    </row>
    <row r="48" spans="1:63">
      <c r="A48" s="366"/>
      <c r="B48" s="366"/>
      <c r="BG48"/>
      <c r="BH48"/>
      <c r="BI48"/>
      <c r="BJ48"/>
      <c r="BK48"/>
    </row>
    <row r="49" spans="1:63">
      <c r="A49" s="366"/>
      <c r="B49" s="366"/>
      <c r="BG49"/>
      <c r="BH49"/>
      <c r="BI49"/>
      <c r="BJ49"/>
      <c r="BK49"/>
    </row>
  </sheetData>
  <phoneticPr fontId="9" type="noConversion"/>
  <conditionalFormatting sqref="C8:OG8">
    <cfRule type="containsBlanks" dxfId="137" priority="1">
      <formula>LEN(TRIM(C8))=0</formula>
    </cfRule>
  </conditionalFormatting>
  <conditionalFormatting sqref="C11:OG11 C13:OG20 C21:IQ22 IR21:MW23 MX21:OG24 EV23:IQ23 C23:EU27 EV24:MW24 EV25:OG30 C28:CZ28 DA28:EU30 C29:BY30 CB29:CZ30">
    <cfRule type="containsBlanks" dxfId="136" priority="2">
      <formula>LEN(TRIM(C11))=0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9181D-F43E-4E79-8A9E-3C0DC66DA6B1}">
  <sheetPr codeName="Feuil25">
    <tabColor theme="9" tint="0.39997558519241921"/>
  </sheetPr>
  <dimension ref="A4:S46"/>
  <sheetViews>
    <sheetView showGridLines="0" showRowColHeaders="0" zoomScale="123" zoomScaleNormal="123" workbookViewId="0">
      <selection activeCell="H16" sqref="H16"/>
    </sheetView>
  </sheetViews>
  <sheetFormatPr baseColWidth="10" defaultRowHeight="14.4"/>
  <cols>
    <col min="2" max="2" width="12.33203125" customWidth="1"/>
    <col min="3" max="3" width="4" customWidth="1"/>
    <col min="4" max="4" width="20.6640625" customWidth="1"/>
    <col min="5" max="5" width="14.33203125" customWidth="1"/>
    <col min="6" max="7" width="1.44140625" customWidth="1"/>
    <col min="8" max="11" width="14.33203125" customWidth="1"/>
    <col min="12" max="12" width="21.44140625" customWidth="1"/>
    <col min="13" max="13" width="14.33203125" customWidth="1"/>
    <col min="14" max="15" width="1.44140625" customWidth="1"/>
    <col min="16" max="20" width="14.33203125" customWidth="1"/>
  </cols>
  <sheetData>
    <row r="4" spans="2:19">
      <c r="Q4" s="2"/>
      <c r="R4" s="3"/>
      <c r="S4" s="4"/>
    </row>
    <row r="5" spans="2:19">
      <c r="B5" s="1">
        <f ca="1">TODAY()</f>
        <v>46023</v>
      </c>
    </row>
    <row r="12" spans="2:19">
      <c r="H12" s="366"/>
      <c r="I12" s="366"/>
      <c r="J12" s="366"/>
      <c r="K12" s="366"/>
      <c r="L12" s="366"/>
    </row>
    <row r="13" spans="2:19" ht="15.75" customHeight="1" thickBot="1">
      <c r="D13" s="922" t="s">
        <v>1380</v>
      </c>
      <c r="E13" s="922"/>
      <c r="F13" s="361"/>
      <c r="G13" s="359"/>
      <c r="H13" s="436" t="s">
        <v>1381</v>
      </c>
      <c r="I13" s="437" t="s">
        <v>1382</v>
      </c>
      <c r="J13" s="437" t="s">
        <v>1383</v>
      </c>
      <c r="K13" s="436" t="s">
        <v>1384</v>
      </c>
      <c r="L13" s="366"/>
    </row>
    <row r="14" spans="2:19">
      <c r="D14" s="136"/>
      <c r="E14" s="136"/>
      <c r="F14" s="136"/>
      <c r="G14" s="136"/>
      <c r="H14" s="136"/>
      <c r="I14" s="136"/>
      <c r="J14" s="136"/>
      <c r="K14" s="136"/>
      <c r="L14" s="366"/>
    </row>
    <row r="15" spans="2:19">
      <c r="D15" s="928"/>
      <c r="E15" s="928"/>
      <c r="F15" s="136"/>
      <c r="G15" s="136"/>
      <c r="H15" s="136"/>
      <c r="I15" s="136"/>
      <c r="J15" s="136"/>
      <c r="K15" s="136"/>
    </row>
    <row r="16" spans="2:19" ht="15" thickBot="1">
      <c r="D16" s="929" t="s">
        <v>1386</v>
      </c>
      <c r="E16" s="929"/>
      <c r="F16" s="361"/>
      <c r="G16" s="359"/>
      <c r="H16" s="425"/>
      <c r="I16" s="136"/>
      <c r="J16" s="136"/>
      <c r="K16" s="136"/>
    </row>
    <row r="17" spans="1:18" ht="7.5" customHeight="1" thickBot="1">
      <c r="D17" s="424"/>
      <c r="E17" s="424"/>
      <c r="F17" s="424"/>
      <c r="G17" s="424"/>
      <c r="H17" s="424"/>
      <c r="I17" s="424"/>
      <c r="J17" s="136"/>
      <c r="K17" s="136"/>
    </row>
    <row r="18" spans="1:18" ht="15" thickBot="1">
      <c r="D18" s="929" t="s">
        <v>1385</v>
      </c>
      <c r="E18" s="929"/>
      <c r="F18" s="361"/>
      <c r="G18" s="359"/>
      <c r="H18" s="425"/>
      <c r="I18" s="136"/>
      <c r="J18" s="136"/>
      <c r="K18" s="136"/>
    </row>
    <row r="19" spans="1:18" ht="7.5" customHeight="1"/>
    <row r="22" spans="1:18">
      <c r="D22" s="930" t="s">
        <v>1387</v>
      </c>
      <c r="E22" s="930"/>
      <c r="F22" s="930"/>
      <c r="G22" s="930"/>
      <c r="H22" s="930"/>
      <c r="I22" s="930"/>
      <c r="J22" s="930"/>
      <c r="K22" s="426"/>
      <c r="L22" s="930" t="s">
        <v>1388</v>
      </c>
      <c r="M22" s="930"/>
      <c r="N22" s="930"/>
      <c r="O22" s="930"/>
      <c r="P22" s="930"/>
      <c r="Q22" s="930"/>
      <c r="R22" s="930"/>
    </row>
    <row r="24" spans="1:18" ht="15.75" customHeight="1" thickBot="1">
      <c r="D24" s="926" t="s">
        <v>1392</v>
      </c>
      <c r="E24" s="926"/>
      <c r="F24" s="361"/>
      <c r="H24" t="s">
        <v>1390</v>
      </c>
      <c r="I24" s="927"/>
      <c r="J24" s="927"/>
      <c r="L24" s="926" t="s">
        <v>1437</v>
      </c>
      <c r="M24" s="926"/>
      <c r="N24" s="361"/>
      <c r="P24" t="s">
        <v>1390</v>
      </c>
      <c r="Q24" s="927"/>
      <c r="R24" s="927"/>
    </row>
    <row r="25" spans="1:18" ht="7.5" customHeight="1" thickBot="1">
      <c r="D25" s="926"/>
      <c r="E25" s="926"/>
      <c r="F25" s="361"/>
      <c r="I25" s="427"/>
      <c r="J25" s="427"/>
      <c r="L25" s="926"/>
      <c r="M25" s="926"/>
      <c r="N25" s="361"/>
      <c r="Q25" s="427"/>
      <c r="R25" s="427"/>
    </row>
    <row r="26" spans="1:18" ht="15" thickBot="1">
      <c r="D26" s="926"/>
      <c r="E26" s="926"/>
      <c r="F26" s="361"/>
      <c r="H26" t="s">
        <v>1391</v>
      </c>
      <c r="I26" s="927"/>
      <c r="J26" s="927"/>
      <c r="L26" s="926"/>
      <c r="M26" s="926"/>
      <c r="N26" s="361"/>
      <c r="P26" t="s">
        <v>1391</v>
      </c>
      <c r="Q26" s="927"/>
      <c r="R26" s="927"/>
    </row>
    <row r="28" spans="1:18" ht="15" thickBot="1">
      <c r="A28" s="42"/>
      <c r="B28" s="42"/>
      <c r="C28" s="42"/>
      <c r="D28" s="42"/>
      <c r="E28" s="42"/>
      <c r="F28" s="42"/>
      <c r="G28" s="42"/>
      <c r="H28" s="42"/>
      <c r="I28" s="42"/>
      <c r="J28" s="42"/>
      <c r="K28" s="42"/>
      <c r="L28" s="926" t="s">
        <v>1465</v>
      </c>
      <c r="M28" s="926"/>
      <c r="N28" s="361"/>
      <c r="P28" t="s">
        <v>1390</v>
      </c>
      <c r="Q28" s="927"/>
      <c r="R28" s="927"/>
    </row>
    <row r="29" spans="1:18" ht="7.5" customHeight="1" thickBot="1">
      <c r="A29" s="42"/>
      <c r="B29" s="42"/>
      <c r="C29" s="42"/>
      <c r="D29" s="42"/>
      <c r="E29" s="42"/>
      <c r="F29" s="42"/>
      <c r="G29" s="42"/>
      <c r="H29" s="42"/>
      <c r="I29" s="42"/>
      <c r="J29" s="42"/>
      <c r="K29" s="42"/>
      <c r="L29" s="926"/>
      <c r="M29" s="926"/>
      <c r="N29" s="361"/>
      <c r="Q29" s="427"/>
      <c r="R29" s="427"/>
    </row>
    <row r="30" spans="1:18" ht="15" thickBot="1">
      <c r="A30" s="42"/>
      <c r="B30" s="42"/>
      <c r="C30" s="42"/>
      <c r="D30" s="42"/>
      <c r="E30" s="42"/>
      <c r="F30" s="42"/>
      <c r="G30" s="42"/>
      <c r="H30" s="42"/>
      <c r="I30" s="42"/>
      <c r="J30" s="42"/>
      <c r="K30" s="42"/>
      <c r="L30" s="926"/>
      <c r="M30" s="926"/>
      <c r="N30" s="361"/>
      <c r="P30" t="s">
        <v>1391</v>
      </c>
      <c r="Q30" s="927"/>
      <c r="R30" s="927"/>
    </row>
    <row r="31" spans="1:18">
      <c r="A31" s="42"/>
      <c r="B31" s="42"/>
      <c r="C31" s="42"/>
      <c r="D31" s="42"/>
      <c r="E31" s="42"/>
      <c r="F31" s="42"/>
      <c r="G31" s="42"/>
      <c r="H31" s="42"/>
      <c r="I31" s="42"/>
      <c r="J31" s="42"/>
      <c r="K31" s="42"/>
      <c r="L31" s="42"/>
      <c r="M31" s="42"/>
      <c r="N31" s="42"/>
      <c r="O31" s="42"/>
      <c r="P31" s="42"/>
      <c r="Q31" s="42"/>
      <c r="R31" s="42"/>
    </row>
    <row r="32" spans="1:18">
      <c r="A32" s="42"/>
      <c r="B32" s="42"/>
      <c r="C32" s="42"/>
      <c r="D32" s="42"/>
      <c r="E32" s="42"/>
      <c r="F32" s="42"/>
      <c r="G32" s="42"/>
      <c r="H32" s="42"/>
      <c r="I32" s="42"/>
      <c r="J32" s="42"/>
      <c r="K32" s="42"/>
      <c r="L32" s="42"/>
      <c r="M32" s="42"/>
      <c r="N32" s="42"/>
      <c r="O32" s="42"/>
      <c r="P32" s="42"/>
      <c r="Q32" s="42"/>
      <c r="R32" s="42"/>
    </row>
    <row r="33" spans="1:18">
      <c r="A33" s="42"/>
      <c r="B33" s="42"/>
      <c r="C33" s="42"/>
      <c r="D33" s="42"/>
      <c r="E33" s="42"/>
      <c r="F33" s="42"/>
      <c r="G33" s="42"/>
      <c r="H33" s="42"/>
      <c r="I33" s="42"/>
      <c r="J33" s="42"/>
      <c r="K33" s="42"/>
      <c r="N33" s="42"/>
      <c r="O33" s="42"/>
      <c r="P33" s="42"/>
      <c r="Q33" s="42"/>
      <c r="R33" s="42"/>
    </row>
    <row r="34" spans="1:18">
      <c r="A34" s="42"/>
      <c r="B34" s="42"/>
      <c r="C34" s="42"/>
      <c r="D34" s="42"/>
      <c r="E34" s="42"/>
      <c r="F34" s="42"/>
      <c r="G34" s="42"/>
      <c r="H34" s="42"/>
      <c r="I34" s="42"/>
      <c r="J34" s="42"/>
      <c r="K34" s="42"/>
      <c r="N34" s="42"/>
      <c r="O34" s="42"/>
      <c r="P34" s="42"/>
      <c r="Q34" s="42"/>
      <c r="R34" s="42"/>
    </row>
    <row r="35" spans="1:18">
      <c r="A35" s="42"/>
      <c r="B35" s="42"/>
      <c r="C35" s="42"/>
      <c r="D35" s="42"/>
      <c r="E35" s="42"/>
      <c r="F35" s="42"/>
      <c r="G35" s="42"/>
      <c r="H35" s="42"/>
      <c r="I35" s="42"/>
      <c r="J35" s="42"/>
      <c r="K35" s="42"/>
      <c r="N35" s="42"/>
      <c r="O35" s="42"/>
      <c r="P35" s="42"/>
      <c r="Q35" s="42"/>
      <c r="R35" s="42"/>
    </row>
    <row r="38" spans="1:18">
      <c r="F38" s="35"/>
      <c r="G38" s="36"/>
      <c r="H38" s="36"/>
    </row>
    <row r="39" spans="1:18">
      <c r="F39" s="35"/>
      <c r="G39" s="36"/>
      <c r="H39" s="36"/>
    </row>
    <row r="40" spans="1:18">
      <c r="F40" s="35"/>
      <c r="G40" s="36"/>
      <c r="H40" s="36"/>
    </row>
    <row r="41" spans="1:18">
      <c r="F41" s="35"/>
      <c r="G41" s="36"/>
      <c r="H41" s="36"/>
    </row>
    <row r="42" spans="1:18">
      <c r="K42" s="37"/>
      <c r="L42" s="37"/>
    </row>
    <row r="43" spans="1:18">
      <c r="K43" s="37"/>
      <c r="L43" s="37"/>
    </row>
    <row r="44" spans="1:18">
      <c r="K44" s="37"/>
      <c r="L44" s="37"/>
    </row>
    <row r="45" spans="1:18">
      <c r="K45" s="37"/>
      <c r="L45" s="37"/>
    </row>
    <row r="46" spans="1:18">
      <c r="K46" s="37"/>
      <c r="L46" s="37"/>
    </row>
  </sheetData>
  <sheetProtection selectLockedCells="1"/>
  <mergeCells count="15">
    <mergeCell ref="L24:M26"/>
    <mergeCell ref="Q28:R28"/>
    <mergeCell ref="L28:M30"/>
    <mergeCell ref="Q26:R26"/>
    <mergeCell ref="D13:E13"/>
    <mergeCell ref="D15:E15"/>
    <mergeCell ref="D18:E18"/>
    <mergeCell ref="D16:E16"/>
    <mergeCell ref="D22:J22"/>
    <mergeCell ref="L22:R22"/>
    <mergeCell ref="D24:E26"/>
    <mergeCell ref="I24:J24"/>
    <mergeCell ref="I26:J26"/>
    <mergeCell ref="Q24:R24"/>
    <mergeCell ref="Q30:R30"/>
  </mergeCells>
  <conditionalFormatting sqref="H16 H18">
    <cfRule type="cellIs" dxfId="134" priority="13" operator="equal">
      <formula>""</formula>
    </cfRule>
  </conditionalFormatting>
  <conditionalFormatting sqref="I24">
    <cfRule type="cellIs" dxfId="132" priority="10" operator="equal">
      <formula>""</formula>
    </cfRule>
  </conditionalFormatting>
  <conditionalFormatting sqref="I26">
    <cfRule type="cellIs" dxfId="131" priority="9" operator="equal">
      <formula>""</formula>
    </cfRule>
  </conditionalFormatting>
  <conditionalFormatting sqref="Q24">
    <cfRule type="cellIs" dxfId="128" priority="6" operator="equal">
      <formula>""</formula>
    </cfRule>
  </conditionalFormatting>
  <conditionalFormatting sqref="Q26">
    <cfRule type="cellIs" dxfId="127" priority="1" operator="equal">
      <formula>""</formula>
    </cfRule>
  </conditionalFormatting>
  <conditionalFormatting sqref="Q28">
    <cfRule type="cellIs" dxfId="126" priority="3" operator="equal">
      <formula>""</formula>
    </cfRule>
  </conditionalFormatting>
  <conditionalFormatting sqref="Q30">
    <cfRule type="cellIs" dxfId="125" priority="5" operator="equal">
      <formula>""</formula>
    </cfRule>
  </conditionalFormatting>
  <conditionalFormatting sqref="S4">
    <cfRule type="expression" dxfId="124" priority="20">
      <formula>$B$5-$S$4&gt;7</formula>
    </cfRule>
  </conditionalFormatting>
  <pageMargins left="0.7" right="0.7" top="0.75" bottom="0.75" header="0.3" footer="0.3"/>
  <pageSetup paperSize="9" orientation="portrait" verticalDpi="0"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8" id="{918B19A2-0892-45ED-AEDE-7B9259F4692F}">
            <xm:f>OR('CT à Transf'!K12=Données!H50,'CT à Transf'!K12=Données!H52,'CT à Transf'!K12=Données!H53,'CT à Transf'!K12=Données!H56)</xm:f>
            <x14:dxf>
              <font>
                <b/>
                <i val="0"/>
                <color theme="0"/>
              </font>
              <fill>
                <patternFill>
                  <bgColor theme="5" tint="0.39994506668294322"/>
                </patternFill>
              </fill>
            </x14:dxf>
          </x14:cfRule>
          <xm:sqref>H13</xm:sqref>
        </x14:conditionalFormatting>
        <x14:conditionalFormatting xmlns:xm="http://schemas.microsoft.com/office/excel/2006/main">
          <x14:cfRule type="expression" priority="17" id="{11800E8A-8525-4C57-A8A5-97C5C5858640}">
            <xm:f>'CT à Transf'!K12=Données!H54</xm:f>
            <x14:dxf>
              <font>
                <b/>
                <i val="0"/>
                <color theme="0"/>
              </font>
              <fill>
                <patternFill>
                  <bgColor theme="5" tint="0.39994506668294322"/>
                </patternFill>
              </fill>
            </x14:dxf>
          </x14:cfRule>
          <xm:sqref>I13</xm:sqref>
        </x14:conditionalFormatting>
        <x14:conditionalFormatting xmlns:xm="http://schemas.microsoft.com/office/excel/2006/main">
          <x14:cfRule type="expression" priority="15" id="{904B058C-493D-4A15-A0B1-8E412A3F43A4}">
            <xm:f>'CT à Transf'!K12=Données!H57</xm:f>
            <x14:dxf>
              <font>
                <b/>
                <i val="0"/>
                <color theme="0"/>
              </font>
              <fill>
                <patternFill>
                  <bgColor theme="5" tint="0.39994506668294322"/>
                </patternFill>
              </fill>
            </x14:dxf>
          </x14:cfRule>
          <xm:sqref>J13</xm:sqref>
        </x14:conditionalFormatting>
        <x14:conditionalFormatting xmlns:xm="http://schemas.microsoft.com/office/excel/2006/main">
          <x14:cfRule type="expression" priority="14" id="{DB46FBB3-E413-4924-9A7F-04847A315D61}">
            <xm:f>OR('CT à Transf'!K12=Données!H51,'CT à Transf'!K12=Données!H55)</xm:f>
            <x14:dxf>
              <font>
                <b/>
                <i val="0"/>
                <color theme="0"/>
              </font>
              <fill>
                <patternFill>
                  <bgColor theme="5" tint="0.39994506668294322"/>
                </patternFill>
              </fill>
            </x14:dxf>
          </x14:cfRule>
          <xm:sqref>K13</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D2DB-4150-4646-B46F-02A7116F9D2F}">
  <sheetPr codeName="Feuil31">
    <tabColor theme="9" tint="0.39997558519241921"/>
  </sheetPr>
  <dimension ref="B4:X39"/>
  <sheetViews>
    <sheetView showGridLines="0" showRowColHeaders="0" zoomScale="123" zoomScaleNormal="123" workbookViewId="0">
      <selection activeCell="I9" sqref="I9"/>
    </sheetView>
  </sheetViews>
  <sheetFormatPr baseColWidth="10" defaultRowHeight="14.4"/>
  <cols>
    <col min="2" max="2" width="12.33203125" customWidth="1"/>
    <col min="3" max="3" width="4" customWidth="1"/>
    <col min="4" max="4" width="3.109375" bestFit="1" customWidth="1"/>
    <col min="5" max="5" width="11.44140625" bestFit="1" customWidth="1"/>
    <col min="6" max="6" width="34.88671875" customWidth="1"/>
    <col min="7" max="7" width="3.5546875" bestFit="1" customWidth="1"/>
    <col min="8" max="8" width="4" bestFit="1" customWidth="1"/>
    <col min="9" max="10" width="14.33203125" customWidth="1"/>
    <col min="11" max="11" width="6.109375" customWidth="1"/>
    <col min="12" max="12" width="3.109375" customWidth="1"/>
    <col min="13" max="13" width="11.44140625" customWidth="1"/>
    <col min="14" max="14" width="34.88671875" customWidth="1"/>
    <col min="15" max="15" width="3.5546875" customWidth="1"/>
    <col min="16" max="16" width="4" customWidth="1"/>
    <col min="17" max="20" width="14.33203125" customWidth="1"/>
  </cols>
  <sheetData>
    <row r="4" spans="2:19">
      <c r="Q4" s="2"/>
      <c r="R4" s="3"/>
      <c r="S4" s="4"/>
    </row>
    <row r="5" spans="2:19">
      <c r="B5" s="1">
        <f ca="1">TODAY()</f>
        <v>46023</v>
      </c>
    </row>
    <row r="9" spans="2:19">
      <c r="I9" s="516" t="b">
        <v>0</v>
      </c>
      <c r="J9" s="573" t="b">
        <v>0</v>
      </c>
    </row>
    <row r="10" spans="2:19">
      <c r="I10" s="516" t="b">
        <v>0</v>
      </c>
      <c r="J10" s="573" t="b">
        <v>0</v>
      </c>
      <c r="Q10" s="366"/>
      <c r="R10" s="366"/>
    </row>
    <row r="11" spans="2:19">
      <c r="Q11" s="366"/>
      <c r="R11" s="366"/>
    </row>
    <row r="12" spans="2:19">
      <c r="Q12" s="462" t="s">
        <v>1442</v>
      </c>
      <c r="R12" s="462" t="s">
        <v>1441</v>
      </c>
    </row>
    <row r="13" spans="2:19" ht="15.75" customHeight="1" thickBot="1">
      <c r="D13" s="933" t="s">
        <v>1393</v>
      </c>
      <c r="E13" s="933"/>
      <c r="F13" s="933"/>
      <c r="G13" s="380"/>
      <c r="H13" s="465"/>
      <c r="I13" s="428"/>
      <c r="J13" s="366"/>
      <c r="K13" s="366"/>
      <c r="L13" s="934" t="s">
        <v>1487</v>
      </c>
      <c r="M13" s="934"/>
      <c r="N13" s="934"/>
      <c r="O13" s="459"/>
      <c r="Q13" s="460" t="e">
        <f>IF(Q15="",IF('CT à Transf'!R31/'CT à Transf'!K23=0,IF(ISNUMBER('CT à Transf'!R27),IF('CT à Transf'!R27=3%,'TGF05'!N2,'TGF05'!N2/(1-3%+'CT à Transf'!R27)),'TGF05'!N2/(1-3%)),'CT à Transf'!R31/'CT à Transf'!K23),Q15)</f>
        <v>#DIV/0!</v>
      </c>
      <c r="R13" s="460" t="e">
        <f ca="1">IF(R15="",'TGF05'!N2/(1-3%),R15)</f>
        <v>#N/A</v>
      </c>
    </row>
    <row r="14" spans="2:19" ht="7.5" customHeight="1">
      <c r="D14" s="508"/>
      <c r="E14" s="508"/>
      <c r="F14" s="508"/>
      <c r="G14" s="380"/>
      <c r="H14" s="380"/>
      <c r="I14" s="366"/>
      <c r="J14" s="366"/>
      <c r="K14" s="366"/>
      <c r="L14" s="366"/>
    </row>
    <row r="15" spans="2:19" ht="15.75" customHeight="1" thickBot="1">
      <c r="D15" s="933" t="s">
        <v>1395</v>
      </c>
      <c r="E15" s="933"/>
      <c r="F15" s="933"/>
      <c r="G15" s="380"/>
      <c r="H15" s="465"/>
      <c r="I15" s="425"/>
      <c r="J15" s="136"/>
      <c r="K15" s="136"/>
      <c r="M15" s="461"/>
      <c r="N15" s="463" t="s">
        <v>1486</v>
      </c>
      <c r="O15" s="459"/>
      <c r="Q15" s="506"/>
      <c r="R15" s="506"/>
    </row>
    <row r="16" spans="2:19" ht="7.5" customHeight="1" thickBot="1">
      <c r="D16" s="507"/>
      <c r="E16" s="507"/>
      <c r="F16" s="507"/>
      <c r="G16" s="380"/>
      <c r="H16" s="380"/>
      <c r="I16" s="424"/>
      <c r="J16" s="424"/>
      <c r="K16" s="136"/>
    </row>
    <row r="17" spans="4:24" ht="15.75" customHeight="1">
      <c r="D17" s="937" t="s">
        <v>1445</v>
      </c>
      <c r="E17" s="937"/>
      <c r="F17" s="937"/>
      <c r="G17" s="380"/>
      <c r="H17" s="465"/>
      <c r="K17" s="136"/>
    </row>
    <row r="18" spans="4:24" ht="7.5" customHeight="1" thickBot="1">
      <c r="D18" s="509"/>
      <c r="E18" s="510"/>
      <c r="F18" s="510"/>
      <c r="G18" s="380"/>
      <c r="H18" s="380"/>
    </row>
    <row r="19" spans="4:24" ht="15.75" customHeight="1" thickBot="1">
      <c r="D19" s="937" t="s">
        <v>1444</v>
      </c>
      <c r="E19" s="937"/>
      <c r="F19" s="937"/>
      <c r="G19" s="359"/>
      <c r="H19" s="464"/>
      <c r="L19" s="936" t="s">
        <v>1443</v>
      </c>
      <c r="M19" s="936"/>
      <c r="N19" s="936"/>
      <c r="O19" s="511"/>
      <c r="Q19" s="512">
        <v>80</v>
      </c>
      <c r="R19" s="512">
        <v>90</v>
      </c>
    </row>
    <row r="20" spans="4:24" ht="15.75" customHeight="1" thickBot="1">
      <c r="T20" s="359"/>
      <c r="U20" s="359"/>
      <c r="V20" s="359"/>
      <c r="W20" s="359"/>
      <c r="X20" s="359"/>
    </row>
    <row r="21" spans="4:24">
      <c r="D21" s="930" t="s">
        <v>1390</v>
      </c>
      <c r="E21" s="930"/>
      <c r="F21" s="930"/>
      <c r="G21" s="930"/>
      <c r="H21" s="930"/>
      <c r="I21" s="930"/>
      <c r="J21" s="930"/>
      <c r="K21" s="426"/>
      <c r="L21" s="930" t="s">
        <v>1391</v>
      </c>
      <c r="M21" s="930"/>
      <c r="N21" s="930"/>
      <c r="O21" s="930"/>
      <c r="P21" s="930"/>
      <c r="Q21" s="930"/>
      <c r="R21" s="930"/>
    </row>
    <row r="24" spans="4:24" ht="15" customHeight="1">
      <c r="D24" s="935" t="s">
        <v>1396</v>
      </c>
      <c r="E24" s="904" t="s">
        <v>1399</v>
      </c>
      <c r="F24" s="904"/>
      <c r="G24" s="400">
        <f>'CT à Transf'!P31</f>
        <v>0</v>
      </c>
      <c r="H24" s="392" t="s">
        <v>51</v>
      </c>
      <c r="I24" s="430" t="s">
        <v>1407</v>
      </c>
      <c r="J24" s="439" t="e">
        <f ca="1">'Sit 1'!O13</f>
        <v>#DIV/0!</v>
      </c>
      <c r="L24" s="935" t="s">
        <v>1396</v>
      </c>
      <c r="M24" s="904" t="s">
        <v>1399</v>
      </c>
      <c r="N24" s="904"/>
      <c r="O24" s="400">
        <f>G24</f>
        <v>0</v>
      </c>
      <c r="P24" s="392" t="s">
        <v>51</v>
      </c>
      <c r="Q24" s="430" t="s">
        <v>1407</v>
      </c>
      <c r="R24" s="439" t="e">
        <f ca="1">'Sit 2'!O13</f>
        <v>#N/A</v>
      </c>
    </row>
    <row r="25" spans="4:24">
      <c r="D25" s="935"/>
      <c r="E25" s="172"/>
      <c r="F25" s="172"/>
      <c r="G25" s="392"/>
      <c r="H25" s="392"/>
      <c r="I25" s="430" t="s">
        <v>1408</v>
      </c>
      <c r="J25" s="439" t="e">
        <f ca="1">'Sit 1'!O14</f>
        <v>#DIV/0!</v>
      </c>
      <c r="L25" s="935"/>
      <c r="M25" s="172"/>
      <c r="N25" s="172"/>
      <c r="O25" s="392"/>
      <c r="P25" s="392"/>
      <c r="Q25" s="430" t="s">
        <v>1408</v>
      </c>
      <c r="R25" s="439" t="e">
        <f ca="1">'Sit 2'!O14</f>
        <v>#N/A</v>
      </c>
    </row>
    <row r="26" spans="4:24" ht="15" thickBot="1">
      <c r="D26" s="935"/>
      <c r="E26" s="172"/>
      <c r="F26" s="172"/>
      <c r="G26" s="392"/>
      <c r="H26" s="392"/>
      <c r="I26" s="431" t="s">
        <v>1409</v>
      </c>
      <c r="J26" s="438">
        <f ca="1">'Sit 1'!O15</f>
        <v>0</v>
      </c>
      <c r="L26" s="935"/>
      <c r="M26" s="172"/>
      <c r="N26" s="172"/>
      <c r="O26" s="392"/>
      <c r="P26" s="392"/>
      <c r="Q26" s="431" t="s">
        <v>1409</v>
      </c>
      <c r="R26" s="438">
        <f ca="1">'Sit 2'!O15</f>
        <v>0</v>
      </c>
    </row>
    <row r="27" spans="4:24" ht="15" thickTop="1">
      <c r="D27" s="935"/>
      <c r="E27" s="932" t="s">
        <v>1412</v>
      </c>
      <c r="F27" s="932"/>
      <c r="G27" s="932"/>
      <c r="H27" s="932"/>
      <c r="I27" s="172"/>
      <c r="J27" s="172"/>
      <c r="L27" s="935"/>
      <c r="M27" s="932" t="s">
        <v>1412</v>
      </c>
      <c r="N27" s="932"/>
      <c r="O27" s="932"/>
      <c r="P27" s="932"/>
      <c r="Q27" s="172"/>
      <c r="R27" s="172"/>
    </row>
    <row r="28" spans="4:24" ht="15" thickBot="1">
      <c r="D28" s="935"/>
      <c r="E28" s="429" t="s">
        <v>1397</v>
      </c>
      <c r="F28" s="429" t="s">
        <v>1398</v>
      </c>
      <c r="G28" s="466">
        <f>$Q$19</f>
        <v>80</v>
      </c>
      <c r="H28" s="392" t="s">
        <v>51</v>
      </c>
      <c r="I28" s="431" t="s">
        <v>1410</v>
      </c>
      <c r="J28" s="438">
        <f ca="1">'Sit 1'!Q14</f>
        <v>0</v>
      </c>
      <c r="L28" s="935"/>
      <c r="M28" s="429" t="s">
        <v>1397</v>
      </c>
      <c r="N28" s="429" t="s">
        <v>1398</v>
      </c>
      <c r="O28" s="466">
        <f>$Q$19</f>
        <v>80</v>
      </c>
      <c r="P28" s="392" t="s">
        <v>51</v>
      </c>
      <c r="Q28" s="431" t="s">
        <v>1410</v>
      </c>
      <c r="R28" s="438">
        <f ca="1">'Sit 2'!Q14</f>
        <v>0</v>
      </c>
    </row>
    <row r="29" spans="4:24" ht="15.6" thickTop="1" thickBot="1">
      <c r="D29" s="935"/>
      <c r="E29" s="429" t="s">
        <v>1400</v>
      </c>
      <c r="F29" s="429" t="s">
        <v>1398</v>
      </c>
      <c r="G29" s="466">
        <f>$R$19</f>
        <v>90</v>
      </c>
      <c r="H29" s="392" t="s">
        <v>51</v>
      </c>
      <c r="I29" s="431" t="s">
        <v>1410</v>
      </c>
      <c r="J29" s="438">
        <f>'Sit 1'!Q15</f>
        <v>0</v>
      </c>
      <c r="L29" s="935"/>
      <c r="M29" s="429" t="s">
        <v>1400</v>
      </c>
      <c r="N29" s="429" t="s">
        <v>1398</v>
      </c>
      <c r="O29" s="466">
        <f>$R$19</f>
        <v>90</v>
      </c>
      <c r="P29" s="392" t="s">
        <v>51</v>
      </c>
      <c r="Q29" s="431" t="s">
        <v>1410</v>
      </c>
      <c r="R29" s="438">
        <f>'Sit 2'!Q15</f>
        <v>0</v>
      </c>
    </row>
    <row r="30" spans="4:24" ht="15.6" thickTop="1" thickBot="1">
      <c r="D30" s="429"/>
      <c r="E30" s="429"/>
      <c r="F30" s="429"/>
      <c r="G30" s="429"/>
      <c r="H30" s="429"/>
      <c r="I30" s="429"/>
      <c r="J30" s="429"/>
      <c r="K30" s="429"/>
      <c r="L30" s="429"/>
      <c r="M30" s="429"/>
      <c r="N30" s="429"/>
      <c r="O30" s="429"/>
      <c r="P30" s="429"/>
      <c r="Q30" s="429"/>
      <c r="R30" s="429"/>
    </row>
    <row r="31" spans="4:24">
      <c r="D31" s="432"/>
      <c r="E31" s="433"/>
      <c r="F31" s="433"/>
      <c r="G31" s="434"/>
      <c r="H31" s="435"/>
      <c r="I31" s="435"/>
      <c r="J31" s="433"/>
      <c r="L31" s="432"/>
      <c r="M31" s="433"/>
      <c r="N31" s="433"/>
      <c r="O31" s="434"/>
      <c r="P31" s="435"/>
      <c r="Q31" s="435"/>
      <c r="R31" s="433"/>
    </row>
    <row r="32" spans="4:24" ht="15" customHeight="1">
      <c r="D32" s="931" t="s">
        <v>1402</v>
      </c>
      <c r="E32" s="904" t="s">
        <v>1405</v>
      </c>
      <c r="F32" s="904"/>
      <c r="G32" s="400">
        <f>G24</f>
        <v>0</v>
      </c>
      <c r="H32" s="392" t="s">
        <v>51</v>
      </c>
      <c r="I32" s="191" t="s">
        <v>1403</v>
      </c>
      <c r="J32" s="439" t="e">
        <f ca="1">'Sit 1'!X14</f>
        <v>#DIV/0!</v>
      </c>
      <c r="K32" s="37"/>
      <c r="L32" s="931" t="s">
        <v>1402</v>
      </c>
      <c r="M32" s="904" t="s">
        <v>1405</v>
      </c>
      <c r="N32" s="904"/>
      <c r="O32" s="400">
        <f>O24</f>
        <v>0</v>
      </c>
      <c r="P32" s="392" t="s">
        <v>51</v>
      </c>
      <c r="Q32" s="191" t="s">
        <v>1403</v>
      </c>
      <c r="R32" s="439" t="e">
        <f ca="1">'Sit 2'!X14</f>
        <v>#N/A</v>
      </c>
    </row>
    <row r="33" spans="4:18">
      <c r="D33" s="931"/>
      <c r="E33" s="172"/>
      <c r="F33" s="172"/>
      <c r="G33" s="392"/>
      <c r="H33" s="392"/>
      <c r="I33" s="191" t="s">
        <v>1404</v>
      </c>
      <c r="J33" s="439" t="e">
        <f ca="1">'Sit 1'!X15</f>
        <v>#DIV/0!</v>
      </c>
      <c r="K33" s="37"/>
      <c r="L33" s="931"/>
      <c r="M33" s="172"/>
      <c r="N33" s="172"/>
      <c r="O33" s="392"/>
      <c r="P33" s="392"/>
      <c r="Q33" s="191" t="s">
        <v>1404</v>
      </c>
      <c r="R33" s="439" t="e">
        <f ca="1">'Sit 2'!X15</f>
        <v>#N/A</v>
      </c>
    </row>
    <row r="34" spans="4:18" ht="15" thickBot="1">
      <c r="D34" s="931"/>
      <c r="E34" s="172"/>
      <c r="F34" s="172"/>
      <c r="G34" s="392"/>
      <c r="H34" s="392"/>
      <c r="I34" s="431" t="s">
        <v>1411</v>
      </c>
      <c r="J34" s="438" t="e">
        <f ca="1">'Sit 1'!X16</f>
        <v>#DIV/0!</v>
      </c>
      <c r="K34" s="37"/>
      <c r="L34" s="931"/>
      <c r="M34" s="172"/>
      <c r="N34" s="172"/>
      <c r="O34" s="392"/>
      <c r="P34" s="392"/>
      <c r="Q34" s="431" t="s">
        <v>1411</v>
      </c>
      <c r="R34" s="438" t="e">
        <f ca="1">'Sit 2'!X16</f>
        <v>#N/A</v>
      </c>
    </row>
    <row r="35" spans="4:18" ht="15" thickTop="1">
      <c r="D35" s="931"/>
      <c r="E35" s="932" t="s">
        <v>1412</v>
      </c>
      <c r="F35" s="932"/>
      <c r="G35" s="932"/>
      <c r="H35" s="932"/>
      <c r="I35" s="172"/>
      <c r="J35" s="172"/>
      <c r="K35" s="37"/>
      <c r="L35" s="931"/>
      <c r="M35" s="932" t="s">
        <v>1412</v>
      </c>
      <c r="N35" s="932"/>
      <c r="O35" s="932"/>
      <c r="P35" s="932"/>
      <c r="Q35" s="172"/>
      <c r="R35" s="172"/>
    </row>
    <row r="36" spans="4:18" ht="15" thickBot="1">
      <c r="D36" s="931"/>
      <c r="E36" s="429" t="s">
        <v>1397</v>
      </c>
      <c r="F36" s="429" t="s">
        <v>1406</v>
      </c>
      <c r="G36" s="466">
        <f>'Sit 1'!X7</f>
        <v>80</v>
      </c>
      <c r="H36" s="392" t="s">
        <v>51</v>
      </c>
      <c r="I36" s="431" t="s">
        <v>1410</v>
      </c>
      <c r="J36" s="438">
        <f ca="1">'Sit 1'!AB16</f>
        <v>0</v>
      </c>
      <c r="L36" s="931"/>
      <c r="M36" s="429" t="s">
        <v>1397</v>
      </c>
      <c r="N36" s="429" t="s">
        <v>1406</v>
      </c>
      <c r="O36" s="466">
        <f>'Sit 2'!X7</f>
        <v>80</v>
      </c>
      <c r="P36" s="392" t="s">
        <v>51</v>
      </c>
      <c r="Q36" s="431" t="s">
        <v>1410</v>
      </c>
      <c r="R36" s="438">
        <f ca="1">'Sit 2'!AB16</f>
        <v>0</v>
      </c>
    </row>
    <row r="37" spans="4:18" ht="15.6" thickTop="1" thickBot="1">
      <c r="D37" s="931"/>
      <c r="E37" s="429" t="s">
        <v>1400</v>
      </c>
      <c r="F37" s="429" t="s">
        <v>1406</v>
      </c>
      <c r="G37" s="466">
        <f>$R$19</f>
        <v>90</v>
      </c>
      <c r="H37" s="392" t="s">
        <v>51</v>
      </c>
      <c r="I37" s="431" t="s">
        <v>1410</v>
      </c>
      <c r="J37" s="438">
        <f ca="1">'Sit 1'!AF16</f>
        <v>0</v>
      </c>
      <c r="L37" s="931"/>
      <c r="M37" s="429" t="s">
        <v>1400</v>
      </c>
      <c r="N37" s="429" t="s">
        <v>1406</v>
      </c>
      <c r="O37" s="466">
        <f>$R$19</f>
        <v>90</v>
      </c>
      <c r="P37" s="392" t="s">
        <v>51</v>
      </c>
      <c r="Q37" s="431" t="s">
        <v>1410</v>
      </c>
      <c r="R37" s="438">
        <f ca="1">'Sit 2'!AF16</f>
        <v>0</v>
      </c>
    </row>
    <row r="38" spans="4:18" ht="15.6" thickTop="1" thickBot="1">
      <c r="D38" s="931"/>
      <c r="E38" s="429" t="s">
        <v>1401</v>
      </c>
      <c r="F38" s="429" t="s">
        <v>1483</v>
      </c>
      <c r="G38" s="466">
        <f>$R$19</f>
        <v>90</v>
      </c>
      <c r="H38" s="392" t="s">
        <v>51</v>
      </c>
      <c r="I38" s="431" t="s">
        <v>1482</v>
      </c>
      <c r="J38" s="438" t="e">
        <f>'Sit 1'!AW15</f>
        <v>#N/A</v>
      </c>
      <c r="L38" s="931"/>
      <c r="M38" s="429" t="s">
        <v>1401</v>
      </c>
      <c r="N38" s="429" t="s">
        <v>1483</v>
      </c>
      <c r="O38" s="466">
        <f>$R$19</f>
        <v>90</v>
      </c>
      <c r="P38" s="392" t="s">
        <v>51</v>
      </c>
      <c r="Q38" s="431" t="s">
        <v>1482</v>
      </c>
      <c r="R38" s="438" t="e">
        <f>'Sit 2'!AW15</f>
        <v>#N/A</v>
      </c>
    </row>
    <row r="39" spans="4:18" ht="15" thickTop="1"/>
  </sheetData>
  <sheetProtection selectLockedCells="1"/>
  <mergeCells count="20">
    <mergeCell ref="D13:F13"/>
    <mergeCell ref="D32:D38"/>
    <mergeCell ref="E32:F32"/>
    <mergeCell ref="L21:R21"/>
    <mergeCell ref="E24:F24"/>
    <mergeCell ref="M24:N24"/>
    <mergeCell ref="M27:P27"/>
    <mergeCell ref="E27:H27"/>
    <mergeCell ref="L13:N13"/>
    <mergeCell ref="D21:J21"/>
    <mergeCell ref="L24:L29"/>
    <mergeCell ref="D24:D29"/>
    <mergeCell ref="L19:N19"/>
    <mergeCell ref="D17:F17"/>
    <mergeCell ref="D19:F19"/>
    <mergeCell ref="L32:L38"/>
    <mergeCell ref="M32:N32"/>
    <mergeCell ref="E35:H35"/>
    <mergeCell ref="M35:P35"/>
    <mergeCell ref="D15:F15"/>
  </mergeCells>
  <conditionalFormatting sqref="E35:J38">
    <cfRule type="expression" dxfId="123" priority="2">
      <formula>$G$36=$G$32</formula>
    </cfRule>
  </conditionalFormatting>
  <conditionalFormatting sqref="I13">
    <cfRule type="cellIs" dxfId="122" priority="38" operator="equal">
      <formula>""</formula>
    </cfRule>
  </conditionalFormatting>
  <conditionalFormatting sqref="I15">
    <cfRule type="cellIs" dxfId="121" priority="45" operator="equal">
      <formula>""</formula>
    </cfRule>
  </conditionalFormatting>
  <conditionalFormatting sqref="L13:N13">
    <cfRule type="expression" dxfId="120" priority="12">
      <formula>OR($I$9,$I$10)</formula>
    </cfRule>
  </conditionalFormatting>
  <conditionalFormatting sqref="N15">
    <cfRule type="expression" dxfId="119" priority="19">
      <formula>OR($I$9,$I$10)</formula>
    </cfRule>
  </conditionalFormatting>
  <conditionalFormatting sqref="P13">
    <cfRule type="expression" dxfId="118" priority="11">
      <formula>OR($I$9,$I$10)</formula>
    </cfRule>
  </conditionalFormatting>
  <conditionalFormatting sqref="P15">
    <cfRule type="expression" dxfId="117" priority="4">
      <formula>OR($I$9,$I$10)</formula>
    </cfRule>
  </conditionalFormatting>
  <conditionalFormatting sqref="Q12">
    <cfRule type="expression" dxfId="116" priority="20">
      <formula>$I$9</formula>
    </cfRule>
  </conditionalFormatting>
  <conditionalFormatting sqref="Q13">
    <cfRule type="expression" dxfId="115" priority="23">
      <formula>$I$9</formula>
    </cfRule>
  </conditionalFormatting>
  <conditionalFormatting sqref="Q15">
    <cfRule type="expression" dxfId="114" priority="17">
      <formula>$I$9</formula>
    </cfRule>
  </conditionalFormatting>
  <conditionalFormatting sqref="Q13:R13">
    <cfRule type="cellIs" dxfId="113" priority="31" operator="equal">
      <formula>""</formula>
    </cfRule>
  </conditionalFormatting>
  <conditionalFormatting sqref="Q19:R19">
    <cfRule type="containsBlanks" dxfId="112" priority="1">
      <formula>LEN(TRIM(Q19))=0</formula>
    </cfRule>
  </conditionalFormatting>
  <conditionalFormatting sqref="R12">
    <cfRule type="expression" dxfId="111" priority="21">
      <formula>$I$10</formula>
    </cfRule>
  </conditionalFormatting>
  <conditionalFormatting sqref="R13">
    <cfRule type="expression" dxfId="110" priority="22">
      <formula>$I$10</formula>
    </cfRule>
  </conditionalFormatting>
  <conditionalFormatting sqref="R15">
    <cfRule type="expression" dxfId="109" priority="13">
      <formula>$I$10</formula>
    </cfRule>
  </conditionalFormatting>
  <conditionalFormatting sqref="S4">
    <cfRule type="expression" dxfId="108" priority="50">
      <formula>$B$5-$S$4&gt;7</formula>
    </cfRule>
  </conditionalFormatting>
  <dataValidations count="2">
    <dataValidation type="whole" allowBlank="1" showInputMessage="1" showErrorMessage="1" error="Merci de saisir une année de naissance cohérente" sqref="I13" xr:uid="{FB5D395E-40FC-4394-96E5-A5FDE7EEB8BD}">
      <formula1>1900</formula1>
      <formula2>2020</formula2>
    </dataValidation>
    <dataValidation type="whole" allowBlank="1" showInputMessage="1" showErrorMessage="1" error="Merci de saisir une année de naissance cohérente" sqref="G28:G29 O36:O38 G36:G38 O28:O29" xr:uid="{0238B851-6D60-49E9-9842-306D5BF25468}">
      <formula1>55</formula1>
      <formula2>120</formula2>
    </dataValidation>
  </dataValidations>
  <pageMargins left="0.7" right="0.7" top="0.75" bottom="0.75" header="0.3" footer="0.3"/>
  <pageSetup paperSize="9" orientation="portrait" verticalDpi="0" r:id="rId1"/>
  <drawing r:id="rId2"/>
  <legacyDrawing r:id="rId3"/>
  <controls>
    <mc:AlternateContent xmlns:mc="http://schemas.openxmlformats.org/markup-compatibility/2006">
      <mc:Choice Requires="x14">
        <control shapeId="31758" r:id="rId4" name="CheckBox1">
          <controlPr locked="0" defaultSize="0" autoLine="0" linkedCell="I9" r:id="rId5">
            <anchor moveWithCells="1">
              <from>
                <xdr:col>7</xdr:col>
                <xdr:colOff>175260</xdr:colOff>
                <xdr:row>15</xdr:row>
                <xdr:rowOff>68580</xdr:rowOff>
              </from>
              <to>
                <xdr:col>8</xdr:col>
                <xdr:colOff>769620</xdr:colOff>
                <xdr:row>17</xdr:row>
                <xdr:rowOff>76200</xdr:rowOff>
              </to>
            </anchor>
          </controlPr>
        </control>
      </mc:Choice>
      <mc:Fallback>
        <control shapeId="31758" r:id="rId4" name="CheckBox1"/>
      </mc:Fallback>
    </mc:AlternateContent>
    <mc:AlternateContent xmlns:mc="http://schemas.openxmlformats.org/markup-compatibility/2006">
      <mc:Choice Requires="x14">
        <control shapeId="31759" r:id="rId6" name="CheckBox2">
          <controlPr locked="0" defaultSize="0" autoLine="0" linkedCell="J9" r:id="rId7">
            <anchor moveWithCells="1">
              <from>
                <xdr:col>8</xdr:col>
                <xdr:colOff>944880</xdr:colOff>
                <xdr:row>15</xdr:row>
                <xdr:rowOff>68580</xdr:rowOff>
              </from>
              <to>
                <xdr:col>9</xdr:col>
                <xdr:colOff>830580</xdr:colOff>
                <xdr:row>17</xdr:row>
                <xdr:rowOff>76200</xdr:rowOff>
              </to>
            </anchor>
          </controlPr>
        </control>
      </mc:Choice>
      <mc:Fallback>
        <control shapeId="31759" r:id="rId6" name="CheckBox2"/>
      </mc:Fallback>
    </mc:AlternateContent>
    <mc:AlternateContent xmlns:mc="http://schemas.openxmlformats.org/markup-compatibility/2006">
      <mc:Choice Requires="x14">
        <control shapeId="31760" r:id="rId8" name="CheckBox3">
          <controlPr locked="0" defaultSize="0" autoLine="0" linkedCell="I10" r:id="rId5">
            <anchor moveWithCells="1">
              <from>
                <xdr:col>7</xdr:col>
                <xdr:colOff>175260</xdr:colOff>
                <xdr:row>17</xdr:row>
                <xdr:rowOff>60960</xdr:rowOff>
              </from>
              <to>
                <xdr:col>8</xdr:col>
                <xdr:colOff>769620</xdr:colOff>
                <xdr:row>19</xdr:row>
                <xdr:rowOff>68580</xdr:rowOff>
              </to>
            </anchor>
          </controlPr>
        </control>
      </mc:Choice>
      <mc:Fallback>
        <control shapeId="31760" r:id="rId8" name="CheckBox3"/>
      </mc:Fallback>
    </mc:AlternateContent>
    <mc:AlternateContent xmlns:mc="http://schemas.openxmlformats.org/markup-compatibility/2006">
      <mc:Choice Requires="x14">
        <control shapeId="31761" r:id="rId9" name="CheckBox4">
          <controlPr locked="0" defaultSize="0" autoLine="0" linkedCell="J10" r:id="rId10">
            <anchor moveWithCells="1">
              <from>
                <xdr:col>8</xdr:col>
                <xdr:colOff>937260</xdr:colOff>
                <xdr:row>17</xdr:row>
                <xdr:rowOff>76200</xdr:rowOff>
              </from>
              <to>
                <xdr:col>9</xdr:col>
                <xdr:colOff>723900</xdr:colOff>
                <xdr:row>19</xdr:row>
                <xdr:rowOff>60960</xdr:rowOff>
              </to>
            </anchor>
          </controlPr>
        </control>
      </mc:Choice>
      <mc:Fallback>
        <control shapeId="31761" r:id="rId9" name="CheckBox4"/>
      </mc:Fallback>
    </mc:AlternateContent>
  </controls>
  <extLst>
    <ext xmlns:x14="http://schemas.microsoft.com/office/spreadsheetml/2009/9/main" uri="{CCE6A557-97BC-4b89-ADB6-D9C93CAAB3DF}">
      <x14:dataValidations xmlns:xm="http://schemas.microsoft.com/office/excel/2006/main" count="1">
        <x14:dataValidation type="list" allowBlank="1" showInputMessage="1" showErrorMessage="1" xr:uid="{2AC0094A-919A-445E-9C52-A3CF32D21F7B}">
          <x14:formula1>
            <xm:f>Données!$F$13:$F$17</xm:f>
          </x14:formula1>
          <xm:sqref>I15</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FAFEC-B01B-494E-9857-AF31675922F7}">
  <sheetPr codeName="Feuil4">
    <tabColor theme="9" tint="0.39997558519241921"/>
    <outlinePr showOutlineSymbols="0"/>
    <pageSetUpPr autoPageBreaks="0" fitToPage="1"/>
  </sheetPr>
  <dimension ref="A2:AY110"/>
  <sheetViews>
    <sheetView showGridLines="0" showRowColHeaders="0" showZeros="0" showOutlineSymbols="0" zoomScale="123" zoomScaleNormal="123" workbookViewId="0">
      <selection activeCell="H5" sqref="H5"/>
    </sheetView>
  </sheetViews>
  <sheetFormatPr baseColWidth="10" defaultColWidth="11.44140625" defaultRowHeight="14.4"/>
  <cols>
    <col min="1" max="1" width="4.5546875" style="468" customWidth="1"/>
    <col min="2" max="2" width="12.5546875" style="468" customWidth="1"/>
    <col min="3" max="3" width="9" style="468" customWidth="1"/>
    <col min="4" max="4" width="10" style="468" customWidth="1"/>
    <col min="5" max="6" width="8.5546875" style="468" customWidth="1"/>
    <col min="7" max="7" width="11.33203125" style="468" customWidth="1"/>
    <col min="8" max="8" width="10.6640625" style="468" customWidth="1"/>
    <col min="9" max="10" width="0.6640625" style="468" customWidth="1"/>
    <col min="11" max="11" width="4.5546875" style="468" customWidth="1"/>
    <col min="12" max="13" width="11.33203125" style="468" customWidth="1"/>
    <col min="14" max="14" width="10.6640625" style="468" customWidth="1"/>
    <col min="15" max="15" width="9.44140625" style="468" customWidth="1"/>
    <col min="16" max="16" width="10.33203125" style="468" customWidth="1"/>
    <col min="17" max="17" width="11.109375" style="468" customWidth="1"/>
    <col min="18" max="19" width="0.6640625" style="468" customWidth="1"/>
    <col min="20" max="20" width="4.5546875" style="468" customWidth="1"/>
    <col min="21" max="22" width="11.33203125" style="468" customWidth="1"/>
    <col min="23" max="23" width="10.6640625" style="468" customWidth="1"/>
    <col min="24" max="24" width="9.33203125" style="468" customWidth="1"/>
    <col min="25" max="25" width="10.33203125" style="468" customWidth="1"/>
    <col min="26" max="26" width="11.109375" style="468" customWidth="1"/>
    <col min="27" max="28" width="10.6640625" style="468" customWidth="1"/>
    <col min="29" max="29" width="8" style="468" customWidth="1"/>
    <col min="30" max="30" width="10.6640625" style="468" customWidth="1"/>
    <col min="31" max="31" width="7.88671875" style="468" customWidth="1"/>
    <col min="32" max="32" width="10.6640625" style="468" customWidth="1"/>
    <col min="33" max="51" width="11.44140625" style="468" hidden="1" customWidth="1"/>
    <col min="52" max="16384" width="11.44140625" style="468"/>
  </cols>
  <sheetData>
    <row r="2" spans="1:51" ht="15.75" customHeight="1"/>
    <row r="3" spans="1:51" ht="15.75" customHeight="1">
      <c r="C3" s="486"/>
      <c r="D3" s="930" t="s">
        <v>1435</v>
      </c>
      <c r="E3" s="930"/>
      <c r="F3" s="930"/>
      <c r="G3" s="930"/>
      <c r="H3" s="930"/>
      <c r="I3" s="930"/>
      <c r="J3" s="930"/>
      <c r="K3" s="930"/>
      <c r="L3" s="930"/>
      <c r="M3" s="930"/>
      <c r="N3" s="930"/>
      <c r="O3" s="930"/>
      <c r="P3" s="930"/>
      <c r="Q3" s="930"/>
      <c r="R3" s="930"/>
      <c r="S3" s="930"/>
      <c r="T3" s="930"/>
      <c r="U3" s="930"/>
      <c r="V3" s="930"/>
      <c r="W3" s="930"/>
      <c r="X3" s="930"/>
      <c r="Y3" s="930"/>
      <c r="Z3" s="930"/>
      <c r="AA3" s="930"/>
      <c r="AB3" s="486"/>
      <c r="AC3" s="486"/>
    </row>
    <row r="5" spans="1:51" ht="14.25" customHeight="1">
      <c r="A5" s="953" t="s">
        <v>1416</v>
      </c>
      <c r="B5" s="954"/>
      <c r="C5" s="946">
        <f ca="1">(YEAR(TODAY()))-SynthèsePER!I13</f>
        <v>2026</v>
      </c>
      <c r="D5" s="947"/>
      <c r="E5" s="469"/>
      <c r="F5" s="944" t="s">
        <v>1475</v>
      </c>
      <c r="G5" s="945"/>
      <c r="H5" s="467"/>
      <c r="J5" s="470"/>
      <c r="K5" s="944" t="s">
        <v>1436</v>
      </c>
      <c r="L5" s="944"/>
      <c r="M5" s="945"/>
      <c r="N5" s="471" t="e">
        <f>SynthèsePER!Q13</f>
        <v>#DIV/0!</v>
      </c>
      <c r="S5" s="470"/>
      <c r="T5" s="944" t="s">
        <v>1464</v>
      </c>
      <c r="U5" s="944"/>
      <c r="V5" s="944"/>
      <c r="W5" s="944"/>
      <c r="X5" s="471">
        <f>NewPER!Q28</f>
        <v>0</v>
      </c>
    </row>
    <row r="6" spans="1:51" ht="14.25" customHeight="1">
      <c r="A6" s="472" t="s">
        <v>1418</v>
      </c>
      <c r="B6" s="473"/>
      <c r="C6" s="948">
        <f>SynthèsePER!G24</f>
        <v>0</v>
      </c>
      <c r="D6" s="949"/>
      <c r="F6" s="944" t="s">
        <v>1422</v>
      </c>
      <c r="G6" s="945"/>
      <c r="H6" s="474">
        <f>NewPER!I24</f>
        <v>0</v>
      </c>
      <c r="J6" s="470"/>
      <c r="K6" s="944" t="s">
        <v>1452</v>
      </c>
      <c r="L6" s="944"/>
      <c r="M6" s="945"/>
      <c r="N6" s="471">
        <f>NewPER!Q24</f>
        <v>0</v>
      </c>
      <c r="S6" s="470"/>
    </row>
    <row r="7" spans="1:51" ht="14.25" customHeight="1">
      <c r="A7" s="963" t="s">
        <v>1421</v>
      </c>
      <c r="B7" s="964"/>
      <c r="C7" s="965">
        <f>'CT à Transf'!K12</f>
        <v>0</v>
      </c>
      <c r="D7" s="966"/>
      <c r="E7" s="492" t="str">
        <f>IF(OR('CT à Transf'!K12=Données!H52,'CT à Transf'!K12=Données!H53),"C1",IF('CT à Transf'!K12=Données!H54,"C1 bis",IF('CT à Transf'!K12=Données!H55,"C3",IF('CT à Transf'!K12=Données!H57,"C2",""))))</f>
        <v/>
      </c>
      <c r="F7" s="944" t="s">
        <v>295</v>
      </c>
      <c r="G7" s="945"/>
      <c r="H7" s="475">
        <f>'CT à Transf'!K23</f>
        <v>0</v>
      </c>
      <c r="I7" s="469"/>
      <c r="J7" s="470"/>
      <c r="R7" s="469"/>
      <c r="S7" s="470"/>
      <c r="T7" s="953" t="s">
        <v>1472</v>
      </c>
      <c r="U7" s="953"/>
      <c r="V7" s="953"/>
      <c r="W7" s="953"/>
      <c r="X7" s="491">
        <f>IF(OR(C7=Données!H50,C7=Données!H51,C7=Données!H56),C6,IF(X8="",SynthèsePER!Q19,IF(OR(C7=Données!H50,C7=Données!H51,C7=Données!H56),C6,X8)))</f>
        <v>80</v>
      </c>
      <c r="Y7" s="490" t="str">
        <f>"ans soit un fractionnement en "&amp;(X7-C6)&amp;" ans avec épuisement du capital à cette date"</f>
        <v>ans soit un fractionnement en 80 ans avec épuisement du capital à cette date</v>
      </c>
    </row>
    <row r="8" spans="1:51" ht="14.25" customHeight="1">
      <c r="A8" s="469"/>
      <c r="B8" s="469"/>
      <c r="F8" s="944" t="s">
        <v>1423</v>
      </c>
      <c r="G8" s="945"/>
      <c r="H8" s="475">
        <f>'CT à Transf'!K24</f>
        <v>0</v>
      </c>
      <c r="I8" s="469"/>
      <c r="J8" s="470"/>
      <c r="K8" s="944" t="str">
        <f>IF(OR(C7=Données!H54,C7=Données!H57),"Rente à titre onéreux imposable sur","Rente à titre gratuit imposable sur")</f>
        <v>Rente à titre gratuit imposable sur</v>
      </c>
      <c r="L8" s="944"/>
      <c r="M8" s="945"/>
      <c r="N8" s="471">
        <f>IF(K8="Rente à titre gratuit imposable sur",100%,IF(C6&gt;=69,30%,40%))</f>
        <v>1</v>
      </c>
      <c r="O8" s="958" t="str">
        <f>IF(O9="","","et RVTO sur intérets")</f>
        <v/>
      </c>
      <c r="P8" s="959"/>
      <c r="Q8" s="471" t="str">
        <f>IF(O8="","",IF(C6&gt;=69,30%,40%))</f>
        <v/>
      </c>
      <c r="R8" s="469"/>
      <c r="S8" s="470"/>
      <c r="T8" s="894" t="s">
        <v>1466</v>
      </c>
      <c r="U8" s="894"/>
      <c r="V8" s="894"/>
      <c r="W8" s="894"/>
      <c r="X8" s="489"/>
      <c r="Y8" s="490" t="s">
        <v>1471</v>
      </c>
    </row>
    <row r="9" spans="1:51">
      <c r="A9" s="953" t="s">
        <v>1389</v>
      </c>
      <c r="B9" s="954"/>
      <c r="C9" s="950"/>
      <c r="D9" s="951"/>
      <c r="J9" s="476"/>
      <c r="K9" s="944" t="str">
        <f>IF(OR(C7=Données!H50,C7=Données!H56),"PS sur 100% de la rente",IF(OR(C7=Données!H51,C7=Données!H55),"PS sur 100% de la rente",IF(OR(C7=Données!H52,C7=Données!H53),"PS sur la rente générée par les versements","PS sur fraction de la rente")))</f>
        <v>PS sur fraction de la rente</v>
      </c>
      <c r="L9" s="944"/>
      <c r="M9" s="945"/>
      <c r="N9" s="471">
        <f>IF(OR(C7=Données!H50,C7=Données!H56),Données!L41-Données!K41,IF(OR(C7=Données!H51,C7=Données!H55),Données!L41,IF(OR(C7=Données!H52,C7=Données!H53),Données!J41,Données!F36)))</f>
        <v>0.17199999999999999</v>
      </c>
      <c r="O9" s="958" t="str">
        <f>IF(K9="PS sur la rente générée par les versements","et sur la part intérets","")</f>
        <v/>
      </c>
      <c r="P9" s="959"/>
      <c r="Q9" s="471" t="str">
        <f>IF(K9="PS sur la rente générée par les versements",Données!F36,"")</f>
        <v/>
      </c>
      <c r="S9" s="476"/>
    </row>
    <row r="10" spans="1:51" ht="16.5" customHeight="1">
      <c r="A10" s="953" t="s">
        <v>1394</v>
      </c>
      <c r="B10" s="954"/>
      <c r="C10" s="961"/>
      <c r="D10" s="962"/>
      <c r="F10" s="953" t="s">
        <v>1395</v>
      </c>
      <c r="G10" s="954"/>
      <c r="H10" s="488">
        <f>SynthèsePER!I15</f>
        <v>0</v>
      </c>
      <c r="J10" s="476"/>
      <c r="S10" s="476"/>
    </row>
    <row r="11" spans="1:51" ht="8.25" customHeight="1">
      <c r="A11" s="480"/>
      <c r="B11" s="480"/>
      <c r="C11" s="480"/>
      <c r="D11" s="481"/>
      <c r="E11" s="481"/>
      <c r="F11" s="481"/>
      <c r="G11" s="481"/>
      <c r="H11" s="481"/>
      <c r="I11" s="481"/>
      <c r="J11" s="482"/>
      <c r="K11" s="481"/>
      <c r="L11" s="481"/>
      <c r="M11" s="481"/>
      <c r="N11" s="481"/>
      <c r="O11" s="481"/>
      <c r="P11" s="481"/>
      <c r="Q11" s="481"/>
      <c r="R11" s="481"/>
      <c r="S11" s="482"/>
      <c r="T11" s="481"/>
      <c r="U11" s="481"/>
      <c r="V11" s="481"/>
      <c r="W11" s="481"/>
      <c r="X11" s="481"/>
      <c r="Y11" s="481"/>
      <c r="Z11" s="481"/>
      <c r="AA11" s="481"/>
      <c r="AB11" s="481"/>
      <c r="AC11" s="481"/>
      <c r="AD11" s="481"/>
      <c r="AE11" s="481"/>
      <c r="AF11" s="481"/>
    </row>
    <row r="12" spans="1:51" ht="8.25" customHeight="1">
      <c r="A12" s="483"/>
      <c r="B12" s="483"/>
      <c r="C12" s="483"/>
      <c r="D12" s="483"/>
      <c r="E12" s="484"/>
      <c r="F12" s="484"/>
      <c r="G12" s="484"/>
      <c r="H12" s="484"/>
      <c r="I12" s="484"/>
      <c r="J12" s="485"/>
      <c r="K12" s="484"/>
      <c r="L12" s="484"/>
      <c r="M12" s="484"/>
      <c r="N12" s="484"/>
      <c r="O12" s="484"/>
      <c r="P12" s="484"/>
      <c r="Q12" s="484"/>
      <c r="R12" s="484"/>
      <c r="S12" s="485"/>
      <c r="T12" s="484"/>
      <c r="U12" s="484"/>
      <c r="V12" s="484"/>
      <c r="W12" s="484"/>
      <c r="X12" s="484"/>
      <c r="Y12" s="484"/>
      <c r="Z12" s="484"/>
      <c r="AA12" s="484"/>
      <c r="AB12" s="484"/>
      <c r="AC12" s="484"/>
      <c r="AD12" s="484"/>
      <c r="AE12" s="484"/>
      <c r="AF12" s="484"/>
    </row>
    <row r="13" spans="1:51">
      <c r="A13" s="952" t="s">
        <v>1446</v>
      </c>
      <c r="B13" s="952"/>
      <c r="C13" s="952"/>
      <c r="D13" s="500">
        <f ca="1">B109</f>
        <v>0</v>
      </c>
      <c r="F13" s="942" t="s">
        <v>1424</v>
      </c>
      <c r="G13" s="942"/>
      <c r="H13" s="499">
        <f ca="1">H109</f>
        <v>0</v>
      </c>
      <c r="J13" s="476"/>
      <c r="K13" s="942" t="s">
        <v>1488</v>
      </c>
      <c r="L13" s="942"/>
      <c r="M13" s="942"/>
      <c r="N13" s="942"/>
      <c r="O13" s="499" t="e">
        <f ca="1">N5*H13</f>
        <v>#DIV/0!</v>
      </c>
      <c r="P13" s="938" t="s">
        <v>1451</v>
      </c>
      <c r="Q13" s="938"/>
      <c r="S13" s="476"/>
      <c r="T13" s="955" t="s">
        <v>1474</v>
      </c>
      <c r="U13" s="955"/>
      <c r="V13" s="955"/>
      <c r="W13" s="955"/>
      <c r="X13" s="955"/>
      <c r="Y13" s="955"/>
      <c r="Z13" s="943" t="str">
        <f>"Fractionnement et épuisement à "&amp;X7&amp;" ans"</f>
        <v>Fractionnement et épuisement à 80 ans</v>
      </c>
      <c r="AA13" s="943"/>
      <c r="AB13" s="943"/>
      <c r="AC13" s="943" t="str">
        <f>"Fractionnement et épuisement à "&amp;AJ14&amp;" ans"</f>
        <v>Fractionnement et épuisement à 90 ans</v>
      </c>
      <c r="AD13" s="943"/>
      <c r="AE13" s="943"/>
      <c r="AF13" s="943"/>
      <c r="AG13" s="502"/>
      <c r="AJ13" s="938" t="s">
        <v>1473</v>
      </c>
      <c r="AK13" s="938"/>
      <c r="AL13" s="938"/>
      <c r="AT13" s="502"/>
      <c r="AW13" s="938" t="s">
        <v>1484</v>
      </c>
      <c r="AX13" s="938"/>
      <c r="AY13" s="938"/>
    </row>
    <row r="14" spans="1:51">
      <c r="A14" s="952" t="s">
        <v>1425</v>
      </c>
      <c r="B14" s="952"/>
      <c r="C14" s="952"/>
      <c r="D14" s="500">
        <f ca="1">C109</f>
        <v>0</v>
      </c>
      <c r="F14" s="942" t="s">
        <v>1426</v>
      </c>
      <c r="G14" s="942"/>
      <c r="H14" s="499">
        <f ca="1">H13-H7+H8-E109</f>
        <v>0</v>
      </c>
      <c r="J14" s="476"/>
      <c r="K14" s="942" t="s">
        <v>1476</v>
      </c>
      <c r="L14" s="942"/>
      <c r="M14" s="942"/>
      <c r="N14" s="942"/>
      <c r="O14" s="499" t="e">
        <f ca="1">O13-N20</f>
        <v>#DIV/0!</v>
      </c>
      <c r="P14" s="498" t="str">
        <f>SynthèsePER!G28&amp;" ans"</f>
        <v>80 ans</v>
      </c>
      <c r="Q14" s="499">
        <f ca="1">IFERROR(IF(C6=SynthèsePER!Q19,0,INDEX(K20:Q108,MATCH(SynthèsePER!Q19-1,K20:K108,0),7)),0)</f>
        <v>0</v>
      </c>
      <c r="S14" s="476"/>
      <c r="T14" s="942" t="s">
        <v>1467</v>
      </c>
      <c r="U14" s="942"/>
      <c r="V14" s="942"/>
      <c r="W14" s="942"/>
      <c r="X14" s="939" t="e">
        <f ca="1">IF(AND(OR(C7=Données!H50,C7=Données!H51,C7=Données!H56,C7=Données!H55),O13&lt;(Données!S26*12)),H13,IF(OR(C7=Données!H50,C7=Données!H51,C7=Données!H55,C7=Données!H56),0,H13))</f>
        <v>#DIV/0!</v>
      </c>
      <c r="Y14" s="939"/>
      <c r="Z14" s="942" t="s">
        <v>1469</v>
      </c>
      <c r="AA14" s="942"/>
      <c r="AB14" s="499">
        <f ca="1">Z20</f>
        <v>0</v>
      </c>
      <c r="AC14" s="942" t="s">
        <v>1469</v>
      </c>
      <c r="AD14" s="942"/>
      <c r="AE14" s="942"/>
      <c r="AF14" s="499">
        <f ca="1">AM20</f>
        <v>0</v>
      </c>
      <c r="AJ14" s="498">
        <f>SynthèsePER!$R$19</f>
        <v>90</v>
      </c>
      <c r="AK14" s="939" t="s">
        <v>51</v>
      </c>
      <c r="AL14" s="939"/>
      <c r="AW14" s="498">
        <f>SynthèsePER!$R$19</f>
        <v>90</v>
      </c>
      <c r="AX14" s="939" t="s">
        <v>51</v>
      </c>
      <c r="AY14" s="939"/>
    </row>
    <row r="15" spans="1:51">
      <c r="A15" s="952" t="s">
        <v>1427</v>
      </c>
      <c r="B15" s="952"/>
      <c r="C15" s="952"/>
      <c r="D15" s="500">
        <f ca="1">D13-D14</f>
        <v>0</v>
      </c>
      <c r="F15" s="942" t="s">
        <v>1428</v>
      </c>
      <c r="G15" s="942"/>
      <c r="H15" s="499">
        <f ca="1">E109+H7-H8</f>
        <v>0</v>
      </c>
      <c r="J15" s="476"/>
      <c r="K15" s="942" t="s">
        <v>1478</v>
      </c>
      <c r="L15" s="942"/>
      <c r="M15" s="942"/>
      <c r="N15" s="942"/>
      <c r="O15" s="499">
        <f ca="1">P20</f>
        <v>0</v>
      </c>
      <c r="P15" s="498" t="str">
        <f>SynthèsePER!G29&amp;" ans"</f>
        <v>90 ans</v>
      </c>
      <c r="Q15" s="499">
        <f>IFERROR(IF(C6=SynthèsePER!R19,0,INDEX(K20:Q108,MATCH(SynthèsePER!R19-1,K20:K108,0),7)),0)</f>
        <v>0</v>
      </c>
      <c r="S15" s="476"/>
      <c r="T15" s="942" t="s">
        <v>1468</v>
      </c>
      <c r="U15" s="942"/>
      <c r="V15" s="942"/>
      <c r="W15" s="942"/>
      <c r="X15" s="939" t="e">
        <f ca="1">IF(AND(OR(C7=Données!H50,C7=Données!H51,C7=Données!H56),O13&lt;(Données!S26*12)),H13-(H13*N9),IF(OR(C7=Données!H50,C7=Données!H51,C7=Données!H56),0,IF(C7=Données!H57,H13-(H14*N9),IF(AND(C7=Données!H55,O13&lt;(Données!S26*12)),H13-(H14*Données!F36),IF(C7=Données!H54,H13-(H14*Données!F36),H13-(H14*Données!F36))))))</f>
        <v>#DIV/0!</v>
      </c>
      <c r="Y15" s="939"/>
      <c r="Z15" s="942" t="s">
        <v>1470</v>
      </c>
      <c r="AA15" s="942"/>
      <c r="AB15" s="499">
        <f ca="1">AF20</f>
        <v>0</v>
      </c>
      <c r="AC15" s="942" t="s">
        <v>1470</v>
      </c>
      <c r="AD15" s="942"/>
      <c r="AE15" s="942"/>
      <c r="AF15" s="499">
        <f ca="1">AS20</f>
        <v>0</v>
      </c>
      <c r="AJ15" s="940">
        <f ca="1">AS109</f>
        <v>0</v>
      </c>
      <c r="AK15" s="940"/>
      <c r="AL15" s="940"/>
      <c r="AW15" s="940" t="e">
        <f>INDEX(AT20:AY108,(MATCH(AW14-1, AT20:AT108, 0)),6)</f>
        <v>#N/A</v>
      </c>
      <c r="AX15" s="940"/>
      <c r="AY15" s="940"/>
    </row>
    <row r="16" spans="1:51">
      <c r="J16" s="476"/>
      <c r="S16" s="476"/>
      <c r="T16" s="942" t="str">
        <f>IF(OR(C7=Données!H50,C7=Données!H51,C7=Données!H56),"Capital net (PFL 7,5% et PS + CSG déductible)","Capital net (PS et IR)")</f>
        <v>Capital net (PS et IR)</v>
      </c>
      <c r="U16" s="942"/>
      <c r="V16" s="942"/>
      <c r="W16" s="942"/>
      <c r="X16" s="939" t="e">
        <f ca="1">X15-IF(AND(OR(C7=Données!H50,C7=Données!H51,C7=Données!H56),O13&lt;(Données!S26*12)),((H13*0.9)*Données!S27)-(H13*Données!M41*H10),IF(OR(C7=Données!H50,C7=Données!H51,C7=Données!H56),0,IF(C7=Données!H57,-H14*Données!G36*$H$10,IF(AND(C7=Données!H55,O13&lt;(Données!S26*12)),((H13-H14)*$H$10)-(H14*Données!F28),IF(C7=Données!H54,H14*Données!F28,((H13-H14)*$H$10)+(H14*Données!F28))))))</f>
        <v>#DIV/0!</v>
      </c>
      <c r="Y16" s="939"/>
      <c r="Z16" s="942" t="s">
        <v>1480</v>
      </c>
      <c r="AA16" s="942"/>
      <c r="AB16" s="499">
        <f ca="1">AF109</f>
        <v>0</v>
      </c>
      <c r="AC16" s="942" t="s">
        <v>1480</v>
      </c>
      <c r="AD16" s="942"/>
      <c r="AE16" s="942"/>
      <c r="AF16" s="939">
        <f ca="1">AJ15</f>
        <v>0</v>
      </c>
      <c r="AG16" s="939"/>
    </row>
    <row r="17" spans="1:51" ht="8.25" customHeight="1">
      <c r="A17" s="960"/>
      <c r="B17" s="960"/>
      <c r="C17" s="960"/>
      <c r="D17" s="960"/>
      <c r="E17" s="960"/>
      <c r="F17" s="960"/>
      <c r="G17" s="960"/>
      <c r="H17" s="960"/>
      <c r="J17" s="476"/>
      <c r="S17" s="476"/>
    </row>
    <row r="18" spans="1:51" ht="18.75" customHeight="1">
      <c r="A18" s="956" t="s">
        <v>1438</v>
      </c>
      <c r="B18" s="956"/>
      <c r="C18" s="956"/>
      <c r="D18" s="956"/>
      <c r="E18" s="956"/>
      <c r="F18" s="956"/>
      <c r="G18" s="956"/>
      <c r="H18" s="956"/>
      <c r="J18" s="476"/>
      <c r="K18" s="957" t="s">
        <v>1439</v>
      </c>
      <c r="L18" s="957"/>
      <c r="M18" s="957"/>
      <c r="N18" s="957"/>
      <c r="O18" s="957"/>
      <c r="P18" s="957"/>
      <c r="Q18" s="957"/>
      <c r="S18" s="476"/>
      <c r="T18" s="941" t="str">
        <f>"Phase liquidation en capital fractionné "&amp;X7&amp;" ans"</f>
        <v>Phase liquidation en capital fractionné 80 ans</v>
      </c>
      <c r="U18" s="941"/>
      <c r="V18" s="941"/>
      <c r="W18" s="941"/>
      <c r="X18" s="941"/>
      <c r="Y18" s="941"/>
      <c r="Z18" s="941"/>
      <c r="AA18" s="941"/>
      <c r="AB18" s="941"/>
      <c r="AC18" s="941"/>
      <c r="AD18" s="941"/>
      <c r="AE18" s="941"/>
      <c r="AF18" s="941"/>
      <c r="AG18" s="941" t="s">
        <v>1479</v>
      </c>
      <c r="AH18" s="941"/>
      <c r="AI18" s="941"/>
      <c r="AJ18" s="941"/>
      <c r="AK18" s="941"/>
      <c r="AL18" s="941"/>
      <c r="AM18" s="941"/>
      <c r="AN18" s="941"/>
      <c r="AO18" s="941"/>
      <c r="AP18" s="941"/>
      <c r="AQ18" s="941"/>
      <c r="AR18" s="941"/>
      <c r="AS18" s="941"/>
      <c r="AT18" s="941" t="s">
        <v>1485</v>
      </c>
      <c r="AU18" s="941"/>
      <c r="AV18" s="941"/>
      <c r="AW18" s="941"/>
      <c r="AX18" s="941"/>
      <c r="AY18" s="941"/>
    </row>
    <row r="19" spans="1:51" ht="24.75" customHeight="1">
      <c r="A19" s="501" t="s">
        <v>1429</v>
      </c>
      <c r="B19" s="501" t="s">
        <v>1430</v>
      </c>
      <c r="C19" s="501" t="s">
        <v>1425</v>
      </c>
      <c r="D19" s="501" t="s">
        <v>1431</v>
      </c>
      <c r="E19" s="501" t="s">
        <v>1432</v>
      </c>
      <c r="F19" s="501" t="s">
        <v>1433</v>
      </c>
      <c r="G19" s="501" t="s">
        <v>1434</v>
      </c>
      <c r="H19" s="501" t="s">
        <v>1424</v>
      </c>
      <c r="J19" s="476"/>
      <c r="K19" s="487" t="s">
        <v>1429</v>
      </c>
      <c r="L19" s="487" t="s">
        <v>1450</v>
      </c>
      <c r="M19" s="487" t="s">
        <v>1449</v>
      </c>
      <c r="N19" s="487" t="s">
        <v>23</v>
      </c>
      <c r="O19" s="487" t="s">
        <v>117</v>
      </c>
      <c r="P19" s="487" t="s">
        <v>1448</v>
      </c>
      <c r="Q19" s="487" t="s">
        <v>1447</v>
      </c>
      <c r="S19" s="476"/>
      <c r="T19" s="487" t="s">
        <v>1429</v>
      </c>
      <c r="U19" s="487" t="s">
        <v>1453</v>
      </c>
      <c r="V19" s="487" t="s">
        <v>1462</v>
      </c>
      <c r="W19" s="487" t="s">
        <v>1463</v>
      </c>
      <c r="X19" s="487" t="s">
        <v>1454</v>
      </c>
      <c r="Y19" s="487" t="s">
        <v>1458</v>
      </c>
      <c r="Z19" s="503" t="s">
        <v>1481</v>
      </c>
      <c r="AA19" s="487" t="s">
        <v>1461</v>
      </c>
      <c r="AB19" s="487" t="s">
        <v>1456</v>
      </c>
      <c r="AC19" s="487" t="s">
        <v>1460</v>
      </c>
      <c r="AD19" s="487" t="s">
        <v>1459</v>
      </c>
      <c r="AE19" s="487" t="s">
        <v>117</v>
      </c>
      <c r="AF19" s="487" t="s">
        <v>1457</v>
      </c>
      <c r="AG19" s="487" t="s">
        <v>1429</v>
      </c>
      <c r="AH19" s="487" t="s">
        <v>1453</v>
      </c>
      <c r="AI19" s="487" t="s">
        <v>1462</v>
      </c>
      <c r="AJ19" s="487" t="s">
        <v>1463</v>
      </c>
      <c r="AK19" s="487" t="s">
        <v>1454</v>
      </c>
      <c r="AL19" s="487" t="s">
        <v>1458</v>
      </c>
      <c r="AM19" s="487" t="s">
        <v>1455</v>
      </c>
      <c r="AN19" s="487" t="s">
        <v>1461</v>
      </c>
      <c r="AO19" s="487" t="s">
        <v>1456</v>
      </c>
      <c r="AP19" s="487" t="s">
        <v>1460</v>
      </c>
      <c r="AQ19" s="487" t="s">
        <v>1459</v>
      </c>
      <c r="AR19" s="487" t="s">
        <v>117</v>
      </c>
      <c r="AS19" s="487" t="s">
        <v>1457</v>
      </c>
      <c r="AT19" s="487" t="s">
        <v>1429</v>
      </c>
      <c r="AU19" s="487" t="s">
        <v>1453</v>
      </c>
      <c r="AV19" s="487" t="s">
        <v>1462</v>
      </c>
      <c r="AW19" s="487" t="s">
        <v>1463</v>
      </c>
      <c r="AX19" s="487" t="s">
        <v>1454</v>
      </c>
      <c r="AY19" s="487" t="s">
        <v>1458</v>
      </c>
    </row>
    <row r="20" spans="1:51">
      <c r="A20" s="477">
        <f ca="1">C5</f>
        <v>2026</v>
      </c>
      <c r="B20" s="478">
        <f>C9</f>
        <v>0</v>
      </c>
      <c r="C20" s="478">
        <f>IF(OR($C$7=Données!$H$51,$C$7=Données!$H$54,$C$7=Données!$H$55,$C$7=Données!$H$57),0,B20*'Sit 1'!$C$10)</f>
        <v>0</v>
      </c>
      <c r="D20" s="478">
        <f>IFERROR(IF($H$5="",B20*'CT à Transf'!$K$28,B20*$H$5),B20*$H$5)</f>
        <v>0</v>
      </c>
      <c r="E20" s="478">
        <f>B20-D20</f>
        <v>0</v>
      </c>
      <c r="F20" s="478">
        <f t="shared" ref="F20:F51" si="0">E20*$H$6</f>
        <v>0</v>
      </c>
      <c r="G20" s="478">
        <f>(E20+F20)+((H7)*(1+H6))</f>
        <v>0</v>
      </c>
      <c r="H20" s="478">
        <f ca="1">IF(G21&gt;0,0,G20)</f>
        <v>0</v>
      </c>
      <c r="J20" s="476"/>
      <c r="K20" s="477">
        <f>C6</f>
        <v>0</v>
      </c>
      <c r="L20" s="478">
        <f t="shared" ref="L20:L51" ca="1" si="1">IFERROR($O$13*(($H$13-$H$14)/$H$13),0)</f>
        <v>0</v>
      </c>
      <c r="M20" s="478">
        <f ca="1">IFERROR(O13*(H14/H13),0)</f>
        <v>0</v>
      </c>
      <c r="N20" s="478">
        <f ca="1">IF(OR($C$7=Données!$H$52,$C$7=Données!$H$53),(L20*$N$9)+((M20*$Q$8)*$Q$9),(L20+M20)*$N$8*$N$9)</f>
        <v>0</v>
      </c>
      <c r="O20" s="478">
        <f ca="1">IF(OR($C$7=Données!$H$52,$C$7=Données!$H$53),(L20*$H$10)+(M20*$Q$8*$H$10)-(M20*$Q$8*Données!$G$36*$H$10),((L20+M20)*$N$8*$H$10)-IF($K$8="Rente à titre onéreux imposable sur",(L20+M20)*$N$8*Données!$G$36*$H$10,(L20+M20)*$N$8*Données!$M$41*$H$10))</f>
        <v>0</v>
      </c>
      <c r="P20" s="478">
        <f ca="1">L20+M20-N20-O20</f>
        <v>0</v>
      </c>
      <c r="Q20" s="478">
        <f ca="1">P20</f>
        <v>0</v>
      </c>
      <c r="S20" s="476"/>
      <c r="T20" s="477">
        <f>C6</f>
        <v>0</v>
      </c>
      <c r="U20" s="478">
        <f>IF(OR($E$7="C1",$E$7="C1 bis",$E$7="C2"),H13,0)</f>
        <v>0</v>
      </c>
      <c r="V20" s="478">
        <f>U20*$X$5</f>
        <v>0</v>
      </c>
      <c r="W20" s="478">
        <f>IF(OR($E$7="C1",$E$7="C1 bis",$E$7="C2"),H14+V20,0)</f>
        <v>0</v>
      </c>
      <c r="X20" s="478">
        <f>IF(OR($E$7="C1",$E$7="C1 bis",$E$7="C2"),H13-H14,0)</f>
        <v>0</v>
      </c>
      <c r="Y20" s="478">
        <f>W20+X20</f>
        <v>0</v>
      </c>
      <c r="Z20" s="504">
        <f ca="1">IF(T20=($C$6+($X$7-$C$6)-1),Y20,IF(Y20&lt;IF(($X$7-$C$6)=0,0,-PMT($X$5,($X$7-$C$6),$H$13)),Y20,IF(($X$7-$C$6)=0,0,-PMT($X$5,($X$7-$C$6),$H$13))))</f>
        <v>0</v>
      </c>
      <c r="AA20" s="478">
        <f>IF(U20=ROUND(0,1),0,IF((W20+V20)&lt;(Z20-(X20*Z20/(X20+W20))),(W20+V20),Z20-(X20*Z20/(X20+W20))))</f>
        <v>0</v>
      </c>
      <c r="AB20" s="478">
        <f ca="1">IF((Z20-AA20)&gt;X20,X20,Z20-AA20)</f>
        <v>0</v>
      </c>
      <c r="AC20" s="478">
        <f>AA20*Données!$F$36</f>
        <v>0</v>
      </c>
      <c r="AD20" s="478">
        <f>AA20*Données!$F$28</f>
        <v>0</v>
      </c>
      <c r="AE20" s="478">
        <f ca="1">IF(AB20=0,0,IF($E$7="C1",(AB20*$H$10),IF($E$7="C2",-AA20*Données!$G$36*$H$10,0)))</f>
        <v>0</v>
      </c>
      <c r="AF20" s="478">
        <f ca="1">IF(Z20&gt;0,Z20-AC20-AD20-AE20,0)</f>
        <v>0</v>
      </c>
      <c r="AG20" s="477">
        <f>C6</f>
        <v>0</v>
      </c>
      <c r="AH20" s="478">
        <f>IF(OR($E$7="C1",$E$7="C1 bis",$E$7="C2"),H13,0)</f>
        <v>0</v>
      </c>
      <c r="AI20" s="478">
        <f>AH20*$X$5</f>
        <v>0</v>
      </c>
      <c r="AJ20" s="478">
        <f>IF(OR($E$7="C1",$E$7="C1 bis",$E$7="C2"),H14+AI20,0)</f>
        <v>0</v>
      </c>
      <c r="AK20" s="478">
        <f>IF(OR($E$7="C1",$E$7="C1 bis",$E$7="C2"),H13-H14,0)</f>
        <v>0</v>
      </c>
      <c r="AL20" s="478">
        <f>AJ20+AK20</f>
        <v>0</v>
      </c>
      <c r="AM20" s="478">
        <f ca="1">IF(AG20=($C$6+($AJ$14-$C$6)-1),AL20,IF(AL20&lt;IF(($AJ$14-$C$6)=0,0,-PMT($X$5,($AJ$14-$C$6),$H$13)),AL20,IF(($AJ$14-$C$6)=0,0,-PMT($X$5,($AJ$14-$C$6),$H$13))))</f>
        <v>0</v>
      </c>
      <c r="AN20" s="478">
        <f>IF(AH20=ROUND(0,1),0,IF((AJ20+AI20)&lt;(AM20-(AK20*AM20/(AK20+AJ20))),(AJ20+AI20),AM20-(AK20*AM20/(AK20+AJ20))))</f>
        <v>0</v>
      </c>
      <c r="AO20" s="478">
        <f ca="1">IF((AM20-AN20)&gt;AK20,AK20,AM20-AN20)</f>
        <v>0</v>
      </c>
      <c r="AP20" s="478">
        <f>AN20*Données!$F$36</f>
        <v>0</v>
      </c>
      <c r="AQ20" s="478">
        <f>AN20*Données!$F$28</f>
        <v>0</v>
      </c>
      <c r="AR20" s="478">
        <f ca="1">IF(AO20=0,0,IF($E$7="C1",(AO20*$H$10),IF($E$7="C2",-AN20*Données!$G$36*$H$10,0)))</f>
        <v>0</v>
      </c>
      <c r="AS20" s="478">
        <f ca="1">IF(AM20&gt;0,AM20-AP20-AQ20-AR20,0)</f>
        <v>0</v>
      </c>
      <c r="AT20" s="477">
        <f>AG20</f>
        <v>0</v>
      </c>
      <c r="AU20" s="478">
        <f>IF(OR($E$7="C1",$E$7="C1 bis",$E$7="C2"),H13,0)</f>
        <v>0</v>
      </c>
      <c r="AV20" s="478">
        <f>AU20*$X$5</f>
        <v>0</v>
      </c>
      <c r="AW20" s="478">
        <f>IF(OR($E$7="C1",$E$7="C1 bis",$E$7="C2"),U14+AV20,0)</f>
        <v>0</v>
      </c>
      <c r="AX20" s="478">
        <f>IF(OR($E$7="C1",$E$7="C1 bis",$E$7="C2"),H13-H14,0)</f>
        <v>0</v>
      </c>
      <c r="AY20" s="478">
        <f>AW20+AX20</f>
        <v>0</v>
      </c>
    </row>
    <row r="21" spans="1:51">
      <c r="A21" s="477">
        <f ca="1">A20+1</f>
        <v>2027</v>
      </c>
      <c r="B21" s="478">
        <f ca="1">IF(A21=$C$6,0,IF(A21&lt;$C$6,$C$9,0))</f>
        <v>0</v>
      </c>
      <c r="C21" s="478">
        <f ca="1">IF(OR($C$7=Données!$H$51,$C$7=Données!$H$54,$C$7=Données!$H$55,$C$7=Données!$H$57),0,B21*'Sit 1'!$C$10)</f>
        <v>0</v>
      </c>
      <c r="D21" s="478">
        <f ca="1">IFERROR(IF($H$5="",B21*'CT à Transf'!$K$28,B21*$H$5),B21*$H$5)</f>
        <v>0</v>
      </c>
      <c r="E21" s="478">
        <f ca="1">B21-D21</f>
        <v>0</v>
      </c>
      <c r="F21" s="478">
        <f t="shared" ca="1" si="0"/>
        <v>0</v>
      </c>
      <c r="G21" s="478">
        <f t="shared" ref="G21:G52" ca="1" si="2">IF(A21&lt;$C$6,(G20*(1+$H$6))+(E21+F21),0)</f>
        <v>0</v>
      </c>
      <c r="H21" s="478">
        <f t="shared" ref="H21:H83" ca="1" si="3">IF(G22&gt;0,0,G21)</f>
        <v>0</v>
      </c>
      <c r="J21" s="476"/>
      <c r="K21" s="477">
        <f>K20+1</f>
        <v>1</v>
      </c>
      <c r="L21" s="478">
        <f t="shared" ca="1" si="1"/>
        <v>0</v>
      </c>
      <c r="M21" s="478">
        <f ca="1">M20+((L20+M20)*$N$6)</f>
        <v>0</v>
      </c>
      <c r="N21" s="478">
        <f ca="1">IF(OR($C$7=Données!$H$52,$C$7=Données!$H$53),(L21*$N$9)+((M21*$Q$8)*$Q$9),(L21+M21)*$N$8*$N$9)</f>
        <v>0</v>
      </c>
      <c r="O21" s="478">
        <f ca="1">IF(OR($C$7=Données!$H$52,$C$7=Données!$H$53),(L21*$H$10)+(M21*$Q$8*$H$10)-(M21*$Q$8*Données!$G$36*$H$10),((L21+M21)*$N$8*$H$10)-IF($K$8="Rente à titre onéreux imposable sur",(L21+M21)*$N$8*Données!$G$36*$H$10,(L21+M21)*$N$8*Données!$M$41*$H$10))</f>
        <v>0</v>
      </c>
      <c r="P21" s="478">
        <f t="shared" ref="P21:P84" ca="1" si="4">L21+M21-N21-O21</f>
        <v>0</v>
      </c>
      <c r="Q21" s="478">
        <f ca="1">Q20+P21</f>
        <v>0</v>
      </c>
      <c r="S21" s="476"/>
      <c r="T21" s="477">
        <f>T20+1</f>
        <v>1</v>
      </c>
      <c r="U21" s="478">
        <f>IF(OR($E$7="C1",$E$7="C1 bis",$E$7="C2"),IF((U20+V20)&lt;=IF(($X$7-$C$6)=0,0,-PMT($X$5,($X$7-$C$6),$H$13))+1,0,U20+V20-Z20),0)</f>
        <v>0</v>
      </c>
      <c r="V21" s="478">
        <f t="shared" ref="V21:V84" si="5">U21*$X$5</f>
        <v>0</v>
      </c>
      <c r="W21" s="493">
        <f>IF((W20-AA20+V21)&lt;1,0,W20-AA20+V21)</f>
        <v>0</v>
      </c>
      <c r="X21" s="493">
        <f ca="1">IF((X20-AB20)&lt;1,0,X20-AB20)</f>
        <v>0</v>
      </c>
      <c r="Y21" s="478">
        <f t="shared" ref="Y21:Y84" ca="1" si="6">W21+X21</f>
        <v>0</v>
      </c>
      <c r="Z21" s="504">
        <f ca="1">IF(T21=($C$6+($X$7-$C$6)-1),Y21,IF(Y21&lt;IF(($X$7-$C$6)=0,0,-PMT($X$5,($X$7-$C$6),$H$13)),Y21,IF(($X$7-$C$6)=0,0,-PMT($X$5,($X$7-$C$6),$H$13))))</f>
        <v>0</v>
      </c>
      <c r="AA21" s="478">
        <f t="shared" ref="AA21:AA84" si="7">IF(U21=ROUND(0,1),0,IF((W21+V21)&lt;(Z21-(X21*Z21/(X21+W21))),(W21+V21),Z21-(X21*Z21/(X21+W21))))</f>
        <v>0</v>
      </c>
      <c r="AB21" s="478">
        <f t="shared" ref="AB21:AB84" ca="1" si="8">IF((Z21-AA21)&gt;X21,X21,Z21-AA21)</f>
        <v>0</v>
      </c>
      <c r="AC21" s="478">
        <f>AA21*Données!$F$36</f>
        <v>0</v>
      </c>
      <c r="AD21" s="478">
        <f>AA21*Données!$F$28</f>
        <v>0</v>
      </c>
      <c r="AE21" s="478">
        <f ca="1">IF(AB21=0,0,IF($E$7="C1",(AB21*$H$10),IF($E$7="C2",-AA21*Données!$G$36*$H$10,0)))</f>
        <v>0</v>
      </c>
      <c r="AF21" s="478">
        <f t="shared" ref="AF21:AF84" ca="1" si="9">IF(Z21&gt;0,Z21-AC21-AD21-AE21,0)</f>
        <v>0</v>
      </c>
      <c r="AG21" s="477">
        <f>AG20+1</f>
        <v>1</v>
      </c>
      <c r="AH21" s="478">
        <f>IF(OR($E$7="C1",$E$7="C1 bis",$E$7="C2"),IF((AH20+AI20)&lt;=IF(($AJ$14-$C$6)=0,0,-PMT($X$5,($AJ$14-$C$6),$H$13))+1,0,AH20+AI20-AM20),0)</f>
        <v>0</v>
      </c>
      <c r="AI21" s="478">
        <f>AH21*$X$5</f>
        <v>0</v>
      </c>
      <c r="AJ21" s="493">
        <f>IF((AJ20-AN20+AI21)&lt;1,0,AJ20-AN20+AI21)</f>
        <v>0</v>
      </c>
      <c r="AK21" s="493">
        <f ca="1">IF((AK20-AO20)&lt;1,0,AK20-AO20)</f>
        <v>0</v>
      </c>
      <c r="AL21" s="478">
        <f t="shared" ref="AL21:AL84" ca="1" si="10">AJ21+AK21</f>
        <v>0</v>
      </c>
      <c r="AM21" s="478">
        <f t="shared" ref="AM21:AM84" ca="1" si="11">IF(AG21=($C$6+($AJ$14-$C$6)-1),AL21,IF(AL21&lt;IF(($AJ$14-$C$6)=0,0,-PMT($X$5,($AJ$14-$C$6),$H$13)),AL21,IF(($AJ$14-$C$6)=0,0,-PMT($X$5,($AJ$14-$C$6),$H$13))))</f>
        <v>0</v>
      </c>
      <c r="AN21" s="478">
        <f>IF(AH21=ROUND(0,1),0,IF((AJ21+AI21)&lt;(AM21-(AK21*AM21/(AK21+AJ21))),(AJ21+AI21),AM21-(AK21*AM21/(AK21+AJ21))))</f>
        <v>0</v>
      </c>
      <c r="AO21" s="478">
        <f t="shared" ref="AO21:AO84" ca="1" si="12">IF((AM21-AN21)&gt;AK21,AK21,AM21-AN21)</f>
        <v>0</v>
      </c>
      <c r="AP21" s="478">
        <f>AN21*Données!$F$36</f>
        <v>0</v>
      </c>
      <c r="AQ21" s="478">
        <f>AN21*Données!$F$28</f>
        <v>0</v>
      </c>
      <c r="AR21" s="478">
        <f ca="1">IF(AO21=0,0,IF($E$7="C1",(AO21*$H$10),IF($E$7="C2",-AN21*Données!$G$36*$H$10,0)))</f>
        <v>0</v>
      </c>
      <c r="AS21" s="478">
        <f t="shared" ref="AS21:AS84" ca="1" si="13">IF(AM21&gt;0,AM21-AP21-AQ21-AR21,0)</f>
        <v>0</v>
      </c>
      <c r="AT21" s="477">
        <f>AT20+1</f>
        <v>1</v>
      </c>
      <c r="AU21" s="478">
        <f>IF(OR($E$7="C1",$E$7="C1 bis",$E$7="C2"),IF((AU20+AV20)&lt;=IF(($AJ$14-$C$6)=0,0,-PMT($X$5,($AJ$14-$C$6),$H$13))+1,0,AU20+AV20),0)</f>
        <v>0</v>
      </c>
      <c r="AV21" s="478">
        <f>AU21*$X$5</f>
        <v>0</v>
      </c>
      <c r="AW21" s="493">
        <f>AW20+AV21</f>
        <v>0</v>
      </c>
      <c r="AX21" s="493">
        <f>AX20</f>
        <v>0</v>
      </c>
      <c r="AY21" s="478">
        <f t="shared" ref="AY21:AY84" si="14">AW21+AX21</f>
        <v>0</v>
      </c>
    </row>
    <row r="22" spans="1:51">
      <c r="A22" s="477">
        <f t="shared" ref="A22:A85" ca="1" si="15">A21+1</f>
        <v>2028</v>
      </c>
      <c r="B22" s="478">
        <f t="shared" ref="B22:B85" ca="1" si="16">IF(A22=$C$6,0,IF(A22&lt;$C$6,$C$9,0))</f>
        <v>0</v>
      </c>
      <c r="C22" s="478">
        <f ca="1">IF(OR($C$7=Données!$H$51,$C$7=Données!$H$54,$C$7=Données!$H$55,$C$7=Données!$H$57),0,B22*'Sit 1'!$C$10)</f>
        <v>0</v>
      </c>
      <c r="D22" s="478">
        <f ca="1">IFERROR(IF($H$5="",B22*'CT à Transf'!$K$28,B22*$H$5),B22*$H$5)</f>
        <v>0</v>
      </c>
      <c r="E22" s="478">
        <f t="shared" ref="E22:E83" ca="1" si="17">B22-D22</f>
        <v>0</v>
      </c>
      <c r="F22" s="478">
        <f t="shared" ca="1" si="0"/>
        <v>0</v>
      </c>
      <c r="G22" s="478">
        <f t="shared" ca="1" si="2"/>
        <v>0</v>
      </c>
      <c r="H22" s="478">
        <f t="shared" ca="1" si="3"/>
        <v>0</v>
      </c>
      <c r="J22" s="476"/>
      <c r="K22" s="477">
        <f t="shared" ref="K22:K85" si="18">K21+1</f>
        <v>2</v>
      </c>
      <c r="L22" s="478">
        <f t="shared" ca="1" si="1"/>
        <v>0</v>
      </c>
      <c r="M22" s="478">
        <f t="shared" ref="M22:M85" ca="1" si="19">M21+((L21+M21)*$N$6)</f>
        <v>0</v>
      </c>
      <c r="N22" s="478">
        <f ca="1">IF(OR($C$7=Données!$H$52,$C$7=Données!$H$53),(L22*$N$9)+((M22*$Q$8)*$Q$9),(L22+M22)*$N$8*$N$9)</f>
        <v>0</v>
      </c>
      <c r="O22" s="478">
        <f ca="1">IF(OR($C$7=Données!$H$52,$C$7=Données!$H$53),(L22*$H$10)+(M22*$Q$8*$H$10)-(M22*$Q$8*Données!$G$36*$H$10),((L22+M22)*$N$8*$H$10)-IF($K$8="Rente à titre onéreux imposable sur",(L22+M22)*$N$8*Données!$G$36*$H$10,(L22+M22)*$N$8*Données!$M$41*$H$10))</f>
        <v>0</v>
      </c>
      <c r="P22" s="478">
        <f t="shared" ca="1" si="4"/>
        <v>0</v>
      </c>
      <c r="Q22" s="478">
        <f t="shared" ref="Q22:Q85" ca="1" si="20">Q21+P22</f>
        <v>0</v>
      </c>
      <c r="S22" s="476"/>
      <c r="T22" s="477">
        <f t="shared" ref="T22:T85" si="21">T21+1</f>
        <v>2</v>
      </c>
      <c r="U22" s="478">
        <f t="shared" ref="U22:U85" ca="1" si="22">IF((U21+V21)&lt;=IF(($X$7-$C$6)=0,0,-PMT($X$5,($X$7-$C$6),$H$13))+1,0,U21+V21-Z21)</f>
        <v>0</v>
      </c>
      <c r="V22" s="478">
        <f t="shared" ca="1" si="5"/>
        <v>0</v>
      </c>
      <c r="W22" s="493">
        <f t="shared" ref="W22:W85" ca="1" si="23">IF((W21-AA21+V22)&lt;1,0,W21-AA21+V22)</f>
        <v>0</v>
      </c>
      <c r="X22" s="493">
        <f t="shared" ref="X22:X85" ca="1" si="24">IF((X21-AB21)&lt;1,0,X21-AB21)</f>
        <v>0</v>
      </c>
      <c r="Y22" s="478">
        <f t="shared" ca="1" si="6"/>
        <v>0</v>
      </c>
      <c r="Z22" s="504">
        <f t="shared" ref="Z22:Z84" ca="1" si="25">IF(T22=($C$6+($X$7-$C$6)-1),Y22,IF(Y22&lt;IF(($X$7-$C$6)=0,0,-PMT($X$5,($X$7-$C$6),$H$13)),Y22,IF(($X$7-$C$6)=0,0,-PMT($X$5,($X$7-$C$6),$H$13))))</f>
        <v>0</v>
      </c>
      <c r="AA22" s="478">
        <f t="shared" ca="1" si="7"/>
        <v>0</v>
      </c>
      <c r="AB22" s="478">
        <f t="shared" ca="1" si="8"/>
        <v>0</v>
      </c>
      <c r="AC22" s="478">
        <f ca="1">AA22*Données!$F$36</f>
        <v>0</v>
      </c>
      <c r="AD22" s="478">
        <f ca="1">AA22*Données!$F$28</f>
        <v>0</v>
      </c>
      <c r="AE22" s="478">
        <f ca="1">IF(AB22=0,0,IF($E$7="C1",(AB22*$H$10),IF($E$7="C2",-AA22*Données!$G$36*$H$10,0)))</f>
        <v>0</v>
      </c>
      <c r="AF22" s="478">
        <f t="shared" ca="1" si="9"/>
        <v>0</v>
      </c>
      <c r="AG22" s="477">
        <f t="shared" ref="AG22:AG85" si="26">AG21+1</f>
        <v>2</v>
      </c>
      <c r="AH22" s="478">
        <f t="shared" ref="AH22:AH85" si="27">IF(OR($E$7="C1",$E$7="C1 bis",$E$7="C2"),IF((AH21+AI21)&lt;=IF(($AJ$14-$C$6)=0,0,-PMT($X$5,($AJ$14-$C$6),$H$13))+1,0,AH21+AI21-AM21),0)</f>
        <v>0</v>
      </c>
      <c r="AI22" s="478">
        <f t="shared" ref="AI22:AI84" si="28">AH22*$X$5</f>
        <v>0</v>
      </c>
      <c r="AJ22" s="493">
        <f t="shared" ref="AJ22:AJ85" si="29">IF((AJ21-AN21+AI22)&lt;1,0,AJ21-AN21+AI22)</f>
        <v>0</v>
      </c>
      <c r="AK22" s="493">
        <f t="shared" ref="AK22:AK85" ca="1" si="30">IF((AK21-AO21)&lt;1,0,AK21-AO21)</f>
        <v>0</v>
      </c>
      <c r="AL22" s="478">
        <f t="shared" ca="1" si="10"/>
        <v>0</v>
      </c>
      <c r="AM22" s="478">
        <f t="shared" ca="1" si="11"/>
        <v>0</v>
      </c>
      <c r="AN22" s="478">
        <f t="shared" ref="AN22:AN84" si="31">IF(AH22=ROUND(0,1),0,IF((AJ22+AI22)&lt;(AM22-(AK22*AM22/(AK22+AJ22))),(AJ22+AI22),AM22-(AK22*AM22/(AK22+AJ22))))</f>
        <v>0</v>
      </c>
      <c r="AO22" s="478">
        <f t="shared" ca="1" si="12"/>
        <v>0</v>
      </c>
      <c r="AP22" s="478">
        <f>AN22*Données!$F$36</f>
        <v>0</v>
      </c>
      <c r="AQ22" s="478">
        <f>AN22*Données!$F$28</f>
        <v>0</v>
      </c>
      <c r="AR22" s="478">
        <f ca="1">IF(AO22=0,0,IF($E$7="C1",(AO22*$H$10),IF($E$7="C2",-AN22*Données!$G$36*$H$10,0)))</f>
        <v>0</v>
      </c>
      <c r="AS22" s="478">
        <f t="shared" ca="1" si="13"/>
        <v>0</v>
      </c>
      <c r="AT22" s="477">
        <f t="shared" ref="AT22:AT85" si="32">AT21+1</f>
        <v>2</v>
      </c>
      <c r="AU22" s="478">
        <f t="shared" ref="AU22:AU85" si="33">IF(OR($E$7="C1",$E$7="C1 bis",$E$7="C2"),IF((AU21+AV21)&lt;=IF(($AJ$14-$C$6)=0,0,-PMT($X$5,($AJ$14-$C$6),$H$13))+1,0,AU21+AV21),0)</f>
        <v>0</v>
      </c>
      <c r="AV22" s="478">
        <f t="shared" ref="AV22:AV85" si="34">AU22*$X$5</f>
        <v>0</v>
      </c>
      <c r="AW22" s="493">
        <f t="shared" ref="AW22:AW85" si="35">AW21+AV22</f>
        <v>0</v>
      </c>
      <c r="AX22" s="493">
        <f t="shared" ref="AX22:AX85" si="36">AX21</f>
        <v>0</v>
      </c>
      <c r="AY22" s="478">
        <f t="shared" si="14"/>
        <v>0</v>
      </c>
    </row>
    <row r="23" spans="1:51">
      <c r="A23" s="477">
        <f t="shared" ca="1" si="15"/>
        <v>2029</v>
      </c>
      <c r="B23" s="478">
        <f t="shared" ca="1" si="16"/>
        <v>0</v>
      </c>
      <c r="C23" s="478">
        <f ca="1">IF(OR($C$7=Données!$H$51,$C$7=Données!$H$54,$C$7=Données!$H$55,$C$7=Données!$H$57),0,B23*'Sit 1'!$C$10)</f>
        <v>0</v>
      </c>
      <c r="D23" s="478">
        <f ca="1">IFERROR(IF($H$5="",B23*'CT à Transf'!$K$28,B23*$H$5),B23*$H$5)</f>
        <v>0</v>
      </c>
      <c r="E23" s="478">
        <f t="shared" ca="1" si="17"/>
        <v>0</v>
      </c>
      <c r="F23" s="478">
        <f t="shared" ca="1" si="0"/>
        <v>0</v>
      </c>
      <c r="G23" s="478">
        <f t="shared" ca="1" si="2"/>
        <v>0</v>
      </c>
      <c r="H23" s="478">
        <f t="shared" ca="1" si="3"/>
        <v>0</v>
      </c>
      <c r="J23" s="476"/>
      <c r="K23" s="477">
        <f t="shared" si="18"/>
        <v>3</v>
      </c>
      <c r="L23" s="478">
        <f t="shared" ca="1" si="1"/>
        <v>0</v>
      </c>
      <c r="M23" s="478">
        <f t="shared" ca="1" si="19"/>
        <v>0</v>
      </c>
      <c r="N23" s="478">
        <f ca="1">IF(OR($C$7=Données!$H$52,$C$7=Données!$H$53),(L23*$N$9)+((M23*$Q$8)*$Q$9),(L23+M23)*$N$8*$N$9)</f>
        <v>0</v>
      </c>
      <c r="O23" s="478">
        <f ca="1">IF(OR($C$7=Données!$H$52,$C$7=Données!$H$53),(L23*$H$10)+(M23*$Q$8*$H$10)-(M23*$Q$8*Données!$G$36*$H$10),((L23+M23)*$N$8*$H$10)-IF($K$8="Rente à titre onéreux imposable sur",(L23+M23)*$N$8*Données!$G$36*$H$10,(L23+M23)*$N$8*Données!$M$41*$H$10))</f>
        <v>0</v>
      </c>
      <c r="P23" s="478">
        <f t="shared" ca="1" si="4"/>
        <v>0</v>
      </c>
      <c r="Q23" s="478">
        <f t="shared" ca="1" si="20"/>
        <v>0</v>
      </c>
      <c r="S23" s="476"/>
      <c r="T23" s="477">
        <f t="shared" si="21"/>
        <v>3</v>
      </c>
      <c r="U23" s="478">
        <f t="shared" ca="1" si="22"/>
        <v>0</v>
      </c>
      <c r="V23" s="478">
        <f t="shared" ca="1" si="5"/>
        <v>0</v>
      </c>
      <c r="W23" s="493">
        <f t="shared" ca="1" si="23"/>
        <v>0</v>
      </c>
      <c r="X23" s="493">
        <f t="shared" ca="1" si="24"/>
        <v>0</v>
      </c>
      <c r="Y23" s="478">
        <f t="shared" ca="1" si="6"/>
        <v>0</v>
      </c>
      <c r="Z23" s="504">
        <f t="shared" ca="1" si="25"/>
        <v>0</v>
      </c>
      <c r="AA23" s="478">
        <f t="shared" ca="1" si="7"/>
        <v>0</v>
      </c>
      <c r="AB23" s="478">
        <f t="shared" ca="1" si="8"/>
        <v>0</v>
      </c>
      <c r="AC23" s="478">
        <f ca="1">AA23*Données!$F$36</f>
        <v>0</v>
      </c>
      <c r="AD23" s="478">
        <f ca="1">AA23*Données!$F$28</f>
        <v>0</v>
      </c>
      <c r="AE23" s="478">
        <f ca="1">IF(AB23=0,0,IF($E$7="C1",(AB23*$H$10),IF($E$7="C2",-AA23*Données!$G$36*$H$10,0)))</f>
        <v>0</v>
      </c>
      <c r="AF23" s="478">
        <f t="shared" ca="1" si="9"/>
        <v>0</v>
      </c>
      <c r="AG23" s="477">
        <f t="shared" si="26"/>
        <v>3</v>
      </c>
      <c r="AH23" s="478">
        <f t="shared" si="27"/>
        <v>0</v>
      </c>
      <c r="AI23" s="478">
        <f t="shared" si="28"/>
        <v>0</v>
      </c>
      <c r="AJ23" s="493">
        <f t="shared" si="29"/>
        <v>0</v>
      </c>
      <c r="AK23" s="493">
        <f t="shared" ca="1" si="30"/>
        <v>0</v>
      </c>
      <c r="AL23" s="478">
        <f t="shared" ca="1" si="10"/>
        <v>0</v>
      </c>
      <c r="AM23" s="478">
        <f t="shared" ca="1" si="11"/>
        <v>0</v>
      </c>
      <c r="AN23" s="478">
        <f t="shared" si="31"/>
        <v>0</v>
      </c>
      <c r="AO23" s="478">
        <f t="shared" ca="1" si="12"/>
        <v>0</v>
      </c>
      <c r="AP23" s="478">
        <f>AN23*Données!$F$36</f>
        <v>0</v>
      </c>
      <c r="AQ23" s="478">
        <f>AN23*Données!$F$28</f>
        <v>0</v>
      </c>
      <c r="AR23" s="478">
        <f ca="1">IF(AO23=0,0,IF($E$7="C1",(AO23*$H$10),IF($E$7="C2",-AN23*Données!$G$36*$H$10,0)))</f>
        <v>0</v>
      </c>
      <c r="AS23" s="478">
        <f t="shared" ca="1" si="13"/>
        <v>0</v>
      </c>
      <c r="AT23" s="477">
        <f t="shared" si="32"/>
        <v>3</v>
      </c>
      <c r="AU23" s="478">
        <f t="shared" si="33"/>
        <v>0</v>
      </c>
      <c r="AV23" s="478">
        <f t="shared" si="34"/>
        <v>0</v>
      </c>
      <c r="AW23" s="493">
        <f t="shared" si="35"/>
        <v>0</v>
      </c>
      <c r="AX23" s="493">
        <f t="shared" si="36"/>
        <v>0</v>
      </c>
      <c r="AY23" s="478">
        <f t="shared" si="14"/>
        <v>0</v>
      </c>
    </row>
    <row r="24" spans="1:51">
      <c r="A24" s="477">
        <f t="shared" ca="1" si="15"/>
        <v>2030</v>
      </c>
      <c r="B24" s="478">
        <f t="shared" ca="1" si="16"/>
        <v>0</v>
      </c>
      <c r="C24" s="478">
        <f ca="1">IF(OR($C$7=Données!$H$51,$C$7=Données!$H$54,$C$7=Données!$H$55,$C$7=Données!$H$57),0,B24*'Sit 1'!$C$10)</f>
        <v>0</v>
      </c>
      <c r="D24" s="478">
        <f ca="1">IFERROR(IF($H$5="",B24*'CT à Transf'!$K$28,B24*$H$5),B24*$H$5)</f>
        <v>0</v>
      </c>
      <c r="E24" s="478">
        <f t="shared" ca="1" si="17"/>
        <v>0</v>
      </c>
      <c r="F24" s="478">
        <f t="shared" ca="1" si="0"/>
        <v>0</v>
      </c>
      <c r="G24" s="478">
        <f t="shared" ca="1" si="2"/>
        <v>0</v>
      </c>
      <c r="H24" s="478">
        <f t="shared" ca="1" si="3"/>
        <v>0</v>
      </c>
      <c r="J24" s="476"/>
      <c r="K24" s="477">
        <f t="shared" si="18"/>
        <v>4</v>
      </c>
      <c r="L24" s="478">
        <f t="shared" ca="1" si="1"/>
        <v>0</v>
      </c>
      <c r="M24" s="478">
        <f t="shared" ca="1" si="19"/>
        <v>0</v>
      </c>
      <c r="N24" s="478">
        <f ca="1">IF(OR($C$7=Données!$H$52,$C$7=Données!$H$53),(L24*$N$9)+((M24*$Q$8)*$Q$9),(L24+M24)*$N$8*$N$9)</f>
        <v>0</v>
      </c>
      <c r="O24" s="478">
        <f ca="1">IF(OR($C$7=Données!$H$52,$C$7=Données!$H$53),(L24*$H$10)+(M24*$Q$8*$H$10)-(M24*$Q$8*Données!$G$36*$H$10),((L24+M24)*$N$8*$H$10)-IF($K$8="Rente à titre onéreux imposable sur",(L24+M24)*$N$8*Données!$G$36*$H$10,(L24+M24)*$N$8*Données!$M$41*$H$10))</f>
        <v>0</v>
      </c>
      <c r="P24" s="478">
        <f t="shared" ca="1" si="4"/>
        <v>0</v>
      </c>
      <c r="Q24" s="478">
        <f t="shared" ca="1" si="20"/>
        <v>0</v>
      </c>
      <c r="S24" s="476"/>
      <c r="T24" s="477">
        <f t="shared" si="21"/>
        <v>4</v>
      </c>
      <c r="U24" s="478">
        <f t="shared" ca="1" si="22"/>
        <v>0</v>
      </c>
      <c r="V24" s="478">
        <f t="shared" ca="1" si="5"/>
        <v>0</v>
      </c>
      <c r="W24" s="493">
        <f t="shared" ca="1" si="23"/>
        <v>0</v>
      </c>
      <c r="X24" s="493">
        <f t="shared" ca="1" si="24"/>
        <v>0</v>
      </c>
      <c r="Y24" s="478">
        <f t="shared" ca="1" si="6"/>
        <v>0</v>
      </c>
      <c r="Z24" s="504">
        <f t="shared" ca="1" si="25"/>
        <v>0</v>
      </c>
      <c r="AA24" s="478">
        <f t="shared" ca="1" si="7"/>
        <v>0</v>
      </c>
      <c r="AB24" s="478">
        <f t="shared" ca="1" si="8"/>
        <v>0</v>
      </c>
      <c r="AC24" s="478">
        <f ca="1">AA24*Données!$F$36</f>
        <v>0</v>
      </c>
      <c r="AD24" s="478">
        <f ca="1">AA24*Données!$F$28</f>
        <v>0</v>
      </c>
      <c r="AE24" s="478">
        <f ca="1">IF(AB24=0,0,IF($E$7="C1",(AB24*$H$10),IF($E$7="C2",-AA24*Données!$G$36*$H$10,0)))</f>
        <v>0</v>
      </c>
      <c r="AF24" s="478">
        <f t="shared" ca="1" si="9"/>
        <v>0</v>
      </c>
      <c r="AG24" s="477">
        <f t="shared" si="26"/>
        <v>4</v>
      </c>
      <c r="AH24" s="478">
        <f t="shared" si="27"/>
        <v>0</v>
      </c>
      <c r="AI24" s="478">
        <f t="shared" si="28"/>
        <v>0</v>
      </c>
      <c r="AJ24" s="493">
        <f t="shared" si="29"/>
        <v>0</v>
      </c>
      <c r="AK24" s="493">
        <f t="shared" ca="1" si="30"/>
        <v>0</v>
      </c>
      <c r="AL24" s="478">
        <f t="shared" ca="1" si="10"/>
        <v>0</v>
      </c>
      <c r="AM24" s="478">
        <f t="shared" ca="1" si="11"/>
        <v>0</v>
      </c>
      <c r="AN24" s="478">
        <f t="shared" si="31"/>
        <v>0</v>
      </c>
      <c r="AO24" s="478">
        <f t="shared" ca="1" si="12"/>
        <v>0</v>
      </c>
      <c r="AP24" s="478">
        <f>AN24*Données!$F$36</f>
        <v>0</v>
      </c>
      <c r="AQ24" s="478">
        <f>AN24*Données!$F$28</f>
        <v>0</v>
      </c>
      <c r="AR24" s="478">
        <f ca="1">IF(AO24=0,0,IF($E$7="C1",(AO24*$H$10),IF($E$7="C2",-AN24*Données!$G$36*$H$10,0)))</f>
        <v>0</v>
      </c>
      <c r="AS24" s="478">
        <f t="shared" ca="1" si="13"/>
        <v>0</v>
      </c>
      <c r="AT24" s="477">
        <f t="shared" si="32"/>
        <v>4</v>
      </c>
      <c r="AU24" s="478">
        <f t="shared" si="33"/>
        <v>0</v>
      </c>
      <c r="AV24" s="478">
        <f t="shared" si="34"/>
        <v>0</v>
      </c>
      <c r="AW24" s="493">
        <f t="shared" si="35"/>
        <v>0</v>
      </c>
      <c r="AX24" s="493">
        <f t="shared" si="36"/>
        <v>0</v>
      </c>
      <c r="AY24" s="478">
        <f t="shared" si="14"/>
        <v>0</v>
      </c>
    </row>
    <row r="25" spans="1:51">
      <c r="A25" s="477">
        <f t="shared" ca="1" si="15"/>
        <v>2031</v>
      </c>
      <c r="B25" s="478">
        <f t="shared" ca="1" si="16"/>
        <v>0</v>
      </c>
      <c r="C25" s="478">
        <f ca="1">IF(OR($C$7=Données!$H$51,$C$7=Données!$H$54,$C$7=Données!$H$55,$C$7=Données!$H$57),0,B25*'Sit 1'!$C$10)</f>
        <v>0</v>
      </c>
      <c r="D25" s="478">
        <f ca="1">IFERROR(IF($H$5="",B25*'CT à Transf'!$K$28,B25*$H$5),B25*$H$5)</f>
        <v>0</v>
      </c>
      <c r="E25" s="478">
        <f t="shared" ca="1" si="17"/>
        <v>0</v>
      </c>
      <c r="F25" s="478">
        <f t="shared" ca="1" si="0"/>
        <v>0</v>
      </c>
      <c r="G25" s="478">
        <f t="shared" ca="1" si="2"/>
        <v>0</v>
      </c>
      <c r="H25" s="478">
        <f t="shared" ca="1" si="3"/>
        <v>0</v>
      </c>
      <c r="J25" s="476"/>
      <c r="K25" s="477">
        <f t="shared" si="18"/>
        <v>5</v>
      </c>
      <c r="L25" s="478">
        <f t="shared" ca="1" si="1"/>
        <v>0</v>
      </c>
      <c r="M25" s="478">
        <f t="shared" ca="1" si="19"/>
        <v>0</v>
      </c>
      <c r="N25" s="478">
        <f ca="1">IF(OR($C$7=Données!$H$52,$C$7=Données!$H$53),(L25*$N$9)+((M25*$Q$8)*$Q$9),(L25+M25)*$N$8*$N$9)</f>
        <v>0</v>
      </c>
      <c r="O25" s="478">
        <f ca="1">IF(OR($C$7=Données!$H$52,$C$7=Données!$H$53),(L25*$H$10)+(M25*$Q$8*$H$10)-(M25*$Q$8*Données!$G$36*$H$10),((L25+M25)*$N$8*$H$10)-IF($K$8="Rente à titre onéreux imposable sur",(L25+M25)*$N$8*Données!$G$36*$H$10,(L25+M25)*$N$8*Données!$M$41*$H$10))</f>
        <v>0</v>
      </c>
      <c r="P25" s="478">
        <f t="shared" ca="1" si="4"/>
        <v>0</v>
      </c>
      <c r="Q25" s="478">
        <f t="shared" ca="1" si="20"/>
        <v>0</v>
      </c>
      <c r="S25" s="476"/>
      <c r="T25" s="477">
        <f t="shared" si="21"/>
        <v>5</v>
      </c>
      <c r="U25" s="478">
        <f t="shared" ca="1" si="22"/>
        <v>0</v>
      </c>
      <c r="V25" s="478">
        <f t="shared" ca="1" si="5"/>
        <v>0</v>
      </c>
      <c r="W25" s="493">
        <f t="shared" ca="1" si="23"/>
        <v>0</v>
      </c>
      <c r="X25" s="493">
        <f t="shared" ca="1" si="24"/>
        <v>0</v>
      </c>
      <c r="Y25" s="478">
        <f t="shared" ca="1" si="6"/>
        <v>0</v>
      </c>
      <c r="Z25" s="504">
        <f t="shared" ca="1" si="25"/>
        <v>0</v>
      </c>
      <c r="AA25" s="478">
        <f t="shared" ca="1" si="7"/>
        <v>0</v>
      </c>
      <c r="AB25" s="478">
        <f t="shared" ca="1" si="8"/>
        <v>0</v>
      </c>
      <c r="AC25" s="478">
        <f ca="1">AA25*Données!$F$36</f>
        <v>0</v>
      </c>
      <c r="AD25" s="478">
        <f ca="1">AA25*Données!$F$28</f>
        <v>0</v>
      </c>
      <c r="AE25" s="478">
        <f ca="1">IF(AB25=0,0,IF($E$7="C1",(AB25*$H$10),IF($E$7="C2",-AA25*Données!$G$36*$H$10,0)))</f>
        <v>0</v>
      </c>
      <c r="AF25" s="478">
        <f t="shared" ca="1" si="9"/>
        <v>0</v>
      </c>
      <c r="AG25" s="477">
        <f t="shared" si="26"/>
        <v>5</v>
      </c>
      <c r="AH25" s="478">
        <f t="shared" si="27"/>
        <v>0</v>
      </c>
      <c r="AI25" s="478">
        <f t="shared" si="28"/>
        <v>0</v>
      </c>
      <c r="AJ25" s="493">
        <f t="shared" si="29"/>
        <v>0</v>
      </c>
      <c r="AK25" s="493">
        <f t="shared" ca="1" si="30"/>
        <v>0</v>
      </c>
      <c r="AL25" s="478">
        <f t="shared" ca="1" si="10"/>
        <v>0</v>
      </c>
      <c r="AM25" s="478">
        <f t="shared" ca="1" si="11"/>
        <v>0</v>
      </c>
      <c r="AN25" s="478">
        <f t="shared" si="31"/>
        <v>0</v>
      </c>
      <c r="AO25" s="478">
        <f t="shared" ca="1" si="12"/>
        <v>0</v>
      </c>
      <c r="AP25" s="478">
        <f>AN25*Données!$F$36</f>
        <v>0</v>
      </c>
      <c r="AQ25" s="478">
        <f>AN25*Données!$F$28</f>
        <v>0</v>
      </c>
      <c r="AR25" s="478">
        <f ca="1">IF(AO25=0,0,IF($E$7="C1",(AO25*$H$10),IF($E$7="C2",-AN25*Données!$G$36*$H$10,0)))</f>
        <v>0</v>
      </c>
      <c r="AS25" s="478">
        <f t="shared" ca="1" si="13"/>
        <v>0</v>
      </c>
      <c r="AT25" s="477">
        <f t="shared" si="32"/>
        <v>5</v>
      </c>
      <c r="AU25" s="478">
        <f t="shared" si="33"/>
        <v>0</v>
      </c>
      <c r="AV25" s="478">
        <f t="shared" si="34"/>
        <v>0</v>
      </c>
      <c r="AW25" s="493">
        <f t="shared" si="35"/>
        <v>0</v>
      </c>
      <c r="AX25" s="493">
        <f t="shared" si="36"/>
        <v>0</v>
      </c>
      <c r="AY25" s="478">
        <f t="shared" si="14"/>
        <v>0</v>
      </c>
    </row>
    <row r="26" spans="1:51">
      <c r="A26" s="477">
        <f t="shared" ca="1" si="15"/>
        <v>2032</v>
      </c>
      <c r="B26" s="478">
        <f t="shared" ca="1" si="16"/>
        <v>0</v>
      </c>
      <c r="C26" s="478">
        <f ca="1">IF(OR($C$7=Données!$H$51,$C$7=Données!$H$54,$C$7=Données!$H$55,$C$7=Données!$H$57),0,B26*'Sit 1'!$C$10)</f>
        <v>0</v>
      </c>
      <c r="D26" s="478">
        <f ca="1">IFERROR(IF($H$5="",B26*'CT à Transf'!$K$28,B26*$H$5),B26*$H$5)</f>
        <v>0</v>
      </c>
      <c r="E26" s="478">
        <f t="shared" ca="1" si="17"/>
        <v>0</v>
      </c>
      <c r="F26" s="478">
        <f t="shared" ca="1" si="0"/>
        <v>0</v>
      </c>
      <c r="G26" s="478">
        <f t="shared" ca="1" si="2"/>
        <v>0</v>
      </c>
      <c r="H26" s="478">
        <f t="shared" ca="1" si="3"/>
        <v>0</v>
      </c>
      <c r="J26" s="476"/>
      <c r="K26" s="477">
        <f t="shared" si="18"/>
        <v>6</v>
      </c>
      <c r="L26" s="478">
        <f t="shared" ca="1" si="1"/>
        <v>0</v>
      </c>
      <c r="M26" s="478">
        <f t="shared" ca="1" si="19"/>
        <v>0</v>
      </c>
      <c r="N26" s="478">
        <f ca="1">IF(OR($C$7=Données!$H$52,$C$7=Données!$H$53),(L26*$N$9)+((M26*$Q$8)*$Q$9),(L26+M26)*$N$8*$N$9)</f>
        <v>0</v>
      </c>
      <c r="O26" s="478">
        <f ca="1">IF(OR($C$7=Données!$H$52,$C$7=Données!$H$53),(L26*$H$10)+(M26*$Q$8*$H$10)-(M26*$Q$8*Données!$G$36*$H$10),((L26+M26)*$N$8*$H$10)-IF($K$8="Rente à titre onéreux imposable sur",(L26+M26)*$N$8*Données!$G$36*$H$10,(L26+M26)*$N$8*Données!$M$41*$H$10))</f>
        <v>0</v>
      </c>
      <c r="P26" s="478">
        <f t="shared" ca="1" si="4"/>
        <v>0</v>
      </c>
      <c r="Q26" s="478">
        <f t="shared" ca="1" si="20"/>
        <v>0</v>
      </c>
      <c r="S26" s="476"/>
      <c r="T26" s="477">
        <f t="shared" si="21"/>
        <v>6</v>
      </c>
      <c r="U26" s="478">
        <f t="shared" ca="1" si="22"/>
        <v>0</v>
      </c>
      <c r="V26" s="478">
        <f t="shared" ca="1" si="5"/>
        <v>0</v>
      </c>
      <c r="W26" s="493">
        <f t="shared" ca="1" si="23"/>
        <v>0</v>
      </c>
      <c r="X26" s="493">
        <f t="shared" ca="1" si="24"/>
        <v>0</v>
      </c>
      <c r="Y26" s="478">
        <f t="shared" ca="1" si="6"/>
        <v>0</v>
      </c>
      <c r="Z26" s="504">
        <f t="shared" ca="1" si="25"/>
        <v>0</v>
      </c>
      <c r="AA26" s="478">
        <f t="shared" ca="1" si="7"/>
        <v>0</v>
      </c>
      <c r="AB26" s="478">
        <f t="shared" ca="1" si="8"/>
        <v>0</v>
      </c>
      <c r="AC26" s="478">
        <f ca="1">AA26*Données!$F$36</f>
        <v>0</v>
      </c>
      <c r="AD26" s="478">
        <f ca="1">AA26*Données!$F$28</f>
        <v>0</v>
      </c>
      <c r="AE26" s="478">
        <f ca="1">IF(AB26=0,0,IF($E$7="C1",(AB26*$H$10),IF($E$7="C2",-AA26*Données!$G$36*$H$10,0)))</f>
        <v>0</v>
      </c>
      <c r="AF26" s="478">
        <f t="shared" ca="1" si="9"/>
        <v>0</v>
      </c>
      <c r="AG26" s="477">
        <f t="shared" si="26"/>
        <v>6</v>
      </c>
      <c r="AH26" s="478">
        <f t="shared" si="27"/>
        <v>0</v>
      </c>
      <c r="AI26" s="478">
        <f t="shared" si="28"/>
        <v>0</v>
      </c>
      <c r="AJ26" s="493">
        <f t="shared" si="29"/>
        <v>0</v>
      </c>
      <c r="AK26" s="493">
        <f t="shared" ca="1" si="30"/>
        <v>0</v>
      </c>
      <c r="AL26" s="478">
        <f t="shared" ca="1" si="10"/>
        <v>0</v>
      </c>
      <c r="AM26" s="478">
        <f t="shared" ca="1" si="11"/>
        <v>0</v>
      </c>
      <c r="AN26" s="478">
        <f t="shared" si="31"/>
        <v>0</v>
      </c>
      <c r="AO26" s="478">
        <f t="shared" ca="1" si="12"/>
        <v>0</v>
      </c>
      <c r="AP26" s="478">
        <f>AN26*Données!$F$36</f>
        <v>0</v>
      </c>
      <c r="AQ26" s="478">
        <f>AN26*Données!$F$28</f>
        <v>0</v>
      </c>
      <c r="AR26" s="478">
        <f ca="1">IF(AO26=0,0,IF($E$7="C1",(AO26*$H$10),IF($E$7="C2",-AN26*Données!$G$36*$H$10,0)))</f>
        <v>0</v>
      </c>
      <c r="AS26" s="478">
        <f t="shared" ca="1" si="13"/>
        <v>0</v>
      </c>
      <c r="AT26" s="477">
        <f t="shared" si="32"/>
        <v>6</v>
      </c>
      <c r="AU26" s="478">
        <f t="shared" si="33"/>
        <v>0</v>
      </c>
      <c r="AV26" s="478">
        <f t="shared" si="34"/>
        <v>0</v>
      </c>
      <c r="AW26" s="493">
        <f t="shared" si="35"/>
        <v>0</v>
      </c>
      <c r="AX26" s="493">
        <f t="shared" si="36"/>
        <v>0</v>
      </c>
      <c r="AY26" s="478">
        <f t="shared" si="14"/>
        <v>0</v>
      </c>
    </row>
    <row r="27" spans="1:51">
      <c r="A27" s="477">
        <f t="shared" ca="1" si="15"/>
        <v>2033</v>
      </c>
      <c r="B27" s="478">
        <f t="shared" ca="1" si="16"/>
        <v>0</v>
      </c>
      <c r="C27" s="478">
        <f ca="1">IF(OR($C$7=Données!$H$51,$C$7=Données!$H$54,$C$7=Données!$H$55,$C$7=Données!$H$57),0,B27*'Sit 1'!$C$10)</f>
        <v>0</v>
      </c>
      <c r="D27" s="478">
        <f ca="1">IFERROR(IF($H$5="",B27*'CT à Transf'!$K$28,B27*$H$5),B27*$H$5)</f>
        <v>0</v>
      </c>
      <c r="E27" s="478">
        <f t="shared" ca="1" si="17"/>
        <v>0</v>
      </c>
      <c r="F27" s="478">
        <f t="shared" ca="1" si="0"/>
        <v>0</v>
      </c>
      <c r="G27" s="478">
        <f t="shared" ca="1" si="2"/>
        <v>0</v>
      </c>
      <c r="H27" s="478">
        <f t="shared" ca="1" si="3"/>
        <v>0</v>
      </c>
      <c r="J27" s="476"/>
      <c r="K27" s="477">
        <f t="shared" si="18"/>
        <v>7</v>
      </c>
      <c r="L27" s="478">
        <f t="shared" ca="1" si="1"/>
        <v>0</v>
      </c>
      <c r="M27" s="478">
        <f t="shared" ca="1" si="19"/>
        <v>0</v>
      </c>
      <c r="N27" s="478">
        <f ca="1">IF(OR($C$7=Données!$H$52,$C$7=Données!$H$53),(L27*$N$9)+((M27*$Q$8)*$Q$9),(L27+M27)*$N$8*$N$9)</f>
        <v>0</v>
      </c>
      <c r="O27" s="478">
        <f ca="1">IF(OR($C$7=Données!$H$52,$C$7=Données!$H$53),(L27*$H$10)+(M27*$Q$8*$H$10)-(M27*$Q$8*Données!$G$36*$H$10),((L27+M27)*$N$8*$H$10)-IF($K$8="Rente à titre onéreux imposable sur",(L27+M27)*$N$8*Données!$G$36*$H$10,(L27+M27)*$N$8*Données!$M$41*$H$10))</f>
        <v>0</v>
      </c>
      <c r="P27" s="478">
        <f t="shared" ca="1" si="4"/>
        <v>0</v>
      </c>
      <c r="Q27" s="478">
        <f t="shared" ca="1" si="20"/>
        <v>0</v>
      </c>
      <c r="S27" s="476"/>
      <c r="T27" s="477">
        <f t="shared" si="21"/>
        <v>7</v>
      </c>
      <c r="U27" s="478">
        <f t="shared" ca="1" si="22"/>
        <v>0</v>
      </c>
      <c r="V27" s="478">
        <f t="shared" ca="1" si="5"/>
        <v>0</v>
      </c>
      <c r="W27" s="493">
        <f t="shared" ca="1" si="23"/>
        <v>0</v>
      </c>
      <c r="X27" s="493">
        <f t="shared" ca="1" si="24"/>
        <v>0</v>
      </c>
      <c r="Y27" s="478">
        <f t="shared" ca="1" si="6"/>
        <v>0</v>
      </c>
      <c r="Z27" s="504">
        <f t="shared" ca="1" si="25"/>
        <v>0</v>
      </c>
      <c r="AA27" s="478">
        <f t="shared" ca="1" si="7"/>
        <v>0</v>
      </c>
      <c r="AB27" s="478">
        <f t="shared" ca="1" si="8"/>
        <v>0</v>
      </c>
      <c r="AC27" s="478">
        <f ca="1">AA27*Données!$F$36</f>
        <v>0</v>
      </c>
      <c r="AD27" s="478">
        <f ca="1">AA27*Données!$F$28</f>
        <v>0</v>
      </c>
      <c r="AE27" s="478">
        <f ca="1">IF(AB27=0,0,IF($E$7="C1",(AB27*$H$10),IF($E$7="C2",-AA27*Données!$G$36*$H$10,0)))</f>
        <v>0</v>
      </c>
      <c r="AF27" s="478">
        <f t="shared" ca="1" si="9"/>
        <v>0</v>
      </c>
      <c r="AG27" s="477">
        <f t="shared" si="26"/>
        <v>7</v>
      </c>
      <c r="AH27" s="478">
        <f t="shared" si="27"/>
        <v>0</v>
      </c>
      <c r="AI27" s="478">
        <f t="shared" si="28"/>
        <v>0</v>
      </c>
      <c r="AJ27" s="493">
        <f t="shared" si="29"/>
        <v>0</v>
      </c>
      <c r="AK27" s="493">
        <f t="shared" ca="1" si="30"/>
        <v>0</v>
      </c>
      <c r="AL27" s="478">
        <f t="shared" ca="1" si="10"/>
        <v>0</v>
      </c>
      <c r="AM27" s="478">
        <f t="shared" ca="1" si="11"/>
        <v>0</v>
      </c>
      <c r="AN27" s="478">
        <f t="shared" si="31"/>
        <v>0</v>
      </c>
      <c r="AO27" s="478">
        <f t="shared" ca="1" si="12"/>
        <v>0</v>
      </c>
      <c r="AP27" s="478">
        <f>AN27*Données!$F$36</f>
        <v>0</v>
      </c>
      <c r="AQ27" s="478">
        <f>AN27*Données!$F$28</f>
        <v>0</v>
      </c>
      <c r="AR27" s="478">
        <f ca="1">IF(AO27=0,0,IF($E$7="C1",(AO27*$H$10),IF($E$7="C2",-AN27*Données!$G$36*$H$10,0)))</f>
        <v>0</v>
      </c>
      <c r="AS27" s="478">
        <f t="shared" ca="1" si="13"/>
        <v>0</v>
      </c>
      <c r="AT27" s="477">
        <f t="shared" si="32"/>
        <v>7</v>
      </c>
      <c r="AU27" s="478">
        <f t="shared" si="33"/>
        <v>0</v>
      </c>
      <c r="AV27" s="478">
        <f t="shared" si="34"/>
        <v>0</v>
      </c>
      <c r="AW27" s="493">
        <f t="shared" si="35"/>
        <v>0</v>
      </c>
      <c r="AX27" s="493">
        <f t="shared" si="36"/>
        <v>0</v>
      </c>
      <c r="AY27" s="478">
        <f t="shared" si="14"/>
        <v>0</v>
      </c>
    </row>
    <row r="28" spans="1:51">
      <c r="A28" s="477">
        <f t="shared" ca="1" si="15"/>
        <v>2034</v>
      </c>
      <c r="B28" s="478">
        <f t="shared" ca="1" si="16"/>
        <v>0</v>
      </c>
      <c r="C28" s="478">
        <f ca="1">IF(OR($C$7=Données!$H$51,$C$7=Données!$H$54,$C$7=Données!$H$55,$C$7=Données!$H$57),0,B28*'Sit 1'!$C$10)</f>
        <v>0</v>
      </c>
      <c r="D28" s="478">
        <f ca="1">IFERROR(IF($H$5="",B28*'CT à Transf'!$K$28,B28*$H$5),B28*$H$5)</f>
        <v>0</v>
      </c>
      <c r="E28" s="478">
        <f t="shared" ca="1" si="17"/>
        <v>0</v>
      </c>
      <c r="F28" s="478">
        <f t="shared" ca="1" si="0"/>
        <v>0</v>
      </c>
      <c r="G28" s="478">
        <f t="shared" ca="1" si="2"/>
        <v>0</v>
      </c>
      <c r="H28" s="478">
        <f t="shared" ca="1" si="3"/>
        <v>0</v>
      </c>
      <c r="J28" s="476"/>
      <c r="K28" s="477">
        <f t="shared" si="18"/>
        <v>8</v>
      </c>
      <c r="L28" s="478">
        <f t="shared" ca="1" si="1"/>
        <v>0</v>
      </c>
      <c r="M28" s="478">
        <f t="shared" ca="1" si="19"/>
        <v>0</v>
      </c>
      <c r="N28" s="478">
        <f ca="1">IF(OR($C$7=Données!$H$52,$C$7=Données!$H$53),(L28*$N$9)+((M28*$Q$8)*$Q$9),(L28+M28)*$N$8*$N$9)</f>
        <v>0</v>
      </c>
      <c r="O28" s="478">
        <f ca="1">IF(OR($C$7=Données!$H$52,$C$7=Données!$H$53),(L28*$H$10)+(M28*$Q$8*$H$10)-(M28*$Q$8*Données!$G$36*$H$10),((L28+M28)*$N$8*$H$10)-IF($K$8="Rente à titre onéreux imposable sur",(L28+M28)*$N$8*Données!$G$36*$H$10,(L28+M28)*$N$8*Données!$M$41*$H$10))</f>
        <v>0</v>
      </c>
      <c r="P28" s="478">
        <f t="shared" ca="1" si="4"/>
        <v>0</v>
      </c>
      <c r="Q28" s="478">
        <f t="shared" ca="1" si="20"/>
        <v>0</v>
      </c>
      <c r="S28" s="476"/>
      <c r="T28" s="477">
        <f t="shared" si="21"/>
        <v>8</v>
      </c>
      <c r="U28" s="478">
        <f t="shared" ca="1" si="22"/>
        <v>0</v>
      </c>
      <c r="V28" s="478">
        <f t="shared" ca="1" si="5"/>
        <v>0</v>
      </c>
      <c r="W28" s="493">
        <f t="shared" ca="1" si="23"/>
        <v>0</v>
      </c>
      <c r="X28" s="493">
        <f t="shared" ca="1" si="24"/>
        <v>0</v>
      </c>
      <c r="Y28" s="478">
        <f t="shared" ca="1" si="6"/>
        <v>0</v>
      </c>
      <c r="Z28" s="504">
        <f t="shared" ca="1" si="25"/>
        <v>0</v>
      </c>
      <c r="AA28" s="478">
        <f t="shared" ca="1" si="7"/>
        <v>0</v>
      </c>
      <c r="AB28" s="478">
        <f t="shared" ca="1" si="8"/>
        <v>0</v>
      </c>
      <c r="AC28" s="478">
        <f ca="1">AA28*Données!$F$36</f>
        <v>0</v>
      </c>
      <c r="AD28" s="478">
        <f ca="1">AA28*Données!$F$28</f>
        <v>0</v>
      </c>
      <c r="AE28" s="478">
        <f ca="1">IF(AB28=0,0,IF($E$7="C1",(AB28*$H$10),IF($E$7="C2",-AA28*Données!$G$36*$H$10,0)))</f>
        <v>0</v>
      </c>
      <c r="AF28" s="478">
        <f t="shared" ca="1" si="9"/>
        <v>0</v>
      </c>
      <c r="AG28" s="477">
        <f t="shared" si="26"/>
        <v>8</v>
      </c>
      <c r="AH28" s="478">
        <f t="shared" si="27"/>
        <v>0</v>
      </c>
      <c r="AI28" s="478">
        <f t="shared" si="28"/>
        <v>0</v>
      </c>
      <c r="AJ28" s="493">
        <f t="shared" si="29"/>
        <v>0</v>
      </c>
      <c r="AK28" s="493">
        <f t="shared" ca="1" si="30"/>
        <v>0</v>
      </c>
      <c r="AL28" s="478">
        <f t="shared" ca="1" si="10"/>
        <v>0</v>
      </c>
      <c r="AM28" s="478">
        <f t="shared" ca="1" si="11"/>
        <v>0</v>
      </c>
      <c r="AN28" s="478">
        <f t="shared" si="31"/>
        <v>0</v>
      </c>
      <c r="AO28" s="478">
        <f t="shared" ca="1" si="12"/>
        <v>0</v>
      </c>
      <c r="AP28" s="478">
        <f>AN28*Données!$F$36</f>
        <v>0</v>
      </c>
      <c r="AQ28" s="478">
        <f>AN28*Données!$F$28</f>
        <v>0</v>
      </c>
      <c r="AR28" s="478">
        <f ca="1">IF(AO28=0,0,IF($E$7="C1",(AO28*$H$10),IF($E$7="C2",-AN28*Données!$G$36*$H$10,0)))</f>
        <v>0</v>
      </c>
      <c r="AS28" s="478">
        <f t="shared" ca="1" si="13"/>
        <v>0</v>
      </c>
      <c r="AT28" s="477">
        <f t="shared" si="32"/>
        <v>8</v>
      </c>
      <c r="AU28" s="478">
        <f t="shared" si="33"/>
        <v>0</v>
      </c>
      <c r="AV28" s="478">
        <f t="shared" si="34"/>
        <v>0</v>
      </c>
      <c r="AW28" s="493">
        <f t="shared" si="35"/>
        <v>0</v>
      </c>
      <c r="AX28" s="493">
        <f t="shared" si="36"/>
        <v>0</v>
      </c>
      <c r="AY28" s="478">
        <f t="shared" si="14"/>
        <v>0</v>
      </c>
    </row>
    <row r="29" spans="1:51">
      <c r="A29" s="477">
        <f t="shared" ca="1" si="15"/>
        <v>2035</v>
      </c>
      <c r="B29" s="478">
        <f t="shared" ca="1" si="16"/>
        <v>0</v>
      </c>
      <c r="C29" s="478">
        <f ca="1">IF(OR($C$7=Données!$H$51,$C$7=Données!$H$54,$C$7=Données!$H$55,$C$7=Données!$H$57),0,B29*'Sit 1'!$C$10)</f>
        <v>0</v>
      </c>
      <c r="D29" s="478">
        <f ca="1">IFERROR(IF($H$5="",B29*'CT à Transf'!$K$28,B29*$H$5),B29*$H$5)</f>
        <v>0</v>
      </c>
      <c r="E29" s="478">
        <f t="shared" ca="1" si="17"/>
        <v>0</v>
      </c>
      <c r="F29" s="478">
        <f t="shared" ca="1" si="0"/>
        <v>0</v>
      </c>
      <c r="G29" s="478">
        <f t="shared" ca="1" si="2"/>
        <v>0</v>
      </c>
      <c r="H29" s="478">
        <f t="shared" ca="1" si="3"/>
        <v>0</v>
      </c>
      <c r="J29" s="476"/>
      <c r="K29" s="477">
        <f t="shared" si="18"/>
        <v>9</v>
      </c>
      <c r="L29" s="478">
        <f t="shared" ca="1" si="1"/>
        <v>0</v>
      </c>
      <c r="M29" s="478">
        <f t="shared" ca="1" si="19"/>
        <v>0</v>
      </c>
      <c r="N29" s="478">
        <f ca="1">IF(OR($C$7=Données!$H$52,$C$7=Données!$H$53),(L29*$N$9)+((M29*$Q$8)*$Q$9),(L29+M29)*$N$8*$N$9)</f>
        <v>0</v>
      </c>
      <c r="O29" s="478">
        <f ca="1">IF(OR($C$7=Données!$H$52,$C$7=Données!$H$53),(L29*$H$10)+(M29*$Q$8*$H$10)-(M29*$Q$8*Données!$G$36*$H$10),((L29+M29)*$N$8*$H$10)-IF($K$8="Rente à titre onéreux imposable sur",(L29+M29)*$N$8*Données!$G$36*$H$10,(L29+M29)*$N$8*Données!$M$41*$H$10))</f>
        <v>0</v>
      </c>
      <c r="P29" s="478">
        <f t="shared" ca="1" si="4"/>
        <v>0</v>
      </c>
      <c r="Q29" s="478">
        <f t="shared" ca="1" si="20"/>
        <v>0</v>
      </c>
      <c r="S29" s="476"/>
      <c r="T29" s="477">
        <f t="shared" si="21"/>
        <v>9</v>
      </c>
      <c r="U29" s="478">
        <f t="shared" ca="1" si="22"/>
        <v>0</v>
      </c>
      <c r="V29" s="478">
        <f t="shared" ca="1" si="5"/>
        <v>0</v>
      </c>
      <c r="W29" s="493">
        <f t="shared" ca="1" si="23"/>
        <v>0</v>
      </c>
      <c r="X29" s="493">
        <f t="shared" ca="1" si="24"/>
        <v>0</v>
      </c>
      <c r="Y29" s="478">
        <f t="shared" ca="1" si="6"/>
        <v>0</v>
      </c>
      <c r="Z29" s="504">
        <f t="shared" ca="1" si="25"/>
        <v>0</v>
      </c>
      <c r="AA29" s="478">
        <f t="shared" ca="1" si="7"/>
        <v>0</v>
      </c>
      <c r="AB29" s="478">
        <f t="shared" ca="1" si="8"/>
        <v>0</v>
      </c>
      <c r="AC29" s="478">
        <f ca="1">AA29*Données!$F$36</f>
        <v>0</v>
      </c>
      <c r="AD29" s="478">
        <f ca="1">AA29*Données!$F$28</f>
        <v>0</v>
      </c>
      <c r="AE29" s="478">
        <f ca="1">IF(AB29=0,0,IF($E$7="C1",(AB29*$H$10),IF($E$7="C2",-AA29*Données!$G$36*$H$10,0)))</f>
        <v>0</v>
      </c>
      <c r="AF29" s="478">
        <f t="shared" ca="1" si="9"/>
        <v>0</v>
      </c>
      <c r="AG29" s="477">
        <f t="shared" si="26"/>
        <v>9</v>
      </c>
      <c r="AH29" s="478">
        <f t="shared" si="27"/>
        <v>0</v>
      </c>
      <c r="AI29" s="478">
        <f t="shared" si="28"/>
        <v>0</v>
      </c>
      <c r="AJ29" s="493">
        <f t="shared" si="29"/>
        <v>0</v>
      </c>
      <c r="AK29" s="493">
        <f t="shared" ca="1" si="30"/>
        <v>0</v>
      </c>
      <c r="AL29" s="478">
        <f t="shared" ca="1" si="10"/>
        <v>0</v>
      </c>
      <c r="AM29" s="478">
        <f t="shared" ca="1" si="11"/>
        <v>0</v>
      </c>
      <c r="AN29" s="478">
        <f t="shared" si="31"/>
        <v>0</v>
      </c>
      <c r="AO29" s="478">
        <f t="shared" ca="1" si="12"/>
        <v>0</v>
      </c>
      <c r="AP29" s="478">
        <f>AN29*Données!$F$36</f>
        <v>0</v>
      </c>
      <c r="AQ29" s="478">
        <f>AN29*Données!$F$28</f>
        <v>0</v>
      </c>
      <c r="AR29" s="478">
        <f ca="1">IF(AO29=0,0,IF($E$7="C1",(AO29*$H$10),IF($E$7="C2",-AN29*Données!$G$36*$H$10,0)))</f>
        <v>0</v>
      </c>
      <c r="AS29" s="478">
        <f t="shared" ca="1" si="13"/>
        <v>0</v>
      </c>
      <c r="AT29" s="477">
        <f t="shared" si="32"/>
        <v>9</v>
      </c>
      <c r="AU29" s="478">
        <f t="shared" si="33"/>
        <v>0</v>
      </c>
      <c r="AV29" s="478">
        <f t="shared" si="34"/>
        <v>0</v>
      </c>
      <c r="AW29" s="493">
        <f t="shared" si="35"/>
        <v>0</v>
      </c>
      <c r="AX29" s="493">
        <f t="shared" si="36"/>
        <v>0</v>
      </c>
      <c r="AY29" s="478">
        <f t="shared" si="14"/>
        <v>0</v>
      </c>
    </row>
    <row r="30" spans="1:51">
      <c r="A30" s="477">
        <f t="shared" ca="1" si="15"/>
        <v>2036</v>
      </c>
      <c r="B30" s="478">
        <f t="shared" ca="1" si="16"/>
        <v>0</v>
      </c>
      <c r="C30" s="478">
        <f ca="1">IF(OR($C$7=Données!$H$51,$C$7=Données!$H$54,$C$7=Données!$H$55,$C$7=Données!$H$57),0,B30*'Sit 1'!$C$10)</f>
        <v>0</v>
      </c>
      <c r="D30" s="478">
        <f ca="1">IFERROR(IF($H$5="",B30*'CT à Transf'!$K$28,B30*$H$5),B30*$H$5)</f>
        <v>0</v>
      </c>
      <c r="E30" s="478">
        <f t="shared" ca="1" si="17"/>
        <v>0</v>
      </c>
      <c r="F30" s="478">
        <f t="shared" ca="1" si="0"/>
        <v>0</v>
      </c>
      <c r="G30" s="478">
        <f t="shared" ca="1" si="2"/>
        <v>0</v>
      </c>
      <c r="H30" s="478">
        <f t="shared" ca="1" si="3"/>
        <v>0</v>
      </c>
      <c r="J30" s="476"/>
      <c r="K30" s="477">
        <f t="shared" si="18"/>
        <v>10</v>
      </c>
      <c r="L30" s="478">
        <f t="shared" ca="1" si="1"/>
        <v>0</v>
      </c>
      <c r="M30" s="478">
        <f t="shared" ca="1" si="19"/>
        <v>0</v>
      </c>
      <c r="N30" s="478">
        <f ca="1">IF(OR($C$7=Données!$H$52,$C$7=Données!$H$53),(L30*$N$9)+((M30*$Q$8)*$Q$9),(L30+M30)*$N$8*$N$9)</f>
        <v>0</v>
      </c>
      <c r="O30" s="478">
        <f ca="1">IF(OR($C$7=Données!$H$52,$C$7=Données!$H$53),(L30*$H$10)+(M30*$Q$8*$H$10)-(M30*$Q$8*Données!$G$36*$H$10),((L30+M30)*$N$8*$H$10)-IF($K$8="Rente à titre onéreux imposable sur",(L30+M30)*$N$8*Données!$G$36*$H$10,(L30+M30)*$N$8*Données!$M$41*$H$10))</f>
        <v>0</v>
      </c>
      <c r="P30" s="478">
        <f t="shared" ca="1" si="4"/>
        <v>0</v>
      </c>
      <c r="Q30" s="478">
        <f t="shared" ca="1" si="20"/>
        <v>0</v>
      </c>
      <c r="S30" s="476"/>
      <c r="T30" s="477">
        <f t="shared" si="21"/>
        <v>10</v>
      </c>
      <c r="U30" s="478">
        <f t="shared" ca="1" si="22"/>
        <v>0</v>
      </c>
      <c r="V30" s="478">
        <f t="shared" ca="1" si="5"/>
        <v>0</v>
      </c>
      <c r="W30" s="493">
        <f t="shared" ca="1" si="23"/>
        <v>0</v>
      </c>
      <c r="X30" s="493">
        <f t="shared" ca="1" si="24"/>
        <v>0</v>
      </c>
      <c r="Y30" s="478">
        <f t="shared" ca="1" si="6"/>
        <v>0</v>
      </c>
      <c r="Z30" s="504">
        <f t="shared" ca="1" si="25"/>
        <v>0</v>
      </c>
      <c r="AA30" s="478">
        <f t="shared" ca="1" si="7"/>
        <v>0</v>
      </c>
      <c r="AB30" s="478">
        <f t="shared" ca="1" si="8"/>
        <v>0</v>
      </c>
      <c r="AC30" s="478">
        <f ca="1">AA30*Données!$F$36</f>
        <v>0</v>
      </c>
      <c r="AD30" s="478">
        <f ca="1">AA30*Données!$F$28</f>
        <v>0</v>
      </c>
      <c r="AE30" s="478">
        <f ca="1">IF(AB30=0,0,IF($E$7="C1",(AB30*$H$10),IF($E$7="C2",-AA30*Données!$G$36*$H$10,0)))</f>
        <v>0</v>
      </c>
      <c r="AF30" s="478">
        <f t="shared" ca="1" si="9"/>
        <v>0</v>
      </c>
      <c r="AG30" s="477">
        <f t="shared" si="26"/>
        <v>10</v>
      </c>
      <c r="AH30" s="478">
        <f t="shared" si="27"/>
        <v>0</v>
      </c>
      <c r="AI30" s="478">
        <f t="shared" si="28"/>
        <v>0</v>
      </c>
      <c r="AJ30" s="493">
        <f t="shared" si="29"/>
        <v>0</v>
      </c>
      <c r="AK30" s="493">
        <f t="shared" ca="1" si="30"/>
        <v>0</v>
      </c>
      <c r="AL30" s="478">
        <f t="shared" ca="1" si="10"/>
        <v>0</v>
      </c>
      <c r="AM30" s="478">
        <f t="shared" ca="1" si="11"/>
        <v>0</v>
      </c>
      <c r="AN30" s="478">
        <f t="shared" si="31"/>
        <v>0</v>
      </c>
      <c r="AO30" s="478">
        <f t="shared" ca="1" si="12"/>
        <v>0</v>
      </c>
      <c r="AP30" s="478">
        <f>AN30*Données!$F$36</f>
        <v>0</v>
      </c>
      <c r="AQ30" s="478">
        <f>AN30*Données!$F$28</f>
        <v>0</v>
      </c>
      <c r="AR30" s="478">
        <f ca="1">IF(AO30=0,0,IF($E$7="C1",(AO30*$H$10),IF($E$7="C2",-AN30*Données!$G$36*$H$10,0)))</f>
        <v>0</v>
      </c>
      <c r="AS30" s="478">
        <f t="shared" ca="1" si="13"/>
        <v>0</v>
      </c>
      <c r="AT30" s="477">
        <f t="shared" si="32"/>
        <v>10</v>
      </c>
      <c r="AU30" s="478">
        <f t="shared" si="33"/>
        <v>0</v>
      </c>
      <c r="AV30" s="478">
        <f t="shared" si="34"/>
        <v>0</v>
      </c>
      <c r="AW30" s="493">
        <f t="shared" si="35"/>
        <v>0</v>
      </c>
      <c r="AX30" s="493">
        <f t="shared" si="36"/>
        <v>0</v>
      </c>
      <c r="AY30" s="478">
        <f t="shared" si="14"/>
        <v>0</v>
      </c>
    </row>
    <row r="31" spans="1:51">
      <c r="A31" s="477">
        <f t="shared" ca="1" si="15"/>
        <v>2037</v>
      </c>
      <c r="B31" s="478">
        <f t="shared" ca="1" si="16"/>
        <v>0</v>
      </c>
      <c r="C31" s="478">
        <f ca="1">IF(OR($C$7=Données!$H$51,$C$7=Données!$H$54,$C$7=Données!$H$55,$C$7=Données!$H$57),0,B31*'Sit 1'!$C$10)</f>
        <v>0</v>
      </c>
      <c r="D31" s="478">
        <f ca="1">IFERROR(IF($H$5="",B31*'CT à Transf'!$K$28,B31*$H$5),B31*$H$5)</f>
        <v>0</v>
      </c>
      <c r="E31" s="478">
        <f t="shared" ca="1" si="17"/>
        <v>0</v>
      </c>
      <c r="F31" s="478">
        <f t="shared" ca="1" si="0"/>
        <v>0</v>
      </c>
      <c r="G31" s="478">
        <f t="shared" ca="1" si="2"/>
        <v>0</v>
      </c>
      <c r="H31" s="478">
        <f t="shared" ca="1" si="3"/>
        <v>0</v>
      </c>
      <c r="J31" s="476"/>
      <c r="K31" s="477">
        <f t="shared" si="18"/>
        <v>11</v>
      </c>
      <c r="L31" s="478">
        <f t="shared" ca="1" si="1"/>
        <v>0</v>
      </c>
      <c r="M31" s="478">
        <f t="shared" ca="1" si="19"/>
        <v>0</v>
      </c>
      <c r="N31" s="478">
        <f ca="1">IF(OR($C$7=Données!$H$52,$C$7=Données!$H$53),(L31*$N$9)+((M31*$Q$8)*$Q$9),(L31+M31)*$N$8*$N$9)</f>
        <v>0</v>
      </c>
      <c r="O31" s="478">
        <f ca="1">IF(OR($C$7=Données!$H$52,$C$7=Données!$H$53),(L31*$H$10)+(M31*$Q$8*$H$10)-(M31*$Q$8*Données!$G$36*$H$10),((L31+M31)*$N$8*$H$10)-IF($K$8="Rente à titre onéreux imposable sur",(L31+M31)*$N$8*Données!$G$36*$H$10,(L31+M31)*$N$8*Données!$M$41*$H$10))</f>
        <v>0</v>
      </c>
      <c r="P31" s="478">
        <f t="shared" ca="1" si="4"/>
        <v>0</v>
      </c>
      <c r="Q31" s="478">
        <f t="shared" ca="1" si="20"/>
        <v>0</v>
      </c>
      <c r="S31" s="476"/>
      <c r="T31" s="477">
        <f t="shared" si="21"/>
        <v>11</v>
      </c>
      <c r="U31" s="478">
        <f t="shared" ca="1" si="22"/>
        <v>0</v>
      </c>
      <c r="V31" s="478">
        <f t="shared" ca="1" si="5"/>
        <v>0</v>
      </c>
      <c r="W31" s="493">
        <f t="shared" ca="1" si="23"/>
        <v>0</v>
      </c>
      <c r="X31" s="493">
        <f t="shared" ca="1" si="24"/>
        <v>0</v>
      </c>
      <c r="Y31" s="478">
        <f t="shared" ca="1" si="6"/>
        <v>0</v>
      </c>
      <c r="Z31" s="504">
        <f t="shared" ca="1" si="25"/>
        <v>0</v>
      </c>
      <c r="AA31" s="478">
        <f t="shared" ca="1" si="7"/>
        <v>0</v>
      </c>
      <c r="AB31" s="478">
        <f t="shared" ca="1" si="8"/>
        <v>0</v>
      </c>
      <c r="AC31" s="478">
        <f ca="1">AA31*Données!$F$36</f>
        <v>0</v>
      </c>
      <c r="AD31" s="478">
        <f ca="1">AA31*Données!$F$28</f>
        <v>0</v>
      </c>
      <c r="AE31" s="478">
        <f ca="1">IF(AB31=0,0,IF($E$7="C1",(AB31*$H$10),IF($E$7="C2",-AA31*Données!$G$36*$H$10,0)))</f>
        <v>0</v>
      </c>
      <c r="AF31" s="478">
        <f t="shared" ca="1" si="9"/>
        <v>0</v>
      </c>
      <c r="AG31" s="477">
        <f t="shared" si="26"/>
        <v>11</v>
      </c>
      <c r="AH31" s="478">
        <f t="shared" si="27"/>
        <v>0</v>
      </c>
      <c r="AI31" s="478">
        <f t="shared" si="28"/>
        <v>0</v>
      </c>
      <c r="AJ31" s="493">
        <f t="shared" si="29"/>
        <v>0</v>
      </c>
      <c r="AK31" s="493">
        <f t="shared" ca="1" si="30"/>
        <v>0</v>
      </c>
      <c r="AL31" s="478">
        <f t="shared" ca="1" si="10"/>
        <v>0</v>
      </c>
      <c r="AM31" s="478">
        <f t="shared" ca="1" si="11"/>
        <v>0</v>
      </c>
      <c r="AN31" s="478">
        <f t="shared" si="31"/>
        <v>0</v>
      </c>
      <c r="AO31" s="478">
        <f t="shared" ca="1" si="12"/>
        <v>0</v>
      </c>
      <c r="AP31" s="478">
        <f>AN31*Données!$F$36</f>
        <v>0</v>
      </c>
      <c r="AQ31" s="478">
        <f>AN31*Données!$F$28</f>
        <v>0</v>
      </c>
      <c r="AR31" s="478">
        <f ca="1">IF(AO31=0,0,IF($E$7="C1",(AO31*$H$10),IF($E$7="C2",-AN31*Données!$G$36*$H$10,0)))</f>
        <v>0</v>
      </c>
      <c r="AS31" s="478">
        <f t="shared" ca="1" si="13"/>
        <v>0</v>
      </c>
      <c r="AT31" s="477">
        <f t="shared" si="32"/>
        <v>11</v>
      </c>
      <c r="AU31" s="478">
        <f t="shared" si="33"/>
        <v>0</v>
      </c>
      <c r="AV31" s="478">
        <f t="shared" si="34"/>
        <v>0</v>
      </c>
      <c r="AW31" s="493">
        <f t="shared" si="35"/>
        <v>0</v>
      </c>
      <c r="AX31" s="493">
        <f t="shared" si="36"/>
        <v>0</v>
      </c>
      <c r="AY31" s="478">
        <f t="shared" si="14"/>
        <v>0</v>
      </c>
    </row>
    <row r="32" spans="1:51">
      <c r="A32" s="477">
        <f t="shared" ca="1" si="15"/>
        <v>2038</v>
      </c>
      <c r="B32" s="478">
        <f t="shared" ca="1" si="16"/>
        <v>0</v>
      </c>
      <c r="C32" s="478">
        <f ca="1">IF(OR($C$7=Données!$H$51,$C$7=Données!$H$54,$C$7=Données!$H$55,$C$7=Données!$H$57),0,B32*'Sit 1'!$C$10)</f>
        <v>0</v>
      </c>
      <c r="D32" s="478">
        <f ca="1">IFERROR(IF($H$5="",B32*'CT à Transf'!$K$28,B32*$H$5),B32*$H$5)</f>
        <v>0</v>
      </c>
      <c r="E32" s="478">
        <f t="shared" ca="1" si="17"/>
        <v>0</v>
      </c>
      <c r="F32" s="478">
        <f t="shared" ca="1" si="0"/>
        <v>0</v>
      </c>
      <c r="G32" s="478">
        <f t="shared" ca="1" si="2"/>
        <v>0</v>
      </c>
      <c r="H32" s="478">
        <f t="shared" ca="1" si="3"/>
        <v>0</v>
      </c>
      <c r="J32" s="476"/>
      <c r="K32" s="477">
        <f t="shared" si="18"/>
        <v>12</v>
      </c>
      <c r="L32" s="478">
        <f t="shared" ca="1" si="1"/>
        <v>0</v>
      </c>
      <c r="M32" s="478">
        <f t="shared" ca="1" si="19"/>
        <v>0</v>
      </c>
      <c r="N32" s="478">
        <f ca="1">IF(OR($C$7=Données!$H$52,$C$7=Données!$H$53),(L32*$N$9)+((M32*$Q$8)*$Q$9),(L32+M32)*$N$8*$N$9)</f>
        <v>0</v>
      </c>
      <c r="O32" s="478">
        <f ca="1">IF(OR($C$7=Données!$H$52,$C$7=Données!$H$53),(L32*$H$10)+(M32*$Q$8*$H$10)-(M32*$Q$8*Données!$G$36*$H$10),((L32+M32)*$N$8*$H$10)-IF($K$8="Rente à titre onéreux imposable sur",(L32+M32)*$N$8*Données!$G$36*$H$10,(L32+M32)*$N$8*Données!$M$41*$H$10))</f>
        <v>0</v>
      </c>
      <c r="P32" s="478">
        <f t="shared" ca="1" si="4"/>
        <v>0</v>
      </c>
      <c r="Q32" s="478">
        <f t="shared" ca="1" si="20"/>
        <v>0</v>
      </c>
      <c r="S32" s="476"/>
      <c r="T32" s="477">
        <f t="shared" si="21"/>
        <v>12</v>
      </c>
      <c r="U32" s="478">
        <f t="shared" ca="1" si="22"/>
        <v>0</v>
      </c>
      <c r="V32" s="478">
        <f t="shared" ca="1" si="5"/>
        <v>0</v>
      </c>
      <c r="W32" s="493">
        <f t="shared" ca="1" si="23"/>
        <v>0</v>
      </c>
      <c r="X32" s="493">
        <f t="shared" ca="1" si="24"/>
        <v>0</v>
      </c>
      <c r="Y32" s="478">
        <f t="shared" ca="1" si="6"/>
        <v>0</v>
      </c>
      <c r="Z32" s="504">
        <f t="shared" ca="1" si="25"/>
        <v>0</v>
      </c>
      <c r="AA32" s="478">
        <f t="shared" ca="1" si="7"/>
        <v>0</v>
      </c>
      <c r="AB32" s="478">
        <f t="shared" ca="1" si="8"/>
        <v>0</v>
      </c>
      <c r="AC32" s="478">
        <f ca="1">AA32*Données!$F$36</f>
        <v>0</v>
      </c>
      <c r="AD32" s="478">
        <f ca="1">AA32*Données!$F$28</f>
        <v>0</v>
      </c>
      <c r="AE32" s="478">
        <f ca="1">IF(AB32=0,0,IF($E$7="C1",(AB32*$H$10),IF($E$7="C2",-AA32*Données!$G$36*$H$10,0)))</f>
        <v>0</v>
      </c>
      <c r="AF32" s="478">
        <f t="shared" ca="1" si="9"/>
        <v>0</v>
      </c>
      <c r="AG32" s="477">
        <f t="shared" si="26"/>
        <v>12</v>
      </c>
      <c r="AH32" s="478">
        <f t="shared" si="27"/>
        <v>0</v>
      </c>
      <c r="AI32" s="478">
        <f t="shared" si="28"/>
        <v>0</v>
      </c>
      <c r="AJ32" s="493">
        <f t="shared" si="29"/>
        <v>0</v>
      </c>
      <c r="AK32" s="493">
        <f t="shared" ca="1" si="30"/>
        <v>0</v>
      </c>
      <c r="AL32" s="478">
        <f t="shared" ca="1" si="10"/>
        <v>0</v>
      </c>
      <c r="AM32" s="478">
        <f t="shared" ca="1" si="11"/>
        <v>0</v>
      </c>
      <c r="AN32" s="478">
        <f t="shared" si="31"/>
        <v>0</v>
      </c>
      <c r="AO32" s="478">
        <f t="shared" ca="1" si="12"/>
        <v>0</v>
      </c>
      <c r="AP32" s="478">
        <f>AN32*Données!$F$36</f>
        <v>0</v>
      </c>
      <c r="AQ32" s="478">
        <f>AN32*Données!$F$28</f>
        <v>0</v>
      </c>
      <c r="AR32" s="478">
        <f ca="1">IF(AO32=0,0,IF($E$7="C1",(AO32*$H$10),IF($E$7="C2",-AN32*Données!$G$36*$H$10,0)))</f>
        <v>0</v>
      </c>
      <c r="AS32" s="478">
        <f t="shared" ca="1" si="13"/>
        <v>0</v>
      </c>
      <c r="AT32" s="477">
        <f t="shared" si="32"/>
        <v>12</v>
      </c>
      <c r="AU32" s="478">
        <f t="shared" si="33"/>
        <v>0</v>
      </c>
      <c r="AV32" s="478">
        <f t="shared" si="34"/>
        <v>0</v>
      </c>
      <c r="AW32" s="493">
        <f t="shared" si="35"/>
        <v>0</v>
      </c>
      <c r="AX32" s="493">
        <f t="shared" si="36"/>
        <v>0</v>
      </c>
      <c r="AY32" s="478">
        <f t="shared" si="14"/>
        <v>0</v>
      </c>
    </row>
    <row r="33" spans="1:51">
      <c r="A33" s="477">
        <f t="shared" ca="1" si="15"/>
        <v>2039</v>
      </c>
      <c r="B33" s="478">
        <f t="shared" ca="1" si="16"/>
        <v>0</v>
      </c>
      <c r="C33" s="478">
        <f ca="1">IF(OR($C$7=Données!$H$51,$C$7=Données!$H$54,$C$7=Données!$H$55,$C$7=Données!$H$57),0,B33*'Sit 1'!$C$10)</f>
        <v>0</v>
      </c>
      <c r="D33" s="478">
        <f ca="1">IFERROR(IF($H$5="",B33*'CT à Transf'!$K$28,B33*$H$5),B33*$H$5)</f>
        <v>0</v>
      </c>
      <c r="E33" s="478">
        <f t="shared" ca="1" si="17"/>
        <v>0</v>
      </c>
      <c r="F33" s="478">
        <f t="shared" ca="1" si="0"/>
        <v>0</v>
      </c>
      <c r="G33" s="478">
        <f t="shared" ca="1" si="2"/>
        <v>0</v>
      </c>
      <c r="H33" s="478">
        <f t="shared" ca="1" si="3"/>
        <v>0</v>
      </c>
      <c r="J33" s="476"/>
      <c r="K33" s="477">
        <f t="shared" si="18"/>
        <v>13</v>
      </c>
      <c r="L33" s="478">
        <f t="shared" ca="1" si="1"/>
        <v>0</v>
      </c>
      <c r="M33" s="478">
        <f t="shared" ca="1" si="19"/>
        <v>0</v>
      </c>
      <c r="N33" s="478">
        <f ca="1">IF(OR($C$7=Données!$H$52,$C$7=Données!$H$53),(L33*$N$9)+((M33*$Q$8)*$Q$9),(L33+M33)*$N$8*$N$9)</f>
        <v>0</v>
      </c>
      <c r="O33" s="478">
        <f ca="1">IF(OR($C$7=Données!$H$52,$C$7=Données!$H$53),(L33*$H$10)+(M33*$Q$8*$H$10)-(M33*$Q$8*Données!$G$36*$H$10),((L33+M33)*$N$8*$H$10)-IF($K$8="Rente à titre onéreux imposable sur",(L33+M33)*$N$8*Données!$G$36*$H$10,(L33+M33)*$N$8*Données!$M$41*$H$10))</f>
        <v>0</v>
      </c>
      <c r="P33" s="478">
        <f t="shared" ca="1" si="4"/>
        <v>0</v>
      </c>
      <c r="Q33" s="478">
        <f t="shared" ca="1" si="20"/>
        <v>0</v>
      </c>
      <c r="S33" s="476"/>
      <c r="T33" s="477">
        <f t="shared" si="21"/>
        <v>13</v>
      </c>
      <c r="U33" s="478">
        <f t="shared" ca="1" si="22"/>
        <v>0</v>
      </c>
      <c r="V33" s="478">
        <f t="shared" ca="1" si="5"/>
        <v>0</v>
      </c>
      <c r="W33" s="493">
        <f t="shared" ca="1" si="23"/>
        <v>0</v>
      </c>
      <c r="X33" s="493">
        <f t="shared" ca="1" si="24"/>
        <v>0</v>
      </c>
      <c r="Y33" s="478">
        <f t="shared" ca="1" si="6"/>
        <v>0</v>
      </c>
      <c r="Z33" s="504">
        <f t="shared" ca="1" si="25"/>
        <v>0</v>
      </c>
      <c r="AA33" s="478">
        <f t="shared" ca="1" si="7"/>
        <v>0</v>
      </c>
      <c r="AB33" s="478">
        <f t="shared" ca="1" si="8"/>
        <v>0</v>
      </c>
      <c r="AC33" s="478">
        <f ca="1">AA33*Données!$F$36</f>
        <v>0</v>
      </c>
      <c r="AD33" s="478">
        <f ca="1">AA33*Données!$F$28</f>
        <v>0</v>
      </c>
      <c r="AE33" s="478">
        <f ca="1">IF(AB33=0,0,IF($E$7="C1",(AB33*$H$10),IF($E$7="C2",-AA33*Données!$G$36*$H$10,0)))</f>
        <v>0</v>
      </c>
      <c r="AF33" s="478">
        <f t="shared" ca="1" si="9"/>
        <v>0</v>
      </c>
      <c r="AG33" s="477">
        <f t="shared" si="26"/>
        <v>13</v>
      </c>
      <c r="AH33" s="478">
        <f t="shared" si="27"/>
        <v>0</v>
      </c>
      <c r="AI33" s="478">
        <f t="shared" si="28"/>
        <v>0</v>
      </c>
      <c r="AJ33" s="493">
        <f t="shared" si="29"/>
        <v>0</v>
      </c>
      <c r="AK33" s="493">
        <f t="shared" ca="1" si="30"/>
        <v>0</v>
      </c>
      <c r="AL33" s="478">
        <f t="shared" ca="1" si="10"/>
        <v>0</v>
      </c>
      <c r="AM33" s="478">
        <f t="shared" ca="1" si="11"/>
        <v>0</v>
      </c>
      <c r="AN33" s="478">
        <f t="shared" si="31"/>
        <v>0</v>
      </c>
      <c r="AO33" s="478">
        <f t="shared" ca="1" si="12"/>
        <v>0</v>
      </c>
      <c r="AP33" s="478">
        <f>AN33*Données!$F$36</f>
        <v>0</v>
      </c>
      <c r="AQ33" s="478">
        <f>AN33*Données!$F$28</f>
        <v>0</v>
      </c>
      <c r="AR33" s="478">
        <f ca="1">IF(AO33=0,0,IF($E$7="C1",(AO33*$H$10),IF($E$7="C2",-AN33*Données!$G$36*$H$10,0)))</f>
        <v>0</v>
      </c>
      <c r="AS33" s="478">
        <f t="shared" ca="1" si="13"/>
        <v>0</v>
      </c>
      <c r="AT33" s="477">
        <f t="shared" si="32"/>
        <v>13</v>
      </c>
      <c r="AU33" s="478">
        <f t="shared" si="33"/>
        <v>0</v>
      </c>
      <c r="AV33" s="478">
        <f t="shared" si="34"/>
        <v>0</v>
      </c>
      <c r="AW33" s="493">
        <f t="shared" si="35"/>
        <v>0</v>
      </c>
      <c r="AX33" s="493">
        <f t="shared" si="36"/>
        <v>0</v>
      </c>
      <c r="AY33" s="478">
        <f t="shared" si="14"/>
        <v>0</v>
      </c>
    </row>
    <row r="34" spans="1:51">
      <c r="A34" s="477">
        <f t="shared" ca="1" si="15"/>
        <v>2040</v>
      </c>
      <c r="B34" s="478">
        <f t="shared" ca="1" si="16"/>
        <v>0</v>
      </c>
      <c r="C34" s="478">
        <f ca="1">IF(OR($C$7=Données!$H$51,$C$7=Données!$H$54,$C$7=Données!$H$55,$C$7=Données!$H$57),0,B34*'Sit 1'!$C$10)</f>
        <v>0</v>
      </c>
      <c r="D34" s="478">
        <f ca="1">IFERROR(IF($H$5="",B34*'CT à Transf'!$K$28,B34*$H$5),B34*$H$5)</f>
        <v>0</v>
      </c>
      <c r="E34" s="478">
        <f t="shared" ca="1" si="17"/>
        <v>0</v>
      </c>
      <c r="F34" s="478">
        <f t="shared" ca="1" si="0"/>
        <v>0</v>
      </c>
      <c r="G34" s="478">
        <f t="shared" ca="1" si="2"/>
        <v>0</v>
      </c>
      <c r="H34" s="478">
        <f t="shared" ca="1" si="3"/>
        <v>0</v>
      </c>
      <c r="J34" s="476"/>
      <c r="K34" s="477">
        <f t="shared" si="18"/>
        <v>14</v>
      </c>
      <c r="L34" s="478">
        <f t="shared" ca="1" si="1"/>
        <v>0</v>
      </c>
      <c r="M34" s="478">
        <f t="shared" ca="1" si="19"/>
        <v>0</v>
      </c>
      <c r="N34" s="478">
        <f ca="1">IF(OR($C$7=Données!$H$52,$C$7=Données!$H$53),(L34*$N$9)+((M34*$Q$8)*$Q$9),(L34+M34)*$N$8*$N$9)</f>
        <v>0</v>
      </c>
      <c r="O34" s="478">
        <f ca="1">IF(OR($C$7=Données!$H$52,$C$7=Données!$H$53),(L34*$H$10)+(M34*$Q$8*$H$10)-(M34*$Q$8*Données!$G$36*$H$10),((L34+M34)*$N$8*$H$10)-IF($K$8="Rente à titre onéreux imposable sur",(L34+M34)*$N$8*Données!$G$36*$H$10,(L34+M34)*$N$8*Données!$M$41*$H$10))</f>
        <v>0</v>
      </c>
      <c r="P34" s="478">
        <f t="shared" ca="1" si="4"/>
        <v>0</v>
      </c>
      <c r="Q34" s="478">
        <f t="shared" ca="1" si="20"/>
        <v>0</v>
      </c>
      <c r="S34" s="476"/>
      <c r="T34" s="477">
        <f t="shared" si="21"/>
        <v>14</v>
      </c>
      <c r="U34" s="478">
        <f t="shared" ca="1" si="22"/>
        <v>0</v>
      </c>
      <c r="V34" s="478">
        <f t="shared" ca="1" si="5"/>
        <v>0</v>
      </c>
      <c r="W34" s="493">
        <f t="shared" ca="1" si="23"/>
        <v>0</v>
      </c>
      <c r="X34" s="493">
        <f t="shared" ca="1" si="24"/>
        <v>0</v>
      </c>
      <c r="Y34" s="478">
        <f t="shared" ca="1" si="6"/>
        <v>0</v>
      </c>
      <c r="Z34" s="504">
        <f t="shared" ca="1" si="25"/>
        <v>0</v>
      </c>
      <c r="AA34" s="478">
        <f t="shared" ca="1" si="7"/>
        <v>0</v>
      </c>
      <c r="AB34" s="478">
        <f t="shared" ca="1" si="8"/>
        <v>0</v>
      </c>
      <c r="AC34" s="478">
        <f ca="1">AA34*Données!$F$36</f>
        <v>0</v>
      </c>
      <c r="AD34" s="478">
        <f ca="1">AA34*Données!$F$28</f>
        <v>0</v>
      </c>
      <c r="AE34" s="478">
        <f ca="1">IF(AB34=0,0,IF($E$7="C1",(AB34*$H$10),IF($E$7="C2",-AA34*Données!$G$36*$H$10,0)))</f>
        <v>0</v>
      </c>
      <c r="AF34" s="478">
        <f t="shared" ca="1" si="9"/>
        <v>0</v>
      </c>
      <c r="AG34" s="477">
        <f t="shared" si="26"/>
        <v>14</v>
      </c>
      <c r="AH34" s="478">
        <f t="shared" si="27"/>
        <v>0</v>
      </c>
      <c r="AI34" s="478">
        <f t="shared" si="28"/>
        <v>0</v>
      </c>
      <c r="AJ34" s="493">
        <f t="shared" si="29"/>
        <v>0</v>
      </c>
      <c r="AK34" s="493">
        <f t="shared" ca="1" si="30"/>
        <v>0</v>
      </c>
      <c r="AL34" s="478">
        <f t="shared" ca="1" si="10"/>
        <v>0</v>
      </c>
      <c r="AM34" s="478">
        <f t="shared" ca="1" si="11"/>
        <v>0</v>
      </c>
      <c r="AN34" s="478">
        <f t="shared" si="31"/>
        <v>0</v>
      </c>
      <c r="AO34" s="478">
        <f t="shared" ca="1" si="12"/>
        <v>0</v>
      </c>
      <c r="AP34" s="478">
        <f>AN34*Données!$F$36</f>
        <v>0</v>
      </c>
      <c r="AQ34" s="478">
        <f>AN34*Données!$F$28</f>
        <v>0</v>
      </c>
      <c r="AR34" s="478">
        <f ca="1">IF(AO34=0,0,IF($E$7="C1",(AO34*$H$10),IF($E$7="C2",-AN34*Données!$G$36*$H$10,0)))</f>
        <v>0</v>
      </c>
      <c r="AS34" s="478">
        <f t="shared" ca="1" si="13"/>
        <v>0</v>
      </c>
      <c r="AT34" s="477">
        <f t="shared" si="32"/>
        <v>14</v>
      </c>
      <c r="AU34" s="478">
        <f t="shared" si="33"/>
        <v>0</v>
      </c>
      <c r="AV34" s="478">
        <f t="shared" si="34"/>
        <v>0</v>
      </c>
      <c r="AW34" s="493">
        <f t="shared" si="35"/>
        <v>0</v>
      </c>
      <c r="AX34" s="493">
        <f t="shared" si="36"/>
        <v>0</v>
      </c>
      <c r="AY34" s="478">
        <f t="shared" si="14"/>
        <v>0</v>
      </c>
    </row>
    <row r="35" spans="1:51">
      <c r="A35" s="477">
        <f t="shared" ca="1" si="15"/>
        <v>2041</v>
      </c>
      <c r="B35" s="478">
        <f t="shared" ca="1" si="16"/>
        <v>0</v>
      </c>
      <c r="C35" s="478">
        <f ca="1">IF(OR($C$7=Données!$H$51,$C$7=Données!$H$54,$C$7=Données!$H$55,$C$7=Données!$H$57),0,B35*'Sit 1'!$C$10)</f>
        <v>0</v>
      </c>
      <c r="D35" s="478">
        <f ca="1">IFERROR(IF($H$5="",B35*'CT à Transf'!$K$28,B35*$H$5),B35*$H$5)</f>
        <v>0</v>
      </c>
      <c r="E35" s="478">
        <f t="shared" ca="1" si="17"/>
        <v>0</v>
      </c>
      <c r="F35" s="478">
        <f t="shared" ca="1" si="0"/>
        <v>0</v>
      </c>
      <c r="G35" s="478">
        <f t="shared" ca="1" si="2"/>
        <v>0</v>
      </c>
      <c r="H35" s="478">
        <f t="shared" ca="1" si="3"/>
        <v>0</v>
      </c>
      <c r="J35" s="476"/>
      <c r="K35" s="477">
        <f t="shared" si="18"/>
        <v>15</v>
      </c>
      <c r="L35" s="478">
        <f t="shared" ca="1" si="1"/>
        <v>0</v>
      </c>
      <c r="M35" s="478">
        <f t="shared" ca="1" si="19"/>
        <v>0</v>
      </c>
      <c r="N35" s="478">
        <f ca="1">IF(OR($C$7=Données!$H$52,$C$7=Données!$H$53),(L35*$N$9)+((M35*$Q$8)*$Q$9),(L35+M35)*$N$8*$N$9)</f>
        <v>0</v>
      </c>
      <c r="O35" s="478">
        <f ca="1">IF(OR($C$7=Données!$H$52,$C$7=Données!$H$53),(L35*$H$10)+(M35*$Q$8*$H$10)-(M35*$Q$8*Données!$G$36*$H$10),((L35+M35)*$N$8*$H$10)-IF($K$8="Rente à titre onéreux imposable sur",(L35+M35)*$N$8*Données!$G$36*$H$10,(L35+M35)*$N$8*Données!$M$41*$H$10))</f>
        <v>0</v>
      </c>
      <c r="P35" s="478">
        <f t="shared" ca="1" si="4"/>
        <v>0</v>
      </c>
      <c r="Q35" s="478">
        <f t="shared" ca="1" si="20"/>
        <v>0</v>
      </c>
      <c r="S35" s="476"/>
      <c r="T35" s="477">
        <f t="shared" si="21"/>
        <v>15</v>
      </c>
      <c r="U35" s="478">
        <f t="shared" ca="1" si="22"/>
        <v>0</v>
      </c>
      <c r="V35" s="478">
        <f t="shared" ca="1" si="5"/>
        <v>0</v>
      </c>
      <c r="W35" s="493">
        <f t="shared" ca="1" si="23"/>
        <v>0</v>
      </c>
      <c r="X35" s="493">
        <f t="shared" ca="1" si="24"/>
        <v>0</v>
      </c>
      <c r="Y35" s="478">
        <f t="shared" ca="1" si="6"/>
        <v>0</v>
      </c>
      <c r="Z35" s="504">
        <f t="shared" ca="1" si="25"/>
        <v>0</v>
      </c>
      <c r="AA35" s="478">
        <f t="shared" ca="1" si="7"/>
        <v>0</v>
      </c>
      <c r="AB35" s="478">
        <f t="shared" ca="1" si="8"/>
        <v>0</v>
      </c>
      <c r="AC35" s="478">
        <f ca="1">AA35*Données!$F$36</f>
        <v>0</v>
      </c>
      <c r="AD35" s="478">
        <f ca="1">AA35*Données!$F$28</f>
        <v>0</v>
      </c>
      <c r="AE35" s="478">
        <f ca="1">IF(AB35=0,0,IF($E$7="C1",(AB35*$H$10),IF($E$7="C2",-AA35*Données!$G$36*$H$10,0)))</f>
        <v>0</v>
      </c>
      <c r="AF35" s="478">
        <f t="shared" ca="1" si="9"/>
        <v>0</v>
      </c>
      <c r="AG35" s="477">
        <f t="shared" si="26"/>
        <v>15</v>
      </c>
      <c r="AH35" s="478">
        <f t="shared" si="27"/>
        <v>0</v>
      </c>
      <c r="AI35" s="478">
        <f t="shared" si="28"/>
        <v>0</v>
      </c>
      <c r="AJ35" s="493">
        <f t="shared" si="29"/>
        <v>0</v>
      </c>
      <c r="AK35" s="493">
        <f t="shared" ca="1" si="30"/>
        <v>0</v>
      </c>
      <c r="AL35" s="478">
        <f t="shared" ca="1" si="10"/>
        <v>0</v>
      </c>
      <c r="AM35" s="478">
        <f t="shared" ca="1" si="11"/>
        <v>0</v>
      </c>
      <c r="AN35" s="478">
        <f t="shared" si="31"/>
        <v>0</v>
      </c>
      <c r="AO35" s="478">
        <f t="shared" ca="1" si="12"/>
        <v>0</v>
      </c>
      <c r="AP35" s="478">
        <f>AN35*Données!$F$36</f>
        <v>0</v>
      </c>
      <c r="AQ35" s="478">
        <f>AN35*Données!$F$28</f>
        <v>0</v>
      </c>
      <c r="AR35" s="478">
        <f ca="1">IF(AO35=0,0,IF($E$7="C1",(AO35*$H$10),IF($E$7="C2",-AN35*Données!$G$36*$H$10,0)))</f>
        <v>0</v>
      </c>
      <c r="AS35" s="478">
        <f t="shared" ca="1" si="13"/>
        <v>0</v>
      </c>
      <c r="AT35" s="477">
        <f t="shared" si="32"/>
        <v>15</v>
      </c>
      <c r="AU35" s="478">
        <f t="shared" si="33"/>
        <v>0</v>
      </c>
      <c r="AV35" s="478">
        <f t="shared" si="34"/>
        <v>0</v>
      </c>
      <c r="AW35" s="493">
        <f t="shared" si="35"/>
        <v>0</v>
      </c>
      <c r="AX35" s="493">
        <f t="shared" si="36"/>
        <v>0</v>
      </c>
      <c r="AY35" s="478">
        <f t="shared" si="14"/>
        <v>0</v>
      </c>
    </row>
    <row r="36" spans="1:51">
      <c r="A36" s="477">
        <f t="shared" ca="1" si="15"/>
        <v>2042</v>
      </c>
      <c r="B36" s="478">
        <f t="shared" ca="1" si="16"/>
        <v>0</v>
      </c>
      <c r="C36" s="478">
        <f ca="1">IF(OR($C$7=Données!$H$51,$C$7=Données!$H$54,$C$7=Données!$H$55,$C$7=Données!$H$57),0,B36*'Sit 1'!$C$10)</f>
        <v>0</v>
      </c>
      <c r="D36" s="478">
        <f ca="1">IFERROR(IF($H$5="",B36*'CT à Transf'!$K$28,B36*$H$5),B36*$H$5)</f>
        <v>0</v>
      </c>
      <c r="E36" s="478">
        <f t="shared" ca="1" si="17"/>
        <v>0</v>
      </c>
      <c r="F36" s="478">
        <f t="shared" ca="1" si="0"/>
        <v>0</v>
      </c>
      <c r="G36" s="478">
        <f t="shared" ca="1" si="2"/>
        <v>0</v>
      </c>
      <c r="H36" s="478">
        <f t="shared" ca="1" si="3"/>
        <v>0</v>
      </c>
      <c r="J36" s="476"/>
      <c r="K36" s="477">
        <f t="shared" si="18"/>
        <v>16</v>
      </c>
      <c r="L36" s="478">
        <f t="shared" ca="1" si="1"/>
        <v>0</v>
      </c>
      <c r="M36" s="478">
        <f t="shared" ca="1" si="19"/>
        <v>0</v>
      </c>
      <c r="N36" s="478">
        <f ca="1">IF(OR($C$7=Données!$H$52,$C$7=Données!$H$53),(L36*$N$9)+((M36*$Q$8)*$Q$9),(L36+M36)*$N$8*$N$9)</f>
        <v>0</v>
      </c>
      <c r="O36" s="478">
        <f ca="1">IF(OR($C$7=Données!$H$52,$C$7=Données!$H$53),(L36*$H$10)+(M36*$Q$8*$H$10)-(M36*$Q$8*Données!$G$36*$H$10),((L36+M36)*$N$8*$H$10)-IF($K$8="Rente à titre onéreux imposable sur",(L36+M36)*$N$8*Données!$G$36*$H$10,(L36+M36)*$N$8*Données!$M$41*$H$10))</f>
        <v>0</v>
      </c>
      <c r="P36" s="478">
        <f t="shared" ca="1" si="4"/>
        <v>0</v>
      </c>
      <c r="Q36" s="478">
        <f t="shared" ca="1" si="20"/>
        <v>0</v>
      </c>
      <c r="S36" s="476"/>
      <c r="T36" s="477">
        <f t="shared" si="21"/>
        <v>16</v>
      </c>
      <c r="U36" s="478">
        <f t="shared" ca="1" si="22"/>
        <v>0</v>
      </c>
      <c r="V36" s="478">
        <f t="shared" ca="1" si="5"/>
        <v>0</v>
      </c>
      <c r="W36" s="493">
        <f t="shared" ca="1" si="23"/>
        <v>0</v>
      </c>
      <c r="X36" s="493">
        <f t="shared" ca="1" si="24"/>
        <v>0</v>
      </c>
      <c r="Y36" s="478">
        <f t="shared" ca="1" si="6"/>
        <v>0</v>
      </c>
      <c r="Z36" s="504">
        <f t="shared" ca="1" si="25"/>
        <v>0</v>
      </c>
      <c r="AA36" s="478">
        <f t="shared" ca="1" si="7"/>
        <v>0</v>
      </c>
      <c r="AB36" s="478">
        <f t="shared" ca="1" si="8"/>
        <v>0</v>
      </c>
      <c r="AC36" s="478">
        <f ca="1">AA36*Données!$F$36</f>
        <v>0</v>
      </c>
      <c r="AD36" s="478">
        <f ca="1">AA36*Données!$F$28</f>
        <v>0</v>
      </c>
      <c r="AE36" s="478">
        <f ca="1">IF(AB36=0,0,IF($E$7="C1",(AB36*$H$10),IF($E$7="C2",-AA36*Données!$G$36*$H$10,0)))</f>
        <v>0</v>
      </c>
      <c r="AF36" s="478">
        <f t="shared" ca="1" si="9"/>
        <v>0</v>
      </c>
      <c r="AG36" s="477">
        <f t="shared" si="26"/>
        <v>16</v>
      </c>
      <c r="AH36" s="478">
        <f t="shared" si="27"/>
        <v>0</v>
      </c>
      <c r="AI36" s="478">
        <f t="shared" si="28"/>
        <v>0</v>
      </c>
      <c r="AJ36" s="493">
        <f t="shared" si="29"/>
        <v>0</v>
      </c>
      <c r="AK36" s="493">
        <f t="shared" ca="1" si="30"/>
        <v>0</v>
      </c>
      <c r="AL36" s="478">
        <f t="shared" ca="1" si="10"/>
        <v>0</v>
      </c>
      <c r="AM36" s="478">
        <f t="shared" ca="1" si="11"/>
        <v>0</v>
      </c>
      <c r="AN36" s="478">
        <f t="shared" si="31"/>
        <v>0</v>
      </c>
      <c r="AO36" s="478">
        <f t="shared" ca="1" si="12"/>
        <v>0</v>
      </c>
      <c r="AP36" s="478">
        <f>AN36*Données!$F$36</f>
        <v>0</v>
      </c>
      <c r="AQ36" s="478">
        <f>AN36*Données!$F$28</f>
        <v>0</v>
      </c>
      <c r="AR36" s="478">
        <f ca="1">IF(AO36=0,0,IF($E$7="C1",(AO36*$H$10),IF($E$7="C2",-AN36*Données!$G$36*$H$10,0)))</f>
        <v>0</v>
      </c>
      <c r="AS36" s="478">
        <f t="shared" ca="1" si="13"/>
        <v>0</v>
      </c>
      <c r="AT36" s="477">
        <f t="shared" si="32"/>
        <v>16</v>
      </c>
      <c r="AU36" s="478">
        <f t="shared" si="33"/>
        <v>0</v>
      </c>
      <c r="AV36" s="478">
        <f t="shared" si="34"/>
        <v>0</v>
      </c>
      <c r="AW36" s="493">
        <f t="shared" si="35"/>
        <v>0</v>
      </c>
      <c r="AX36" s="493">
        <f t="shared" si="36"/>
        <v>0</v>
      </c>
      <c r="AY36" s="478">
        <f t="shared" si="14"/>
        <v>0</v>
      </c>
    </row>
    <row r="37" spans="1:51">
      <c r="A37" s="477">
        <f t="shared" ca="1" si="15"/>
        <v>2043</v>
      </c>
      <c r="B37" s="478">
        <f t="shared" ca="1" si="16"/>
        <v>0</v>
      </c>
      <c r="C37" s="478">
        <f ca="1">IF(OR($C$7=Données!$H$51,$C$7=Données!$H$54,$C$7=Données!$H$55,$C$7=Données!$H$57),0,B37*'Sit 1'!$C$10)</f>
        <v>0</v>
      </c>
      <c r="D37" s="478">
        <f ca="1">IFERROR(IF($H$5="",B37*'CT à Transf'!$K$28,B37*$H$5),B37*$H$5)</f>
        <v>0</v>
      </c>
      <c r="E37" s="478">
        <f t="shared" ca="1" si="17"/>
        <v>0</v>
      </c>
      <c r="F37" s="478">
        <f t="shared" ca="1" si="0"/>
        <v>0</v>
      </c>
      <c r="G37" s="478">
        <f t="shared" ca="1" si="2"/>
        <v>0</v>
      </c>
      <c r="H37" s="478">
        <f t="shared" ca="1" si="3"/>
        <v>0</v>
      </c>
      <c r="J37" s="476"/>
      <c r="K37" s="477">
        <f t="shared" si="18"/>
        <v>17</v>
      </c>
      <c r="L37" s="478">
        <f t="shared" ca="1" si="1"/>
        <v>0</v>
      </c>
      <c r="M37" s="478">
        <f t="shared" ca="1" si="19"/>
        <v>0</v>
      </c>
      <c r="N37" s="478">
        <f ca="1">IF(OR($C$7=Données!$H$52,$C$7=Données!$H$53),(L37*$N$9)+((M37*$Q$8)*$Q$9),(L37+M37)*$N$8*$N$9)</f>
        <v>0</v>
      </c>
      <c r="O37" s="478">
        <f ca="1">IF(OR($C$7=Données!$H$52,$C$7=Données!$H$53),(L37*$H$10)+(M37*$Q$8*$H$10)-(M37*$Q$8*Données!$G$36*$H$10),((L37+M37)*$N$8*$H$10)-IF($K$8="Rente à titre onéreux imposable sur",(L37+M37)*$N$8*Données!$G$36*$H$10,(L37+M37)*$N$8*Données!$M$41*$H$10))</f>
        <v>0</v>
      </c>
      <c r="P37" s="478">
        <f t="shared" ca="1" si="4"/>
        <v>0</v>
      </c>
      <c r="Q37" s="478">
        <f t="shared" ca="1" si="20"/>
        <v>0</v>
      </c>
      <c r="S37" s="476"/>
      <c r="T37" s="477">
        <f t="shared" si="21"/>
        <v>17</v>
      </c>
      <c r="U37" s="478">
        <f t="shared" ca="1" si="22"/>
        <v>0</v>
      </c>
      <c r="V37" s="478">
        <f t="shared" ca="1" si="5"/>
        <v>0</v>
      </c>
      <c r="W37" s="493">
        <f t="shared" ca="1" si="23"/>
        <v>0</v>
      </c>
      <c r="X37" s="493">
        <f t="shared" ca="1" si="24"/>
        <v>0</v>
      </c>
      <c r="Y37" s="478">
        <f t="shared" ca="1" si="6"/>
        <v>0</v>
      </c>
      <c r="Z37" s="504">
        <f t="shared" ca="1" si="25"/>
        <v>0</v>
      </c>
      <c r="AA37" s="478">
        <f t="shared" ca="1" si="7"/>
        <v>0</v>
      </c>
      <c r="AB37" s="478">
        <f t="shared" ca="1" si="8"/>
        <v>0</v>
      </c>
      <c r="AC37" s="478">
        <f ca="1">AA37*Données!$F$36</f>
        <v>0</v>
      </c>
      <c r="AD37" s="478">
        <f ca="1">AA37*Données!$F$28</f>
        <v>0</v>
      </c>
      <c r="AE37" s="478">
        <f ca="1">IF(AB37=0,0,IF($E$7="C1",(AB37*$H$10),IF($E$7="C2",-AA37*Données!$G$36*$H$10,0)))</f>
        <v>0</v>
      </c>
      <c r="AF37" s="478">
        <f t="shared" ca="1" si="9"/>
        <v>0</v>
      </c>
      <c r="AG37" s="477">
        <f t="shared" si="26"/>
        <v>17</v>
      </c>
      <c r="AH37" s="478">
        <f t="shared" si="27"/>
        <v>0</v>
      </c>
      <c r="AI37" s="478">
        <f t="shared" si="28"/>
        <v>0</v>
      </c>
      <c r="AJ37" s="493">
        <f t="shared" si="29"/>
        <v>0</v>
      </c>
      <c r="AK37" s="493">
        <f t="shared" ca="1" si="30"/>
        <v>0</v>
      </c>
      <c r="AL37" s="478">
        <f t="shared" ca="1" si="10"/>
        <v>0</v>
      </c>
      <c r="AM37" s="478">
        <f t="shared" ca="1" si="11"/>
        <v>0</v>
      </c>
      <c r="AN37" s="478">
        <f t="shared" si="31"/>
        <v>0</v>
      </c>
      <c r="AO37" s="478">
        <f t="shared" ca="1" si="12"/>
        <v>0</v>
      </c>
      <c r="AP37" s="478">
        <f>AN37*Données!$F$36</f>
        <v>0</v>
      </c>
      <c r="AQ37" s="478">
        <f>AN37*Données!$F$28</f>
        <v>0</v>
      </c>
      <c r="AR37" s="478">
        <f ca="1">IF(AO37=0,0,IF($E$7="C1",(AO37*$H$10),IF($E$7="C2",-AN37*Données!$G$36*$H$10,0)))</f>
        <v>0</v>
      </c>
      <c r="AS37" s="478">
        <f t="shared" ca="1" si="13"/>
        <v>0</v>
      </c>
      <c r="AT37" s="477">
        <f t="shared" si="32"/>
        <v>17</v>
      </c>
      <c r="AU37" s="478">
        <f t="shared" si="33"/>
        <v>0</v>
      </c>
      <c r="AV37" s="478">
        <f t="shared" si="34"/>
        <v>0</v>
      </c>
      <c r="AW37" s="493">
        <f t="shared" si="35"/>
        <v>0</v>
      </c>
      <c r="AX37" s="493">
        <f t="shared" si="36"/>
        <v>0</v>
      </c>
      <c r="AY37" s="478">
        <f t="shared" si="14"/>
        <v>0</v>
      </c>
    </row>
    <row r="38" spans="1:51">
      <c r="A38" s="477">
        <f t="shared" ca="1" si="15"/>
        <v>2044</v>
      </c>
      <c r="B38" s="478">
        <f t="shared" ca="1" si="16"/>
        <v>0</v>
      </c>
      <c r="C38" s="478">
        <f ca="1">IF(OR($C$7=Données!$H$51,$C$7=Données!$H$54,$C$7=Données!$H$55,$C$7=Données!$H$57),0,B38*'Sit 1'!$C$10)</f>
        <v>0</v>
      </c>
      <c r="D38" s="478">
        <f ca="1">IFERROR(IF($H$5="",B38*'CT à Transf'!$K$28,B38*$H$5),B38*$H$5)</f>
        <v>0</v>
      </c>
      <c r="E38" s="478">
        <f t="shared" ca="1" si="17"/>
        <v>0</v>
      </c>
      <c r="F38" s="478">
        <f t="shared" ca="1" si="0"/>
        <v>0</v>
      </c>
      <c r="G38" s="478">
        <f t="shared" ca="1" si="2"/>
        <v>0</v>
      </c>
      <c r="H38" s="478">
        <f t="shared" ca="1" si="3"/>
        <v>0</v>
      </c>
      <c r="J38" s="476"/>
      <c r="K38" s="477">
        <f t="shared" si="18"/>
        <v>18</v>
      </c>
      <c r="L38" s="478">
        <f t="shared" ca="1" si="1"/>
        <v>0</v>
      </c>
      <c r="M38" s="478">
        <f t="shared" ca="1" si="19"/>
        <v>0</v>
      </c>
      <c r="N38" s="478">
        <f ca="1">IF(OR($C$7=Données!$H$52,$C$7=Données!$H$53),(L38*$N$9)+((M38*$Q$8)*$Q$9),(L38+M38)*$N$8*$N$9)</f>
        <v>0</v>
      </c>
      <c r="O38" s="478">
        <f ca="1">IF(OR($C$7=Données!$H$52,$C$7=Données!$H$53),(L38*$H$10)+(M38*$Q$8*$H$10)-(M38*$Q$8*Données!$G$36*$H$10),((L38+M38)*$N$8*$H$10)-IF($K$8="Rente à titre onéreux imposable sur",(L38+M38)*$N$8*Données!$G$36*$H$10,(L38+M38)*$N$8*Données!$M$41*$H$10))</f>
        <v>0</v>
      </c>
      <c r="P38" s="478">
        <f t="shared" ca="1" si="4"/>
        <v>0</v>
      </c>
      <c r="Q38" s="478">
        <f t="shared" ca="1" si="20"/>
        <v>0</v>
      </c>
      <c r="S38" s="476"/>
      <c r="T38" s="477">
        <f t="shared" si="21"/>
        <v>18</v>
      </c>
      <c r="U38" s="478">
        <f t="shared" ca="1" si="22"/>
        <v>0</v>
      </c>
      <c r="V38" s="478">
        <f t="shared" ca="1" si="5"/>
        <v>0</v>
      </c>
      <c r="W38" s="493">
        <f t="shared" ca="1" si="23"/>
        <v>0</v>
      </c>
      <c r="X38" s="493">
        <f t="shared" ca="1" si="24"/>
        <v>0</v>
      </c>
      <c r="Y38" s="478">
        <f t="shared" ca="1" si="6"/>
        <v>0</v>
      </c>
      <c r="Z38" s="504">
        <f t="shared" ca="1" si="25"/>
        <v>0</v>
      </c>
      <c r="AA38" s="478">
        <f t="shared" ca="1" si="7"/>
        <v>0</v>
      </c>
      <c r="AB38" s="478">
        <f t="shared" ca="1" si="8"/>
        <v>0</v>
      </c>
      <c r="AC38" s="478">
        <f ca="1">AA38*Données!$F$36</f>
        <v>0</v>
      </c>
      <c r="AD38" s="478">
        <f ca="1">AA38*Données!$F$28</f>
        <v>0</v>
      </c>
      <c r="AE38" s="478">
        <f ca="1">IF(AB38=0,0,IF($E$7="C1",(AB38*$H$10),IF($E$7="C2",-AA38*Données!$G$36*$H$10,0)))</f>
        <v>0</v>
      </c>
      <c r="AF38" s="478">
        <f t="shared" ca="1" si="9"/>
        <v>0</v>
      </c>
      <c r="AG38" s="477">
        <f t="shared" si="26"/>
        <v>18</v>
      </c>
      <c r="AH38" s="478">
        <f t="shared" si="27"/>
        <v>0</v>
      </c>
      <c r="AI38" s="478">
        <f t="shared" si="28"/>
        <v>0</v>
      </c>
      <c r="AJ38" s="493">
        <f t="shared" si="29"/>
        <v>0</v>
      </c>
      <c r="AK38" s="493">
        <f t="shared" ca="1" si="30"/>
        <v>0</v>
      </c>
      <c r="AL38" s="478">
        <f t="shared" ca="1" si="10"/>
        <v>0</v>
      </c>
      <c r="AM38" s="478">
        <f t="shared" ca="1" si="11"/>
        <v>0</v>
      </c>
      <c r="AN38" s="478">
        <f t="shared" si="31"/>
        <v>0</v>
      </c>
      <c r="AO38" s="478">
        <f t="shared" ca="1" si="12"/>
        <v>0</v>
      </c>
      <c r="AP38" s="478">
        <f>AN38*Données!$F$36</f>
        <v>0</v>
      </c>
      <c r="AQ38" s="478">
        <f>AN38*Données!$F$28</f>
        <v>0</v>
      </c>
      <c r="AR38" s="478">
        <f ca="1">IF(AO38=0,0,IF($E$7="C1",(AO38*$H$10),IF($E$7="C2",-AN38*Données!$G$36*$H$10,0)))</f>
        <v>0</v>
      </c>
      <c r="AS38" s="478">
        <f t="shared" ca="1" si="13"/>
        <v>0</v>
      </c>
      <c r="AT38" s="477">
        <f t="shared" si="32"/>
        <v>18</v>
      </c>
      <c r="AU38" s="478">
        <f t="shared" si="33"/>
        <v>0</v>
      </c>
      <c r="AV38" s="478">
        <f t="shared" si="34"/>
        <v>0</v>
      </c>
      <c r="AW38" s="493">
        <f t="shared" si="35"/>
        <v>0</v>
      </c>
      <c r="AX38" s="493">
        <f t="shared" si="36"/>
        <v>0</v>
      </c>
      <c r="AY38" s="478">
        <f t="shared" si="14"/>
        <v>0</v>
      </c>
    </row>
    <row r="39" spans="1:51">
      <c r="A39" s="477">
        <f t="shared" ca="1" si="15"/>
        <v>2045</v>
      </c>
      <c r="B39" s="478">
        <f t="shared" ca="1" si="16"/>
        <v>0</v>
      </c>
      <c r="C39" s="478">
        <f ca="1">IF(OR($C$7=Données!$H$51,$C$7=Données!$H$54,$C$7=Données!$H$55,$C$7=Données!$H$57),0,B39*'Sit 1'!$C$10)</f>
        <v>0</v>
      </c>
      <c r="D39" s="478">
        <f ca="1">IFERROR(IF($H$5="",B39*'CT à Transf'!$K$28,B39*$H$5),B39*$H$5)</f>
        <v>0</v>
      </c>
      <c r="E39" s="478">
        <f t="shared" ca="1" si="17"/>
        <v>0</v>
      </c>
      <c r="F39" s="478">
        <f t="shared" ca="1" si="0"/>
        <v>0</v>
      </c>
      <c r="G39" s="478">
        <f t="shared" ca="1" si="2"/>
        <v>0</v>
      </c>
      <c r="H39" s="478">
        <f t="shared" ca="1" si="3"/>
        <v>0</v>
      </c>
      <c r="J39" s="476"/>
      <c r="K39" s="477">
        <f t="shared" si="18"/>
        <v>19</v>
      </c>
      <c r="L39" s="478">
        <f t="shared" ca="1" si="1"/>
        <v>0</v>
      </c>
      <c r="M39" s="478">
        <f t="shared" ca="1" si="19"/>
        <v>0</v>
      </c>
      <c r="N39" s="478">
        <f ca="1">IF(OR($C$7=Données!$H$52,$C$7=Données!$H$53),(L39*$N$9)+((M39*$Q$8)*$Q$9),(L39+M39)*$N$8*$N$9)</f>
        <v>0</v>
      </c>
      <c r="O39" s="478">
        <f ca="1">IF(OR($C$7=Données!$H$52,$C$7=Données!$H$53),(L39*$H$10)+(M39*$Q$8*$H$10)-(M39*$Q$8*Données!$G$36*$H$10),((L39+M39)*$N$8*$H$10)-IF($K$8="Rente à titre onéreux imposable sur",(L39+M39)*$N$8*Données!$G$36*$H$10,(L39+M39)*$N$8*Données!$M$41*$H$10))</f>
        <v>0</v>
      </c>
      <c r="P39" s="478">
        <f t="shared" ca="1" si="4"/>
        <v>0</v>
      </c>
      <c r="Q39" s="478">
        <f t="shared" ca="1" si="20"/>
        <v>0</v>
      </c>
      <c r="S39" s="476"/>
      <c r="T39" s="477">
        <f t="shared" si="21"/>
        <v>19</v>
      </c>
      <c r="U39" s="478">
        <f t="shared" ca="1" si="22"/>
        <v>0</v>
      </c>
      <c r="V39" s="478">
        <f t="shared" ca="1" si="5"/>
        <v>0</v>
      </c>
      <c r="W39" s="493">
        <f t="shared" ca="1" si="23"/>
        <v>0</v>
      </c>
      <c r="X39" s="493">
        <f t="shared" ca="1" si="24"/>
        <v>0</v>
      </c>
      <c r="Y39" s="478">
        <f t="shared" ca="1" si="6"/>
        <v>0</v>
      </c>
      <c r="Z39" s="504">
        <f t="shared" ca="1" si="25"/>
        <v>0</v>
      </c>
      <c r="AA39" s="478">
        <f t="shared" ca="1" si="7"/>
        <v>0</v>
      </c>
      <c r="AB39" s="478">
        <f t="shared" ca="1" si="8"/>
        <v>0</v>
      </c>
      <c r="AC39" s="478">
        <f ca="1">AA39*Données!$F$36</f>
        <v>0</v>
      </c>
      <c r="AD39" s="478">
        <f ca="1">AA39*Données!$F$28</f>
        <v>0</v>
      </c>
      <c r="AE39" s="478">
        <f ca="1">IF(AB39=0,0,IF($E$7="C1",(AB39*$H$10),IF($E$7="C2",-AA39*Données!$G$36*$H$10,0)))</f>
        <v>0</v>
      </c>
      <c r="AF39" s="478">
        <f t="shared" ca="1" si="9"/>
        <v>0</v>
      </c>
      <c r="AG39" s="477">
        <f t="shared" si="26"/>
        <v>19</v>
      </c>
      <c r="AH39" s="478">
        <f t="shared" si="27"/>
        <v>0</v>
      </c>
      <c r="AI39" s="478">
        <f t="shared" si="28"/>
        <v>0</v>
      </c>
      <c r="AJ39" s="493">
        <f t="shared" si="29"/>
        <v>0</v>
      </c>
      <c r="AK39" s="493">
        <f t="shared" ca="1" si="30"/>
        <v>0</v>
      </c>
      <c r="AL39" s="478">
        <f t="shared" ca="1" si="10"/>
        <v>0</v>
      </c>
      <c r="AM39" s="478">
        <f t="shared" ca="1" si="11"/>
        <v>0</v>
      </c>
      <c r="AN39" s="478">
        <f t="shared" si="31"/>
        <v>0</v>
      </c>
      <c r="AO39" s="478">
        <f t="shared" ca="1" si="12"/>
        <v>0</v>
      </c>
      <c r="AP39" s="478">
        <f>AN39*Données!$F$36</f>
        <v>0</v>
      </c>
      <c r="AQ39" s="478">
        <f>AN39*Données!$F$28</f>
        <v>0</v>
      </c>
      <c r="AR39" s="478">
        <f ca="1">IF(AO39=0,0,IF($E$7="C1",(AO39*$H$10),IF($E$7="C2",-AN39*Données!$G$36*$H$10,0)))</f>
        <v>0</v>
      </c>
      <c r="AS39" s="478">
        <f t="shared" ca="1" si="13"/>
        <v>0</v>
      </c>
      <c r="AT39" s="477">
        <f t="shared" si="32"/>
        <v>19</v>
      </c>
      <c r="AU39" s="478">
        <f t="shared" si="33"/>
        <v>0</v>
      </c>
      <c r="AV39" s="478">
        <f t="shared" si="34"/>
        <v>0</v>
      </c>
      <c r="AW39" s="493">
        <f t="shared" si="35"/>
        <v>0</v>
      </c>
      <c r="AX39" s="493">
        <f t="shared" si="36"/>
        <v>0</v>
      </c>
      <c r="AY39" s="478">
        <f t="shared" si="14"/>
        <v>0</v>
      </c>
    </row>
    <row r="40" spans="1:51">
      <c r="A40" s="477">
        <f t="shared" ca="1" si="15"/>
        <v>2046</v>
      </c>
      <c r="B40" s="478">
        <f t="shared" ca="1" si="16"/>
        <v>0</v>
      </c>
      <c r="C40" s="478">
        <f ca="1">IF(OR($C$7=Données!$H$51,$C$7=Données!$H$54,$C$7=Données!$H$55,$C$7=Données!$H$57),0,B40*'Sit 1'!$C$10)</f>
        <v>0</v>
      </c>
      <c r="D40" s="478">
        <f ca="1">IFERROR(IF($H$5="",B40*'CT à Transf'!$K$28,B40*$H$5),B40*$H$5)</f>
        <v>0</v>
      </c>
      <c r="E40" s="478">
        <f t="shared" ca="1" si="17"/>
        <v>0</v>
      </c>
      <c r="F40" s="478">
        <f t="shared" ca="1" si="0"/>
        <v>0</v>
      </c>
      <c r="G40" s="478">
        <f t="shared" ca="1" si="2"/>
        <v>0</v>
      </c>
      <c r="H40" s="478">
        <f t="shared" ca="1" si="3"/>
        <v>0</v>
      </c>
      <c r="J40" s="476"/>
      <c r="K40" s="477">
        <f t="shared" si="18"/>
        <v>20</v>
      </c>
      <c r="L40" s="478">
        <f t="shared" ca="1" si="1"/>
        <v>0</v>
      </c>
      <c r="M40" s="478">
        <f t="shared" ca="1" si="19"/>
        <v>0</v>
      </c>
      <c r="N40" s="478">
        <f ca="1">IF(OR($C$7=Données!$H$52,$C$7=Données!$H$53),(L40*$N$9)+((M40*$Q$8)*$Q$9),(L40+M40)*$N$8*$N$9)</f>
        <v>0</v>
      </c>
      <c r="O40" s="478">
        <f ca="1">IF(OR($C$7=Données!$H$52,$C$7=Données!$H$53),(L40*$H$10)+(M40*$Q$8*$H$10)-(M40*$Q$8*Données!$G$36*$H$10),((L40+M40)*$N$8*$H$10)-IF($K$8="Rente à titre onéreux imposable sur",(L40+M40)*$N$8*Données!$G$36*$H$10,(L40+M40)*$N$8*Données!$M$41*$H$10))</f>
        <v>0</v>
      </c>
      <c r="P40" s="478">
        <f t="shared" ca="1" si="4"/>
        <v>0</v>
      </c>
      <c r="Q40" s="478">
        <f t="shared" ca="1" si="20"/>
        <v>0</v>
      </c>
      <c r="S40" s="476"/>
      <c r="T40" s="477">
        <f t="shared" si="21"/>
        <v>20</v>
      </c>
      <c r="U40" s="478">
        <f t="shared" ca="1" si="22"/>
        <v>0</v>
      </c>
      <c r="V40" s="478">
        <f t="shared" ca="1" si="5"/>
        <v>0</v>
      </c>
      <c r="W40" s="493">
        <f t="shared" ca="1" si="23"/>
        <v>0</v>
      </c>
      <c r="X40" s="493">
        <f t="shared" ca="1" si="24"/>
        <v>0</v>
      </c>
      <c r="Y40" s="478">
        <f t="shared" ca="1" si="6"/>
        <v>0</v>
      </c>
      <c r="Z40" s="504">
        <f t="shared" ca="1" si="25"/>
        <v>0</v>
      </c>
      <c r="AA40" s="478">
        <f t="shared" ca="1" si="7"/>
        <v>0</v>
      </c>
      <c r="AB40" s="478">
        <f t="shared" ca="1" si="8"/>
        <v>0</v>
      </c>
      <c r="AC40" s="478">
        <f ca="1">AA40*Données!$F$36</f>
        <v>0</v>
      </c>
      <c r="AD40" s="478">
        <f ca="1">AA40*Données!$F$28</f>
        <v>0</v>
      </c>
      <c r="AE40" s="478">
        <f ca="1">IF(AB40=0,0,IF($E$7="C1",(AB40*$H$10),IF($E$7="C2",-AA40*Données!$G$36*$H$10,0)))</f>
        <v>0</v>
      </c>
      <c r="AF40" s="478">
        <f t="shared" ca="1" si="9"/>
        <v>0</v>
      </c>
      <c r="AG40" s="477">
        <f t="shared" si="26"/>
        <v>20</v>
      </c>
      <c r="AH40" s="478">
        <f t="shared" si="27"/>
        <v>0</v>
      </c>
      <c r="AI40" s="478">
        <f t="shared" si="28"/>
        <v>0</v>
      </c>
      <c r="AJ40" s="493">
        <f t="shared" si="29"/>
        <v>0</v>
      </c>
      <c r="AK40" s="493">
        <f t="shared" ca="1" si="30"/>
        <v>0</v>
      </c>
      <c r="AL40" s="478">
        <f t="shared" ca="1" si="10"/>
        <v>0</v>
      </c>
      <c r="AM40" s="478">
        <f t="shared" ca="1" si="11"/>
        <v>0</v>
      </c>
      <c r="AN40" s="478">
        <f t="shared" si="31"/>
        <v>0</v>
      </c>
      <c r="AO40" s="478">
        <f t="shared" ca="1" si="12"/>
        <v>0</v>
      </c>
      <c r="AP40" s="478">
        <f>AN40*Données!$F$36</f>
        <v>0</v>
      </c>
      <c r="AQ40" s="478">
        <f>AN40*Données!$F$28</f>
        <v>0</v>
      </c>
      <c r="AR40" s="478">
        <f ca="1">IF(AO40=0,0,IF($E$7="C1",(AO40*$H$10),IF($E$7="C2",-AN40*Données!$G$36*$H$10,0)))</f>
        <v>0</v>
      </c>
      <c r="AS40" s="478">
        <f t="shared" ca="1" si="13"/>
        <v>0</v>
      </c>
      <c r="AT40" s="477">
        <f t="shared" si="32"/>
        <v>20</v>
      </c>
      <c r="AU40" s="478">
        <f t="shared" si="33"/>
        <v>0</v>
      </c>
      <c r="AV40" s="478">
        <f t="shared" si="34"/>
        <v>0</v>
      </c>
      <c r="AW40" s="493">
        <f t="shared" si="35"/>
        <v>0</v>
      </c>
      <c r="AX40" s="493">
        <f t="shared" si="36"/>
        <v>0</v>
      </c>
      <c r="AY40" s="478">
        <f t="shared" si="14"/>
        <v>0</v>
      </c>
    </row>
    <row r="41" spans="1:51">
      <c r="A41" s="477">
        <f t="shared" ca="1" si="15"/>
        <v>2047</v>
      </c>
      <c r="B41" s="478">
        <f t="shared" ca="1" si="16"/>
        <v>0</v>
      </c>
      <c r="C41" s="478">
        <f ca="1">IF(OR($C$7=Données!$H$51,$C$7=Données!$H$54,$C$7=Données!$H$55,$C$7=Données!$H$57),0,B41*'Sit 1'!$C$10)</f>
        <v>0</v>
      </c>
      <c r="D41" s="478">
        <f ca="1">IFERROR(IF($H$5="",B41*'CT à Transf'!$K$28,B41*$H$5),B41*$H$5)</f>
        <v>0</v>
      </c>
      <c r="E41" s="478">
        <f t="shared" ca="1" si="17"/>
        <v>0</v>
      </c>
      <c r="F41" s="478">
        <f t="shared" ca="1" si="0"/>
        <v>0</v>
      </c>
      <c r="G41" s="478">
        <f t="shared" ca="1" si="2"/>
        <v>0</v>
      </c>
      <c r="H41" s="478">
        <f t="shared" ca="1" si="3"/>
        <v>0</v>
      </c>
      <c r="J41" s="476"/>
      <c r="K41" s="477">
        <f t="shared" si="18"/>
        <v>21</v>
      </c>
      <c r="L41" s="478">
        <f t="shared" ca="1" si="1"/>
        <v>0</v>
      </c>
      <c r="M41" s="478">
        <f t="shared" ca="1" si="19"/>
        <v>0</v>
      </c>
      <c r="N41" s="478">
        <f ca="1">IF(OR($C$7=Données!$H$52,$C$7=Données!$H$53),(L41*$N$9)+((M41*$Q$8)*$Q$9),(L41+M41)*$N$8*$N$9)</f>
        <v>0</v>
      </c>
      <c r="O41" s="478">
        <f ca="1">IF(OR($C$7=Données!$H$52,$C$7=Données!$H$53),(L41*$H$10)+(M41*$Q$8*$H$10)-(M41*$Q$8*Données!$G$36*$H$10),((L41+M41)*$N$8*$H$10)-IF($K$8="Rente à titre onéreux imposable sur",(L41+M41)*$N$8*Données!$G$36*$H$10,(L41+M41)*$N$8*Données!$M$41*$H$10))</f>
        <v>0</v>
      </c>
      <c r="P41" s="478">
        <f t="shared" ca="1" si="4"/>
        <v>0</v>
      </c>
      <c r="Q41" s="478">
        <f t="shared" ca="1" si="20"/>
        <v>0</v>
      </c>
      <c r="S41" s="476"/>
      <c r="T41" s="477">
        <f t="shared" si="21"/>
        <v>21</v>
      </c>
      <c r="U41" s="478">
        <f t="shared" ca="1" si="22"/>
        <v>0</v>
      </c>
      <c r="V41" s="478">
        <f t="shared" ca="1" si="5"/>
        <v>0</v>
      </c>
      <c r="W41" s="493">
        <f t="shared" ca="1" si="23"/>
        <v>0</v>
      </c>
      <c r="X41" s="493">
        <f t="shared" ca="1" si="24"/>
        <v>0</v>
      </c>
      <c r="Y41" s="478">
        <f t="shared" ca="1" si="6"/>
        <v>0</v>
      </c>
      <c r="Z41" s="504">
        <f t="shared" ca="1" si="25"/>
        <v>0</v>
      </c>
      <c r="AA41" s="478">
        <f t="shared" ca="1" si="7"/>
        <v>0</v>
      </c>
      <c r="AB41" s="478">
        <f t="shared" ca="1" si="8"/>
        <v>0</v>
      </c>
      <c r="AC41" s="478">
        <f ca="1">AA41*Données!$F$36</f>
        <v>0</v>
      </c>
      <c r="AD41" s="478">
        <f ca="1">AA41*Données!$F$28</f>
        <v>0</v>
      </c>
      <c r="AE41" s="478">
        <f ca="1">IF(AB41=0,0,IF($E$7="C1",(AB41*$H$10),IF($E$7="C2",-AA41*Données!$G$36*$H$10,0)))</f>
        <v>0</v>
      </c>
      <c r="AF41" s="478">
        <f t="shared" ca="1" si="9"/>
        <v>0</v>
      </c>
      <c r="AG41" s="477">
        <f t="shared" si="26"/>
        <v>21</v>
      </c>
      <c r="AH41" s="478">
        <f t="shared" si="27"/>
        <v>0</v>
      </c>
      <c r="AI41" s="478">
        <f t="shared" si="28"/>
        <v>0</v>
      </c>
      <c r="AJ41" s="493">
        <f t="shared" si="29"/>
        <v>0</v>
      </c>
      <c r="AK41" s="493">
        <f t="shared" ca="1" si="30"/>
        <v>0</v>
      </c>
      <c r="AL41" s="478">
        <f t="shared" ca="1" si="10"/>
        <v>0</v>
      </c>
      <c r="AM41" s="478">
        <f t="shared" ca="1" si="11"/>
        <v>0</v>
      </c>
      <c r="AN41" s="478">
        <f t="shared" si="31"/>
        <v>0</v>
      </c>
      <c r="AO41" s="478">
        <f t="shared" ca="1" si="12"/>
        <v>0</v>
      </c>
      <c r="AP41" s="478">
        <f>AN41*Données!$F$36</f>
        <v>0</v>
      </c>
      <c r="AQ41" s="478">
        <f>AN41*Données!$F$28</f>
        <v>0</v>
      </c>
      <c r="AR41" s="478">
        <f ca="1">IF(AO41=0,0,IF($E$7="C1",(AO41*$H$10),IF($E$7="C2",-AN41*Données!$G$36*$H$10,0)))</f>
        <v>0</v>
      </c>
      <c r="AS41" s="478">
        <f t="shared" ca="1" si="13"/>
        <v>0</v>
      </c>
      <c r="AT41" s="477">
        <f t="shared" si="32"/>
        <v>21</v>
      </c>
      <c r="AU41" s="478">
        <f t="shared" si="33"/>
        <v>0</v>
      </c>
      <c r="AV41" s="478">
        <f t="shared" si="34"/>
        <v>0</v>
      </c>
      <c r="AW41" s="493">
        <f t="shared" si="35"/>
        <v>0</v>
      </c>
      <c r="AX41" s="493">
        <f t="shared" si="36"/>
        <v>0</v>
      </c>
      <c r="AY41" s="478">
        <f t="shared" si="14"/>
        <v>0</v>
      </c>
    </row>
    <row r="42" spans="1:51">
      <c r="A42" s="477">
        <f t="shared" ca="1" si="15"/>
        <v>2048</v>
      </c>
      <c r="B42" s="478">
        <f t="shared" ca="1" si="16"/>
        <v>0</v>
      </c>
      <c r="C42" s="478">
        <f ca="1">IF(OR($C$7=Données!$H$51,$C$7=Données!$H$54,$C$7=Données!$H$55,$C$7=Données!$H$57),0,B42*'Sit 1'!$C$10)</f>
        <v>0</v>
      </c>
      <c r="D42" s="478">
        <f ca="1">IFERROR(IF($H$5="",B42*'CT à Transf'!$K$28,B42*$H$5),B42*$H$5)</f>
        <v>0</v>
      </c>
      <c r="E42" s="478">
        <f t="shared" ca="1" si="17"/>
        <v>0</v>
      </c>
      <c r="F42" s="478">
        <f t="shared" ca="1" si="0"/>
        <v>0</v>
      </c>
      <c r="G42" s="478">
        <f t="shared" ca="1" si="2"/>
        <v>0</v>
      </c>
      <c r="H42" s="478">
        <f t="shared" ca="1" si="3"/>
        <v>0</v>
      </c>
      <c r="J42" s="476"/>
      <c r="K42" s="477">
        <f t="shared" si="18"/>
        <v>22</v>
      </c>
      <c r="L42" s="478">
        <f t="shared" ca="1" si="1"/>
        <v>0</v>
      </c>
      <c r="M42" s="478">
        <f t="shared" ca="1" si="19"/>
        <v>0</v>
      </c>
      <c r="N42" s="478">
        <f ca="1">IF(OR($C$7=Données!$H$52,$C$7=Données!$H$53),(L42*$N$9)+((M42*$Q$8)*$Q$9),(L42+M42)*$N$8*$N$9)</f>
        <v>0</v>
      </c>
      <c r="O42" s="478">
        <f ca="1">IF(OR($C$7=Données!$H$52,$C$7=Données!$H$53),(L42*$H$10)+(M42*$Q$8*$H$10)-(M42*$Q$8*Données!$G$36*$H$10),((L42+M42)*$N$8*$H$10)-IF($K$8="Rente à titre onéreux imposable sur",(L42+M42)*$N$8*Données!$G$36*$H$10,(L42+M42)*$N$8*Données!$M$41*$H$10))</f>
        <v>0</v>
      </c>
      <c r="P42" s="478">
        <f t="shared" ca="1" si="4"/>
        <v>0</v>
      </c>
      <c r="Q42" s="478">
        <f t="shared" ca="1" si="20"/>
        <v>0</v>
      </c>
      <c r="S42" s="476"/>
      <c r="T42" s="477">
        <f t="shared" si="21"/>
        <v>22</v>
      </c>
      <c r="U42" s="478">
        <f t="shared" ca="1" si="22"/>
        <v>0</v>
      </c>
      <c r="V42" s="478">
        <f t="shared" ca="1" si="5"/>
        <v>0</v>
      </c>
      <c r="W42" s="493">
        <f t="shared" ca="1" si="23"/>
        <v>0</v>
      </c>
      <c r="X42" s="493">
        <f t="shared" ca="1" si="24"/>
        <v>0</v>
      </c>
      <c r="Y42" s="478">
        <f t="shared" ca="1" si="6"/>
        <v>0</v>
      </c>
      <c r="Z42" s="504">
        <f t="shared" ca="1" si="25"/>
        <v>0</v>
      </c>
      <c r="AA42" s="478">
        <f t="shared" ca="1" si="7"/>
        <v>0</v>
      </c>
      <c r="AB42" s="478">
        <f t="shared" ca="1" si="8"/>
        <v>0</v>
      </c>
      <c r="AC42" s="478">
        <f ca="1">AA42*Données!$F$36</f>
        <v>0</v>
      </c>
      <c r="AD42" s="478">
        <f ca="1">AA42*Données!$F$28</f>
        <v>0</v>
      </c>
      <c r="AE42" s="478">
        <f ca="1">IF(AB42=0,0,IF($E$7="C1",(AB42*$H$10),IF($E$7="C2",-AA42*Données!$G$36*$H$10,0)))</f>
        <v>0</v>
      </c>
      <c r="AF42" s="478">
        <f t="shared" ca="1" si="9"/>
        <v>0</v>
      </c>
      <c r="AG42" s="477">
        <f t="shared" si="26"/>
        <v>22</v>
      </c>
      <c r="AH42" s="478">
        <f t="shared" si="27"/>
        <v>0</v>
      </c>
      <c r="AI42" s="478">
        <f t="shared" si="28"/>
        <v>0</v>
      </c>
      <c r="AJ42" s="493">
        <f t="shared" si="29"/>
        <v>0</v>
      </c>
      <c r="AK42" s="493">
        <f t="shared" ca="1" si="30"/>
        <v>0</v>
      </c>
      <c r="AL42" s="478">
        <f t="shared" ca="1" si="10"/>
        <v>0</v>
      </c>
      <c r="AM42" s="478">
        <f t="shared" ca="1" si="11"/>
        <v>0</v>
      </c>
      <c r="AN42" s="478">
        <f t="shared" si="31"/>
        <v>0</v>
      </c>
      <c r="AO42" s="478">
        <f t="shared" ca="1" si="12"/>
        <v>0</v>
      </c>
      <c r="AP42" s="478">
        <f>AN42*Données!$F$36</f>
        <v>0</v>
      </c>
      <c r="AQ42" s="478">
        <f>AN42*Données!$F$28</f>
        <v>0</v>
      </c>
      <c r="AR42" s="478">
        <f ca="1">IF(AO42=0,0,IF($E$7="C1",(AO42*$H$10),IF($E$7="C2",-AN42*Données!$G$36*$H$10,0)))</f>
        <v>0</v>
      </c>
      <c r="AS42" s="478">
        <f t="shared" ca="1" si="13"/>
        <v>0</v>
      </c>
      <c r="AT42" s="477">
        <f t="shared" si="32"/>
        <v>22</v>
      </c>
      <c r="AU42" s="478">
        <f t="shared" si="33"/>
        <v>0</v>
      </c>
      <c r="AV42" s="478">
        <f t="shared" si="34"/>
        <v>0</v>
      </c>
      <c r="AW42" s="493">
        <f t="shared" si="35"/>
        <v>0</v>
      </c>
      <c r="AX42" s="493">
        <f t="shared" si="36"/>
        <v>0</v>
      </c>
      <c r="AY42" s="478">
        <f t="shared" si="14"/>
        <v>0</v>
      </c>
    </row>
    <row r="43" spans="1:51">
      <c r="A43" s="477">
        <f t="shared" ca="1" si="15"/>
        <v>2049</v>
      </c>
      <c r="B43" s="478">
        <f t="shared" ca="1" si="16"/>
        <v>0</v>
      </c>
      <c r="C43" s="478">
        <f ca="1">IF(OR($C$7=Données!$H$51,$C$7=Données!$H$54,$C$7=Données!$H$55,$C$7=Données!$H$57),0,B43*'Sit 1'!$C$10)</f>
        <v>0</v>
      </c>
      <c r="D43" s="478">
        <f ca="1">IFERROR(IF($H$5="",B43*'CT à Transf'!$K$28,B43*$H$5),B43*$H$5)</f>
        <v>0</v>
      </c>
      <c r="E43" s="478">
        <f t="shared" ca="1" si="17"/>
        <v>0</v>
      </c>
      <c r="F43" s="478">
        <f t="shared" ca="1" si="0"/>
        <v>0</v>
      </c>
      <c r="G43" s="478">
        <f t="shared" ca="1" si="2"/>
        <v>0</v>
      </c>
      <c r="H43" s="478">
        <f t="shared" ca="1" si="3"/>
        <v>0</v>
      </c>
      <c r="J43" s="476"/>
      <c r="K43" s="477">
        <f t="shared" si="18"/>
        <v>23</v>
      </c>
      <c r="L43" s="478">
        <f t="shared" ca="1" si="1"/>
        <v>0</v>
      </c>
      <c r="M43" s="478">
        <f t="shared" ca="1" si="19"/>
        <v>0</v>
      </c>
      <c r="N43" s="478">
        <f ca="1">IF(OR($C$7=Données!$H$52,$C$7=Données!$H$53),(L43*$N$9)+((M43*$Q$8)*$Q$9),(L43+M43)*$N$8*$N$9)</f>
        <v>0</v>
      </c>
      <c r="O43" s="478">
        <f ca="1">IF(OR($C$7=Données!$H$52,$C$7=Données!$H$53),(L43*$H$10)+(M43*$Q$8*$H$10)-(M43*$Q$8*Données!$G$36*$H$10),((L43+M43)*$N$8*$H$10)-IF($K$8="Rente à titre onéreux imposable sur",(L43+M43)*$N$8*Données!$G$36*$H$10,(L43+M43)*$N$8*Données!$M$41*$H$10))</f>
        <v>0</v>
      </c>
      <c r="P43" s="478">
        <f t="shared" ca="1" si="4"/>
        <v>0</v>
      </c>
      <c r="Q43" s="478">
        <f t="shared" ca="1" si="20"/>
        <v>0</v>
      </c>
      <c r="S43" s="476"/>
      <c r="T43" s="477">
        <f t="shared" si="21"/>
        <v>23</v>
      </c>
      <c r="U43" s="478">
        <f t="shared" ca="1" si="22"/>
        <v>0</v>
      </c>
      <c r="V43" s="478">
        <f t="shared" ca="1" si="5"/>
        <v>0</v>
      </c>
      <c r="W43" s="493">
        <f t="shared" ca="1" si="23"/>
        <v>0</v>
      </c>
      <c r="X43" s="493">
        <f t="shared" ca="1" si="24"/>
        <v>0</v>
      </c>
      <c r="Y43" s="478">
        <f t="shared" ca="1" si="6"/>
        <v>0</v>
      </c>
      <c r="Z43" s="504">
        <f t="shared" ca="1" si="25"/>
        <v>0</v>
      </c>
      <c r="AA43" s="478">
        <f t="shared" ca="1" si="7"/>
        <v>0</v>
      </c>
      <c r="AB43" s="478">
        <f t="shared" ca="1" si="8"/>
        <v>0</v>
      </c>
      <c r="AC43" s="478">
        <f ca="1">AA43*Données!$F$36</f>
        <v>0</v>
      </c>
      <c r="AD43" s="478">
        <f ca="1">AA43*Données!$F$28</f>
        <v>0</v>
      </c>
      <c r="AE43" s="478">
        <f ca="1">IF(AB43=0,0,IF($E$7="C1",(AB43*$H$10),IF($E$7="C2",-AA43*Données!$G$36*$H$10,0)))</f>
        <v>0</v>
      </c>
      <c r="AF43" s="478">
        <f t="shared" ca="1" si="9"/>
        <v>0</v>
      </c>
      <c r="AG43" s="477">
        <f t="shared" si="26"/>
        <v>23</v>
      </c>
      <c r="AH43" s="478">
        <f t="shared" si="27"/>
        <v>0</v>
      </c>
      <c r="AI43" s="478">
        <f t="shared" si="28"/>
        <v>0</v>
      </c>
      <c r="AJ43" s="493">
        <f t="shared" si="29"/>
        <v>0</v>
      </c>
      <c r="AK43" s="493">
        <f t="shared" ca="1" si="30"/>
        <v>0</v>
      </c>
      <c r="AL43" s="478">
        <f t="shared" ca="1" si="10"/>
        <v>0</v>
      </c>
      <c r="AM43" s="478">
        <f t="shared" ca="1" si="11"/>
        <v>0</v>
      </c>
      <c r="AN43" s="478">
        <f t="shared" si="31"/>
        <v>0</v>
      </c>
      <c r="AO43" s="478">
        <f t="shared" ca="1" si="12"/>
        <v>0</v>
      </c>
      <c r="AP43" s="478">
        <f>AN43*Données!$F$36</f>
        <v>0</v>
      </c>
      <c r="AQ43" s="478">
        <f>AN43*Données!$F$28</f>
        <v>0</v>
      </c>
      <c r="AR43" s="478">
        <f ca="1">IF(AO43=0,0,IF($E$7="C1",(AO43*$H$10),IF($E$7="C2",-AN43*Données!$G$36*$H$10,0)))</f>
        <v>0</v>
      </c>
      <c r="AS43" s="478">
        <f t="shared" ca="1" si="13"/>
        <v>0</v>
      </c>
      <c r="AT43" s="477">
        <f t="shared" si="32"/>
        <v>23</v>
      </c>
      <c r="AU43" s="478">
        <f t="shared" si="33"/>
        <v>0</v>
      </c>
      <c r="AV43" s="478">
        <f t="shared" si="34"/>
        <v>0</v>
      </c>
      <c r="AW43" s="493">
        <f t="shared" si="35"/>
        <v>0</v>
      </c>
      <c r="AX43" s="493">
        <f t="shared" si="36"/>
        <v>0</v>
      </c>
      <c r="AY43" s="478">
        <f t="shared" si="14"/>
        <v>0</v>
      </c>
    </row>
    <row r="44" spans="1:51">
      <c r="A44" s="477">
        <f t="shared" ca="1" si="15"/>
        <v>2050</v>
      </c>
      <c r="B44" s="478">
        <f t="shared" ca="1" si="16"/>
        <v>0</v>
      </c>
      <c r="C44" s="478">
        <f ca="1">IF(OR($C$7=Données!$H$51,$C$7=Données!$H$54,$C$7=Données!$H$55,$C$7=Données!$H$57),0,B44*'Sit 1'!$C$10)</f>
        <v>0</v>
      </c>
      <c r="D44" s="478">
        <f ca="1">IFERROR(IF($H$5="",B44*'CT à Transf'!$K$28,B44*$H$5),B44*$H$5)</f>
        <v>0</v>
      </c>
      <c r="E44" s="478">
        <f t="shared" ca="1" si="17"/>
        <v>0</v>
      </c>
      <c r="F44" s="478">
        <f t="shared" ca="1" si="0"/>
        <v>0</v>
      </c>
      <c r="G44" s="478">
        <f t="shared" ca="1" si="2"/>
        <v>0</v>
      </c>
      <c r="H44" s="478">
        <f t="shared" ca="1" si="3"/>
        <v>0</v>
      </c>
      <c r="J44" s="476"/>
      <c r="K44" s="477">
        <f t="shared" si="18"/>
        <v>24</v>
      </c>
      <c r="L44" s="478">
        <f t="shared" ca="1" si="1"/>
        <v>0</v>
      </c>
      <c r="M44" s="478">
        <f t="shared" ca="1" si="19"/>
        <v>0</v>
      </c>
      <c r="N44" s="478">
        <f ca="1">IF(OR($C$7=Données!$H$52,$C$7=Données!$H$53),(L44*$N$9)+((M44*$Q$8)*$Q$9),(L44+M44)*$N$8*$N$9)</f>
        <v>0</v>
      </c>
      <c r="O44" s="478">
        <f ca="1">IF(OR($C$7=Données!$H$52,$C$7=Données!$H$53),(L44*$H$10)+(M44*$Q$8*$H$10)-(M44*$Q$8*Données!$G$36*$H$10),((L44+M44)*$N$8*$H$10)-IF($K$8="Rente à titre onéreux imposable sur",(L44+M44)*$N$8*Données!$G$36*$H$10,(L44+M44)*$N$8*Données!$M$41*$H$10))</f>
        <v>0</v>
      </c>
      <c r="P44" s="478">
        <f t="shared" ca="1" si="4"/>
        <v>0</v>
      </c>
      <c r="Q44" s="478">
        <f t="shared" ca="1" si="20"/>
        <v>0</v>
      </c>
      <c r="S44" s="476"/>
      <c r="T44" s="477">
        <f t="shared" si="21"/>
        <v>24</v>
      </c>
      <c r="U44" s="478">
        <f t="shared" ca="1" si="22"/>
        <v>0</v>
      </c>
      <c r="V44" s="478">
        <f t="shared" ca="1" si="5"/>
        <v>0</v>
      </c>
      <c r="W44" s="493">
        <f t="shared" ca="1" si="23"/>
        <v>0</v>
      </c>
      <c r="X44" s="493">
        <f t="shared" ca="1" si="24"/>
        <v>0</v>
      </c>
      <c r="Y44" s="478">
        <f t="shared" ca="1" si="6"/>
        <v>0</v>
      </c>
      <c r="Z44" s="504">
        <f t="shared" ca="1" si="25"/>
        <v>0</v>
      </c>
      <c r="AA44" s="478">
        <f t="shared" ca="1" si="7"/>
        <v>0</v>
      </c>
      <c r="AB44" s="478">
        <f t="shared" ca="1" si="8"/>
        <v>0</v>
      </c>
      <c r="AC44" s="478">
        <f ca="1">AA44*Données!$F$36</f>
        <v>0</v>
      </c>
      <c r="AD44" s="478">
        <f ca="1">AA44*Données!$F$28</f>
        <v>0</v>
      </c>
      <c r="AE44" s="478">
        <f ca="1">IF(AB44=0,0,IF($E$7="C1",(AB44*$H$10),IF($E$7="C2",-AA44*Données!$G$36*$H$10,0)))</f>
        <v>0</v>
      </c>
      <c r="AF44" s="478">
        <f t="shared" ca="1" si="9"/>
        <v>0</v>
      </c>
      <c r="AG44" s="477">
        <f t="shared" si="26"/>
        <v>24</v>
      </c>
      <c r="AH44" s="478">
        <f t="shared" si="27"/>
        <v>0</v>
      </c>
      <c r="AI44" s="478">
        <f t="shared" si="28"/>
        <v>0</v>
      </c>
      <c r="AJ44" s="493">
        <f t="shared" si="29"/>
        <v>0</v>
      </c>
      <c r="AK44" s="493">
        <f t="shared" ca="1" si="30"/>
        <v>0</v>
      </c>
      <c r="AL44" s="478">
        <f t="shared" ca="1" si="10"/>
        <v>0</v>
      </c>
      <c r="AM44" s="478">
        <f t="shared" ca="1" si="11"/>
        <v>0</v>
      </c>
      <c r="AN44" s="478">
        <f t="shared" si="31"/>
        <v>0</v>
      </c>
      <c r="AO44" s="478">
        <f t="shared" ca="1" si="12"/>
        <v>0</v>
      </c>
      <c r="AP44" s="478">
        <f>AN44*Données!$F$36</f>
        <v>0</v>
      </c>
      <c r="AQ44" s="478">
        <f>AN44*Données!$F$28</f>
        <v>0</v>
      </c>
      <c r="AR44" s="478">
        <f ca="1">IF(AO44=0,0,IF($E$7="C1",(AO44*$H$10),IF($E$7="C2",-AN44*Données!$G$36*$H$10,0)))</f>
        <v>0</v>
      </c>
      <c r="AS44" s="478">
        <f t="shared" ca="1" si="13"/>
        <v>0</v>
      </c>
      <c r="AT44" s="477">
        <f t="shared" si="32"/>
        <v>24</v>
      </c>
      <c r="AU44" s="478">
        <f t="shared" si="33"/>
        <v>0</v>
      </c>
      <c r="AV44" s="478">
        <f t="shared" si="34"/>
        <v>0</v>
      </c>
      <c r="AW44" s="493">
        <f t="shared" si="35"/>
        <v>0</v>
      </c>
      <c r="AX44" s="493">
        <f t="shared" si="36"/>
        <v>0</v>
      </c>
      <c r="AY44" s="478">
        <f t="shared" si="14"/>
        <v>0</v>
      </c>
    </row>
    <row r="45" spans="1:51">
      <c r="A45" s="477">
        <f t="shared" ca="1" si="15"/>
        <v>2051</v>
      </c>
      <c r="B45" s="478">
        <f t="shared" ca="1" si="16"/>
        <v>0</v>
      </c>
      <c r="C45" s="478">
        <f ca="1">IF(OR($C$7=Données!$H$51,$C$7=Données!$H$54,$C$7=Données!$H$55,$C$7=Données!$H$57),0,B45*'Sit 1'!$C$10)</f>
        <v>0</v>
      </c>
      <c r="D45" s="478">
        <f ca="1">IFERROR(IF($H$5="",B45*'CT à Transf'!$K$28,B45*$H$5),B45*$H$5)</f>
        <v>0</v>
      </c>
      <c r="E45" s="478">
        <f t="shared" ca="1" si="17"/>
        <v>0</v>
      </c>
      <c r="F45" s="478">
        <f t="shared" ca="1" si="0"/>
        <v>0</v>
      </c>
      <c r="G45" s="478">
        <f t="shared" ca="1" si="2"/>
        <v>0</v>
      </c>
      <c r="H45" s="478">
        <f t="shared" ca="1" si="3"/>
        <v>0</v>
      </c>
      <c r="J45" s="476"/>
      <c r="K45" s="477">
        <f t="shared" si="18"/>
        <v>25</v>
      </c>
      <c r="L45" s="478">
        <f t="shared" ca="1" si="1"/>
        <v>0</v>
      </c>
      <c r="M45" s="478">
        <f t="shared" ca="1" si="19"/>
        <v>0</v>
      </c>
      <c r="N45" s="478">
        <f ca="1">IF(OR($C$7=Données!$H$52,$C$7=Données!$H$53),(L45*$N$9)+((M45*$Q$8)*$Q$9),(L45+M45)*$N$8*$N$9)</f>
        <v>0</v>
      </c>
      <c r="O45" s="478">
        <f ca="1">IF(OR($C$7=Données!$H$52,$C$7=Données!$H$53),(L45*$H$10)+(M45*$Q$8*$H$10)-(M45*$Q$8*Données!$G$36*$H$10),((L45+M45)*$N$8*$H$10)-IF($K$8="Rente à titre onéreux imposable sur",(L45+M45)*$N$8*Données!$G$36*$H$10,(L45+M45)*$N$8*Données!$M$41*$H$10))</f>
        <v>0</v>
      </c>
      <c r="P45" s="478">
        <f t="shared" ca="1" si="4"/>
        <v>0</v>
      </c>
      <c r="Q45" s="478">
        <f t="shared" ca="1" si="20"/>
        <v>0</v>
      </c>
      <c r="S45" s="476"/>
      <c r="T45" s="477">
        <f t="shared" si="21"/>
        <v>25</v>
      </c>
      <c r="U45" s="478">
        <f t="shared" ca="1" si="22"/>
        <v>0</v>
      </c>
      <c r="V45" s="478">
        <f t="shared" ca="1" si="5"/>
        <v>0</v>
      </c>
      <c r="W45" s="493">
        <f t="shared" ca="1" si="23"/>
        <v>0</v>
      </c>
      <c r="X45" s="493">
        <f t="shared" ca="1" si="24"/>
        <v>0</v>
      </c>
      <c r="Y45" s="478">
        <f t="shared" ca="1" si="6"/>
        <v>0</v>
      </c>
      <c r="Z45" s="504">
        <f t="shared" ca="1" si="25"/>
        <v>0</v>
      </c>
      <c r="AA45" s="478">
        <f t="shared" ca="1" si="7"/>
        <v>0</v>
      </c>
      <c r="AB45" s="478">
        <f t="shared" ca="1" si="8"/>
        <v>0</v>
      </c>
      <c r="AC45" s="478">
        <f ca="1">AA45*Données!$F$36</f>
        <v>0</v>
      </c>
      <c r="AD45" s="478">
        <f ca="1">AA45*Données!$F$28</f>
        <v>0</v>
      </c>
      <c r="AE45" s="478">
        <f ca="1">IF(AB45=0,0,IF($E$7="C1",(AB45*$H$10),IF($E$7="C2",-AA45*Données!$G$36*$H$10,0)))</f>
        <v>0</v>
      </c>
      <c r="AF45" s="478">
        <f t="shared" ca="1" si="9"/>
        <v>0</v>
      </c>
      <c r="AG45" s="477">
        <f t="shared" si="26"/>
        <v>25</v>
      </c>
      <c r="AH45" s="478">
        <f t="shared" si="27"/>
        <v>0</v>
      </c>
      <c r="AI45" s="478">
        <f t="shared" si="28"/>
        <v>0</v>
      </c>
      <c r="AJ45" s="493">
        <f t="shared" si="29"/>
        <v>0</v>
      </c>
      <c r="AK45" s="493">
        <f t="shared" ca="1" si="30"/>
        <v>0</v>
      </c>
      <c r="AL45" s="478">
        <f t="shared" ca="1" si="10"/>
        <v>0</v>
      </c>
      <c r="AM45" s="478">
        <f t="shared" ca="1" si="11"/>
        <v>0</v>
      </c>
      <c r="AN45" s="478">
        <f t="shared" si="31"/>
        <v>0</v>
      </c>
      <c r="AO45" s="478">
        <f t="shared" ca="1" si="12"/>
        <v>0</v>
      </c>
      <c r="AP45" s="478">
        <f>AN45*Données!$F$36</f>
        <v>0</v>
      </c>
      <c r="AQ45" s="478">
        <f>AN45*Données!$F$28</f>
        <v>0</v>
      </c>
      <c r="AR45" s="478">
        <f ca="1">IF(AO45=0,0,IF($E$7="C1",(AO45*$H$10),IF($E$7="C2",-AN45*Données!$G$36*$H$10,0)))</f>
        <v>0</v>
      </c>
      <c r="AS45" s="478">
        <f t="shared" ca="1" si="13"/>
        <v>0</v>
      </c>
      <c r="AT45" s="477">
        <f t="shared" si="32"/>
        <v>25</v>
      </c>
      <c r="AU45" s="478">
        <f t="shared" si="33"/>
        <v>0</v>
      </c>
      <c r="AV45" s="478">
        <f t="shared" si="34"/>
        <v>0</v>
      </c>
      <c r="AW45" s="493">
        <f t="shared" si="35"/>
        <v>0</v>
      </c>
      <c r="AX45" s="493">
        <f t="shared" si="36"/>
        <v>0</v>
      </c>
      <c r="AY45" s="478">
        <f t="shared" si="14"/>
        <v>0</v>
      </c>
    </row>
    <row r="46" spans="1:51">
      <c r="A46" s="477">
        <f t="shared" ca="1" si="15"/>
        <v>2052</v>
      </c>
      <c r="B46" s="478">
        <f t="shared" ca="1" si="16"/>
        <v>0</v>
      </c>
      <c r="C46" s="478">
        <f ca="1">IF(OR($C$7=Données!$H$51,$C$7=Données!$H$54,$C$7=Données!$H$55,$C$7=Données!$H$57),0,B46*'Sit 1'!$C$10)</f>
        <v>0</v>
      </c>
      <c r="D46" s="478">
        <f ca="1">IFERROR(IF($H$5="",B46*'CT à Transf'!$K$28,B46*$H$5),B46*$H$5)</f>
        <v>0</v>
      </c>
      <c r="E46" s="478">
        <f t="shared" ca="1" si="17"/>
        <v>0</v>
      </c>
      <c r="F46" s="478">
        <f t="shared" ca="1" si="0"/>
        <v>0</v>
      </c>
      <c r="G46" s="478">
        <f t="shared" ca="1" si="2"/>
        <v>0</v>
      </c>
      <c r="H46" s="478">
        <f t="shared" ca="1" si="3"/>
        <v>0</v>
      </c>
      <c r="J46" s="476"/>
      <c r="K46" s="477">
        <f t="shared" si="18"/>
        <v>26</v>
      </c>
      <c r="L46" s="478">
        <f t="shared" ca="1" si="1"/>
        <v>0</v>
      </c>
      <c r="M46" s="478">
        <f t="shared" ca="1" si="19"/>
        <v>0</v>
      </c>
      <c r="N46" s="478">
        <f ca="1">IF(OR($C$7=Données!$H$52,$C$7=Données!$H$53),(L46*$N$9)+((M46*$Q$8)*$Q$9),(L46+M46)*$N$8*$N$9)</f>
        <v>0</v>
      </c>
      <c r="O46" s="478">
        <f ca="1">IF(OR($C$7=Données!$H$52,$C$7=Données!$H$53),(L46*$H$10)+(M46*$Q$8*$H$10)-(M46*$Q$8*Données!$G$36*$H$10),((L46+M46)*$N$8*$H$10)-IF($K$8="Rente à titre onéreux imposable sur",(L46+M46)*$N$8*Données!$G$36*$H$10,(L46+M46)*$N$8*Données!$M$41*$H$10))</f>
        <v>0</v>
      </c>
      <c r="P46" s="478">
        <f t="shared" ca="1" si="4"/>
        <v>0</v>
      </c>
      <c r="Q46" s="478">
        <f t="shared" ca="1" si="20"/>
        <v>0</v>
      </c>
      <c r="S46" s="476"/>
      <c r="T46" s="477">
        <f t="shared" si="21"/>
        <v>26</v>
      </c>
      <c r="U46" s="478">
        <f t="shared" ca="1" si="22"/>
        <v>0</v>
      </c>
      <c r="V46" s="478">
        <f t="shared" ca="1" si="5"/>
        <v>0</v>
      </c>
      <c r="W46" s="493">
        <f t="shared" ca="1" si="23"/>
        <v>0</v>
      </c>
      <c r="X46" s="493">
        <f t="shared" ca="1" si="24"/>
        <v>0</v>
      </c>
      <c r="Y46" s="478">
        <f t="shared" ca="1" si="6"/>
        <v>0</v>
      </c>
      <c r="Z46" s="504">
        <f t="shared" ca="1" si="25"/>
        <v>0</v>
      </c>
      <c r="AA46" s="478">
        <f t="shared" ca="1" si="7"/>
        <v>0</v>
      </c>
      <c r="AB46" s="478">
        <f t="shared" ca="1" si="8"/>
        <v>0</v>
      </c>
      <c r="AC46" s="478">
        <f ca="1">AA46*Données!$F$36</f>
        <v>0</v>
      </c>
      <c r="AD46" s="478">
        <f ca="1">AA46*Données!$F$28</f>
        <v>0</v>
      </c>
      <c r="AE46" s="478">
        <f ca="1">IF(AB46=0,0,IF($E$7="C1",(AB46*$H$10),IF($E$7="C2",-AA46*Données!$G$36*$H$10,0)))</f>
        <v>0</v>
      </c>
      <c r="AF46" s="478">
        <f t="shared" ca="1" si="9"/>
        <v>0</v>
      </c>
      <c r="AG46" s="477">
        <f t="shared" si="26"/>
        <v>26</v>
      </c>
      <c r="AH46" s="478">
        <f t="shared" si="27"/>
        <v>0</v>
      </c>
      <c r="AI46" s="478">
        <f t="shared" si="28"/>
        <v>0</v>
      </c>
      <c r="AJ46" s="493">
        <f t="shared" si="29"/>
        <v>0</v>
      </c>
      <c r="AK46" s="493">
        <f t="shared" ca="1" si="30"/>
        <v>0</v>
      </c>
      <c r="AL46" s="478">
        <f t="shared" ca="1" si="10"/>
        <v>0</v>
      </c>
      <c r="AM46" s="478">
        <f t="shared" ca="1" si="11"/>
        <v>0</v>
      </c>
      <c r="AN46" s="478">
        <f t="shared" si="31"/>
        <v>0</v>
      </c>
      <c r="AO46" s="478">
        <f t="shared" ca="1" si="12"/>
        <v>0</v>
      </c>
      <c r="AP46" s="478">
        <f>AN46*Données!$F$36</f>
        <v>0</v>
      </c>
      <c r="AQ46" s="478">
        <f>AN46*Données!$F$28</f>
        <v>0</v>
      </c>
      <c r="AR46" s="478">
        <f ca="1">IF(AO46=0,0,IF($E$7="C1",(AO46*$H$10),IF($E$7="C2",-AN46*Données!$G$36*$H$10,0)))</f>
        <v>0</v>
      </c>
      <c r="AS46" s="478">
        <f t="shared" ca="1" si="13"/>
        <v>0</v>
      </c>
      <c r="AT46" s="477">
        <f t="shared" si="32"/>
        <v>26</v>
      </c>
      <c r="AU46" s="478">
        <f t="shared" si="33"/>
        <v>0</v>
      </c>
      <c r="AV46" s="478">
        <f t="shared" si="34"/>
        <v>0</v>
      </c>
      <c r="AW46" s="493">
        <f t="shared" si="35"/>
        <v>0</v>
      </c>
      <c r="AX46" s="493">
        <f t="shared" si="36"/>
        <v>0</v>
      </c>
      <c r="AY46" s="478">
        <f t="shared" si="14"/>
        <v>0</v>
      </c>
    </row>
    <row r="47" spans="1:51">
      <c r="A47" s="477">
        <f t="shared" ca="1" si="15"/>
        <v>2053</v>
      </c>
      <c r="B47" s="478">
        <f t="shared" ca="1" si="16"/>
        <v>0</v>
      </c>
      <c r="C47" s="478">
        <f ca="1">IF(OR($C$7=Données!$H$51,$C$7=Données!$H$54,$C$7=Données!$H$55,$C$7=Données!$H$57),0,B47*'Sit 1'!$C$10)</f>
        <v>0</v>
      </c>
      <c r="D47" s="478">
        <f ca="1">IFERROR(IF($H$5="",B47*'CT à Transf'!$K$28,B47*$H$5),B47*$H$5)</f>
        <v>0</v>
      </c>
      <c r="E47" s="478">
        <f t="shared" ca="1" si="17"/>
        <v>0</v>
      </c>
      <c r="F47" s="478">
        <f t="shared" ca="1" si="0"/>
        <v>0</v>
      </c>
      <c r="G47" s="478">
        <f t="shared" ca="1" si="2"/>
        <v>0</v>
      </c>
      <c r="H47" s="478">
        <f t="shared" ca="1" si="3"/>
        <v>0</v>
      </c>
      <c r="J47" s="476"/>
      <c r="K47" s="477">
        <f t="shared" si="18"/>
        <v>27</v>
      </c>
      <c r="L47" s="478">
        <f t="shared" ca="1" si="1"/>
        <v>0</v>
      </c>
      <c r="M47" s="478">
        <f t="shared" ca="1" si="19"/>
        <v>0</v>
      </c>
      <c r="N47" s="478">
        <f ca="1">IF(OR($C$7=Données!$H$52,$C$7=Données!$H$53),(L47*$N$9)+((M47*$Q$8)*$Q$9),(L47+M47)*$N$8*$N$9)</f>
        <v>0</v>
      </c>
      <c r="O47" s="478">
        <f ca="1">IF(OR($C$7=Données!$H$52,$C$7=Données!$H$53),(L47*$H$10)+(M47*$Q$8*$H$10)-(M47*$Q$8*Données!$G$36*$H$10),((L47+M47)*$N$8*$H$10)-IF($K$8="Rente à titre onéreux imposable sur",(L47+M47)*$N$8*Données!$G$36*$H$10,(L47+M47)*$N$8*Données!$M$41*$H$10))</f>
        <v>0</v>
      </c>
      <c r="P47" s="478">
        <f t="shared" ca="1" si="4"/>
        <v>0</v>
      </c>
      <c r="Q47" s="478">
        <f t="shared" ca="1" si="20"/>
        <v>0</v>
      </c>
      <c r="S47" s="476"/>
      <c r="T47" s="477">
        <f t="shared" si="21"/>
        <v>27</v>
      </c>
      <c r="U47" s="478">
        <f t="shared" ca="1" si="22"/>
        <v>0</v>
      </c>
      <c r="V47" s="478">
        <f t="shared" ca="1" si="5"/>
        <v>0</v>
      </c>
      <c r="W47" s="493">
        <f t="shared" ca="1" si="23"/>
        <v>0</v>
      </c>
      <c r="X47" s="493">
        <f t="shared" ca="1" si="24"/>
        <v>0</v>
      </c>
      <c r="Y47" s="478">
        <f t="shared" ca="1" si="6"/>
        <v>0</v>
      </c>
      <c r="Z47" s="504">
        <f t="shared" ca="1" si="25"/>
        <v>0</v>
      </c>
      <c r="AA47" s="478">
        <f t="shared" ca="1" si="7"/>
        <v>0</v>
      </c>
      <c r="AB47" s="478">
        <f t="shared" ca="1" si="8"/>
        <v>0</v>
      </c>
      <c r="AC47" s="478">
        <f ca="1">AA47*Données!$F$36</f>
        <v>0</v>
      </c>
      <c r="AD47" s="478">
        <f ca="1">AA47*Données!$F$28</f>
        <v>0</v>
      </c>
      <c r="AE47" s="478">
        <f ca="1">IF(AB47=0,0,IF($E$7="C1",(AB47*$H$10),IF($E$7="C2",-AA47*Données!$G$36*$H$10,0)))</f>
        <v>0</v>
      </c>
      <c r="AF47" s="478">
        <f t="shared" ca="1" si="9"/>
        <v>0</v>
      </c>
      <c r="AG47" s="477">
        <f t="shared" si="26"/>
        <v>27</v>
      </c>
      <c r="AH47" s="478">
        <f t="shared" si="27"/>
        <v>0</v>
      </c>
      <c r="AI47" s="478">
        <f t="shared" si="28"/>
        <v>0</v>
      </c>
      <c r="AJ47" s="493">
        <f t="shared" si="29"/>
        <v>0</v>
      </c>
      <c r="AK47" s="493">
        <f t="shared" ca="1" si="30"/>
        <v>0</v>
      </c>
      <c r="AL47" s="478">
        <f t="shared" ca="1" si="10"/>
        <v>0</v>
      </c>
      <c r="AM47" s="478">
        <f t="shared" ca="1" si="11"/>
        <v>0</v>
      </c>
      <c r="AN47" s="478">
        <f t="shared" si="31"/>
        <v>0</v>
      </c>
      <c r="AO47" s="478">
        <f t="shared" ca="1" si="12"/>
        <v>0</v>
      </c>
      <c r="AP47" s="478">
        <f>AN47*Données!$F$36</f>
        <v>0</v>
      </c>
      <c r="AQ47" s="478">
        <f>AN47*Données!$F$28</f>
        <v>0</v>
      </c>
      <c r="AR47" s="478">
        <f ca="1">IF(AO47=0,0,IF($E$7="C1",(AO47*$H$10),IF($E$7="C2",-AN47*Données!$G$36*$H$10,0)))</f>
        <v>0</v>
      </c>
      <c r="AS47" s="478">
        <f t="shared" ca="1" si="13"/>
        <v>0</v>
      </c>
      <c r="AT47" s="477">
        <f t="shared" si="32"/>
        <v>27</v>
      </c>
      <c r="AU47" s="478">
        <f t="shared" si="33"/>
        <v>0</v>
      </c>
      <c r="AV47" s="478">
        <f t="shared" si="34"/>
        <v>0</v>
      </c>
      <c r="AW47" s="493">
        <f t="shared" si="35"/>
        <v>0</v>
      </c>
      <c r="AX47" s="493">
        <f t="shared" si="36"/>
        <v>0</v>
      </c>
      <c r="AY47" s="478">
        <f t="shared" si="14"/>
        <v>0</v>
      </c>
    </row>
    <row r="48" spans="1:51">
      <c r="A48" s="477">
        <f t="shared" ca="1" si="15"/>
        <v>2054</v>
      </c>
      <c r="B48" s="478">
        <f t="shared" ca="1" si="16"/>
        <v>0</v>
      </c>
      <c r="C48" s="478">
        <f ca="1">IF(OR($C$7=Données!$H$51,$C$7=Données!$H$54,$C$7=Données!$H$55,$C$7=Données!$H$57),0,B48*'Sit 1'!$C$10)</f>
        <v>0</v>
      </c>
      <c r="D48" s="478">
        <f ca="1">IFERROR(IF($H$5="",B48*'CT à Transf'!$K$28,B48*$H$5),B48*$H$5)</f>
        <v>0</v>
      </c>
      <c r="E48" s="478">
        <f t="shared" ca="1" si="17"/>
        <v>0</v>
      </c>
      <c r="F48" s="478">
        <f t="shared" ca="1" si="0"/>
        <v>0</v>
      </c>
      <c r="G48" s="478">
        <f t="shared" ca="1" si="2"/>
        <v>0</v>
      </c>
      <c r="H48" s="478">
        <f t="shared" ca="1" si="3"/>
        <v>0</v>
      </c>
      <c r="J48" s="476"/>
      <c r="K48" s="477">
        <f t="shared" si="18"/>
        <v>28</v>
      </c>
      <c r="L48" s="478">
        <f t="shared" ca="1" si="1"/>
        <v>0</v>
      </c>
      <c r="M48" s="478">
        <f t="shared" ca="1" si="19"/>
        <v>0</v>
      </c>
      <c r="N48" s="478">
        <f ca="1">IF(OR($C$7=Données!$H$52,$C$7=Données!$H$53),(L48*$N$9)+((M48*$Q$8)*$Q$9),(L48+M48)*$N$8*$N$9)</f>
        <v>0</v>
      </c>
      <c r="O48" s="478">
        <f ca="1">IF(OR($C$7=Données!$H$52,$C$7=Données!$H$53),(L48*$H$10)+(M48*$Q$8*$H$10)-(M48*$Q$8*Données!$G$36*$H$10),((L48+M48)*$N$8*$H$10)-IF($K$8="Rente à titre onéreux imposable sur",(L48+M48)*$N$8*Données!$G$36*$H$10,(L48+M48)*$N$8*Données!$M$41*$H$10))</f>
        <v>0</v>
      </c>
      <c r="P48" s="478">
        <f t="shared" ca="1" si="4"/>
        <v>0</v>
      </c>
      <c r="Q48" s="478">
        <f t="shared" ca="1" si="20"/>
        <v>0</v>
      </c>
      <c r="S48" s="476"/>
      <c r="T48" s="477">
        <f t="shared" si="21"/>
        <v>28</v>
      </c>
      <c r="U48" s="478">
        <f t="shared" ca="1" si="22"/>
        <v>0</v>
      </c>
      <c r="V48" s="478">
        <f t="shared" ca="1" si="5"/>
        <v>0</v>
      </c>
      <c r="W48" s="493">
        <f t="shared" ca="1" si="23"/>
        <v>0</v>
      </c>
      <c r="X48" s="493">
        <f t="shared" ca="1" si="24"/>
        <v>0</v>
      </c>
      <c r="Y48" s="478">
        <f t="shared" ca="1" si="6"/>
        <v>0</v>
      </c>
      <c r="Z48" s="504">
        <f t="shared" ca="1" si="25"/>
        <v>0</v>
      </c>
      <c r="AA48" s="478">
        <f t="shared" ca="1" si="7"/>
        <v>0</v>
      </c>
      <c r="AB48" s="478">
        <f t="shared" ca="1" si="8"/>
        <v>0</v>
      </c>
      <c r="AC48" s="478">
        <f ca="1">AA48*Données!$F$36</f>
        <v>0</v>
      </c>
      <c r="AD48" s="478">
        <f ca="1">AA48*Données!$F$28</f>
        <v>0</v>
      </c>
      <c r="AE48" s="478">
        <f ca="1">IF(AB48=0,0,IF($E$7="C1",(AB48*$H$10),IF($E$7="C2",-AA48*Données!$G$36*$H$10,0)))</f>
        <v>0</v>
      </c>
      <c r="AF48" s="478">
        <f t="shared" ca="1" si="9"/>
        <v>0</v>
      </c>
      <c r="AG48" s="477">
        <f t="shared" si="26"/>
        <v>28</v>
      </c>
      <c r="AH48" s="478">
        <f t="shared" si="27"/>
        <v>0</v>
      </c>
      <c r="AI48" s="478">
        <f t="shared" si="28"/>
        <v>0</v>
      </c>
      <c r="AJ48" s="493">
        <f t="shared" si="29"/>
        <v>0</v>
      </c>
      <c r="AK48" s="493">
        <f t="shared" ca="1" si="30"/>
        <v>0</v>
      </c>
      <c r="AL48" s="478">
        <f t="shared" ca="1" si="10"/>
        <v>0</v>
      </c>
      <c r="AM48" s="478">
        <f t="shared" ca="1" si="11"/>
        <v>0</v>
      </c>
      <c r="AN48" s="478">
        <f t="shared" si="31"/>
        <v>0</v>
      </c>
      <c r="AO48" s="478">
        <f t="shared" ca="1" si="12"/>
        <v>0</v>
      </c>
      <c r="AP48" s="478">
        <f>AN48*Données!$F$36</f>
        <v>0</v>
      </c>
      <c r="AQ48" s="478">
        <f>AN48*Données!$F$28</f>
        <v>0</v>
      </c>
      <c r="AR48" s="478">
        <f ca="1">IF(AO48=0,0,IF($E$7="C1",(AO48*$H$10),IF($E$7="C2",-AN48*Données!$G$36*$H$10,0)))</f>
        <v>0</v>
      </c>
      <c r="AS48" s="478">
        <f t="shared" ca="1" si="13"/>
        <v>0</v>
      </c>
      <c r="AT48" s="477">
        <f t="shared" si="32"/>
        <v>28</v>
      </c>
      <c r="AU48" s="478">
        <f t="shared" si="33"/>
        <v>0</v>
      </c>
      <c r="AV48" s="478">
        <f t="shared" si="34"/>
        <v>0</v>
      </c>
      <c r="AW48" s="493">
        <f t="shared" si="35"/>
        <v>0</v>
      </c>
      <c r="AX48" s="493">
        <f t="shared" si="36"/>
        <v>0</v>
      </c>
      <c r="AY48" s="478">
        <f t="shared" si="14"/>
        <v>0</v>
      </c>
    </row>
    <row r="49" spans="1:51">
      <c r="A49" s="477">
        <f t="shared" ca="1" si="15"/>
        <v>2055</v>
      </c>
      <c r="B49" s="478">
        <f t="shared" ca="1" si="16"/>
        <v>0</v>
      </c>
      <c r="C49" s="478">
        <f ca="1">IF(OR($C$7=Données!$H$51,$C$7=Données!$H$54,$C$7=Données!$H$55,$C$7=Données!$H$57),0,B49*'Sit 1'!$C$10)</f>
        <v>0</v>
      </c>
      <c r="D49" s="478">
        <f ca="1">IFERROR(IF($H$5="",B49*'CT à Transf'!$K$28,B49*$H$5),B49*$H$5)</f>
        <v>0</v>
      </c>
      <c r="E49" s="478">
        <f t="shared" ca="1" si="17"/>
        <v>0</v>
      </c>
      <c r="F49" s="478">
        <f t="shared" ca="1" si="0"/>
        <v>0</v>
      </c>
      <c r="G49" s="478">
        <f t="shared" ca="1" si="2"/>
        <v>0</v>
      </c>
      <c r="H49" s="478">
        <f t="shared" ca="1" si="3"/>
        <v>0</v>
      </c>
      <c r="J49" s="476"/>
      <c r="K49" s="477">
        <f t="shared" si="18"/>
        <v>29</v>
      </c>
      <c r="L49" s="478">
        <f t="shared" ca="1" si="1"/>
        <v>0</v>
      </c>
      <c r="M49" s="478">
        <f t="shared" ca="1" si="19"/>
        <v>0</v>
      </c>
      <c r="N49" s="478">
        <f ca="1">IF(OR($C$7=Données!$H$52,$C$7=Données!$H$53),(L49*$N$9)+((M49*$Q$8)*$Q$9),(L49+M49)*$N$8*$N$9)</f>
        <v>0</v>
      </c>
      <c r="O49" s="478">
        <f ca="1">IF(OR($C$7=Données!$H$52,$C$7=Données!$H$53),(L49*$H$10)+(M49*$Q$8*$H$10)-(M49*$Q$8*Données!$G$36*$H$10),((L49+M49)*$N$8*$H$10)-IF($K$8="Rente à titre onéreux imposable sur",(L49+M49)*$N$8*Données!$G$36*$H$10,(L49+M49)*$N$8*Données!$M$41*$H$10))</f>
        <v>0</v>
      </c>
      <c r="P49" s="478">
        <f t="shared" ca="1" si="4"/>
        <v>0</v>
      </c>
      <c r="Q49" s="478">
        <f t="shared" ca="1" si="20"/>
        <v>0</v>
      </c>
      <c r="S49" s="476"/>
      <c r="T49" s="477">
        <f t="shared" si="21"/>
        <v>29</v>
      </c>
      <c r="U49" s="478">
        <f t="shared" ca="1" si="22"/>
        <v>0</v>
      </c>
      <c r="V49" s="478">
        <f t="shared" ca="1" si="5"/>
        <v>0</v>
      </c>
      <c r="W49" s="493">
        <f t="shared" ca="1" si="23"/>
        <v>0</v>
      </c>
      <c r="X49" s="493">
        <f t="shared" ca="1" si="24"/>
        <v>0</v>
      </c>
      <c r="Y49" s="478">
        <f t="shared" ca="1" si="6"/>
        <v>0</v>
      </c>
      <c r="Z49" s="504">
        <f t="shared" ca="1" si="25"/>
        <v>0</v>
      </c>
      <c r="AA49" s="478">
        <f t="shared" ca="1" si="7"/>
        <v>0</v>
      </c>
      <c r="AB49" s="478">
        <f t="shared" ca="1" si="8"/>
        <v>0</v>
      </c>
      <c r="AC49" s="478">
        <f ca="1">AA49*Données!$F$36</f>
        <v>0</v>
      </c>
      <c r="AD49" s="478">
        <f ca="1">AA49*Données!$F$28</f>
        <v>0</v>
      </c>
      <c r="AE49" s="478">
        <f ca="1">IF(AB49=0,0,IF($E$7="C1",(AB49*$H$10),IF($E$7="C2",-AA49*Données!$G$36*$H$10,0)))</f>
        <v>0</v>
      </c>
      <c r="AF49" s="478">
        <f t="shared" ca="1" si="9"/>
        <v>0</v>
      </c>
      <c r="AG49" s="477">
        <f t="shared" si="26"/>
        <v>29</v>
      </c>
      <c r="AH49" s="478">
        <f t="shared" si="27"/>
        <v>0</v>
      </c>
      <c r="AI49" s="478">
        <f t="shared" si="28"/>
        <v>0</v>
      </c>
      <c r="AJ49" s="493">
        <f t="shared" si="29"/>
        <v>0</v>
      </c>
      <c r="AK49" s="493">
        <f t="shared" ca="1" si="30"/>
        <v>0</v>
      </c>
      <c r="AL49" s="478">
        <f t="shared" ca="1" si="10"/>
        <v>0</v>
      </c>
      <c r="AM49" s="478">
        <f t="shared" ca="1" si="11"/>
        <v>0</v>
      </c>
      <c r="AN49" s="478">
        <f t="shared" si="31"/>
        <v>0</v>
      </c>
      <c r="AO49" s="478">
        <f t="shared" ca="1" si="12"/>
        <v>0</v>
      </c>
      <c r="AP49" s="478">
        <f>AN49*Données!$F$36</f>
        <v>0</v>
      </c>
      <c r="AQ49" s="478">
        <f>AN49*Données!$F$28</f>
        <v>0</v>
      </c>
      <c r="AR49" s="478">
        <f ca="1">IF(AO49=0,0,IF($E$7="C1",(AO49*$H$10),IF($E$7="C2",-AN49*Données!$G$36*$H$10,0)))</f>
        <v>0</v>
      </c>
      <c r="AS49" s="478">
        <f t="shared" ca="1" si="13"/>
        <v>0</v>
      </c>
      <c r="AT49" s="477">
        <f t="shared" si="32"/>
        <v>29</v>
      </c>
      <c r="AU49" s="478">
        <f t="shared" si="33"/>
        <v>0</v>
      </c>
      <c r="AV49" s="478">
        <f t="shared" si="34"/>
        <v>0</v>
      </c>
      <c r="AW49" s="493">
        <f t="shared" si="35"/>
        <v>0</v>
      </c>
      <c r="AX49" s="493">
        <f t="shared" si="36"/>
        <v>0</v>
      </c>
      <c r="AY49" s="478">
        <f t="shared" si="14"/>
        <v>0</v>
      </c>
    </row>
    <row r="50" spans="1:51">
      <c r="A50" s="477">
        <f t="shared" ca="1" si="15"/>
        <v>2056</v>
      </c>
      <c r="B50" s="478">
        <f t="shared" ca="1" si="16"/>
        <v>0</v>
      </c>
      <c r="C50" s="478">
        <f ca="1">IF(OR($C$7=Données!$H$51,$C$7=Données!$H$54,$C$7=Données!$H$55,$C$7=Données!$H$57),0,B50*'Sit 1'!$C$10)</f>
        <v>0</v>
      </c>
      <c r="D50" s="478">
        <f ca="1">IFERROR(IF($H$5="",B50*'CT à Transf'!$K$28,B50*$H$5),B50*$H$5)</f>
        <v>0</v>
      </c>
      <c r="E50" s="478">
        <f t="shared" ca="1" si="17"/>
        <v>0</v>
      </c>
      <c r="F50" s="478">
        <f t="shared" ca="1" si="0"/>
        <v>0</v>
      </c>
      <c r="G50" s="478">
        <f t="shared" ca="1" si="2"/>
        <v>0</v>
      </c>
      <c r="H50" s="478">
        <f t="shared" ca="1" si="3"/>
        <v>0</v>
      </c>
      <c r="J50" s="476"/>
      <c r="K50" s="477">
        <f t="shared" si="18"/>
        <v>30</v>
      </c>
      <c r="L50" s="478">
        <f t="shared" ca="1" si="1"/>
        <v>0</v>
      </c>
      <c r="M50" s="478">
        <f t="shared" ca="1" si="19"/>
        <v>0</v>
      </c>
      <c r="N50" s="478">
        <f ca="1">IF(OR($C$7=Données!$H$52,$C$7=Données!$H$53),(L50*$N$9)+((M50*$Q$8)*$Q$9),(L50+M50)*$N$8*$N$9)</f>
        <v>0</v>
      </c>
      <c r="O50" s="478">
        <f ca="1">IF(OR($C$7=Données!$H$52,$C$7=Données!$H$53),(L50*$H$10)+(M50*$Q$8*$H$10)-(M50*$Q$8*Données!$G$36*$H$10),((L50+M50)*$N$8*$H$10)-IF($K$8="Rente à titre onéreux imposable sur",(L50+M50)*$N$8*Données!$G$36*$H$10,(L50+M50)*$N$8*Données!$M$41*$H$10))</f>
        <v>0</v>
      </c>
      <c r="P50" s="478">
        <f t="shared" ca="1" si="4"/>
        <v>0</v>
      </c>
      <c r="Q50" s="478">
        <f t="shared" ca="1" si="20"/>
        <v>0</v>
      </c>
      <c r="S50" s="476"/>
      <c r="T50" s="477">
        <f t="shared" si="21"/>
        <v>30</v>
      </c>
      <c r="U50" s="478">
        <f t="shared" ca="1" si="22"/>
        <v>0</v>
      </c>
      <c r="V50" s="478">
        <f t="shared" ca="1" si="5"/>
        <v>0</v>
      </c>
      <c r="W50" s="493">
        <f t="shared" ca="1" si="23"/>
        <v>0</v>
      </c>
      <c r="X50" s="493">
        <f t="shared" ca="1" si="24"/>
        <v>0</v>
      </c>
      <c r="Y50" s="478">
        <f t="shared" ca="1" si="6"/>
        <v>0</v>
      </c>
      <c r="Z50" s="504">
        <f t="shared" ca="1" si="25"/>
        <v>0</v>
      </c>
      <c r="AA50" s="478">
        <f t="shared" ca="1" si="7"/>
        <v>0</v>
      </c>
      <c r="AB50" s="478">
        <f t="shared" ca="1" si="8"/>
        <v>0</v>
      </c>
      <c r="AC50" s="478">
        <f ca="1">AA50*Données!$F$36</f>
        <v>0</v>
      </c>
      <c r="AD50" s="478">
        <f ca="1">AA50*Données!$F$28</f>
        <v>0</v>
      </c>
      <c r="AE50" s="478">
        <f ca="1">IF(AB50=0,0,IF($E$7="C1",(AB50*$H$10),IF($E$7="C2",-AA50*Données!$G$36*$H$10,0)))</f>
        <v>0</v>
      </c>
      <c r="AF50" s="478">
        <f t="shared" ca="1" si="9"/>
        <v>0</v>
      </c>
      <c r="AG50" s="477">
        <f t="shared" si="26"/>
        <v>30</v>
      </c>
      <c r="AH50" s="478">
        <f t="shared" si="27"/>
        <v>0</v>
      </c>
      <c r="AI50" s="478">
        <f t="shared" si="28"/>
        <v>0</v>
      </c>
      <c r="AJ50" s="493">
        <f t="shared" si="29"/>
        <v>0</v>
      </c>
      <c r="AK50" s="493">
        <f t="shared" ca="1" si="30"/>
        <v>0</v>
      </c>
      <c r="AL50" s="478">
        <f t="shared" ca="1" si="10"/>
        <v>0</v>
      </c>
      <c r="AM50" s="478">
        <f t="shared" ca="1" si="11"/>
        <v>0</v>
      </c>
      <c r="AN50" s="478">
        <f t="shared" si="31"/>
        <v>0</v>
      </c>
      <c r="AO50" s="478">
        <f t="shared" ca="1" si="12"/>
        <v>0</v>
      </c>
      <c r="AP50" s="478">
        <f>AN50*Données!$F$36</f>
        <v>0</v>
      </c>
      <c r="AQ50" s="478">
        <f>AN50*Données!$F$28</f>
        <v>0</v>
      </c>
      <c r="AR50" s="478">
        <f ca="1">IF(AO50=0,0,IF($E$7="C1",(AO50*$H$10),IF($E$7="C2",-AN50*Données!$G$36*$H$10,0)))</f>
        <v>0</v>
      </c>
      <c r="AS50" s="478">
        <f t="shared" ca="1" si="13"/>
        <v>0</v>
      </c>
      <c r="AT50" s="477">
        <f t="shared" si="32"/>
        <v>30</v>
      </c>
      <c r="AU50" s="478">
        <f t="shared" si="33"/>
        <v>0</v>
      </c>
      <c r="AV50" s="478">
        <f t="shared" si="34"/>
        <v>0</v>
      </c>
      <c r="AW50" s="493">
        <f t="shared" si="35"/>
        <v>0</v>
      </c>
      <c r="AX50" s="493">
        <f t="shared" si="36"/>
        <v>0</v>
      </c>
      <c r="AY50" s="478">
        <f t="shared" si="14"/>
        <v>0</v>
      </c>
    </row>
    <row r="51" spans="1:51">
      <c r="A51" s="477">
        <f t="shared" ca="1" si="15"/>
        <v>2057</v>
      </c>
      <c r="B51" s="478">
        <f t="shared" ca="1" si="16"/>
        <v>0</v>
      </c>
      <c r="C51" s="478">
        <f ca="1">IF(OR($C$7=Données!$H$51,$C$7=Données!$H$54,$C$7=Données!$H$55,$C$7=Données!$H$57),0,B51*'Sit 1'!$C$10)</f>
        <v>0</v>
      </c>
      <c r="D51" s="478">
        <f ca="1">IFERROR(IF($H$5="",B51*'CT à Transf'!$K$28,B51*$H$5),B51*$H$5)</f>
        <v>0</v>
      </c>
      <c r="E51" s="478">
        <f t="shared" ca="1" si="17"/>
        <v>0</v>
      </c>
      <c r="F51" s="478">
        <f t="shared" ca="1" si="0"/>
        <v>0</v>
      </c>
      <c r="G51" s="478">
        <f t="shared" ca="1" si="2"/>
        <v>0</v>
      </c>
      <c r="H51" s="478">
        <f t="shared" ca="1" si="3"/>
        <v>0</v>
      </c>
      <c r="J51" s="476"/>
      <c r="K51" s="477">
        <f t="shared" si="18"/>
        <v>31</v>
      </c>
      <c r="L51" s="478">
        <f t="shared" ca="1" si="1"/>
        <v>0</v>
      </c>
      <c r="M51" s="478">
        <f t="shared" ca="1" si="19"/>
        <v>0</v>
      </c>
      <c r="N51" s="478">
        <f ca="1">IF(OR($C$7=Données!$H$52,$C$7=Données!$H$53),(L51*$N$9)+((M51*$Q$8)*$Q$9),(L51+M51)*$N$8*$N$9)</f>
        <v>0</v>
      </c>
      <c r="O51" s="478">
        <f ca="1">IF(OR($C$7=Données!$H$52,$C$7=Données!$H$53),(L51*$H$10)+(M51*$Q$8*$H$10)-(M51*$Q$8*Données!$G$36*$H$10),((L51+M51)*$N$8*$H$10)-IF($K$8="Rente à titre onéreux imposable sur",(L51+M51)*$N$8*Données!$G$36*$H$10,(L51+M51)*$N$8*Données!$M$41*$H$10))</f>
        <v>0</v>
      </c>
      <c r="P51" s="478">
        <f t="shared" ca="1" si="4"/>
        <v>0</v>
      </c>
      <c r="Q51" s="478">
        <f t="shared" ca="1" si="20"/>
        <v>0</v>
      </c>
      <c r="S51" s="476"/>
      <c r="T51" s="477">
        <f t="shared" si="21"/>
        <v>31</v>
      </c>
      <c r="U51" s="478">
        <f t="shared" ca="1" si="22"/>
        <v>0</v>
      </c>
      <c r="V51" s="478">
        <f t="shared" ca="1" si="5"/>
        <v>0</v>
      </c>
      <c r="W51" s="493">
        <f t="shared" ca="1" si="23"/>
        <v>0</v>
      </c>
      <c r="X51" s="493">
        <f t="shared" ca="1" si="24"/>
        <v>0</v>
      </c>
      <c r="Y51" s="478">
        <f t="shared" ca="1" si="6"/>
        <v>0</v>
      </c>
      <c r="Z51" s="504">
        <f t="shared" ca="1" si="25"/>
        <v>0</v>
      </c>
      <c r="AA51" s="478">
        <f t="shared" ca="1" si="7"/>
        <v>0</v>
      </c>
      <c r="AB51" s="478">
        <f t="shared" ca="1" si="8"/>
        <v>0</v>
      </c>
      <c r="AC51" s="478">
        <f ca="1">AA51*Données!$F$36</f>
        <v>0</v>
      </c>
      <c r="AD51" s="478">
        <f ca="1">AA51*Données!$F$28</f>
        <v>0</v>
      </c>
      <c r="AE51" s="478">
        <f ca="1">IF(AB51=0,0,IF($E$7="C1",(AB51*$H$10),IF($E$7="C2",-AA51*Données!$G$36*$H$10,0)))</f>
        <v>0</v>
      </c>
      <c r="AF51" s="478">
        <f t="shared" ca="1" si="9"/>
        <v>0</v>
      </c>
      <c r="AG51" s="477">
        <f t="shared" si="26"/>
        <v>31</v>
      </c>
      <c r="AH51" s="478">
        <f t="shared" si="27"/>
        <v>0</v>
      </c>
      <c r="AI51" s="478">
        <f t="shared" si="28"/>
        <v>0</v>
      </c>
      <c r="AJ51" s="493">
        <f t="shared" si="29"/>
        <v>0</v>
      </c>
      <c r="AK51" s="493">
        <f t="shared" ca="1" si="30"/>
        <v>0</v>
      </c>
      <c r="AL51" s="478">
        <f t="shared" ca="1" si="10"/>
        <v>0</v>
      </c>
      <c r="AM51" s="478">
        <f t="shared" ca="1" si="11"/>
        <v>0</v>
      </c>
      <c r="AN51" s="478">
        <f t="shared" si="31"/>
        <v>0</v>
      </c>
      <c r="AO51" s="478">
        <f t="shared" ca="1" si="12"/>
        <v>0</v>
      </c>
      <c r="AP51" s="478">
        <f>AN51*Données!$F$36</f>
        <v>0</v>
      </c>
      <c r="AQ51" s="478">
        <f>AN51*Données!$F$28</f>
        <v>0</v>
      </c>
      <c r="AR51" s="478">
        <f ca="1">IF(AO51=0,0,IF($E$7="C1",(AO51*$H$10),IF($E$7="C2",-AN51*Données!$G$36*$H$10,0)))</f>
        <v>0</v>
      </c>
      <c r="AS51" s="478">
        <f t="shared" ca="1" si="13"/>
        <v>0</v>
      </c>
      <c r="AT51" s="477">
        <f t="shared" si="32"/>
        <v>31</v>
      </c>
      <c r="AU51" s="478">
        <f t="shared" si="33"/>
        <v>0</v>
      </c>
      <c r="AV51" s="478">
        <f t="shared" si="34"/>
        <v>0</v>
      </c>
      <c r="AW51" s="493">
        <f t="shared" si="35"/>
        <v>0</v>
      </c>
      <c r="AX51" s="493">
        <f t="shared" si="36"/>
        <v>0</v>
      </c>
      <c r="AY51" s="478">
        <f t="shared" si="14"/>
        <v>0</v>
      </c>
    </row>
    <row r="52" spans="1:51">
      <c r="A52" s="477">
        <f t="shared" ca="1" si="15"/>
        <v>2058</v>
      </c>
      <c r="B52" s="478">
        <f t="shared" ca="1" si="16"/>
        <v>0</v>
      </c>
      <c r="C52" s="478">
        <f ca="1">IF(OR($C$7=Données!$H$51,$C$7=Données!$H$54,$C$7=Données!$H$55,$C$7=Données!$H$57),0,B52*'Sit 1'!$C$10)</f>
        <v>0</v>
      </c>
      <c r="D52" s="478">
        <f ca="1">IFERROR(IF($H$5="",B52*'CT à Transf'!$K$28,B52*$H$5),B52*$H$5)</f>
        <v>0</v>
      </c>
      <c r="E52" s="478">
        <f t="shared" ca="1" si="17"/>
        <v>0</v>
      </c>
      <c r="F52" s="478">
        <f t="shared" ref="F52:F83" ca="1" si="37">E52*$H$6</f>
        <v>0</v>
      </c>
      <c r="G52" s="478">
        <f t="shared" ca="1" si="2"/>
        <v>0</v>
      </c>
      <c r="H52" s="478">
        <f t="shared" ca="1" si="3"/>
        <v>0</v>
      </c>
      <c r="J52" s="476"/>
      <c r="K52" s="477">
        <f t="shared" si="18"/>
        <v>32</v>
      </c>
      <c r="L52" s="478">
        <f t="shared" ref="L52:L83" ca="1" si="38">IFERROR($O$13*(($H$13-$H$14)/$H$13),0)</f>
        <v>0</v>
      </c>
      <c r="M52" s="478">
        <f t="shared" ca="1" si="19"/>
        <v>0</v>
      </c>
      <c r="N52" s="478">
        <f ca="1">IF(OR($C$7=Données!$H$52,$C$7=Données!$H$53),(L52*$N$9)+((M52*$Q$8)*$Q$9),(L52+M52)*$N$8*$N$9)</f>
        <v>0</v>
      </c>
      <c r="O52" s="478">
        <f ca="1">IF(OR($C$7=Données!$H$52,$C$7=Données!$H$53),(L52*$H$10)+(M52*$Q$8*$H$10)-(M52*$Q$8*Données!$G$36*$H$10),((L52+M52)*$N$8*$H$10)-IF($K$8="Rente à titre onéreux imposable sur",(L52+M52)*$N$8*Données!$G$36*$H$10,(L52+M52)*$N$8*Données!$M$41*$H$10))</f>
        <v>0</v>
      </c>
      <c r="P52" s="478">
        <f t="shared" ca="1" si="4"/>
        <v>0</v>
      </c>
      <c r="Q52" s="478">
        <f t="shared" ca="1" si="20"/>
        <v>0</v>
      </c>
      <c r="S52" s="476"/>
      <c r="T52" s="477">
        <f t="shared" si="21"/>
        <v>32</v>
      </c>
      <c r="U52" s="478">
        <f t="shared" ca="1" si="22"/>
        <v>0</v>
      </c>
      <c r="V52" s="478">
        <f t="shared" ca="1" si="5"/>
        <v>0</v>
      </c>
      <c r="W52" s="493">
        <f t="shared" ca="1" si="23"/>
        <v>0</v>
      </c>
      <c r="X52" s="493">
        <f t="shared" ca="1" si="24"/>
        <v>0</v>
      </c>
      <c r="Y52" s="478">
        <f t="shared" ca="1" si="6"/>
        <v>0</v>
      </c>
      <c r="Z52" s="504">
        <f t="shared" ca="1" si="25"/>
        <v>0</v>
      </c>
      <c r="AA52" s="478">
        <f t="shared" ca="1" si="7"/>
        <v>0</v>
      </c>
      <c r="AB52" s="478">
        <f t="shared" ca="1" si="8"/>
        <v>0</v>
      </c>
      <c r="AC52" s="478">
        <f ca="1">AA52*Données!$F$36</f>
        <v>0</v>
      </c>
      <c r="AD52" s="478">
        <f ca="1">AA52*Données!$F$28</f>
        <v>0</v>
      </c>
      <c r="AE52" s="478">
        <f ca="1">IF(AB52=0,0,IF($E$7="C1",(AB52*$H$10),IF($E$7="C2",-AA52*Données!$G$36*$H$10,0)))</f>
        <v>0</v>
      </c>
      <c r="AF52" s="478">
        <f t="shared" ca="1" si="9"/>
        <v>0</v>
      </c>
      <c r="AG52" s="477">
        <f t="shared" si="26"/>
        <v>32</v>
      </c>
      <c r="AH52" s="478">
        <f t="shared" si="27"/>
        <v>0</v>
      </c>
      <c r="AI52" s="478">
        <f t="shared" si="28"/>
        <v>0</v>
      </c>
      <c r="AJ52" s="493">
        <f t="shared" si="29"/>
        <v>0</v>
      </c>
      <c r="AK52" s="493">
        <f t="shared" ca="1" si="30"/>
        <v>0</v>
      </c>
      <c r="AL52" s="478">
        <f t="shared" ca="1" si="10"/>
        <v>0</v>
      </c>
      <c r="AM52" s="478">
        <f t="shared" ca="1" si="11"/>
        <v>0</v>
      </c>
      <c r="AN52" s="478">
        <f t="shared" si="31"/>
        <v>0</v>
      </c>
      <c r="AO52" s="478">
        <f t="shared" ca="1" si="12"/>
        <v>0</v>
      </c>
      <c r="AP52" s="478">
        <f>AN52*Données!$F$36</f>
        <v>0</v>
      </c>
      <c r="AQ52" s="478">
        <f>AN52*Données!$F$28</f>
        <v>0</v>
      </c>
      <c r="AR52" s="478">
        <f ca="1">IF(AO52=0,0,IF($E$7="C1",(AO52*$H$10),IF($E$7="C2",-AN52*Données!$G$36*$H$10,0)))</f>
        <v>0</v>
      </c>
      <c r="AS52" s="478">
        <f t="shared" ca="1" si="13"/>
        <v>0</v>
      </c>
      <c r="AT52" s="477">
        <f t="shared" si="32"/>
        <v>32</v>
      </c>
      <c r="AU52" s="478">
        <f t="shared" si="33"/>
        <v>0</v>
      </c>
      <c r="AV52" s="478">
        <f t="shared" si="34"/>
        <v>0</v>
      </c>
      <c r="AW52" s="493">
        <f t="shared" si="35"/>
        <v>0</v>
      </c>
      <c r="AX52" s="493">
        <f t="shared" si="36"/>
        <v>0</v>
      </c>
      <c r="AY52" s="478">
        <f t="shared" si="14"/>
        <v>0</v>
      </c>
    </row>
    <row r="53" spans="1:51">
      <c r="A53" s="477">
        <f t="shared" ca="1" si="15"/>
        <v>2059</v>
      </c>
      <c r="B53" s="478">
        <f t="shared" ca="1" si="16"/>
        <v>0</v>
      </c>
      <c r="C53" s="478">
        <f ca="1">IF(OR($C$7=Données!$H$51,$C$7=Données!$H$54,$C$7=Données!$H$55,$C$7=Données!$H$57),0,B53*'Sit 1'!$C$10)</f>
        <v>0</v>
      </c>
      <c r="D53" s="478">
        <f ca="1">IFERROR(IF($H$5="",B53*'CT à Transf'!$K$28,B53*$H$5),B53*$H$5)</f>
        <v>0</v>
      </c>
      <c r="E53" s="478">
        <f t="shared" ca="1" si="17"/>
        <v>0</v>
      </c>
      <c r="F53" s="478">
        <f t="shared" ca="1" si="37"/>
        <v>0</v>
      </c>
      <c r="G53" s="478">
        <f t="shared" ref="G53:G84" ca="1" si="39">IF(A53&lt;$C$6,(G52*(1+$H$6))+(E53+F53),0)</f>
        <v>0</v>
      </c>
      <c r="H53" s="478">
        <f t="shared" ca="1" si="3"/>
        <v>0</v>
      </c>
      <c r="J53" s="476"/>
      <c r="K53" s="477">
        <f t="shared" si="18"/>
        <v>33</v>
      </c>
      <c r="L53" s="478">
        <f t="shared" ca="1" si="38"/>
        <v>0</v>
      </c>
      <c r="M53" s="478">
        <f t="shared" ca="1" si="19"/>
        <v>0</v>
      </c>
      <c r="N53" s="478">
        <f ca="1">IF(OR($C$7=Données!$H$52,$C$7=Données!$H$53),(L53*$N$9)+((M53*$Q$8)*$Q$9),(L53+M53)*$N$8*$N$9)</f>
        <v>0</v>
      </c>
      <c r="O53" s="478">
        <f ca="1">IF(OR($C$7=Données!$H$52,$C$7=Données!$H$53),(L53*$H$10)+(M53*$Q$8*$H$10)-(M53*$Q$8*Données!$G$36*$H$10),((L53+M53)*$N$8*$H$10)-IF($K$8="Rente à titre onéreux imposable sur",(L53+M53)*$N$8*Données!$G$36*$H$10,(L53+M53)*$N$8*Données!$M$41*$H$10))</f>
        <v>0</v>
      </c>
      <c r="P53" s="478">
        <f t="shared" ca="1" si="4"/>
        <v>0</v>
      </c>
      <c r="Q53" s="478">
        <f t="shared" ca="1" si="20"/>
        <v>0</v>
      </c>
      <c r="S53" s="476"/>
      <c r="T53" s="477">
        <f t="shared" si="21"/>
        <v>33</v>
      </c>
      <c r="U53" s="478">
        <f t="shared" ca="1" si="22"/>
        <v>0</v>
      </c>
      <c r="V53" s="478">
        <f t="shared" ca="1" si="5"/>
        <v>0</v>
      </c>
      <c r="W53" s="493">
        <f t="shared" ca="1" si="23"/>
        <v>0</v>
      </c>
      <c r="X53" s="493">
        <f t="shared" ca="1" si="24"/>
        <v>0</v>
      </c>
      <c r="Y53" s="478">
        <f t="shared" ca="1" si="6"/>
        <v>0</v>
      </c>
      <c r="Z53" s="504">
        <f t="shared" ca="1" si="25"/>
        <v>0</v>
      </c>
      <c r="AA53" s="478">
        <f t="shared" ca="1" si="7"/>
        <v>0</v>
      </c>
      <c r="AB53" s="478">
        <f t="shared" ca="1" si="8"/>
        <v>0</v>
      </c>
      <c r="AC53" s="478">
        <f ca="1">AA53*Données!$F$36</f>
        <v>0</v>
      </c>
      <c r="AD53" s="478">
        <f ca="1">AA53*Données!$F$28</f>
        <v>0</v>
      </c>
      <c r="AE53" s="478">
        <f ca="1">IF(AB53=0,0,IF($E$7="C1",(AB53*$H$10),IF($E$7="C2",-AA53*Données!$G$36*$H$10,0)))</f>
        <v>0</v>
      </c>
      <c r="AF53" s="478">
        <f t="shared" ca="1" si="9"/>
        <v>0</v>
      </c>
      <c r="AG53" s="477">
        <f t="shared" si="26"/>
        <v>33</v>
      </c>
      <c r="AH53" s="478">
        <f t="shared" si="27"/>
        <v>0</v>
      </c>
      <c r="AI53" s="478">
        <f t="shared" si="28"/>
        <v>0</v>
      </c>
      <c r="AJ53" s="493">
        <f t="shared" si="29"/>
        <v>0</v>
      </c>
      <c r="AK53" s="493">
        <f t="shared" ca="1" si="30"/>
        <v>0</v>
      </c>
      <c r="AL53" s="478">
        <f t="shared" ca="1" si="10"/>
        <v>0</v>
      </c>
      <c r="AM53" s="478">
        <f t="shared" ca="1" si="11"/>
        <v>0</v>
      </c>
      <c r="AN53" s="478">
        <f t="shared" si="31"/>
        <v>0</v>
      </c>
      <c r="AO53" s="478">
        <f t="shared" ca="1" si="12"/>
        <v>0</v>
      </c>
      <c r="AP53" s="478">
        <f>AN53*Données!$F$36</f>
        <v>0</v>
      </c>
      <c r="AQ53" s="478">
        <f>AN53*Données!$F$28</f>
        <v>0</v>
      </c>
      <c r="AR53" s="478">
        <f ca="1">IF(AO53=0,0,IF($E$7="C1",(AO53*$H$10),IF($E$7="C2",-AN53*Données!$G$36*$H$10,0)))</f>
        <v>0</v>
      </c>
      <c r="AS53" s="478">
        <f t="shared" ca="1" si="13"/>
        <v>0</v>
      </c>
      <c r="AT53" s="477">
        <f t="shared" si="32"/>
        <v>33</v>
      </c>
      <c r="AU53" s="478">
        <f t="shared" si="33"/>
        <v>0</v>
      </c>
      <c r="AV53" s="478">
        <f t="shared" si="34"/>
        <v>0</v>
      </c>
      <c r="AW53" s="493">
        <f t="shared" si="35"/>
        <v>0</v>
      </c>
      <c r="AX53" s="493">
        <f t="shared" si="36"/>
        <v>0</v>
      </c>
      <c r="AY53" s="478">
        <f t="shared" si="14"/>
        <v>0</v>
      </c>
    </row>
    <row r="54" spans="1:51">
      <c r="A54" s="477">
        <f t="shared" ca="1" si="15"/>
        <v>2060</v>
      </c>
      <c r="B54" s="478">
        <f t="shared" ca="1" si="16"/>
        <v>0</v>
      </c>
      <c r="C54" s="478">
        <f ca="1">IF(OR($C$7=Données!$H$51,$C$7=Données!$H$54,$C$7=Données!$H$55,$C$7=Données!$H$57),0,B54*'Sit 1'!$C$10)</f>
        <v>0</v>
      </c>
      <c r="D54" s="478">
        <f ca="1">IFERROR(IF($H$5="",B54*'CT à Transf'!$K$28,B54*$H$5),B54*$H$5)</f>
        <v>0</v>
      </c>
      <c r="E54" s="478">
        <f t="shared" ca="1" si="17"/>
        <v>0</v>
      </c>
      <c r="F54" s="478">
        <f t="shared" ca="1" si="37"/>
        <v>0</v>
      </c>
      <c r="G54" s="478">
        <f t="shared" ca="1" si="39"/>
        <v>0</v>
      </c>
      <c r="H54" s="478">
        <f t="shared" ca="1" si="3"/>
        <v>0</v>
      </c>
      <c r="J54" s="476"/>
      <c r="K54" s="477">
        <f t="shared" si="18"/>
        <v>34</v>
      </c>
      <c r="L54" s="478">
        <f t="shared" ca="1" si="38"/>
        <v>0</v>
      </c>
      <c r="M54" s="478">
        <f t="shared" ca="1" si="19"/>
        <v>0</v>
      </c>
      <c r="N54" s="478">
        <f ca="1">IF(OR($C$7=Données!$H$52,$C$7=Données!$H$53),(L54*$N$9)+((M54*$Q$8)*$Q$9),(L54+M54)*$N$8*$N$9)</f>
        <v>0</v>
      </c>
      <c r="O54" s="478">
        <f ca="1">IF(OR($C$7=Données!$H$52,$C$7=Données!$H$53),(L54*$H$10)+(M54*$Q$8*$H$10)-(M54*$Q$8*Données!$G$36*$H$10),((L54+M54)*$N$8*$H$10)-IF($K$8="Rente à titre onéreux imposable sur",(L54+M54)*$N$8*Données!$G$36*$H$10,(L54+M54)*$N$8*Données!$M$41*$H$10))</f>
        <v>0</v>
      </c>
      <c r="P54" s="478">
        <f t="shared" ca="1" si="4"/>
        <v>0</v>
      </c>
      <c r="Q54" s="478">
        <f t="shared" ca="1" si="20"/>
        <v>0</v>
      </c>
      <c r="S54" s="476"/>
      <c r="T54" s="477">
        <f t="shared" si="21"/>
        <v>34</v>
      </c>
      <c r="U54" s="478">
        <f t="shared" ca="1" si="22"/>
        <v>0</v>
      </c>
      <c r="V54" s="478">
        <f t="shared" ca="1" si="5"/>
        <v>0</v>
      </c>
      <c r="W54" s="493">
        <f t="shared" ca="1" si="23"/>
        <v>0</v>
      </c>
      <c r="X54" s="493">
        <f t="shared" ca="1" si="24"/>
        <v>0</v>
      </c>
      <c r="Y54" s="478">
        <f t="shared" ca="1" si="6"/>
        <v>0</v>
      </c>
      <c r="Z54" s="504">
        <f t="shared" ca="1" si="25"/>
        <v>0</v>
      </c>
      <c r="AA54" s="478">
        <f t="shared" ca="1" si="7"/>
        <v>0</v>
      </c>
      <c r="AB54" s="478">
        <f t="shared" ca="1" si="8"/>
        <v>0</v>
      </c>
      <c r="AC54" s="478">
        <f ca="1">AA54*Données!$F$36</f>
        <v>0</v>
      </c>
      <c r="AD54" s="478">
        <f ca="1">AA54*Données!$F$28</f>
        <v>0</v>
      </c>
      <c r="AE54" s="478">
        <f ca="1">IF(AB54=0,0,IF($E$7="C1",(AB54*$H$10),IF($E$7="C2",-AA54*Données!$G$36*$H$10,0)))</f>
        <v>0</v>
      </c>
      <c r="AF54" s="478">
        <f t="shared" ca="1" si="9"/>
        <v>0</v>
      </c>
      <c r="AG54" s="477">
        <f t="shared" si="26"/>
        <v>34</v>
      </c>
      <c r="AH54" s="478">
        <f t="shared" si="27"/>
        <v>0</v>
      </c>
      <c r="AI54" s="478">
        <f t="shared" si="28"/>
        <v>0</v>
      </c>
      <c r="AJ54" s="493">
        <f t="shared" si="29"/>
        <v>0</v>
      </c>
      <c r="AK54" s="493">
        <f t="shared" ca="1" si="30"/>
        <v>0</v>
      </c>
      <c r="AL54" s="478">
        <f t="shared" ca="1" si="10"/>
        <v>0</v>
      </c>
      <c r="AM54" s="478">
        <f t="shared" ca="1" si="11"/>
        <v>0</v>
      </c>
      <c r="AN54" s="478">
        <f t="shared" si="31"/>
        <v>0</v>
      </c>
      <c r="AO54" s="478">
        <f t="shared" ca="1" si="12"/>
        <v>0</v>
      </c>
      <c r="AP54" s="478">
        <f>AN54*Données!$F$36</f>
        <v>0</v>
      </c>
      <c r="AQ54" s="478">
        <f>AN54*Données!$F$28</f>
        <v>0</v>
      </c>
      <c r="AR54" s="478">
        <f ca="1">IF(AO54=0,0,IF($E$7="C1",(AO54*$H$10),IF($E$7="C2",-AN54*Données!$G$36*$H$10,0)))</f>
        <v>0</v>
      </c>
      <c r="AS54" s="478">
        <f t="shared" ca="1" si="13"/>
        <v>0</v>
      </c>
      <c r="AT54" s="477">
        <f t="shared" si="32"/>
        <v>34</v>
      </c>
      <c r="AU54" s="478">
        <f t="shared" si="33"/>
        <v>0</v>
      </c>
      <c r="AV54" s="478">
        <f t="shared" si="34"/>
        <v>0</v>
      </c>
      <c r="AW54" s="493">
        <f t="shared" si="35"/>
        <v>0</v>
      </c>
      <c r="AX54" s="493">
        <f t="shared" si="36"/>
        <v>0</v>
      </c>
      <c r="AY54" s="478">
        <f t="shared" si="14"/>
        <v>0</v>
      </c>
    </row>
    <row r="55" spans="1:51">
      <c r="A55" s="477">
        <f t="shared" ca="1" si="15"/>
        <v>2061</v>
      </c>
      <c r="B55" s="478">
        <f t="shared" ca="1" si="16"/>
        <v>0</v>
      </c>
      <c r="C55" s="478">
        <f ca="1">IF(OR($C$7=Données!$H$51,$C$7=Données!$H$54,$C$7=Données!$H$55,$C$7=Données!$H$57),0,B55*'Sit 1'!$C$10)</f>
        <v>0</v>
      </c>
      <c r="D55" s="478">
        <f ca="1">IFERROR(IF($H$5="",B55*'CT à Transf'!$K$28,B55*$H$5),B55*$H$5)</f>
        <v>0</v>
      </c>
      <c r="E55" s="478">
        <f t="shared" ca="1" si="17"/>
        <v>0</v>
      </c>
      <c r="F55" s="478">
        <f t="shared" ca="1" si="37"/>
        <v>0</v>
      </c>
      <c r="G55" s="478">
        <f t="shared" ca="1" si="39"/>
        <v>0</v>
      </c>
      <c r="H55" s="478">
        <f t="shared" ca="1" si="3"/>
        <v>0</v>
      </c>
      <c r="J55" s="476"/>
      <c r="K55" s="477">
        <f t="shared" si="18"/>
        <v>35</v>
      </c>
      <c r="L55" s="478">
        <f t="shared" ca="1" si="38"/>
        <v>0</v>
      </c>
      <c r="M55" s="478">
        <f t="shared" ca="1" si="19"/>
        <v>0</v>
      </c>
      <c r="N55" s="478">
        <f ca="1">IF(OR($C$7=Données!$H$52,$C$7=Données!$H$53),(L55*$N$9)+((M55*$Q$8)*$Q$9),(L55+M55)*$N$8*$N$9)</f>
        <v>0</v>
      </c>
      <c r="O55" s="478">
        <f ca="1">IF(OR($C$7=Données!$H$52,$C$7=Données!$H$53),(L55*$H$10)+(M55*$Q$8*$H$10)-(M55*$Q$8*Données!$G$36*$H$10),((L55+M55)*$N$8*$H$10)-IF($K$8="Rente à titre onéreux imposable sur",(L55+M55)*$N$8*Données!$G$36*$H$10,(L55+M55)*$N$8*Données!$M$41*$H$10))</f>
        <v>0</v>
      </c>
      <c r="P55" s="478">
        <f t="shared" ca="1" si="4"/>
        <v>0</v>
      </c>
      <c r="Q55" s="478">
        <f t="shared" ca="1" si="20"/>
        <v>0</v>
      </c>
      <c r="S55" s="476"/>
      <c r="T55" s="477">
        <f t="shared" si="21"/>
        <v>35</v>
      </c>
      <c r="U55" s="478">
        <f t="shared" ca="1" si="22"/>
        <v>0</v>
      </c>
      <c r="V55" s="478">
        <f t="shared" ca="1" si="5"/>
        <v>0</v>
      </c>
      <c r="W55" s="493">
        <f t="shared" ca="1" si="23"/>
        <v>0</v>
      </c>
      <c r="X55" s="493">
        <f t="shared" ca="1" si="24"/>
        <v>0</v>
      </c>
      <c r="Y55" s="478">
        <f t="shared" ca="1" si="6"/>
        <v>0</v>
      </c>
      <c r="Z55" s="504">
        <f t="shared" ca="1" si="25"/>
        <v>0</v>
      </c>
      <c r="AA55" s="478">
        <f t="shared" ca="1" si="7"/>
        <v>0</v>
      </c>
      <c r="AB55" s="478">
        <f t="shared" ca="1" si="8"/>
        <v>0</v>
      </c>
      <c r="AC55" s="478">
        <f ca="1">AA55*Données!$F$36</f>
        <v>0</v>
      </c>
      <c r="AD55" s="478">
        <f ca="1">AA55*Données!$F$28</f>
        <v>0</v>
      </c>
      <c r="AE55" s="478">
        <f ca="1">IF(AB55=0,0,IF($E$7="C1",(AB55*$H$10),IF($E$7="C2",-AA55*Données!$G$36*$H$10,0)))</f>
        <v>0</v>
      </c>
      <c r="AF55" s="478">
        <f t="shared" ca="1" si="9"/>
        <v>0</v>
      </c>
      <c r="AG55" s="477">
        <f t="shared" si="26"/>
        <v>35</v>
      </c>
      <c r="AH55" s="478">
        <f t="shared" si="27"/>
        <v>0</v>
      </c>
      <c r="AI55" s="478">
        <f t="shared" si="28"/>
        <v>0</v>
      </c>
      <c r="AJ55" s="493">
        <f t="shared" si="29"/>
        <v>0</v>
      </c>
      <c r="AK55" s="493">
        <f t="shared" ca="1" si="30"/>
        <v>0</v>
      </c>
      <c r="AL55" s="478">
        <f t="shared" ca="1" si="10"/>
        <v>0</v>
      </c>
      <c r="AM55" s="478">
        <f t="shared" ca="1" si="11"/>
        <v>0</v>
      </c>
      <c r="AN55" s="478">
        <f t="shared" si="31"/>
        <v>0</v>
      </c>
      <c r="AO55" s="478">
        <f t="shared" ca="1" si="12"/>
        <v>0</v>
      </c>
      <c r="AP55" s="478">
        <f>AN55*Données!$F$36</f>
        <v>0</v>
      </c>
      <c r="AQ55" s="478">
        <f>AN55*Données!$F$28</f>
        <v>0</v>
      </c>
      <c r="AR55" s="478">
        <f ca="1">IF(AO55=0,0,IF($E$7="C1",(AO55*$H$10),IF($E$7="C2",-AN55*Données!$G$36*$H$10,0)))</f>
        <v>0</v>
      </c>
      <c r="AS55" s="478">
        <f t="shared" ca="1" si="13"/>
        <v>0</v>
      </c>
      <c r="AT55" s="477">
        <f t="shared" si="32"/>
        <v>35</v>
      </c>
      <c r="AU55" s="478">
        <f t="shared" si="33"/>
        <v>0</v>
      </c>
      <c r="AV55" s="478">
        <f t="shared" si="34"/>
        <v>0</v>
      </c>
      <c r="AW55" s="493">
        <f t="shared" si="35"/>
        <v>0</v>
      </c>
      <c r="AX55" s="493">
        <f t="shared" si="36"/>
        <v>0</v>
      </c>
      <c r="AY55" s="478">
        <f t="shared" si="14"/>
        <v>0</v>
      </c>
    </row>
    <row r="56" spans="1:51">
      <c r="A56" s="477">
        <f t="shared" ca="1" si="15"/>
        <v>2062</v>
      </c>
      <c r="B56" s="478">
        <f t="shared" ca="1" si="16"/>
        <v>0</v>
      </c>
      <c r="C56" s="478">
        <f ca="1">IF(OR($C$7=Données!$H$51,$C$7=Données!$H$54,$C$7=Données!$H$55,$C$7=Données!$H$57),0,B56*'Sit 1'!$C$10)</f>
        <v>0</v>
      </c>
      <c r="D56" s="478">
        <f ca="1">IFERROR(IF($H$5="",B56*'CT à Transf'!$K$28,B56*$H$5),B56*$H$5)</f>
        <v>0</v>
      </c>
      <c r="E56" s="478">
        <f t="shared" ca="1" si="17"/>
        <v>0</v>
      </c>
      <c r="F56" s="478">
        <f t="shared" ca="1" si="37"/>
        <v>0</v>
      </c>
      <c r="G56" s="478">
        <f t="shared" ca="1" si="39"/>
        <v>0</v>
      </c>
      <c r="H56" s="478">
        <f t="shared" ca="1" si="3"/>
        <v>0</v>
      </c>
      <c r="J56" s="476"/>
      <c r="K56" s="477">
        <f t="shared" si="18"/>
        <v>36</v>
      </c>
      <c r="L56" s="478">
        <f t="shared" ca="1" si="38"/>
        <v>0</v>
      </c>
      <c r="M56" s="478">
        <f t="shared" ca="1" si="19"/>
        <v>0</v>
      </c>
      <c r="N56" s="478">
        <f ca="1">IF(OR($C$7=Données!$H$52,$C$7=Données!$H$53),(L56*$N$9)+((M56*$Q$8)*$Q$9),(L56+M56)*$N$8*$N$9)</f>
        <v>0</v>
      </c>
      <c r="O56" s="478">
        <f ca="1">IF(OR($C$7=Données!$H$52,$C$7=Données!$H$53),(L56*$H$10)+(M56*$Q$8*$H$10)-(M56*$Q$8*Données!$G$36*$H$10),((L56+M56)*$N$8*$H$10)-IF($K$8="Rente à titre onéreux imposable sur",(L56+M56)*$N$8*Données!$G$36*$H$10,(L56+M56)*$N$8*Données!$M$41*$H$10))</f>
        <v>0</v>
      </c>
      <c r="P56" s="478">
        <f t="shared" ca="1" si="4"/>
        <v>0</v>
      </c>
      <c r="Q56" s="478">
        <f t="shared" ca="1" si="20"/>
        <v>0</v>
      </c>
      <c r="S56" s="476"/>
      <c r="T56" s="477">
        <f t="shared" si="21"/>
        <v>36</v>
      </c>
      <c r="U56" s="478">
        <f t="shared" ca="1" si="22"/>
        <v>0</v>
      </c>
      <c r="V56" s="478">
        <f t="shared" ca="1" si="5"/>
        <v>0</v>
      </c>
      <c r="W56" s="493">
        <f t="shared" ca="1" si="23"/>
        <v>0</v>
      </c>
      <c r="X56" s="493">
        <f t="shared" ca="1" si="24"/>
        <v>0</v>
      </c>
      <c r="Y56" s="478">
        <f t="shared" ca="1" si="6"/>
        <v>0</v>
      </c>
      <c r="Z56" s="504">
        <f t="shared" ca="1" si="25"/>
        <v>0</v>
      </c>
      <c r="AA56" s="478">
        <f t="shared" ca="1" si="7"/>
        <v>0</v>
      </c>
      <c r="AB56" s="478">
        <f t="shared" ca="1" si="8"/>
        <v>0</v>
      </c>
      <c r="AC56" s="478">
        <f ca="1">AA56*Données!$F$36</f>
        <v>0</v>
      </c>
      <c r="AD56" s="478">
        <f ca="1">AA56*Données!$F$28</f>
        <v>0</v>
      </c>
      <c r="AE56" s="478">
        <f ca="1">IF(AB56=0,0,IF($E$7="C1",(AB56*$H$10),IF($E$7="C2",-AA56*Données!$G$36*$H$10,0)))</f>
        <v>0</v>
      </c>
      <c r="AF56" s="478">
        <f t="shared" ca="1" si="9"/>
        <v>0</v>
      </c>
      <c r="AG56" s="477">
        <f t="shared" si="26"/>
        <v>36</v>
      </c>
      <c r="AH56" s="478">
        <f t="shared" si="27"/>
        <v>0</v>
      </c>
      <c r="AI56" s="478">
        <f t="shared" si="28"/>
        <v>0</v>
      </c>
      <c r="AJ56" s="493">
        <f t="shared" si="29"/>
        <v>0</v>
      </c>
      <c r="AK56" s="493">
        <f t="shared" ca="1" si="30"/>
        <v>0</v>
      </c>
      <c r="AL56" s="478">
        <f t="shared" ca="1" si="10"/>
        <v>0</v>
      </c>
      <c r="AM56" s="478">
        <f t="shared" ca="1" si="11"/>
        <v>0</v>
      </c>
      <c r="AN56" s="478">
        <f t="shared" si="31"/>
        <v>0</v>
      </c>
      <c r="AO56" s="478">
        <f t="shared" ca="1" si="12"/>
        <v>0</v>
      </c>
      <c r="AP56" s="478">
        <f>AN56*Données!$F$36</f>
        <v>0</v>
      </c>
      <c r="AQ56" s="478">
        <f>AN56*Données!$F$28</f>
        <v>0</v>
      </c>
      <c r="AR56" s="478">
        <f ca="1">IF(AO56=0,0,IF($E$7="C1",(AO56*$H$10),IF($E$7="C2",-AN56*Données!$G$36*$H$10,0)))</f>
        <v>0</v>
      </c>
      <c r="AS56" s="478">
        <f t="shared" ca="1" si="13"/>
        <v>0</v>
      </c>
      <c r="AT56" s="477">
        <f t="shared" si="32"/>
        <v>36</v>
      </c>
      <c r="AU56" s="478">
        <f t="shared" si="33"/>
        <v>0</v>
      </c>
      <c r="AV56" s="478">
        <f t="shared" si="34"/>
        <v>0</v>
      </c>
      <c r="AW56" s="493">
        <f t="shared" si="35"/>
        <v>0</v>
      </c>
      <c r="AX56" s="493">
        <f t="shared" si="36"/>
        <v>0</v>
      </c>
      <c r="AY56" s="478">
        <f t="shared" si="14"/>
        <v>0</v>
      </c>
    </row>
    <row r="57" spans="1:51">
      <c r="A57" s="477">
        <f t="shared" ca="1" si="15"/>
        <v>2063</v>
      </c>
      <c r="B57" s="478">
        <f t="shared" ca="1" si="16"/>
        <v>0</v>
      </c>
      <c r="C57" s="478">
        <f ca="1">IF(OR($C$7=Données!$H$51,$C$7=Données!$H$54,$C$7=Données!$H$55,$C$7=Données!$H$57),0,B57*'Sit 1'!$C$10)</f>
        <v>0</v>
      </c>
      <c r="D57" s="478">
        <f ca="1">IFERROR(IF($H$5="",B57*'CT à Transf'!$K$28,B57*$H$5),B57*$H$5)</f>
        <v>0</v>
      </c>
      <c r="E57" s="478">
        <f t="shared" ca="1" si="17"/>
        <v>0</v>
      </c>
      <c r="F57" s="478">
        <f t="shared" ca="1" si="37"/>
        <v>0</v>
      </c>
      <c r="G57" s="478">
        <f t="shared" ca="1" si="39"/>
        <v>0</v>
      </c>
      <c r="H57" s="478">
        <f t="shared" ca="1" si="3"/>
        <v>0</v>
      </c>
      <c r="J57" s="476"/>
      <c r="K57" s="477">
        <f t="shared" si="18"/>
        <v>37</v>
      </c>
      <c r="L57" s="478">
        <f t="shared" ca="1" si="38"/>
        <v>0</v>
      </c>
      <c r="M57" s="478">
        <f t="shared" ca="1" si="19"/>
        <v>0</v>
      </c>
      <c r="N57" s="478">
        <f ca="1">IF(OR($C$7=Données!$H$52,$C$7=Données!$H$53),(L57*$N$9)+((M57*$Q$8)*$Q$9),(L57+M57)*$N$8*$N$9)</f>
        <v>0</v>
      </c>
      <c r="O57" s="478">
        <f ca="1">IF(OR($C$7=Données!$H$52,$C$7=Données!$H$53),(L57*$H$10)+(M57*$Q$8*$H$10)-(M57*$Q$8*Données!$G$36*$H$10),((L57+M57)*$N$8*$H$10)-IF($K$8="Rente à titre onéreux imposable sur",(L57+M57)*$N$8*Données!$G$36*$H$10,(L57+M57)*$N$8*Données!$M$41*$H$10))</f>
        <v>0</v>
      </c>
      <c r="P57" s="478">
        <f t="shared" ca="1" si="4"/>
        <v>0</v>
      </c>
      <c r="Q57" s="478">
        <f t="shared" ca="1" si="20"/>
        <v>0</v>
      </c>
      <c r="S57" s="476"/>
      <c r="T57" s="477">
        <f t="shared" si="21"/>
        <v>37</v>
      </c>
      <c r="U57" s="478">
        <f t="shared" ca="1" si="22"/>
        <v>0</v>
      </c>
      <c r="V57" s="478">
        <f t="shared" ca="1" si="5"/>
        <v>0</v>
      </c>
      <c r="W57" s="493">
        <f t="shared" ca="1" si="23"/>
        <v>0</v>
      </c>
      <c r="X57" s="493">
        <f t="shared" ca="1" si="24"/>
        <v>0</v>
      </c>
      <c r="Y57" s="478">
        <f t="shared" ca="1" si="6"/>
        <v>0</v>
      </c>
      <c r="Z57" s="504">
        <f t="shared" ca="1" si="25"/>
        <v>0</v>
      </c>
      <c r="AA57" s="478">
        <f t="shared" ca="1" si="7"/>
        <v>0</v>
      </c>
      <c r="AB57" s="478">
        <f t="shared" ca="1" si="8"/>
        <v>0</v>
      </c>
      <c r="AC57" s="478">
        <f ca="1">AA57*Données!$F$36</f>
        <v>0</v>
      </c>
      <c r="AD57" s="478">
        <f ca="1">AA57*Données!$F$28</f>
        <v>0</v>
      </c>
      <c r="AE57" s="478">
        <f ca="1">IF(AB57=0,0,IF($E$7="C1",(AB57*$H$10),IF($E$7="C2",-AA57*Données!$G$36*$H$10,0)))</f>
        <v>0</v>
      </c>
      <c r="AF57" s="478">
        <f t="shared" ca="1" si="9"/>
        <v>0</v>
      </c>
      <c r="AG57" s="477">
        <f t="shared" si="26"/>
        <v>37</v>
      </c>
      <c r="AH57" s="478">
        <f t="shared" si="27"/>
        <v>0</v>
      </c>
      <c r="AI57" s="478">
        <f t="shared" si="28"/>
        <v>0</v>
      </c>
      <c r="AJ57" s="493">
        <f t="shared" si="29"/>
        <v>0</v>
      </c>
      <c r="AK57" s="493">
        <f t="shared" ca="1" si="30"/>
        <v>0</v>
      </c>
      <c r="AL57" s="478">
        <f t="shared" ca="1" si="10"/>
        <v>0</v>
      </c>
      <c r="AM57" s="478">
        <f t="shared" ca="1" si="11"/>
        <v>0</v>
      </c>
      <c r="AN57" s="478">
        <f t="shared" si="31"/>
        <v>0</v>
      </c>
      <c r="AO57" s="478">
        <f t="shared" ca="1" si="12"/>
        <v>0</v>
      </c>
      <c r="AP57" s="478">
        <f>AN57*Données!$F$36</f>
        <v>0</v>
      </c>
      <c r="AQ57" s="478">
        <f>AN57*Données!$F$28</f>
        <v>0</v>
      </c>
      <c r="AR57" s="478">
        <f ca="1">IF(AO57=0,0,IF($E$7="C1",(AO57*$H$10),IF($E$7="C2",-AN57*Données!$G$36*$H$10,0)))</f>
        <v>0</v>
      </c>
      <c r="AS57" s="478">
        <f t="shared" ca="1" si="13"/>
        <v>0</v>
      </c>
      <c r="AT57" s="477">
        <f t="shared" si="32"/>
        <v>37</v>
      </c>
      <c r="AU57" s="478">
        <f t="shared" si="33"/>
        <v>0</v>
      </c>
      <c r="AV57" s="478">
        <f t="shared" si="34"/>
        <v>0</v>
      </c>
      <c r="AW57" s="493">
        <f t="shared" si="35"/>
        <v>0</v>
      </c>
      <c r="AX57" s="493">
        <f t="shared" si="36"/>
        <v>0</v>
      </c>
      <c r="AY57" s="478">
        <f t="shared" si="14"/>
        <v>0</v>
      </c>
    </row>
    <row r="58" spans="1:51">
      <c r="A58" s="477">
        <f t="shared" ca="1" si="15"/>
        <v>2064</v>
      </c>
      <c r="B58" s="478">
        <f t="shared" ca="1" si="16"/>
        <v>0</v>
      </c>
      <c r="C58" s="478">
        <f ca="1">IF(OR($C$7=Données!$H$51,$C$7=Données!$H$54,$C$7=Données!$H$55,$C$7=Données!$H$57),0,B58*'Sit 1'!$C$10)</f>
        <v>0</v>
      </c>
      <c r="D58" s="478">
        <f ca="1">IFERROR(IF($H$5="",B58*'CT à Transf'!$K$28,B58*$H$5),B58*$H$5)</f>
        <v>0</v>
      </c>
      <c r="E58" s="478">
        <f t="shared" ca="1" si="17"/>
        <v>0</v>
      </c>
      <c r="F58" s="478">
        <f t="shared" ca="1" si="37"/>
        <v>0</v>
      </c>
      <c r="G58" s="478">
        <f t="shared" ca="1" si="39"/>
        <v>0</v>
      </c>
      <c r="H58" s="478">
        <f t="shared" ca="1" si="3"/>
        <v>0</v>
      </c>
      <c r="J58" s="476"/>
      <c r="K58" s="477">
        <f t="shared" si="18"/>
        <v>38</v>
      </c>
      <c r="L58" s="478">
        <f t="shared" ca="1" si="38"/>
        <v>0</v>
      </c>
      <c r="M58" s="478">
        <f t="shared" ca="1" si="19"/>
        <v>0</v>
      </c>
      <c r="N58" s="478">
        <f ca="1">IF(OR($C$7=Données!$H$52,$C$7=Données!$H$53),(L58*$N$9)+((M58*$Q$8)*$Q$9),(L58+M58)*$N$8*$N$9)</f>
        <v>0</v>
      </c>
      <c r="O58" s="478">
        <f ca="1">IF(OR($C$7=Données!$H$52,$C$7=Données!$H$53),(L58*$H$10)+(M58*$Q$8*$H$10)-(M58*$Q$8*Données!$G$36*$H$10),((L58+M58)*$N$8*$H$10)-IF($K$8="Rente à titre onéreux imposable sur",(L58+M58)*$N$8*Données!$G$36*$H$10,(L58+M58)*$N$8*Données!$M$41*$H$10))</f>
        <v>0</v>
      </c>
      <c r="P58" s="478">
        <f t="shared" ca="1" si="4"/>
        <v>0</v>
      </c>
      <c r="Q58" s="478">
        <f t="shared" ca="1" si="20"/>
        <v>0</v>
      </c>
      <c r="S58" s="476"/>
      <c r="T58" s="477">
        <f t="shared" si="21"/>
        <v>38</v>
      </c>
      <c r="U58" s="478">
        <f t="shared" ca="1" si="22"/>
        <v>0</v>
      </c>
      <c r="V58" s="478">
        <f t="shared" ca="1" si="5"/>
        <v>0</v>
      </c>
      <c r="W58" s="493">
        <f t="shared" ca="1" si="23"/>
        <v>0</v>
      </c>
      <c r="X58" s="493">
        <f t="shared" ca="1" si="24"/>
        <v>0</v>
      </c>
      <c r="Y58" s="478">
        <f t="shared" ca="1" si="6"/>
        <v>0</v>
      </c>
      <c r="Z58" s="504">
        <f t="shared" ca="1" si="25"/>
        <v>0</v>
      </c>
      <c r="AA58" s="478">
        <f t="shared" ca="1" si="7"/>
        <v>0</v>
      </c>
      <c r="AB58" s="478">
        <f t="shared" ca="1" si="8"/>
        <v>0</v>
      </c>
      <c r="AC58" s="478">
        <f ca="1">AA58*Données!$F$36</f>
        <v>0</v>
      </c>
      <c r="AD58" s="478">
        <f ca="1">AA58*Données!$F$28</f>
        <v>0</v>
      </c>
      <c r="AE58" s="478">
        <f ca="1">IF(AB58=0,0,IF($E$7="C1",(AB58*$H$10),IF($E$7="C2",-AA58*Données!$G$36*$H$10,0)))</f>
        <v>0</v>
      </c>
      <c r="AF58" s="478">
        <f t="shared" ca="1" si="9"/>
        <v>0</v>
      </c>
      <c r="AG58" s="477">
        <f t="shared" si="26"/>
        <v>38</v>
      </c>
      <c r="AH58" s="478">
        <f t="shared" si="27"/>
        <v>0</v>
      </c>
      <c r="AI58" s="478">
        <f t="shared" si="28"/>
        <v>0</v>
      </c>
      <c r="AJ58" s="493">
        <f t="shared" si="29"/>
        <v>0</v>
      </c>
      <c r="AK58" s="493">
        <f t="shared" ca="1" si="30"/>
        <v>0</v>
      </c>
      <c r="AL58" s="478">
        <f t="shared" ca="1" si="10"/>
        <v>0</v>
      </c>
      <c r="AM58" s="478">
        <f t="shared" ca="1" si="11"/>
        <v>0</v>
      </c>
      <c r="AN58" s="478">
        <f t="shared" si="31"/>
        <v>0</v>
      </c>
      <c r="AO58" s="478">
        <f t="shared" ca="1" si="12"/>
        <v>0</v>
      </c>
      <c r="AP58" s="478">
        <f>AN58*Données!$F$36</f>
        <v>0</v>
      </c>
      <c r="AQ58" s="478">
        <f>AN58*Données!$F$28</f>
        <v>0</v>
      </c>
      <c r="AR58" s="478">
        <f ca="1">IF(AO58=0,0,IF($E$7="C1",(AO58*$H$10),IF($E$7="C2",-AN58*Données!$G$36*$H$10,0)))</f>
        <v>0</v>
      </c>
      <c r="AS58" s="478">
        <f t="shared" ca="1" si="13"/>
        <v>0</v>
      </c>
      <c r="AT58" s="477">
        <f t="shared" si="32"/>
        <v>38</v>
      </c>
      <c r="AU58" s="478">
        <f t="shared" si="33"/>
        <v>0</v>
      </c>
      <c r="AV58" s="478">
        <f t="shared" si="34"/>
        <v>0</v>
      </c>
      <c r="AW58" s="493">
        <f t="shared" si="35"/>
        <v>0</v>
      </c>
      <c r="AX58" s="493">
        <f t="shared" si="36"/>
        <v>0</v>
      </c>
      <c r="AY58" s="478">
        <f t="shared" si="14"/>
        <v>0</v>
      </c>
    </row>
    <row r="59" spans="1:51">
      <c r="A59" s="477">
        <f t="shared" ca="1" si="15"/>
        <v>2065</v>
      </c>
      <c r="B59" s="478">
        <f t="shared" ca="1" si="16"/>
        <v>0</v>
      </c>
      <c r="C59" s="478">
        <f ca="1">IF(OR($C$7=Données!$H$51,$C$7=Données!$H$54,$C$7=Données!$H$55,$C$7=Données!$H$57),0,B59*'Sit 1'!$C$10)</f>
        <v>0</v>
      </c>
      <c r="D59" s="478">
        <f ca="1">IFERROR(IF($H$5="",B59*'CT à Transf'!$K$28,B59*$H$5),B59*$H$5)</f>
        <v>0</v>
      </c>
      <c r="E59" s="478">
        <f t="shared" ca="1" si="17"/>
        <v>0</v>
      </c>
      <c r="F59" s="478">
        <f t="shared" ca="1" si="37"/>
        <v>0</v>
      </c>
      <c r="G59" s="478">
        <f t="shared" ca="1" si="39"/>
        <v>0</v>
      </c>
      <c r="H59" s="478">
        <f t="shared" ca="1" si="3"/>
        <v>0</v>
      </c>
      <c r="J59" s="476"/>
      <c r="K59" s="477">
        <f t="shared" si="18"/>
        <v>39</v>
      </c>
      <c r="L59" s="478">
        <f t="shared" ca="1" si="38"/>
        <v>0</v>
      </c>
      <c r="M59" s="478">
        <f t="shared" ca="1" si="19"/>
        <v>0</v>
      </c>
      <c r="N59" s="478">
        <f ca="1">IF(OR($C$7=Données!$H$52,$C$7=Données!$H$53),(L59*$N$9)+((M59*$Q$8)*$Q$9),(L59+M59)*$N$8*$N$9)</f>
        <v>0</v>
      </c>
      <c r="O59" s="478">
        <f ca="1">IF(OR($C$7=Données!$H$52,$C$7=Données!$H$53),(L59*$H$10)+(M59*$Q$8*$H$10)-(M59*$Q$8*Données!$G$36*$H$10),((L59+M59)*$N$8*$H$10)-IF($K$8="Rente à titre onéreux imposable sur",(L59+M59)*$N$8*Données!$G$36*$H$10,(L59+M59)*$N$8*Données!$M$41*$H$10))</f>
        <v>0</v>
      </c>
      <c r="P59" s="478">
        <f t="shared" ca="1" si="4"/>
        <v>0</v>
      </c>
      <c r="Q59" s="478">
        <f t="shared" ca="1" si="20"/>
        <v>0</v>
      </c>
      <c r="S59" s="476"/>
      <c r="T59" s="477">
        <f t="shared" si="21"/>
        <v>39</v>
      </c>
      <c r="U59" s="478">
        <f t="shared" ca="1" si="22"/>
        <v>0</v>
      </c>
      <c r="V59" s="478">
        <f t="shared" ca="1" si="5"/>
        <v>0</v>
      </c>
      <c r="W59" s="493">
        <f t="shared" ca="1" si="23"/>
        <v>0</v>
      </c>
      <c r="X59" s="493">
        <f t="shared" ca="1" si="24"/>
        <v>0</v>
      </c>
      <c r="Y59" s="478">
        <f t="shared" ca="1" si="6"/>
        <v>0</v>
      </c>
      <c r="Z59" s="504">
        <f t="shared" ca="1" si="25"/>
        <v>0</v>
      </c>
      <c r="AA59" s="478">
        <f t="shared" ca="1" si="7"/>
        <v>0</v>
      </c>
      <c r="AB59" s="478">
        <f t="shared" ca="1" si="8"/>
        <v>0</v>
      </c>
      <c r="AC59" s="478">
        <f ca="1">AA59*Données!$F$36</f>
        <v>0</v>
      </c>
      <c r="AD59" s="478">
        <f ca="1">AA59*Données!$F$28</f>
        <v>0</v>
      </c>
      <c r="AE59" s="478">
        <f ca="1">IF(AB59=0,0,IF($E$7="C1",(AB59*$H$10),IF($E$7="C2",-AA59*Données!$G$36*$H$10,0)))</f>
        <v>0</v>
      </c>
      <c r="AF59" s="478">
        <f t="shared" ca="1" si="9"/>
        <v>0</v>
      </c>
      <c r="AG59" s="477">
        <f t="shared" si="26"/>
        <v>39</v>
      </c>
      <c r="AH59" s="478">
        <f t="shared" si="27"/>
        <v>0</v>
      </c>
      <c r="AI59" s="478">
        <f t="shared" si="28"/>
        <v>0</v>
      </c>
      <c r="AJ59" s="493">
        <f t="shared" si="29"/>
        <v>0</v>
      </c>
      <c r="AK59" s="493">
        <f t="shared" ca="1" si="30"/>
        <v>0</v>
      </c>
      <c r="AL59" s="478">
        <f t="shared" ca="1" si="10"/>
        <v>0</v>
      </c>
      <c r="AM59" s="478">
        <f t="shared" ca="1" si="11"/>
        <v>0</v>
      </c>
      <c r="AN59" s="478">
        <f t="shared" si="31"/>
        <v>0</v>
      </c>
      <c r="AO59" s="478">
        <f t="shared" ca="1" si="12"/>
        <v>0</v>
      </c>
      <c r="AP59" s="478">
        <f>AN59*Données!$F$36</f>
        <v>0</v>
      </c>
      <c r="AQ59" s="478">
        <f>AN59*Données!$F$28</f>
        <v>0</v>
      </c>
      <c r="AR59" s="478">
        <f ca="1">IF(AO59=0,0,IF($E$7="C1",(AO59*$H$10),IF($E$7="C2",-AN59*Données!$G$36*$H$10,0)))</f>
        <v>0</v>
      </c>
      <c r="AS59" s="478">
        <f t="shared" ca="1" si="13"/>
        <v>0</v>
      </c>
      <c r="AT59" s="477">
        <f t="shared" si="32"/>
        <v>39</v>
      </c>
      <c r="AU59" s="478">
        <f t="shared" si="33"/>
        <v>0</v>
      </c>
      <c r="AV59" s="478">
        <f t="shared" si="34"/>
        <v>0</v>
      </c>
      <c r="AW59" s="493">
        <f t="shared" si="35"/>
        <v>0</v>
      </c>
      <c r="AX59" s="493">
        <f t="shared" si="36"/>
        <v>0</v>
      </c>
      <c r="AY59" s="478">
        <f t="shared" si="14"/>
        <v>0</v>
      </c>
    </row>
    <row r="60" spans="1:51">
      <c r="A60" s="477">
        <f t="shared" ca="1" si="15"/>
        <v>2066</v>
      </c>
      <c r="B60" s="478">
        <f t="shared" ca="1" si="16"/>
        <v>0</v>
      </c>
      <c r="C60" s="478">
        <f ca="1">IF(OR($C$7=Données!$H$51,$C$7=Données!$H$54,$C$7=Données!$H$55,$C$7=Données!$H$57),0,B60*'Sit 1'!$C$10)</f>
        <v>0</v>
      </c>
      <c r="D60" s="478">
        <f ca="1">IFERROR(IF($H$5="",B60*'CT à Transf'!$K$28,B60*$H$5),B60*$H$5)</f>
        <v>0</v>
      </c>
      <c r="E60" s="478">
        <f t="shared" ca="1" si="17"/>
        <v>0</v>
      </c>
      <c r="F60" s="478">
        <f t="shared" ca="1" si="37"/>
        <v>0</v>
      </c>
      <c r="G60" s="478">
        <f t="shared" ca="1" si="39"/>
        <v>0</v>
      </c>
      <c r="H60" s="478">
        <f t="shared" ca="1" si="3"/>
        <v>0</v>
      </c>
      <c r="J60" s="476"/>
      <c r="K60" s="477">
        <f t="shared" si="18"/>
        <v>40</v>
      </c>
      <c r="L60" s="478">
        <f t="shared" ca="1" si="38"/>
        <v>0</v>
      </c>
      <c r="M60" s="478">
        <f t="shared" ca="1" si="19"/>
        <v>0</v>
      </c>
      <c r="N60" s="478">
        <f ca="1">IF(OR($C$7=Données!$H$52,$C$7=Données!$H$53),(L60*$N$9)+((M60*$Q$8)*$Q$9),(L60+M60)*$N$8*$N$9)</f>
        <v>0</v>
      </c>
      <c r="O60" s="478">
        <f ca="1">IF(OR($C$7=Données!$H$52,$C$7=Données!$H$53),(L60*$H$10)+(M60*$Q$8*$H$10)-(M60*$Q$8*Données!$G$36*$H$10),((L60+M60)*$N$8*$H$10)-IF($K$8="Rente à titre onéreux imposable sur",(L60+M60)*$N$8*Données!$G$36*$H$10,(L60+M60)*$N$8*Données!$M$41*$H$10))</f>
        <v>0</v>
      </c>
      <c r="P60" s="478">
        <f t="shared" ca="1" si="4"/>
        <v>0</v>
      </c>
      <c r="Q60" s="478">
        <f t="shared" ca="1" si="20"/>
        <v>0</v>
      </c>
      <c r="S60" s="476"/>
      <c r="T60" s="477">
        <f t="shared" si="21"/>
        <v>40</v>
      </c>
      <c r="U60" s="478">
        <f t="shared" ca="1" si="22"/>
        <v>0</v>
      </c>
      <c r="V60" s="478">
        <f t="shared" ca="1" si="5"/>
        <v>0</v>
      </c>
      <c r="W60" s="493">
        <f t="shared" ca="1" si="23"/>
        <v>0</v>
      </c>
      <c r="X60" s="493">
        <f t="shared" ca="1" si="24"/>
        <v>0</v>
      </c>
      <c r="Y60" s="478">
        <f t="shared" ca="1" si="6"/>
        <v>0</v>
      </c>
      <c r="Z60" s="504">
        <f t="shared" ca="1" si="25"/>
        <v>0</v>
      </c>
      <c r="AA60" s="478">
        <f t="shared" ca="1" si="7"/>
        <v>0</v>
      </c>
      <c r="AB60" s="478">
        <f t="shared" ca="1" si="8"/>
        <v>0</v>
      </c>
      <c r="AC60" s="478">
        <f ca="1">AA60*Données!$F$36</f>
        <v>0</v>
      </c>
      <c r="AD60" s="478">
        <f ca="1">AA60*Données!$F$28</f>
        <v>0</v>
      </c>
      <c r="AE60" s="478">
        <f ca="1">IF(AB60=0,0,IF($E$7="C1",(AB60*$H$10),IF($E$7="C2",-AA60*Données!$G$36*$H$10,0)))</f>
        <v>0</v>
      </c>
      <c r="AF60" s="478">
        <f t="shared" ca="1" si="9"/>
        <v>0</v>
      </c>
      <c r="AG60" s="477">
        <f t="shared" si="26"/>
        <v>40</v>
      </c>
      <c r="AH60" s="478">
        <f t="shared" si="27"/>
        <v>0</v>
      </c>
      <c r="AI60" s="478">
        <f t="shared" si="28"/>
        <v>0</v>
      </c>
      <c r="AJ60" s="493">
        <f t="shared" si="29"/>
        <v>0</v>
      </c>
      <c r="AK60" s="493">
        <f t="shared" ca="1" si="30"/>
        <v>0</v>
      </c>
      <c r="AL60" s="478">
        <f t="shared" ca="1" si="10"/>
        <v>0</v>
      </c>
      <c r="AM60" s="478">
        <f t="shared" ca="1" si="11"/>
        <v>0</v>
      </c>
      <c r="AN60" s="478">
        <f t="shared" si="31"/>
        <v>0</v>
      </c>
      <c r="AO60" s="478">
        <f t="shared" ca="1" si="12"/>
        <v>0</v>
      </c>
      <c r="AP60" s="478">
        <f>AN60*Données!$F$36</f>
        <v>0</v>
      </c>
      <c r="AQ60" s="478">
        <f>AN60*Données!$F$28</f>
        <v>0</v>
      </c>
      <c r="AR60" s="478">
        <f ca="1">IF(AO60=0,0,IF($E$7="C1",(AO60*$H$10),IF($E$7="C2",-AN60*Données!$G$36*$H$10,0)))</f>
        <v>0</v>
      </c>
      <c r="AS60" s="478">
        <f t="shared" ca="1" si="13"/>
        <v>0</v>
      </c>
      <c r="AT60" s="477">
        <f t="shared" si="32"/>
        <v>40</v>
      </c>
      <c r="AU60" s="478">
        <f t="shared" si="33"/>
        <v>0</v>
      </c>
      <c r="AV60" s="478">
        <f t="shared" si="34"/>
        <v>0</v>
      </c>
      <c r="AW60" s="493">
        <f t="shared" si="35"/>
        <v>0</v>
      </c>
      <c r="AX60" s="493">
        <f t="shared" si="36"/>
        <v>0</v>
      </c>
      <c r="AY60" s="478">
        <f t="shared" si="14"/>
        <v>0</v>
      </c>
    </row>
    <row r="61" spans="1:51">
      <c r="A61" s="477">
        <f t="shared" ca="1" si="15"/>
        <v>2067</v>
      </c>
      <c r="B61" s="478">
        <f t="shared" ca="1" si="16"/>
        <v>0</v>
      </c>
      <c r="C61" s="478">
        <f ca="1">IF(OR($C$7=Données!$H$51,$C$7=Données!$H$54,$C$7=Données!$H$55,$C$7=Données!$H$57),0,B61*'Sit 1'!$C$10)</f>
        <v>0</v>
      </c>
      <c r="D61" s="478">
        <f ca="1">IFERROR(IF($H$5="",B61*'CT à Transf'!$K$28,B61*$H$5),B61*$H$5)</f>
        <v>0</v>
      </c>
      <c r="E61" s="478">
        <f t="shared" ca="1" si="17"/>
        <v>0</v>
      </c>
      <c r="F61" s="478">
        <f t="shared" ca="1" si="37"/>
        <v>0</v>
      </c>
      <c r="G61" s="478">
        <f t="shared" ca="1" si="39"/>
        <v>0</v>
      </c>
      <c r="H61" s="478">
        <f t="shared" ca="1" si="3"/>
        <v>0</v>
      </c>
      <c r="J61" s="476"/>
      <c r="K61" s="477">
        <f t="shared" si="18"/>
        <v>41</v>
      </c>
      <c r="L61" s="478">
        <f t="shared" ca="1" si="38"/>
        <v>0</v>
      </c>
      <c r="M61" s="478">
        <f t="shared" ca="1" si="19"/>
        <v>0</v>
      </c>
      <c r="N61" s="478">
        <f ca="1">IF(OR($C$7=Données!$H$52,$C$7=Données!$H$53),(L61*$N$9)+((M61*$Q$8)*$Q$9),(L61+M61)*$N$8*$N$9)</f>
        <v>0</v>
      </c>
      <c r="O61" s="478">
        <f ca="1">IF(OR($C$7=Données!$H$52,$C$7=Données!$H$53),(L61*$H$10)+(M61*$Q$8*$H$10)-(M61*$Q$8*Données!$G$36*$H$10),((L61+M61)*$N$8*$H$10)-IF($K$8="Rente à titre onéreux imposable sur",(L61+M61)*$N$8*Données!$G$36*$H$10,(L61+M61)*$N$8*Données!$M$41*$H$10))</f>
        <v>0</v>
      </c>
      <c r="P61" s="478">
        <f t="shared" ca="1" si="4"/>
        <v>0</v>
      </c>
      <c r="Q61" s="478">
        <f t="shared" ca="1" si="20"/>
        <v>0</v>
      </c>
      <c r="S61" s="476"/>
      <c r="T61" s="477">
        <f t="shared" si="21"/>
        <v>41</v>
      </c>
      <c r="U61" s="478">
        <f t="shared" ca="1" si="22"/>
        <v>0</v>
      </c>
      <c r="V61" s="478">
        <f t="shared" ca="1" si="5"/>
        <v>0</v>
      </c>
      <c r="W61" s="493">
        <f t="shared" ca="1" si="23"/>
        <v>0</v>
      </c>
      <c r="X61" s="493">
        <f t="shared" ca="1" si="24"/>
        <v>0</v>
      </c>
      <c r="Y61" s="478">
        <f t="shared" ca="1" si="6"/>
        <v>0</v>
      </c>
      <c r="Z61" s="504">
        <f t="shared" ca="1" si="25"/>
        <v>0</v>
      </c>
      <c r="AA61" s="478">
        <f t="shared" ca="1" si="7"/>
        <v>0</v>
      </c>
      <c r="AB61" s="478">
        <f t="shared" ca="1" si="8"/>
        <v>0</v>
      </c>
      <c r="AC61" s="478">
        <f ca="1">AA61*Données!$F$36</f>
        <v>0</v>
      </c>
      <c r="AD61" s="478">
        <f ca="1">AA61*Données!$F$28</f>
        <v>0</v>
      </c>
      <c r="AE61" s="478">
        <f ca="1">IF(AB61=0,0,IF($E$7="C1",(AB61*$H$10),IF($E$7="C2",-AA61*Données!$G$36*$H$10,0)))</f>
        <v>0</v>
      </c>
      <c r="AF61" s="478">
        <f t="shared" ca="1" si="9"/>
        <v>0</v>
      </c>
      <c r="AG61" s="477">
        <f t="shared" si="26"/>
        <v>41</v>
      </c>
      <c r="AH61" s="478">
        <f t="shared" si="27"/>
        <v>0</v>
      </c>
      <c r="AI61" s="478">
        <f t="shared" si="28"/>
        <v>0</v>
      </c>
      <c r="AJ61" s="493">
        <f t="shared" si="29"/>
        <v>0</v>
      </c>
      <c r="AK61" s="493">
        <f t="shared" ca="1" si="30"/>
        <v>0</v>
      </c>
      <c r="AL61" s="478">
        <f t="shared" ca="1" si="10"/>
        <v>0</v>
      </c>
      <c r="AM61" s="478">
        <f t="shared" ca="1" si="11"/>
        <v>0</v>
      </c>
      <c r="AN61" s="478">
        <f t="shared" si="31"/>
        <v>0</v>
      </c>
      <c r="AO61" s="478">
        <f t="shared" ca="1" si="12"/>
        <v>0</v>
      </c>
      <c r="AP61" s="478">
        <f>AN61*Données!$F$36</f>
        <v>0</v>
      </c>
      <c r="AQ61" s="478">
        <f>AN61*Données!$F$28</f>
        <v>0</v>
      </c>
      <c r="AR61" s="478">
        <f ca="1">IF(AO61=0,0,IF($E$7="C1",(AO61*$H$10),IF($E$7="C2",-AN61*Données!$G$36*$H$10,0)))</f>
        <v>0</v>
      </c>
      <c r="AS61" s="478">
        <f t="shared" ca="1" si="13"/>
        <v>0</v>
      </c>
      <c r="AT61" s="477">
        <f t="shared" si="32"/>
        <v>41</v>
      </c>
      <c r="AU61" s="478">
        <f t="shared" si="33"/>
        <v>0</v>
      </c>
      <c r="AV61" s="478">
        <f t="shared" si="34"/>
        <v>0</v>
      </c>
      <c r="AW61" s="493">
        <f t="shared" si="35"/>
        <v>0</v>
      </c>
      <c r="AX61" s="493">
        <f t="shared" si="36"/>
        <v>0</v>
      </c>
      <c r="AY61" s="478">
        <f t="shared" si="14"/>
        <v>0</v>
      </c>
    </row>
    <row r="62" spans="1:51">
      <c r="A62" s="477">
        <f t="shared" ca="1" si="15"/>
        <v>2068</v>
      </c>
      <c r="B62" s="478">
        <f t="shared" ca="1" si="16"/>
        <v>0</v>
      </c>
      <c r="C62" s="478">
        <f ca="1">IF(OR($C$7=Données!$H$51,$C$7=Données!$H$54,$C$7=Données!$H$55,$C$7=Données!$H$57),0,B62*'Sit 1'!$C$10)</f>
        <v>0</v>
      </c>
      <c r="D62" s="478">
        <f ca="1">IFERROR(IF($H$5="",B62*'CT à Transf'!$K$28,B62*$H$5),B62*$H$5)</f>
        <v>0</v>
      </c>
      <c r="E62" s="478">
        <f t="shared" ca="1" si="17"/>
        <v>0</v>
      </c>
      <c r="F62" s="478">
        <f t="shared" ca="1" si="37"/>
        <v>0</v>
      </c>
      <c r="G62" s="478">
        <f t="shared" ca="1" si="39"/>
        <v>0</v>
      </c>
      <c r="H62" s="478">
        <f t="shared" ca="1" si="3"/>
        <v>0</v>
      </c>
      <c r="J62" s="476"/>
      <c r="K62" s="477">
        <f t="shared" si="18"/>
        <v>42</v>
      </c>
      <c r="L62" s="478">
        <f t="shared" ca="1" si="38"/>
        <v>0</v>
      </c>
      <c r="M62" s="478">
        <f t="shared" ca="1" si="19"/>
        <v>0</v>
      </c>
      <c r="N62" s="478">
        <f ca="1">IF(OR($C$7=Données!$H$52,$C$7=Données!$H$53),(L62*$N$9)+((M62*$Q$8)*$Q$9),(L62+M62)*$N$8*$N$9)</f>
        <v>0</v>
      </c>
      <c r="O62" s="478">
        <f ca="1">IF(OR($C$7=Données!$H$52,$C$7=Données!$H$53),(L62*$H$10)+(M62*$Q$8*$H$10)-(M62*$Q$8*Données!$G$36*$H$10),((L62+M62)*$N$8*$H$10)-IF($K$8="Rente à titre onéreux imposable sur",(L62+M62)*$N$8*Données!$G$36*$H$10,(L62+M62)*$N$8*Données!$M$41*$H$10))</f>
        <v>0</v>
      </c>
      <c r="P62" s="478">
        <f t="shared" ca="1" si="4"/>
        <v>0</v>
      </c>
      <c r="Q62" s="478">
        <f t="shared" ca="1" si="20"/>
        <v>0</v>
      </c>
      <c r="S62" s="476"/>
      <c r="T62" s="477">
        <f t="shared" si="21"/>
        <v>42</v>
      </c>
      <c r="U62" s="478">
        <f t="shared" ca="1" si="22"/>
        <v>0</v>
      </c>
      <c r="V62" s="478">
        <f t="shared" ca="1" si="5"/>
        <v>0</v>
      </c>
      <c r="W62" s="493">
        <f t="shared" ca="1" si="23"/>
        <v>0</v>
      </c>
      <c r="X62" s="493">
        <f t="shared" ca="1" si="24"/>
        <v>0</v>
      </c>
      <c r="Y62" s="478">
        <f t="shared" ca="1" si="6"/>
        <v>0</v>
      </c>
      <c r="Z62" s="504">
        <f t="shared" ca="1" si="25"/>
        <v>0</v>
      </c>
      <c r="AA62" s="478">
        <f t="shared" ca="1" si="7"/>
        <v>0</v>
      </c>
      <c r="AB62" s="478">
        <f t="shared" ca="1" si="8"/>
        <v>0</v>
      </c>
      <c r="AC62" s="478">
        <f ca="1">AA62*Données!$F$36</f>
        <v>0</v>
      </c>
      <c r="AD62" s="478">
        <f ca="1">AA62*Données!$F$28</f>
        <v>0</v>
      </c>
      <c r="AE62" s="478">
        <f ca="1">IF(AB62=0,0,IF($E$7="C1",(AB62*$H$10),IF($E$7="C2",-AA62*Données!$G$36*$H$10,0)))</f>
        <v>0</v>
      </c>
      <c r="AF62" s="478">
        <f t="shared" ca="1" si="9"/>
        <v>0</v>
      </c>
      <c r="AG62" s="477">
        <f t="shared" si="26"/>
        <v>42</v>
      </c>
      <c r="AH62" s="478">
        <f t="shared" si="27"/>
        <v>0</v>
      </c>
      <c r="AI62" s="478">
        <f t="shared" si="28"/>
        <v>0</v>
      </c>
      <c r="AJ62" s="493">
        <f t="shared" si="29"/>
        <v>0</v>
      </c>
      <c r="AK62" s="493">
        <f t="shared" ca="1" si="30"/>
        <v>0</v>
      </c>
      <c r="AL62" s="478">
        <f t="shared" ca="1" si="10"/>
        <v>0</v>
      </c>
      <c r="AM62" s="478">
        <f t="shared" ca="1" si="11"/>
        <v>0</v>
      </c>
      <c r="AN62" s="478">
        <f t="shared" si="31"/>
        <v>0</v>
      </c>
      <c r="AO62" s="478">
        <f t="shared" ca="1" si="12"/>
        <v>0</v>
      </c>
      <c r="AP62" s="478">
        <f>AN62*Données!$F$36</f>
        <v>0</v>
      </c>
      <c r="AQ62" s="478">
        <f>AN62*Données!$F$28</f>
        <v>0</v>
      </c>
      <c r="AR62" s="478">
        <f ca="1">IF(AO62=0,0,IF($E$7="C1",(AO62*$H$10),IF($E$7="C2",-AN62*Données!$G$36*$H$10,0)))</f>
        <v>0</v>
      </c>
      <c r="AS62" s="478">
        <f t="shared" ca="1" si="13"/>
        <v>0</v>
      </c>
      <c r="AT62" s="477">
        <f t="shared" si="32"/>
        <v>42</v>
      </c>
      <c r="AU62" s="478">
        <f t="shared" si="33"/>
        <v>0</v>
      </c>
      <c r="AV62" s="478">
        <f t="shared" si="34"/>
        <v>0</v>
      </c>
      <c r="AW62" s="493">
        <f t="shared" si="35"/>
        <v>0</v>
      </c>
      <c r="AX62" s="493">
        <f t="shared" si="36"/>
        <v>0</v>
      </c>
      <c r="AY62" s="478">
        <f t="shared" si="14"/>
        <v>0</v>
      </c>
    </row>
    <row r="63" spans="1:51">
      <c r="A63" s="477">
        <f t="shared" ca="1" si="15"/>
        <v>2069</v>
      </c>
      <c r="B63" s="478">
        <f t="shared" ca="1" si="16"/>
        <v>0</v>
      </c>
      <c r="C63" s="478">
        <f ca="1">IF(OR($C$7=Données!$H$51,$C$7=Données!$H$54,$C$7=Données!$H$55,$C$7=Données!$H$57),0,B63*'Sit 1'!$C$10)</f>
        <v>0</v>
      </c>
      <c r="D63" s="478">
        <f ca="1">IFERROR(IF($H$5="",B63*'CT à Transf'!$K$28,B63*$H$5),B63*$H$5)</f>
        <v>0</v>
      </c>
      <c r="E63" s="478">
        <f t="shared" ca="1" si="17"/>
        <v>0</v>
      </c>
      <c r="F63" s="478">
        <f t="shared" ca="1" si="37"/>
        <v>0</v>
      </c>
      <c r="G63" s="478">
        <f t="shared" ca="1" si="39"/>
        <v>0</v>
      </c>
      <c r="H63" s="478">
        <f t="shared" ca="1" si="3"/>
        <v>0</v>
      </c>
      <c r="J63" s="476"/>
      <c r="K63" s="477">
        <f t="shared" si="18"/>
        <v>43</v>
      </c>
      <c r="L63" s="478">
        <f t="shared" ca="1" si="38"/>
        <v>0</v>
      </c>
      <c r="M63" s="478">
        <f t="shared" ca="1" si="19"/>
        <v>0</v>
      </c>
      <c r="N63" s="478">
        <f ca="1">IF(OR($C$7=Données!$H$52,$C$7=Données!$H$53),(L63*$N$9)+((M63*$Q$8)*$Q$9),(L63+M63)*$N$8*$N$9)</f>
        <v>0</v>
      </c>
      <c r="O63" s="478">
        <f ca="1">IF(OR($C$7=Données!$H$52,$C$7=Données!$H$53),(L63*$H$10)+(M63*$Q$8*$H$10)-(M63*$Q$8*Données!$G$36*$H$10),((L63+M63)*$N$8*$H$10)-IF($K$8="Rente à titre onéreux imposable sur",(L63+M63)*$N$8*Données!$G$36*$H$10,(L63+M63)*$N$8*Données!$M$41*$H$10))</f>
        <v>0</v>
      </c>
      <c r="P63" s="478">
        <f t="shared" ca="1" si="4"/>
        <v>0</v>
      </c>
      <c r="Q63" s="478">
        <f t="shared" ca="1" si="20"/>
        <v>0</v>
      </c>
      <c r="S63" s="476"/>
      <c r="T63" s="477">
        <f t="shared" si="21"/>
        <v>43</v>
      </c>
      <c r="U63" s="478">
        <f t="shared" ca="1" si="22"/>
        <v>0</v>
      </c>
      <c r="V63" s="478">
        <f t="shared" ca="1" si="5"/>
        <v>0</v>
      </c>
      <c r="W63" s="493">
        <f t="shared" ca="1" si="23"/>
        <v>0</v>
      </c>
      <c r="X63" s="493">
        <f t="shared" ca="1" si="24"/>
        <v>0</v>
      </c>
      <c r="Y63" s="478">
        <f t="shared" ca="1" si="6"/>
        <v>0</v>
      </c>
      <c r="Z63" s="504">
        <f t="shared" ca="1" si="25"/>
        <v>0</v>
      </c>
      <c r="AA63" s="478">
        <f t="shared" ca="1" si="7"/>
        <v>0</v>
      </c>
      <c r="AB63" s="478">
        <f t="shared" ca="1" si="8"/>
        <v>0</v>
      </c>
      <c r="AC63" s="478">
        <f ca="1">AA63*Données!$F$36</f>
        <v>0</v>
      </c>
      <c r="AD63" s="478">
        <f ca="1">AA63*Données!$F$28</f>
        <v>0</v>
      </c>
      <c r="AE63" s="478">
        <f ca="1">IF(AB63=0,0,IF($E$7="C1",(AB63*$H$10),IF($E$7="C2",-AA63*Données!$G$36*$H$10,0)))</f>
        <v>0</v>
      </c>
      <c r="AF63" s="478">
        <f t="shared" ca="1" si="9"/>
        <v>0</v>
      </c>
      <c r="AG63" s="477">
        <f t="shared" si="26"/>
        <v>43</v>
      </c>
      <c r="AH63" s="478">
        <f t="shared" si="27"/>
        <v>0</v>
      </c>
      <c r="AI63" s="478">
        <f t="shared" si="28"/>
        <v>0</v>
      </c>
      <c r="AJ63" s="493">
        <f t="shared" si="29"/>
        <v>0</v>
      </c>
      <c r="AK63" s="493">
        <f t="shared" ca="1" si="30"/>
        <v>0</v>
      </c>
      <c r="AL63" s="478">
        <f t="shared" ca="1" si="10"/>
        <v>0</v>
      </c>
      <c r="AM63" s="478">
        <f t="shared" ca="1" si="11"/>
        <v>0</v>
      </c>
      <c r="AN63" s="478">
        <f t="shared" si="31"/>
        <v>0</v>
      </c>
      <c r="AO63" s="478">
        <f t="shared" ca="1" si="12"/>
        <v>0</v>
      </c>
      <c r="AP63" s="478">
        <f>AN63*Données!$F$36</f>
        <v>0</v>
      </c>
      <c r="AQ63" s="478">
        <f>AN63*Données!$F$28</f>
        <v>0</v>
      </c>
      <c r="AR63" s="478">
        <f ca="1">IF(AO63=0,0,IF($E$7="C1",(AO63*$H$10),IF($E$7="C2",-AN63*Données!$G$36*$H$10,0)))</f>
        <v>0</v>
      </c>
      <c r="AS63" s="478">
        <f t="shared" ca="1" si="13"/>
        <v>0</v>
      </c>
      <c r="AT63" s="477">
        <f t="shared" si="32"/>
        <v>43</v>
      </c>
      <c r="AU63" s="478">
        <f t="shared" si="33"/>
        <v>0</v>
      </c>
      <c r="AV63" s="478">
        <f t="shared" si="34"/>
        <v>0</v>
      </c>
      <c r="AW63" s="493">
        <f t="shared" si="35"/>
        <v>0</v>
      </c>
      <c r="AX63" s="493">
        <f t="shared" si="36"/>
        <v>0</v>
      </c>
      <c r="AY63" s="478">
        <f t="shared" si="14"/>
        <v>0</v>
      </c>
    </row>
    <row r="64" spans="1:51">
      <c r="A64" s="477">
        <f t="shared" ca="1" si="15"/>
        <v>2070</v>
      </c>
      <c r="B64" s="478">
        <f t="shared" ca="1" si="16"/>
        <v>0</v>
      </c>
      <c r="C64" s="478">
        <f ca="1">IF(OR($C$7=Données!$H$51,$C$7=Données!$H$54,$C$7=Données!$H$55,$C$7=Données!$H$57),0,B64*'Sit 1'!$C$10)</f>
        <v>0</v>
      </c>
      <c r="D64" s="478">
        <f ca="1">IFERROR(IF($H$5="",B64*'CT à Transf'!$K$28,B64*$H$5),B64*$H$5)</f>
        <v>0</v>
      </c>
      <c r="E64" s="478">
        <f t="shared" ca="1" si="17"/>
        <v>0</v>
      </c>
      <c r="F64" s="478">
        <f t="shared" ca="1" si="37"/>
        <v>0</v>
      </c>
      <c r="G64" s="478">
        <f t="shared" ca="1" si="39"/>
        <v>0</v>
      </c>
      <c r="H64" s="478">
        <f t="shared" ca="1" si="3"/>
        <v>0</v>
      </c>
      <c r="J64" s="476"/>
      <c r="K64" s="477">
        <f t="shared" si="18"/>
        <v>44</v>
      </c>
      <c r="L64" s="478">
        <f t="shared" ca="1" si="38"/>
        <v>0</v>
      </c>
      <c r="M64" s="478">
        <f t="shared" ca="1" si="19"/>
        <v>0</v>
      </c>
      <c r="N64" s="478">
        <f ca="1">IF(OR($C$7=Données!$H$52,$C$7=Données!$H$53),(L64*$N$9)+((M64*$Q$8)*$Q$9),(L64+M64)*$N$8*$N$9)</f>
        <v>0</v>
      </c>
      <c r="O64" s="478">
        <f ca="1">IF(OR($C$7=Données!$H$52,$C$7=Données!$H$53),(L64*$H$10)+(M64*$Q$8*$H$10)-(M64*$Q$8*Données!$G$36*$H$10),((L64+M64)*$N$8*$H$10)-IF($K$8="Rente à titre onéreux imposable sur",(L64+M64)*$N$8*Données!$G$36*$H$10,(L64+M64)*$N$8*Données!$M$41*$H$10))</f>
        <v>0</v>
      </c>
      <c r="P64" s="478">
        <f t="shared" ca="1" si="4"/>
        <v>0</v>
      </c>
      <c r="Q64" s="478">
        <f t="shared" ca="1" si="20"/>
        <v>0</v>
      </c>
      <c r="S64" s="476"/>
      <c r="T64" s="477">
        <f t="shared" si="21"/>
        <v>44</v>
      </c>
      <c r="U64" s="478">
        <f t="shared" ca="1" si="22"/>
        <v>0</v>
      </c>
      <c r="V64" s="478">
        <f t="shared" ca="1" si="5"/>
        <v>0</v>
      </c>
      <c r="W64" s="493">
        <f t="shared" ca="1" si="23"/>
        <v>0</v>
      </c>
      <c r="X64" s="493">
        <f t="shared" ca="1" si="24"/>
        <v>0</v>
      </c>
      <c r="Y64" s="478">
        <f t="shared" ca="1" si="6"/>
        <v>0</v>
      </c>
      <c r="Z64" s="504">
        <f t="shared" ca="1" si="25"/>
        <v>0</v>
      </c>
      <c r="AA64" s="478">
        <f t="shared" ca="1" si="7"/>
        <v>0</v>
      </c>
      <c r="AB64" s="478">
        <f t="shared" ca="1" si="8"/>
        <v>0</v>
      </c>
      <c r="AC64" s="478">
        <f ca="1">AA64*Données!$F$36</f>
        <v>0</v>
      </c>
      <c r="AD64" s="478">
        <f ca="1">AA64*Données!$F$28</f>
        <v>0</v>
      </c>
      <c r="AE64" s="478">
        <f ca="1">IF(AB64=0,0,IF($E$7="C1",(AB64*$H$10),IF($E$7="C2",-AA64*Données!$G$36*$H$10,0)))</f>
        <v>0</v>
      </c>
      <c r="AF64" s="478">
        <f t="shared" ca="1" si="9"/>
        <v>0</v>
      </c>
      <c r="AG64" s="477">
        <f t="shared" si="26"/>
        <v>44</v>
      </c>
      <c r="AH64" s="478">
        <f t="shared" si="27"/>
        <v>0</v>
      </c>
      <c r="AI64" s="478">
        <f t="shared" si="28"/>
        <v>0</v>
      </c>
      <c r="AJ64" s="493">
        <f t="shared" si="29"/>
        <v>0</v>
      </c>
      <c r="AK64" s="493">
        <f t="shared" ca="1" si="30"/>
        <v>0</v>
      </c>
      <c r="AL64" s="478">
        <f t="shared" ca="1" si="10"/>
        <v>0</v>
      </c>
      <c r="AM64" s="478">
        <f t="shared" ca="1" si="11"/>
        <v>0</v>
      </c>
      <c r="AN64" s="478">
        <f t="shared" si="31"/>
        <v>0</v>
      </c>
      <c r="AO64" s="478">
        <f t="shared" ca="1" si="12"/>
        <v>0</v>
      </c>
      <c r="AP64" s="478">
        <f>AN64*Données!$F$36</f>
        <v>0</v>
      </c>
      <c r="AQ64" s="478">
        <f>AN64*Données!$F$28</f>
        <v>0</v>
      </c>
      <c r="AR64" s="478">
        <f ca="1">IF(AO64=0,0,IF($E$7="C1",(AO64*$H$10),IF($E$7="C2",-AN64*Données!$G$36*$H$10,0)))</f>
        <v>0</v>
      </c>
      <c r="AS64" s="478">
        <f t="shared" ca="1" si="13"/>
        <v>0</v>
      </c>
      <c r="AT64" s="477">
        <f t="shared" si="32"/>
        <v>44</v>
      </c>
      <c r="AU64" s="478">
        <f t="shared" si="33"/>
        <v>0</v>
      </c>
      <c r="AV64" s="478">
        <f t="shared" si="34"/>
        <v>0</v>
      </c>
      <c r="AW64" s="493">
        <f t="shared" si="35"/>
        <v>0</v>
      </c>
      <c r="AX64" s="493">
        <f t="shared" si="36"/>
        <v>0</v>
      </c>
      <c r="AY64" s="478">
        <f t="shared" si="14"/>
        <v>0</v>
      </c>
    </row>
    <row r="65" spans="1:51">
      <c r="A65" s="477">
        <f t="shared" ca="1" si="15"/>
        <v>2071</v>
      </c>
      <c r="B65" s="478">
        <f t="shared" ca="1" si="16"/>
        <v>0</v>
      </c>
      <c r="C65" s="478">
        <f ca="1">IF(OR($C$7=Données!$H$51,$C$7=Données!$H$54,$C$7=Données!$H$55,$C$7=Données!$H$57),0,B65*'Sit 1'!$C$10)</f>
        <v>0</v>
      </c>
      <c r="D65" s="478">
        <f ca="1">IFERROR(IF($H$5="",B65*'CT à Transf'!$K$28,B65*$H$5),B65*$H$5)</f>
        <v>0</v>
      </c>
      <c r="E65" s="478">
        <f t="shared" ca="1" si="17"/>
        <v>0</v>
      </c>
      <c r="F65" s="478">
        <f t="shared" ca="1" si="37"/>
        <v>0</v>
      </c>
      <c r="G65" s="478">
        <f t="shared" ca="1" si="39"/>
        <v>0</v>
      </c>
      <c r="H65" s="478">
        <f t="shared" ca="1" si="3"/>
        <v>0</v>
      </c>
      <c r="J65" s="476"/>
      <c r="K65" s="477">
        <f t="shared" si="18"/>
        <v>45</v>
      </c>
      <c r="L65" s="478">
        <f t="shared" ca="1" si="38"/>
        <v>0</v>
      </c>
      <c r="M65" s="478">
        <f t="shared" ca="1" si="19"/>
        <v>0</v>
      </c>
      <c r="N65" s="478">
        <f ca="1">IF(OR($C$7=Données!$H$52,$C$7=Données!$H$53),(L65*$N$9)+((M65*$Q$8)*$Q$9),(L65+M65)*$N$8*$N$9)</f>
        <v>0</v>
      </c>
      <c r="O65" s="478">
        <f ca="1">IF(OR($C$7=Données!$H$52,$C$7=Données!$H$53),(L65*$H$10)+(M65*$Q$8*$H$10)-(M65*$Q$8*Données!$G$36*$H$10),((L65+M65)*$N$8*$H$10)-IF($K$8="Rente à titre onéreux imposable sur",(L65+M65)*$N$8*Données!$G$36*$H$10,(L65+M65)*$N$8*Données!$M$41*$H$10))</f>
        <v>0</v>
      </c>
      <c r="P65" s="478">
        <f t="shared" ca="1" si="4"/>
        <v>0</v>
      </c>
      <c r="Q65" s="478">
        <f t="shared" ca="1" si="20"/>
        <v>0</v>
      </c>
      <c r="S65" s="476"/>
      <c r="T65" s="477">
        <f t="shared" si="21"/>
        <v>45</v>
      </c>
      <c r="U65" s="478">
        <f t="shared" ca="1" si="22"/>
        <v>0</v>
      </c>
      <c r="V65" s="478">
        <f t="shared" ca="1" si="5"/>
        <v>0</v>
      </c>
      <c r="W65" s="493">
        <f t="shared" ca="1" si="23"/>
        <v>0</v>
      </c>
      <c r="X65" s="493">
        <f t="shared" ca="1" si="24"/>
        <v>0</v>
      </c>
      <c r="Y65" s="478">
        <f t="shared" ca="1" si="6"/>
        <v>0</v>
      </c>
      <c r="Z65" s="504">
        <f t="shared" ca="1" si="25"/>
        <v>0</v>
      </c>
      <c r="AA65" s="478">
        <f t="shared" ca="1" si="7"/>
        <v>0</v>
      </c>
      <c r="AB65" s="478">
        <f t="shared" ca="1" si="8"/>
        <v>0</v>
      </c>
      <c r="AC65" s="478">
        <f ca="1">AA65*Données!$F$36</f>
        <v>0</v>
      </c>
      <c r="AD65" s="478">
        <f ca="1">AA65*Données!$F$28</f>
        <v>0</v>
      </c>
      <c r="AE65" s="478">
        <f ca="1">IF(AB65=0,0,IF($E$7="C1",(AB65*$H$10),IF($E$7="C2",-AA65*Données!$G$36*$H$10,0)))</f>
        <v>0</v>
      </c>
      <c r="AF65" s="478">
        <f t="shared" ca="1" si="9"/>
        <v>0</v>
      </c>
      <c r="AG65" s="477">
        <f t="shared" si="26"/>
        <v>45</v>
      </c>
      <c r="AH65" s="478">
        <f t="shared" si="27"/>
        <v>0</v>
      </c>
      <c r="AI65" s="478">
        <f t="shared" si="28"/>
        <v>0</v>
      </c>
      <c r="AJ65" s="493">
        <f t="shared" si="29"/>
        <v>0</v>
      </c>
      <c r="AK65" s="493">
        <f t="shared" ca="1" si="30"/>
        <v>0</v>
      </c>
      <c r="AL65" s="478">
        <f t="shared" ca="1" si="10"/>
        <v>0</v>
      </c>
      <c r="AM65" s="478">
        <f t="shared" ca="1" si="11"/>
        <v>0</v>
      </c>
      <c r="AN65" s="478">
        <f t="shared" si="31"/>
        <v>0</v>
      </c>
      <c r="AO65" s="478">
        <f t="shared" ca="1" si="12"/>
        <v>0</v>
      </c>
      <c r="AP65" s="478">
        <f>AN65*Données!$F$36</f>
        <v>0</v>
      </c>
      <c r="AQ65" s="478">
        <f>AN65*Données!$F$28</f>
        <v>0</v>
      </c>
      <c r="AR65" s="478">
        <f ca="1">IF(AO65=0,0,IF($E$7="C1",(AO65*$H$10),IF($E$7="C2",-AN65*Données!$G$36*$H$10,0)))</f>
        <v>0</v>
      </c>
      <c r="AS65" s="478">
        <f t="shared" ca="1" si="13"/>
        <v>0</v>
      </c>
      <c r="AT65" s="477">
        <f t="shared" si="32"/>
        <v>45</v>
      </c>
      <c r="AU65" s="478">
        <f t="shared" si="33"/>
        <v>0</v>
      </c>
      <c r="AV65" s="478">
        <f t="shared" si="34"/>
        <v>0</v>
      </c>
      <c r="AW65" s="493">
        <f t="shared" si="35"/>
        <v>0</v>
      </c>
      <c r="AX65" s="493">
        <f t="shared" si="36"/>
        <v>0</v>
      </c>
      <c r="AY65" s="478">
        <f t="shared" si="14"/>
        <v>0</v>
      </c>
    </row>
    <row r="66" spans="1:51">
      <c r="A66" s="477">
        <f t="shared" ca="1" si="15"/>
        <v>2072</v>
      </c>
      <c r="B66" s="478">
        <f t="shared" ca="1" si="16"/>
        <v>0</v>
      </c>
      <c r="C66" s="478">
        <f ca="1">IF(OR($C$7=Données!$H$51,$C$7=Données!$H$54,$C$7=Données!$H$55,$C$7=Données!$H$57),0,B66*'Sit 1'!$C$10)</f>
        <v>0</v>
      </c>
      <c r="D66" s="478">
        <f ca="1">IFERROR(IF($H$5="",B66*'CT à Transf'!$K$28,B66*$H$5),B66*$H$5)</f>
        <v>0</v>
      </c>
      <c r="E66" s="478">
        <f t="shared" ca="1" si="17"/>
        <v>0</v>
      </c>
      <c r="F66" s="478">
        <f t="shared" ca="1" si="37"/>
        <v>0</v>
      </c>
      <c r="G66" s="478">
        <f t="shared" ca="1" si="39"/>
        <v>0</v>
      </c>
      <c r="H66" s="478">
        <f t="shared" ca="1" si="3"/>
        <v>0</v>
      </c>
      <c r="J66" s="476"/>
      <c r="K66" s="477">
        <f t="shared" si="18"/>
        <v>46</v>
      </c>
      <c r="L66" s="478">
        <f t="shared" ca="1" si="38"/>
        <v>0</v>
      </c>
      <c r="M66" s="478">
        <f t="shared" ca="1" si="19"/>
        <v>0</v>
      </c>
      <c r="N66" s="478">
        <f ca="1">IF(OR($C$7=Données!$H$52,$C$7=Données!$H$53),(L66*$N$9)+((M66*$Q$8)*$Q$9),(L66+M66)*$N$8*$N$9)</f>
        <v>0</v>
      </c>
      <c r="O66" s="478">
        <f ca="1">IF(OR($C$7=Données!$H$52,$C$7=Données!$H$53),(L66*$H$10)+(M66*$Q$8*$H$10)-(M66*$Q$8*Données!$G$36*$H$10),((L66+M66)*$N$8*$H$10)-IF($K$8="Rente à titre onéreux imposable sur",(L66+M66)*$N$8*Données!$G$36*$H$10,(L66+M66)*$N$8*Données!$M$41*$H$10))</f>
        <v>0</v>
      </c>
      <c r="P66" s="478">
        <f t="shared" ca="1" si="4"/>
        <v>0</v>
      </c>
      <c r="Q66" s="478">
        <f t="shared" ca="1" si="20"/>
        <v>0</v>
      </c>
      <c r="S66" s="476"/>
      <c r="T66" s="477">
        <f t="shared" si="21"/>
        <v>46</v>
      </c>
      <c r="U66" s="478">
        <f t="shared" ca="1" si="22"/>
        <v>0</v>
      </c>
      <c r="V66" s="478">
        <f t="shared" ca="1" si="5"/>
        <v>0</v>
      </c>
      <c r="W66" s="493">
        <f t="shared" ca="1" si="23"/>
        <v>0</v>
      </c>
      <c r="X66" s="493">
        <f t="shared" ca="1" si="24"/>
        <v>0</v>
      </c>
      <c r="Y66" s="478">
        <f t="shared" ca="1" si="6"/>
        <v>0</v>
      </c>
      <c r="Z66" s="504">
        <f t="shared" ca="1" si="25"/>
        <v>0</v>
      </c>
      <c r="AA66" s="478">
        <f t="shared" ca="1" si="7"/>
        <v>0</v>
      </c>
      <c r="AB66" s="478">
        <f t="shared" ca="1" si="8"/>
        <v>0</v>
      </c>
      <c r="AC66" s="478">
        <f ca="1">AA66*Données!$F$36</f>
        <v>0</v>
      </c>
      <c r="AD66" s="478">
        <f ca="1">AA66*Données!$F$28</f>
        <v>0</v>
      </c>
      <c r="AE66" s="478">
        <f ca="1">IF(AB66=0,0,IF($E$7="C1",(AB66*$H$10),IF($E$7="C2",-AA66*Données!$G$36*$H$10,0)))</f>
        <v>0</v>
      </c>
      <c r="AF66" s="478">
        <f t="shared" ca="1" si="9"/>
        <v>0</v>
      </c>
      <c r="AG66" s="477">
        <f t="shared" si="26"/>
        <v>46</v>
      </c>
      <c r="AH66" s="478">
        <f t="shared" si="27"/>
        <v>0</v>
      </c>
      <c r="AI66" s="478">
        <f t="shared" si="28"/>
        <v>0</v>
      </c>
      <c r="AJ66" s="493">
        <f t="shared" si="29"/>
        <v>0</v>
      </c>
      <c r="AK66" s="493">
        <f t="shared" ca="1" si="30"/>
        <v>0</v>
      </c>
      <c r="AL66" s="478">
        <f t="shared" ca="1" si="10"/>
        <v>0</v>
      </c>
      <c r="AM66" s="478">
        <f t="shared" ca="1" si="11"/>
        <v>0</v>
      </c>
      <c r="AN66" s="478">
        <f t="shared" si="31"/>
        <v>0</v>
      </c>
      <c r="AO66" s="478">
        <f t="shared" ca="1" si="12"/>
        <v>0</v>
      </c>
      <c r="AP66" s="478">
        <f>AN66*Données!$F$36</f>
        <v>0</v>
      </c>
      <c r="AQ66" s="478">
        <f>AN66*Données!$F$28</f>
        <v>0</v>
      </c>
      <c r="AR66" s="478">
        <f ca="1">IF(AO66=0,0,IF($E$7="C1",(AO66*$H$10),IF($E$7="C2",-AN66*Données!$G$36*$H$10,0)))</f>
        <v>0</v>
      </c>
      <c r="AS66" s="478">
        <f t="shared" ca="1" si="13"/>
        <v>0</v>
      </c>
      <c r="AT66" s="477">
        <f t="shared" si="32"/>
        <v>46</v>
      </c>
      <c r="AU66" s="478">
        <f t="shared" si="33"/>
        <v>0</v>
      </c>
      <c r="AV66" s="478">
        <f t="shared" si="34"/>
        <v>0</v>
      </c>
      <c r="AW66" s="493">
        <f t="shared" si="35"/>
        <v>0</v>
      </c>
      <c r="AX66" s="493">
        <f t="shared" si="36"/>
        <v>0</v>
      </c>
      <c r="AY66" s="478">
        <f t="shared" si="14"/>
        <v>0</v>
      </c>
    </row>
    <row r="67" spans="1:51">
      <c r="A67" s="477">
        <f t="shared" ca="1" si="15"/>
        <v>2073</v>
      </c>
      <c r="B67" s="478">
        <f t="shared" ca="1" si="16"/>
        <v>0</v>
      </c>
      <c r="C67" s="478">
        <f ca="1">IF(OR($C$7=Données!$H$51,$C$7=Données!$H$54,$C$7=Données!$H$55,$C$7=Données!$H$57),0,B67*'Sit 1'!$C$10)</f>
        <v>0</v>
      </c>
      <c r="D67" s="478">
        <f ca="1">IFERROR(IF($H$5="",B67*'CT à Transf'!$K$28,B67*$H$5),B67*$H$5)</f>
        <v>0</v>
      </c>
      <c r="E67" s="478">
        <f t="shared" ca="1" si="17"/>
        <v>0</v>
      </c>
      <c r="F67" s="478">
        <f t="shared" ca="1" si="37"/>
        <v>0</v>
      </c>
      <c r="G67" s="478">
        <f t="shared" ca="1" si="39"/>
        <v>0</v>
      </c>
      <c r="H67" s="478">
        <f t="shared" ca="1" si="3"/>
        <v>0</v>
      </c>
      <c r="J67" s="476"/>
      <c r="K67" s="477">
        <f t="shared" si="18"/>
        <v>47</v>
      </c>
      <c r="L67" s="478">
        <f t="shared" ca="1" si="38"/>
        <v>0</v>
      </c>
      <c r="M67" s="478">
        <f t="shared" ca="1" si="19"/>
        <v>0</v>
      </c>
      <c r="N67" s="478">
        <f ca="1">IF(OR($C$7=Données!$H$52,$C$7=Données!$H$53),(L67*$N$9)+((M67*$Q$8)*$Q$9),(L67+M67)*$N$8*$N$9)</f>
        <v>0</v>
      </c>
      <c r="O67" s="478">
        <f ca="1">IF(OR($C$7=Données!$H$52,$C$7=Données!$H$53),(L67*$H$10)+(M67*$Q$8*$H$10)-(M67*$Q$8*Données!$G$36*$H$10),((L67+M67)*$N$8*$H$10)-IF($K$8="Rente à titre onéreux imposable sur",(L67+M67)*$N$8*Données!$G$36*$H$10,(L67+M67)*$N$8*Données!$M$41*$H$10))</f>
        <v>0</v>
      </c>
      <c r="P67" s="478">
        <f t="shared" ca="1" si="4"/>
        <v>0</v>
      </c>
      <c r="Q67" s="478">
        <f t="shared" ca="1" si="20"/>
        <v>0</v>
      </c>
      <c r="S67" s="476"/>
      <c r="T67" s="477">
        <f t="shared" si="21"/>
        <v>47</v>
      </c>
      <c r="U67" s="478">
        <f t="shared" ca="1" si="22"/>
        <v>0</v>
      </c>
      <c r="V67" s="478">
        <f t="shared" ca="1" si="5"/>
        <v>0</v>
      </c>
      <c r="W67" s="493">
        <f t="shared" ca="1" si="23"/>
        <v>0</v>
      </c>
      <c r="X67" s="493">
        <f t="shared" ca="1" si="24"/>
        <v>0</v>
      </c>
      <c r="Y67" s="478">
        <f t="shared" ca="1" si="6"/>
        <v>0</v>
      </c>
      <c r="Z67" s="504">
        <f t="shared" ca="1" si="25"/>
        <v>0</v>
      </c>
      <c r="AA67" s="478">
        <f t="shared" ca="1" si="7"/>
        <v>0</v>
      </c>
      <c r="AB67" s="478">
        <f t="shared" ca="1" si="8"/>
        <v>0</v>
      </c>
      <c r="AC67" s="478">
        <f ca="1">AA67*Données!$F$36</f>
        <v>0</v>
      </c>
      <c r="AD67" s="478">
        <f ca="1">AA67*Données!$F$28</f>
        <v>0</v>
      </c>
      <c r="AE67" s="478">
        <f ca="1">IF(AB67=0,0,IF($E$7="C1",(AB67*$H$10),IF($E$7="C2",-AA67*Données!$G$36*$H$10,0)))</f>
        <v>0</v>
      </c>
      <c r="AF67" s="478">
        <f t="shared" ca="1" si="9"/>
        <v>0</v>
      </c>
      <c r="AG67" s="477">
        <f t="shared" si="26"/>
        <v>47</v>
      </c>
      <c r="AH67" s="478">
        <f t="shared" si="27"/>
        <v>0</v>
      </c>
      <c r="AI67" s="478">
        <f t="shared" si="28"/>
        <v>0</v>
      </c>
      <c r="AJ67" s="493">
        <f t="shared" si="29"/>
        <v>0</v>
      </c>
      <c r="AK67" s="493">
        <f t="shared" ca="1" si="30"/>
        <v>0</v>
      </c>
      <c r="AL67" s="478">
        <f t="shared" ca="1" si="10"/>
        <v>0</v>
      </c>
      <c r="AM67" s="478">
        <f t="shared" ca="1" si="11"/>
        <v>0</v>
      </c>
      <c r="AN67" s="478">
        <f t="shared" si="31"/>
        <v>0</v>
      </c>
      <c r="AO67" s="478">
        <f t="shared" ca="1" si="12"/>
        <v>0</v>
      </c>
      <c r="AP67" s="478">
        <f>AN67*Données!$F$36</f>
        <v>0</v>
      </c>
      <c r="AQ67" s="478">
        <f>AN67*Données!$F$28</f>
        <v>0</v>
      </c>
      <c r="AR67" s="478">
        <f ca="1">IF(AO67=0,0,IF($E$7="C1",(AO67*$H$10),IF($E$7="C2",-AN67*Données!$G$36*$H$10,0)))</f>
        <v>0</v>
      </c>
      <c r="AS67" s="478">
        <f t="shared" ca="1" si="13"/>
        <v>0</v>
      </c>
      <c r="AT67" s="477">
        <f t="shared" si="32"/>
        <v>47</v>
      </c>
      <c r="AU67" s="478">
        <f t="shared" si="33"/>
        <v>0</v>
      </c>
      <c r="AV67" s="478">
        <f t="shared" si="34"/>
        <v>0</v>
      </c>
      <c r="AW67" s="493">
        <f t="shared" si="35"/>
        <v>0</v>
      </c>
      <c r="AX67" s="493">
        <f t="shared" si="36"/>
        <v>0</v>
      </c>
      <c r="AY67" s="478">
        <f t="shared" si="14"/>
        <v>0</v>
      </c>
    </row>
    <row r="68" spans="1:51">
      <c r="A68" s="477">
        <f t="shared" ca="1" si="15"/>
        <v>2074</v>
      </c>
      <c r="B68" s="478">
        <f t="shared" ca="1" si="16"/>
        <v>0</v>
      </c>
      <c r="C68" s="478">
        <f ca="1">IF(OR($C$7=Données!$H$51,$C$7=Données!$H$54,$C$7=Données!$H$55,$C$7=Données!$H$57),0,B68*'Sit 1'!$C$10)</f>
        <v>0</v>
      </c>
      <c r="D68" s="478">
        <f ca="1">IFERROR(IF($H$5="",B68*'CT à Transf'!$K$28,B68*$H$5),B68*$H$5)</f>
        <v>0</v>
      </c>
      <c r="E68" s="478">
        <f t="shared" ca="1" si="17"/>
        <v>0</v>
      </c>
      <c r="F68" s="478">
        <f t="shared" ca="1" si="37"/>
        <v>0</v>
      </c>
      <c r="G68" s="478">
        <f t="shared" ca="1" si="39"/>
        <v>0</v>
      </c>
      <c r="H68" s="478">
        <f t="shared" ca="1" si="3"/>
        <v>0</v>
      </c>
      <c r="J68" s="476"/>
      <c r="K68" s="477">
        <f t="shared" si="18"/>
        <v>48</v>
      </c>
      <c r="L68" s="478">
        <f t="shared" ca="1" si="38"/>
        <v>0</v>
      </c>
      <c r="M68" s="478">
        <f t="shared" ca="1" si="19"/>
        <v>0</v>
      </c>
      <c r="N68" s="478">
        <f ca="1">IF(OR($C$7=Données!$H$52,$C$7=Données!$H$53),(L68*$N$9)+((M68*$Q$8)*$Q$9),(L68+M68)*$N$8*$N$9)</f>
        <v>0</v>
      </c>
      <c r="O68" s="478">
        <f ca="1">IF(OR($C$7=Données!$H$52,$C$7=Données!$H$53),(L68*$H$10)+(M68*$Q$8*$H$10)-(M68*$Q$8*Données!$G$36*$H$10),((L68+M68)*$N$8*$H$10)-IF($K$8="Rente à titre onéreux imposable sur",(L68+M68)*$N$8*Données!$G$36*$H$10,(L68+M68)*$N$8*Données!$M$41*$H$10))</f>
        <v>0</v>
      </c>
      <c r="P68" s="478">
        <f t="shared" ca="1" si="4"/>
        <v>0</v>
      </c>
      <c r="Q68" s="478">
        <f t="shared" ca="1" si="20"/>
        <v>0</v>
      </c>
      <c r="S68" s="476"/>
      <c r="T68" s="477">
        <f t="shared" si="21"/>
        <v>48</v>
      </c>
      <c r="U68" s="478">
        <f t="shared" ca="1" si="22"/>
        <v>0</v>
      </c>
      <c r="V68" s="478">
        <f t="shared" ca="1" si="5"/>
        <v>0</v>
      </c>
      <c r="W68" s="493">
        <f t="shared" ca="1" si="23"/>
        <v>0</v>
      </c>
      <c r="X68" s="493">
        <f t="shared" ca="1" si="24"/>
        <v>0</v>
      </c>
      <c r="Y68" s="478">
        <f t="shared" ca="1" si="6"/>
        <v>0</v>
      </c>
      <c r="Z68" s="504">
        <f t="shared" ca="1" si="25"/>
        <v>0</v>
      </c>
      <c r="AA68" s="478">
        <f t="shared" ca="1" si="7"/>
        <v>0</v>
      </c>
      <c r="AB68" s="478">
        <f t="shared" ca="1" si="8"/>
        <v>0</v>
      </c>
      <c r="AC68" s="478">
        <f ca="1">AA68*Données!$F$36</f>
        <v>0</v>
      </c>
      <c r="AD68" s="478">
        <f ca="1">AA68*Données!$F$28</f>
        <v>0</v>
      </c>
      <c r="AE68" s="478">
        <f ca="1">IF(AB68=0,0,IF($E$7="C1",(AB68*$H$10),IF($E$7="C2",-AA68*Données!$G$36*$H$10,0)))</f>
        <v>0</v>
      </c>
      <c r="AF68" s="478">
        <f t="shared" ca="1" si="9"/>
        <v>0</v>
      </c>
      <c r="AG68" s="477">
        <f t="shared" si="26"/>
        <v>48</v>
      </c>
      <c r="AH68" s="478">
        <f t="shared" si="27"/>
        <v>0</v>
      </c>
      <c r="AI68" s="478">
        <f t="shared" si="28"/>
        <v>0</v>
      </c>
      <c r="AJ68" s="493">
        <f t="shared" si="29"/>
        <v>0</v>
      </c>
      <c r="AK68" s="493">
        <f t="shared" ca="1" si="30"/>
        <v>0</v>
      </c>
      <c r="AL68" s="478">
        <f t="shared" ca="1" si="10"/>
        <v>0</v>
      </c>
      <c r="AM68" s="478">
        <f t="shared" ca="1" si="11"/>
        <v>0</v>
      </c>
      <c r="AN68" s="478">
        <f t="shared" si="31"/>
        <v>0</v>
      </c>
      <c r="AO68" s="478">
        <f t="shared" ca="1" si="12"/>
        <v>0</v>
      </c>
      <c r="AP68" s="478">
        <f>AN68*Données!$F$36</f>
        <v>0</v>
      </c>
      <c r="AQ68" s="478">
        <f>AN68*Données!$F$28</f>
        <v>0</v>
      </c>
      <c r="AR68" s="478">
        <f ca="1">IF(AO68=0,0,IF($E$7="C1",(AO68*$H$10),IF($E$7="C2",-AN68*Données!$G$36*$H$10,0)))</f>
        <v>0</v>
      </c>
      <c r="AS68" s="478">
        <f t="shared" ca="1" si="13"/>
        <v>0</v>
      </c>
      <c r="AT68" s="477">
        <f t="shared" si="32"/>
        <v>48</v>
      </c>
      <c r="AU68" s="478">
        <f t="shared" si="33"/>
        <v>0</v>
      </c>
      <c r="AV68" s="478">
        <f t="shared" si="34"/>
        <v>0</v>
      </c>
      <c r="AW68" s="493">
        <f t="shared" si="35"/>
        <v>0</v>
      </c>
      <c r="AX68" s="493">
        <f t="shared" si="36"/>
        <v>0</v>
      </c>
      <c r="AY68" s="478">
        <f t="shared" si="14"/>
        <v>0</v>
      </c>
    </row>
    <row r="69" spans="1:51">
      <c r="A69" s="477">
        <f t="shared" ca="1" si="15"/>
        <v>2075</v>
      </c>
      <c r="B69" s="478">
        <f t="shared" ca="1" si="16"/>
        <v>0</v>
      </c>
      <c r="C69" s="478">
        <f ca="1">IF(OR($C$7=Données!$H$51,$C$7=Données!$H$54,$C$7=Données!$H$55,$C$7=Données!$H$57),0,B69*'Sit 1'!$C$10)</f>
        <v>0</v>
      </c>
      <c r="D69" s="478">
        <f ca="1">IFERROR(IF($H$5="",B69*'CT à Transf'!$K$28,B69*$H$5),B69*$H$5)</f>
        <v>0</v>
      </c>
      <c r="E69" s="478">
        <f t="shared" ca="1" si="17"/>
        <v>0</v>
      </c>
      <c r="F69" s="478">
        <f t="shared" ca="1" si="37"/>
        <v>0</v>
      </c>
      <c r="G69" s="478">
        <f t="shared" ca="1" si="39"/>
        <v>0</v>
      </c>
      <c r="H69" s="478">
        <f t="shared" ca="1" si="3"/>
        <v>0</v>
      </c>
      <c r="J69" s="476"/>
      <c r="K69" s="477">
        <f t="shared" si="18"/>
        <v>49</v>
      </c>
      <c r="L69" s="478">
        <f t="shared" ca="1" si="38"/>
        <v>0</v>
      </c>
      <c r="M69" s="478">
        <f t="shared" ca="1" si="19"/>
        <v>0</v>
      </c>
      <c r="N69" s="478">
        <f ca="1">IF(OR($C$7=Données!$H$52,$C$7=Données!$H$53),(L69*$N$9)+((M69*$Q$8)*$Q$9),(L69+M69)*$N$8*$N$9)</f>
        <v>0</v>
      </c>
      <c r="O69" s="478">
        <f ca="1">IF(OR($C$7=Données!$H$52,$C$7=Données!$H$53),(L69*$H$10)+(M69*$Q$8*$H$10)-(M69*$Q$8*Données!$G$36*$H$10),((L69+M69)*$N$8*$H$10)-IF($K$8="Rente à titre onéreux imposable sur",(L69+M69)*$N$8*Données!$G$36*$H$10,(L69+M69)*$N$8*Données!$M$41*$H$10))</f>
        <v>0</v>
      </c>
      <c r="P69" s="478">
        <f t="shared" ca="1" si="4"/>
        <v>0</v>
      </c>
      <c r="Q69" s="478">
        <f t="shared" ca="1" si="20"/>
        <v>0</v>
      </c>
      <c r="S69" s="476"/>
      <c r="T69" s="477">
        <f t="shared" si="21"/>
        <v>49</v>
      </c>
      <c r="U69" s="478">
        <f t="shared" ca="1" si="22"/>
        <v>0</v>
      </c>
      <c r="V69" s="478">
        <f t="shared" ca="1" si="5"/>
        <v>0</v>
      </c>
      <c r="W69" s="493">
        <f t="shared" ca="1" si="23"/>
        <v>0</v>
      </c>
      <c r="X69" s="493">
        <f t="shared" ca="1" si="24"/>
        <v>0</v>
      </c>
      <c r="Y69" s="478">
        <f t="shared" ca="1" si="6"/>
        <v>0</v>
      </c>
      <c r="Z69" s="504">
        <f t="shared" ca="1" si="25"/>
        <v>0</v>
      </c>
      <c r="AA69" s="478">
        <f t="shared" ca="1" si="7"/>
        <v>0</v>
      </c>
      <c r="AB69" s="478">
        <f t="shared" ca="1" si="8"/>
        <v>0</v>
      </c>
      <c r="AC69" s="478">
        <f ca="1">AA69*Données!$F$36</f>
        <v>0</v>
      </c>
      <c r="AD69" s="478">
        <f ca="1">AA69*Données!$F$28</f>
        <v>0</v>
      </c>
      <c r="AE69" s="478">
        <f ca="1">IF(AB69=0,0,IF($E$7="C1",(AB69*$H$10),IF($E$7="C2",-AA69*Données!$G$36*$H$10,0)))</f>
        <v>0</v>
      </c>
      <c r="AF69" s="478">
        <f t="shared" ca="1" si="9"/>
        <v>0</v>
      </c>
      <c r="AG69" s="477">
        <f t="shared" si="26"/>
        <v>49</v>
      </c>
      <c r="AH69" s="478">
        <f t="shared" si="27"/>
        <v>0</v>
      </c>
      <c r="AI69" s="478">
        <f t="shared" si="28"/>
        <v>0</v>
      </c>
      <c r="AJ69" s="493">
        <f t="shared" si="29"/>
        <v>0</v>
      </c>
      <c r="AK69" s="493">
        <f t="shared" ca="1" si="30"/>
        <v>0</v>
      </c>
      <c r="AL69" s="478">
        <f t="shared" ca="1" si="10"/>
        <v>0</v>
      </c>
      <c r="AM69" s="478">
        <f t="shared" ca="1" si="11"/>
        <v>0</v>
      </c>
      <c r="AN69" s="478">
        <f t="shared" si="31"/>
        <v>0</v>
      </c>
      <c r="AO69" s="478">
        <f t="shared" ca="1" si="12"/>
        <v>0</v>
      </c>
      <c r="AP69" s="478">
        <f>AN69*Données!$F$36</f>
        <v>0</v>
      </c>
      <c r="AQ69" s="478">
        <f>AN69*Données!$F$28</f>
        <v>0</v>
      </c>
      <c r="AR69" s="478">
        <f ca="1">IF(AO69=0,0,IF($E$7="C1",(AO69*$H$10),IF($E$7="C2",-AN69*Données!$G$36*$H$10,0)))</f>
        <v>0</v>
      </c>
      <c r="AS69" s="478">
        <f t="shared" ca="1" si="13"/>
        <v>0</v>
      </c>
      <c r="AT69" s="477">
        <f t="shared" si="32"/>
        <v>49</v>
      </c>
      <c r="AU69" s="478">
        <f t="shared" si="33"/>
        <v>0</v>
      </c>
      <c r="AV69" s="478">
        <f t="shared" si="34"/>
        <v>0</v>
      </c>
      <c r="AW69" s="493">
        <f t="shared" si="35"/>
        <v>0</v>
      </c>
      <c r="AX69" s="493">
        <f t="shared" si="36"/>
        <v>0</v>
      </c>
      <c r="AY69" s="478">
        <f t="shared" si="14"/>
        <v>0</v>
      </c>
    </row>
    <row r="70" spans="1:51">
      <c r="A70" s="477">
        <f t="shared" ca="1" si="15"/>
        <v>2076</v>
      </c>
      <c r="B70" s="478">
        <f t="shared" ca="1" si="16"/>
        <v>0</v>
      </c>
      <c r="C70" s="478">
        <f ca="1">IF(OR($C$7=Données!$H$51,$C$7=Données!$H$54,$C$7=Données!$H$55,$C$7=Données!$H$57),0,B70*'Sit 1'!$C$10)</f>
        <v>0</v>
      </c>
      <c r="D70" s="478">
        <f ca="1">IFERROR(IF($H$5="",B70*'CT à Transf'!$K$28,B70*$H$5),B70*$H$5)</f>
        <v>0</v>
      </c>
      <c r="E70" s="478">
        <f t="shared" ca="1" si="17"/>
        <v>0</v>
      </c>
      <c r="F70" s="478">
        <f t="shared" ca="1" si="37"/>
        <v>0</v>
      </c>
      <c r="G70" s="478">
        <f t="shared" ca="1" si="39"/>
        <v>0</v>
      </c>
      <c r="H70" s="478">
        <f t="shared" ca="1" si="3"/>
        <v>0</v>
      </c>
      <c r="J70" s="476"/>
      <c r="K70" s="477">
        <f t="shared" si="18"/>
        <v>50</v>
      </c>
      <c r="L70" s="478">
        <f t="shared" ca="1" si="38"/>
        <v>0</v>
      </c>
      <c r="M70" s="478">
        <f t="shared" ca="1" si="19"/>
        <v>0</v>
      </c>
      <c r="N70" s="478">
        <f ca="1">IF(OR($C$7=Données!$H$52,$C$7=Données!$H$53),(L70*$N$9)+((M70*$Q$8)*$Q$9),(L70+M70)*$N$8*$N$9)</f>
        <v>0</v>
      </c>
      <c r="O70" s="478">
        <f ca="1">IF(OR($C$7=Données!$H$52,$C$7=Données!$H$53),(L70*$H$10)+(M70*$Q$8*$H$10)-(M70*$Q$8*Données!$G$36*$H$10),((L70+M70)*$N$8*$H$10)-IF($K$8="Rente à titre onéreux imposable sur",(L70+M70)*$N$8*Données!$G$36*$H$10,(L70+M70)*$N$8*Données!$M$41*$H$10))</f>
        <v>0</v>
      </c>
      <c r="P70" s="478">
        <f t="shared" ca="1" si="4"/>
        <v>0</v>
      </c>
      <c r="Q70" s="478">
        <f t="shared" ca="1" si="20"/>
        <v>0</v>
      </c>
      <c r="S70" s="476"/>
      <c r="T70" s="477">
        <f t="shared" si="21"/>
        <v>50</v>
      </c>
      <c r="U70" s="478">
        <f t="shared" ca="1" si="22"/>
        <v>0</v>
      </c>
      <c r="V70" s="478">
        <f t="shared" ca="1" si="5"/>
        <v>0</v>
      </c>
      <c r="W70" s="493">
        <f t="shared" ca="1" si="23"/>
        <v>0</v>
      </c>
      <c r="X70" s="493">
        <f t="shared" ca="1" si="24"/>
        <v>0</v>
      </c>
      <c r="Y70" s="478">
        <f t="shared" ca="1" si="6"/>
        <v>0</v>
      </c>
      <c r="Z70" s="504">
        <f t="shared" ca="1" si="25"/>
        <v>0</v>
      </c>
      <c r="AA70" s="478">
        <f t="shared" ca="1" si="7"/>
        <v>0</v>
      </c>
      <c r="AB70" s="478">
        <f t="shared" ca="1" si="8"/>
        <v>0</v>
      </c>
      <c r="AC70" s="478">
        <f ca="1">AA70*Données!$F$36</f>
        <v>0</v>
      </c>
      <c r="AD70" s="478">
        <f ca="1">AA70*Données!$F$28</f>
        <v>0</v>
      </c>
      <c r="AE70" s="478">
        <f ca="1">IF(AB70=0,0,IF($E$7="C1",(AB70*$H$10),IF($E$7="C2",-AA70*Données!$G$36*$H$10,0)))</f>
        <v>0</v>
      </c>
      <c r="AF70" s="478">
        <f t="shared" ca="1" si="9"/>
        <v>0</v>
      </c>
      <c r="AG70" s="477">
        <f t="shared" si="26"/>
        <v>50</v>
      </c>
      <c r="AH70" s="478">
        <f t="shared" si="27"/>
        <v>0</v>
      </c>
      <c r="AI70" s="478">
        <f t="shared" si="28"/>
        <v>0</v>
      </c>
      <c r="AJ70" s="493">
        <f t="shared" si="29"/>
        <v>0</v>
      </c>
      <c r="AK70" s="493">
        <f t="shared" ca="1" si="30"/>
        <v>0</v>
      </c>
      <c r="AL70" s="478">
        <f t="shared" ca="1" si="10"/>
        <v>0</v>
      </c>
      <c r="AM70" s="478">
        <f t="shared" ca="1" si="11"/>
        <v>0</v>
      </c>
      <c r="AN70" s="478">
        <f t="shared" si="31"/>
        <v>0</v>
      </c>
      <c r="AO70" s="478">
        <f t="shared" ca="1" si="12"/>
        <v>0</v>
      </c>
      <c r="AP70" s="478">
        <f>AN70*Données!$F$36</f>
        <v>0</v>
      </c>
      <c r="AQ70" s="478">
        <f>AN70*Données!$F$28</f>
        <v>0</v>
      </c>
      <c r="AR70" s="478">
        <f ca="1">IF(AO70=0,0,IF($E$7="C1",(AO70*$H$10),IF($E$7="C2",-AN70*Données!$G$36*$H$10,0)))</f>
        <v>0</v>
      </c>
      <c r="AS70" s="478">
        <f t="shared" ca="1" si="13"/>
        <v>0</v>
      </c>
      <c r="AT70" s="477">
        <f t="shared" si="32"/>
        <v>50</v>
      </c>
      <c r="AU70" s="478">
        <f t="shared" si="33"/>
        <v>0</v>
      </c>
      <c r="AV70" s="478">
        <f t="shared" si="34"/>
        <v>0</v>
      </c>
      <c r="AW70" s="493">
        <f t="shared" si="35"/>
        <v>0</v>
      </c>
      <c r="AX70" s="493">
        <f t="shared" si="36"/>
        <v>0</v>
      </c>
      <c r="AY70" s="478">
        <f t="shared" si="14"/>
        <v>0</v>
      </c>
    </row>
    <row r="71" spans="1:51">
      <c r="A71" s="477">
        <f t="shared" ca="1" si="15"/>
        <v>2077</v>
      </c>
      <c r="B71" s="478">
        <f t="shared" ca="1" si="16"/>
        <v>0</v>
      </c>
      <c r="C71" s="478">
        <f ca="1">IF(OR($C$7=Données!$H$51,$C$7=Données!$H$54,$C$7=Données!$H$55,$C$7=Données!$H$57),0,B71*'Sit 1'!$C$10)</f>
        <v>0</v>
      </c>
      <c r="D71" s="478">
        <f ca="1">IFERROR(IF($H$5="",B71*'CT à Transf'!$K$28,B71*$H$5),B71*$H$5)</f>
        <v>0</v>
      </c>
      <c r="E71" s="478">
        <f t="shared" ca="1" si="17"/>
        <v>0</v>
      </c>
      <c r="F71" s="478">
        <f t="shared" ca="1" si="37"/>
        <v>0</v>
      </c>
      <c r="G71" s="478">
        <f t="shared" ca="1" si="39"/>
        <v>0</v>
      </c>
      <c r="H71" s="478">
        <f t="shared" ca="1" si="3"/>
        <v>0</v>
      </c>
      <c r="J71" s="476"/>
      <c r="K71" s="477">
        <f t="shared" si="18"/>
        <v>51</v>
      </c>
      <c r="L71" s="478">
        <f t="shared" ca="1" si="38"/>
        <v>0</v>
      </c>
      <c r="M71" s="478">
        <f t="shared" ca="1" si="19"/>
        <v>0</v>
      </c>
      <c r="N71" s="478">
        <f ca="1">IF(OR($C$7=Données!$H$52,$C$7=Données!$H$53),(L71*$N$9)+((M71*$Q$8)*$Q$9),(L71+M71)*$N$8*$N$9)</f>
        <v>0</v>
      </c>
      <c r="O71" s="478">
        <f ca="1">IF(OR($C$7=Données!$H$52,$C$7=Données!$H$53),(L71*$H$10)+(M71*$Q$8*$H$10)-(M71*$Q$8*Données!$G$36*$H$10),((L71+M71)*$N$8*$H$10)-IF($K$8="Rente à titre onéreux imposable sur",(L71+M71)*$N$8*Données!$G$36*$H$10,(L71+M71)*$N$8*Données!$M$41*$H$10))</f>
        <v>0</v>
      </c>
      <c r="P71" s="478">
        <f t="shared" ca="1" si="4"/>
        <v>0</v>
      </c>
      <c r="Q71" s="478">
        <f t="shared" ca="1" si="20"/>
        <v>0</v>
      </c>
      <c r="S71" s="476"/>
      <c r="T71" s="477">
        <f t="shared" si="21"/>
        <v>51</v>
      </c>
      <c r="U71" s="478">
        <f t="shared" ca="1" si="22"/>
        <v>0</v>
      </c>
      <c r="V71" s="478">
        <f t="shared" ca="1" si="5"/>
        <v>0</v>
      </c>
      <c r="W71" s="493">
        <f t="shared" ca="1" si="23"/>
        <v>0</v>
      </c>
      <c r="X71" s="493">
        <f t="shared" ca="1" si="24"/>
        <v>0</v>
      </c>
      <c r="Y71" s="478">
        <f t="shared" ca="1" si="6"/>
        <v>0</v>
      </c>
      <c r="Z71" s="504">
        <f t="shared" ca="1" si="25"/>
        <v>0</v>
      </c>
      <c r="AA71" s="478">
        <f t="shared" ca="1" si="7"/>
        <v>0</v>
      </c>
      <c r="AB71" s="478">
        <f t="shared" ca="1" si="8"/>
        <v>0</v>
      </c>
      <c r="AC71" s="478">
        <f ca="1">AA71*Données!$F$36</f>
        <v>0</v>
      </c>
      <c r="AD71" s="478">
        <f ca="1">AA71*Données!$F$28</f>
        <v>0</v>
      </c>
      <c r="AE71" s="478">
        <f ca="1">IF(AB71=0,0,IF($E$7="C1",(AB71*$H$10),IF($E$7="C2",-AA71*Données!$G$36*$H$10,0)))</f>
        <v>0</v>
      </c>
      <c r="AF71" s="478">
        <f t="shared" ca="1" si="9"/>
        <v>0</v>
      </c>
      <c r="AG71" s="477">
        <f t="shared" si="26"/>
        <v>51</v>
      </c>
      <c r="AH71" s="478">
        <f t="shared" si="27"/>
        <v>0</v>
      </c>
      <c r="AI71" s="478">
        <f t="shared" si="28"/>
        <v>0</v>
      </c>
      <c r="AJ71" s="493">
        <f t="shared" si="29"/>
        <v>0</v>
      </c>
      <c r="AK71" s="493">
        <f t="shared" ca="1" si="30"/>
        <v>0</v>
      </c>
      <c r="AL71" s="478">
        <f t="shared" ca="1" si="10"/>
        <v>0</v>
      </c>
      <c r="AM71" s="478">
        <f t="shared" ca="1" si="11"/>
        <v>0</v>
      </c>
      <c r="AN71" s="478">
        <f t="shared" si="31"/>
        <v>0</v>
      </c>
      <c r="AO71" s="478">
        <f t="shared" ca="1" si="12"/>
        <v>0</v>
      </c>
      <c r="AP71" s="478">
        <f>AN71*Données!$F$36</f>
        <v>0</v>
      </c>
      <c r="AQ71" s="478">
        <f>AN71*Données!$F$28</f>
        <v>0</v>
      </c>
      <c r="AR71" s="478">
        <f ca="1">IF(AO71=0,0,IF($E$7="C1",(AO71*$H$10),IF($E$7="C2",-AN71*Données!$G$36*$H$10,0)))</f>
        <v>0</v>
      </c>
      <c r="AS71" s="478">
        <f t="shared" ca="1" si="13"/>
        <v>0</v>
      </c>
      <c r="AT71" s="477">
        <f t="shared" si="32"/>
        <v>51</v>
      </c>
      <c r="AU71" s="478">
        <f t="shared" si="33"/>
        <v>0</v>
      </c>
      <c r="AV71" s="478">
        <f t="shared" si="34"/>
        <v>0</v>
      </c>
      <c r="AW71" s="493">
        <f t="shared" si="35"/>
        <v>0</v>
      </c>
      <c r="AX71" s="493">
        <f t="shared" si="36"/>
        <v>0</v>
      </c>
      <c r="AY71" s="478">
        <f t="shared" si="14"/>
        <v>0</v>
      </c>
    </row>
    <row r="72" spans="1:51">
      <c r="A72" s="477">
        <f t="shared" ca="1" si="15"/>
        <v>2078</v>
      </c>
      <c r="B72" s="478">
        <f t="shared" ca="1" si="16"/>
        <v>0</v>
      </c>
      <c r="C72" s="478">
        <f ca="1">IF(OR($C$7=Données!$H$51,$C$7=Données!$H$54,$C$7=Données!$H$55,$C$7=Données!$H$57),0,B72*'Sit 1'!$C$10)</f>
        <v>0</v>
      </c>
      <c r="D72" s="478">
        <f ca="1">IFERROR(IF($H$5="",B72*'CT à Transf'!$K$28,B72*$H$5),B72*$H$5)</f>
        <v>0</v>
      </c>
      <c r="E72" s="478">
        <f t="shared" ca="1" si="17"/>
        <v>0</v>
      </c>
      <c r="F72" s="478">
        <f t="shared" ca="1" si="37"/>
        <v>0</v>
      </c>
      <c r="G72" s="478">
        <f t="shared" ca="1" si="39"/>
        <v>0</v>
      </c>
      <c r="H72" s="478">
        <f t="shared" ca="1" si="3"/>
        <v>0</v>
      </c>
      <c r="J72" s="476"/>
      <c r="K72" s="477">
        <f t="shared" si="18"/>
        <v>52</v>
      </c>
      <c r="L72" s="478">
        <f t="shared" ca="1" si="38"/>
        <v>0</v>
      </c>
      <c r="M72" s="478">
        <f t="shared" ca="1" si="19"/>
        <v>0</v>
      </c>
      <c r="N72" s="478">
        <f ca="1">IF(OR($C$7=Données!$H$52,$C$7=Données!$H$53),(L72*$N$9)+((M72*$Q$8)*$Q$9),(L72+M72)*$N$8*$N$9)</f>
        <v>0</v>
      </c>
      <c r="O72" s="478">
        <f ca="1">IF(OR($C$7=Données!$H$52,$C$7=Données!$H$53),(L72*$H$10)+(M72*$Q$8*$H$10)-(M72*$Q$8*Données!$G$36*$H$10),((L72+M72)*$N$8*$H$10)-IF($K$8="Rente à titre onéreux imposable sur",(L72+M72)*$N$8*Données!$G$36*$H$10,(L72+M72)*$N$8*Données!$M$41*$H$10))</f>
        <v>0</v>
      </c>
      <c r="P72" s="478">
        <f t="shared" ca="1" si="4"/>
        <v>0</v>
      </c>
      <c r="Q72" s="478">
        <f t="shared" ca="1" si="20"/>
        <v>0</v>
      </c>
      <c r="S72" s="476"/>
      <c r="T72" s="477">
        <f t="shared" si="21"/>
        <v>52</v>
      </c>
      <c r="U72" s="478">
        <f t="shared" ca="1" si="22"/>
        <v>0</v>
      </c>
      <c r="V72" s="478">
        <f t="shared" ca="1" si="5"/>
        <v>0</v>
      </c>
      <c r="W72" s="493">
        <f t="shared" ca="1" si="23"/>
        <v>0</v>
      </c>
      <c r="X72" s="493">
        <f t="shared" ca="1" si="24"/>
        <v>0</v>
      </c>
      <c r="Y72" s="478">
        <f t="shared" ca="1" si="6"/>
        <v>0</v>
      </c>
      <c r="Z72" s="504">
        <f t="shared" ca="1" si="25"/>
        <v>0</v>
      </c>
      <c r="AA72" s="478">
        <f t="shared" ca="1" si="7"/>
        <v>0</v>
      </c>
      <c r="AB72" s="478">
        <f t="shared" ca="1" si="8"/>
        <v>0</v>
      </c>
      <c r="AC72" s="478">
        <f ca="1">AA72*Données!$F$36</f>
        <v>0</v>
      </c>
      <c r="AD72" s="478">
        <f ca="1">AA72*Données!$F$28</f>
        <v>0</v>
      </c>
      <c r="AE72" s="478">
        <f ca="1">IF(AB72=0,0,IF($E$7="C1",(AB72*$H$10),IF($E$7="C2",-AA72*Données!$G$36*$H$10,0)))</f>
        <v>0</v>
      </c>
      <c r="AF72" s="478">
        <f t="shared" ca="1" si="9"/>
        <v>0</v>
      </c>
      <c r="AG72" s="477">
        <f t="shared" si="26"/>
        <v>52</v>
      </c>
      <c r="AH72" s="478">
        <f t="shared" si="27"/>
        <v>0</v>
      </c>
      <c r="AI72" s="478">
        <f t="shared" si="28"/>
        <v>0</v>
      </c>
      <c r="AJ72" s="493">
        <f t="shared" si="29"/>
        <v>0</v>
      </c>
      <c r="AK72" s="493">
        <f t="shared" ca="1" si="30"/>
        <v>0</v>
      </c>
      <c r="AL72" s="478">
        <f t="shared" ca="1" si="10"/>
        <v>0</v>
      </c>
      <c r="AM72" s="478">
        <f t="shared" ca="1" si="11"/>
        <v>0</v>
      </c>
      <c r="AN72" s="478">
        <f t="shared" si="31"/>
        <v>0</v>
      </c>
      <c r="AO72" s="478">
        <f t="shared" ca="1" si="12"/>
        <v>0</v>
      </c>
      <c r="AP72" s="478">
        <f>AN72*Données!$F$36</f>
        <v>0</v>
      </c>
      <c r="AQ72" s="478">
        <f>AN72*Données!$F$28</f>
        <v>0</v>
      </c>
      <c r="AR72" s="478">
        <f ca="1">IF(AO72=0,0,IF($E$7="C1",(AO72*$H$10),IF($E$7="C2",-AN72*Données!$G$36*$H$10,0)))</f>
        <v>0</v>
      </c>
      <c r="AS72" s="478">
        <f t="shared" ca="1" si="13"/>
        <v>0</v>
      </c>
      <c r="AT72" s="477">
        <f t="shared" si="32"/>
        <v>52</v>
      </c>
      <c r="AU72" s="478">
        <f t="shared" si="33"/>
        <v>0</v>
      </c>
      <c r="AV72" s="478">
        <f t="shared" si="34"/>
        <v>0</v>
      </c>
      <c r="AW72" s="493">
        <f t="shared" si="35"/>
        <v>0</v>
      </c>
      <c r="AX72" s="493">
        <f t="shared" si="36"/>
        <v>0</v>
      </c>
      <c r="AY72" s="478">
        <f t="shared" si="14"/>
        <v>0</v>
      </c>
    </row>
    <row r="73" spans="1:51">
      <c r="A73" s="477">
        <f t="shared" ca="1" si="15"/>
        <v>2079</v>
      </c>
      <c r="B73" s="478">
        <f t="shared" ca="1" si="16"/>
        <v>0</v>
      </c>
      <c r="C73" s="478">
        <f ca="1">IF(OR($C$7=Données!$H$51,$C$7=Données!$H$54,$C$7=Données!$H$55,$C$7=Données!$H$57),0,B73*'Sit 1'!$C$10)</f>
        <v>0</v>
      </c>
      <c r="D73" s="478">
        <f ca="1">IFERROR(IF($H$5="",B73*'CT à Transf'!$K$28,B73*$H$5),B73*$H$5)</f>
        <v>0</v>
      </c>
      <c r="E73" s="478">
        <f t="shared" ca="1" si="17"/>
        <v>0</v>
      </c>
      <c r="F73" s="478">
        <f t="shared" ca="1" si="37"/>
        <v>0</v>
      </c>
      <c r="G73" s="478">
        <f t="shared" ca="1" si="39"/>
        <v>0</v>
      </c>
      <c r="H73" s="478">
        <f t="shared" ca="1" si="3"/>
        <v>0</v>
      </c>
      <c r="J73" s="476"/>
      <c r="K73" s="477">
        <f t="shared" si="18"/>
        <v>53</v>
      </c>
      <c r="L73" s="478">
        <f t="shared" ca="1" si="38"/>
        <v>0</v>
      </c>
      <c r="M73" s="478">
        <f t="shared" ca="1" si="19"/>
        <v>0</v>
      </c>
      <c r="N73" s="478">
        <f ca="1">IF(OR($C$7=Données!$H$52,$C$7=Données!$H$53),(L73*$N$9)+((M73*$Q$8)*$Q$9),(L73+M73)*$N$8*$N$9)</f>
        <v>0</v>
      </c>
      <c r="O73" s="478">
        <f ca="1">IF(OR($C$7=Données!$H$52,$C$7=Données!$H$53),(L73*$H$10)+(M73*$Q$8*$H$10)-(M73*$Q$8*Données!$G$36*$H$10),((L73+M73)*$N$8*$H$10)-IF($K$8="Rente à titre onéreux imposable sur",(L73+M73)*$N$8*Données!$G$36*$H$10,(L73+M73)*$N$8*Données!$M$41*$H$10))</f>
        <v>0</v>
      </c>
      <c r="P73" s="478">
        <f t="shared" ca="1" si="4"/>
        <v>0</v>
      </c>
      <c r="Q73" s="478">
        <f t="shared" ca="1" si="20"/>
        <v>0</v>
      </c>
      <c r="S73" s="476"/>
      <c r="T73" s="477">
        <f t="shared" si="21"/>
        <v>53</v>
      </c>
      <c r="U73" s="478">
        <f t="shared" ca="1" si="22"/>
        <v>0</v>
      </c>
      <c r="V73" s="478">
        <f t="shared" ca="1" si="5"/>
        <v>0</v>
      </c>
      <c r="W73" s="493">
        <f t="shared" ca="1" si="23"/>
        <v>0</v>
      </c>
      <c r="X73" s="493">
        <f t="shared" ca="1" si="24"/>
        <v>0</v>
      </c>
      <c r="Y73" s="478">
        <f t="shared" ca="1" si="6"/>
        <v>0</v>
      </c>
      <c r="Z73" s="504">
        <f t="shared" ca="1" si="25"/>
        <v>0</v>
      </c>
      <c r="AA73" s="478">
        <f t="shared" ca="1" si="7"/>
        <v>0</v>
      </c>
      <c r="AB73" s="478">
        <f t="shared" ca="1" si="8"/>
        <v>0</v>
      </c>
      <c r="AC73" s="478">
        <f ca="1">AA73*Données!$F$36</f>
        <v>0</v>
      </c>
      <c r="AD73" s="478">
        <f ca="1">AA73*Données!$F$28</f>
        <v>0</v>
      </c>
      <c r="AE73" s="478">
        <f ca="1">IF(AB73=0,0,IF($E$7="C1",(AB73*$H$10),IF($E$7="C2",-AA73*Données!$G$36*$H$10,0)))</f>
        <v>0</v>
      </c>
      <c r="AF73" s="478">
        <f t="shared" ca="1" si="9"/>
        <v>0</v>
      </c>
      <c r="AG73" s="477">
        <f t="shared" si="26"/>
        <v>53</v>
      </c>
      <c r="AH73" s="478">
        <f t="shared" si="27"/>
        <v>0</v>
      </c>
      <c r="AI73" s="478">
        <f t="shared" si="28"/>
        <v>0</v>
      </c>
      <c r="AJ73" s="493">
        <f t="shared" si="29"/>
        <v>0</v>
      </c>
      <c r="AK73" s="493">
        <f t="shared" ca="1" si="30"/>
        <v>0</v>
      </c>
      <c r="AL73" s="478">
        <f t="shared" ca="1" si="10"/>
        <v>0</v>
      </c>
      <c r="AM73" s="478">
        <f t="shared" ca="1" si="11"/>
        <v>0</v>
      </c>
      <c r="AN73" s="478">
        <f t="shared" si="31"/>
        <v>0</v>
      </c>
      <c r="AO73" s="478">
        <f t="shared" ca="1" si="12"/>
        <v>0</v>
      </c>
      <c r="AP73" s="478">
        <f>AN73*Données!$F$36</f>
        <v>0</v>
      </c>
      <c r="AQ73" s="478">
        <f>AN73*Données!$F$28</f>
        <v>0</v>
      </c>
      <c r="AR73" s="478">
        <f ca="1">IF(AO73=0,0,IF($E$7="C1",(AO73*$H$10),IF($E$7="C2",-AN73*Données!$G$36*$H$10,0)))</f>
        <v>0</v>
      </c>
      <c r="AS73" s="478">
        <f t="shared" ca="1" si="13"/>
        <v>0</v>
      </c>
      <c r="AT73" s="477">
        <f t="shared" si="32"/>
        <v>53</v>
      </c>
      <c r="AU73" s="478">
        <f t="shared" si="33"/>
        <v>0</v>
      </c>
      <c r="AV73" s="478">
        <f t="shared" si="34"/>
        <v>0</v>
      </c>
      <c r="AW73" s="493">
        <f t="shared" si="35"/>
        <v>0</v>
      </c>
      <c r="AX73" s="493">
        <f t="shared" si="36"/>
        <v>0</v>
      </c>
      <c r="AY73" s="478">
        <f t="shared" si="14"/>
        <v>0</v>
      </c>
    </row>
    <row r="74" spans="1:51">
      <c r="A74" s="477">
        <f t="shared" ca="1" si="15"/>
        <v>2080</v>
      </c>
      <c r="B74" s="478">
        <f t="shared" ca="1" si="16"/>
        <v>0</v>
      </c>
      <c r="C74" s="478">
        <f ca="1">IF(OR($C$7=Données!$H$51,$C$7=Données!$H$54,$C$7=Données!$H$55,$C$7=Données!$H$57),0,B74*'Sit 1'!$C$10)</f>
        <v>0</v>
      </c>
      <c r="D74" s="478">
        <f ca="1">IFERROR(IF($H$5="",B74*'CT à Transf'!$K$28,B74*$H$5),B74*$H$5)</f>
        <v>0</v>
      </c>
      <c r="E74" s="478">
        <f t="shared" ca="1" si="17"/>
        <v>0</v>
      </c>
      <c r="F74" s="478">
        <f t="shared" ca="1" si="37"/>
        <v>0</v>
      </c>
      <c r="G74" s="478">
        <f t="shared" ca="1" si="39"/>
        <v>0</v>
      </c>
      <c r="H74" s="478">
        <f t="shared" ca="1" si="3"/>
        <v>0</v>
      </c>
      <c r="J74" s="476"/>
      <c r="K74" s="477">
        <f t="shared" si="18"/>
        <v>54</v>
      </c>
      <c r="L74" s="478">
        <f t="shared" ca="1" si="38"/>
        <v>0</v>
      </c>
      <c r="M74" s="478">
        <f t="shared" ca="1" si="19"/>
        <v>0</v>
      </c>
      <c r="N74" s="478">
        <f ca="1">IF(OR($C$7=Données!$H$52,$C$7=Données!$H$53),(L74*$N$9)+((M74*$Q$8)*$Q$9),(L74+M74)*$N$8*$N$9)</f>
        <v>0</v>
      </c>
      <c r="O74" s="478">
        <f ca="1">IF(OR($C$7=Données!$H$52,$C$7=Données!$H$53),(L74*$H$10)+(M74*$Q$8*$H$10)-(M74*$Q$8*Données!$G$36*$H$10),((L74+M74)*$N$8*$H$10)-IF($K$8="Rente à titre onéreux imposable sur",(L74+M74)*$N$8*Données!$G$36*$H$10,(L74+M74)*$N$8*Données!$M$41*$H$10))</f>
        <v>0</v>
      </c>
      <c r="P74" s="478">
        <f t="shared" ca="1" si="4"/>
        <v>0</v>
      </c>
      <c r="Q74" s="478">
        <f t="shared" ca="1" si="20"/>
        <v>0</v>
      </c>
      <c r="S74" s="476"/>
      <c r="T74" s="477">
        <f t="shared" si="21"/>
        <v>54</v>
      </c>
      <c r="U74" s="478">
        <f t="shared" ca="1" si="22"/>
        <v>0</v>
      </c>
      <c r="V74" s="478">
        <f t="shared" ca="1" si="5"/>
        <v>0</v>
      </c>
      <c r="W74" s="493">
        <f t="shared" ca="1" si="23"/>
        <v>0</v>
      </c>
      <c r="X74" s="493">
        <f t="shared" ca="1" si="24"/>
        <v>0</v>
      </c>
      <c r="Y74" s="478">
        <f t="shared" ca="1" si="6"/>
        <v>0</v>
      </c>
      <c r="Z74" s="504">
        <f t="shared" ca="1" si="25"/>
        <v>0</v>
      </c>
      <c r="AA74" s="478">
        <f t="shared" ca="1" si="7"/>
        <v>0</v>
      </c>
      <c r="AB74" s="478">
        <f t="shared" ca="1" si="8"/>
        <v>0</v>
      </c>
      <c r="AC74" s="478">
        <f ca="1">AA74*Données!$F$36</f>
        <v>0</v>
      </c>
      <c r="AD74" s="478">
        <f ca="1">AA74*Données!$F$28</f>
        <v>0</v>
      </c>
      <c r="AE74" s="478">
        <f ca="1">IF(AB74=0,0,IF($E$7="C1",(AB74*$H$10),IF($E$7="C2",-AA74*Données!$G$36*$H$10,0)))</f>
        <v>0</v>
      </c>
      <c r="AF74" s="478">
        <f t="shared" ca="1" si="9"/>
        <v>0</v>
      </c>
      <c r="AG74" s="477">
        <f t="shared" si="26"/>
        <v>54</v>
      </c>
      <c r="AH74" s="478">
        <f t="shared" si="27"/>
        <v>0</v>
      </c>
      <c r="AI74" s="478">
        <f t="shared" si="28"/>
        <v>0</v>
      </c>
      <c r="AJ74" s="493">
        <f t="shared" si="29"/>
        <v>0</v>
      </c>
      <c r="AK74" s="493">
        <f t="shared" ca="1" si="30"/>
        <v>0</v>
      </c>
      <c r="AL74" s="478">
        <f t="shared" ca="1" si="10"/>
        <v>0</v>
      </c>
      <c r="AM74" s="478">
        <f t="shared" ca="1" si="11"/>
        <v>0</v>
      </c>
      <c r="AN74" s="478">
        <f t="shared" si="31"/>
        <v>0</v>
      </c>
      <c r="AO74" s="478">
        <f t="shared" ca="1" si="12"/>
        <v>0</v>
      </c>
      <c r="AP74" s="478">
        <f>AN74*Données!$F$36</f>
        <v>0</v>
      </c>
      <c r="AQ74" s="478">
        <f>AN74*Données!$F$28</f>
        <v>0</v>
      </c>
      <c r="AR74" s="478">
        <f ca="1">IF(AO74=0,0,IF($E$7="C1",(AO74*$H$10),IF($E$7="C2",-AN74*Données!$G$36*$H$10,0)))</f>
        <v>0</v>
      </c>
      <c r="AS74" s="478">
        <f t="shared" ca="1" si="13"/>
        <v>0</v>
      </c>
      <c r="AT74" s="477">
        <f t="shared" si="32"/>
        <v>54</v>
      </c>
      <c r="AU74" s="478">
        <f t="shared" si="33"/>
        <v>0</v>
      </c>
      <c r="AV74" s="478">
        <f t="shared" si="34"/>
        <v>0</v>
      </c>
      <c r="AW74" s="493">
        <f t="shared" si="35"/>
        <v>0</v>
      </c>
      <c r="AX74" s="493">
        <f t="shared" si="36"/>
        <v>0</v>
      </c>
      <c r="AY74" s="478">
        <f t="shared" si="14"/>
        <v>0</v>
      </c>
    </row>
    <row r="75" spans="1:51">
      <c r="A75" s="477">
        <f t="shared" ca="1" si="15"/>
        <v>2081</v>
      </c>
      <c r="B75" s="478">
        <f t="shared" ca="1" si="16"/>
        <v>0</v>
      </c>
      <c r="C75" s="478">
        <f ca="1">IF(OR($C$7=Données!$H$51,$C$7=Données!$H$54,$C$7=Données!$H$55,$C$7=Données!$H$57),0,B75*'Sit 1'!$C$10)</f>
        <v>0</v>
      </c>
      <c r="D75" s="478">
        <f ca="1">IFERROR(IF($H$5="",B75*'CT à Transf'!$K$28,B75*$H$5),B75*$H$5)</f>
        <v>0</v>
      </c>
      <c r="E75" s="478">
        <f t="shared" ca="1" si="17"/>
        <v>0</v>
      </c>
      <c r="F75" s="478">
        <f t="shared" ca="1" si="37"/>
        <v>0</v>
      </c>
      <c r="G75" s="478">
        <f t="shared" ca="1" si="39"/>
        <v>0</v>
      </c>
      <c r="H75" s="478">
        <f t="shared" ca="1" si="3"/>
        <v>0</v>
      </c>
      <c r="J75" s="476"/>
      <c r="K75" s="477">
        <f t="shared" si="18"/>
        <v>55</v>
      </c>
      <c r="L75" s="478">
        <f t="shared" ca="1" si="38"/>
        <v>0</v>
      </c>
      <c r="M75" s="478">
        <f t="shared" ca="1" si="19"/>
        <v>0</v>
      </c>
      <c r="N75" s="478">
        <f ca="1">IF(OR($C$7=Données!$H$52,$C$7=Données!$H$53),(L75*$N$9)+((M75*$Q$8)*$Q$9),(L75+M75)*$N$8*$N$9)</f>
        <v>0</v>
      </c>
      <c r="O75" s="478">
        <f ca="1">IF(OR($C$7=Données!$H$52,$C$7=Données!$H$53),(L75*$H$10)+(M75*$Q$8*$H$10)-(M75*$Q$8*Données!$G$36*$H$10),((L75+M75)*$N$8*$H$10)-IF($K$8="Rente à titre onéreux imposable sur",(L75+M75)*$N$8*Données!$G$36*$H$10,(L75+M75)*$N$8*Données!$M$41*$H$10))</f>
        <v>0</v>
      </c>
      <c r="P75" s="478">
        <f t="shared" ca="1" si="4"/>
        <v>0</v>
      </c>
      <c r="Q75" s="478">
        <f t="shared" ca="1" si="20"/>
        <v>0</v>
      </c>
      <c r="S75" s="476"/>
      <c r="T75" s="477">
        <f t="shared" si="21"/>
        <v>55</v>
      </c>
      <c r="U75" s="478">
        <f t="shared" ca="1" si="22"/>
        <v>0</v>
      </c>
      <c r="V75" s="478">
        <f t="shared" ca="1" si="5"/>
        <v>0</v>
      </c>
      <c r="W75" s="493">
        <f t="shared" ca="1" si="23"/>
        <v>0</v>
      </c>
      <c r="X75" s="493">
        <f t="shared" ca="1" si="24"/>
        <v>0</v>
      </c>
      <c r="Y75" s="478">
        <f t="shared" ca="1" si="6"/>
        <v>0</v>
      </c>
      <c r="Z75" s="504">
        <f t="shared" ca="1" si="25"/>
        <v>0</v>
      </c>
      <c r="AA75" s="478">
        <f t="shared" ca="1" si="7"/>
        <v>0</v>
      </c>
      <c r="AB75" s="478">
        <f t="shared" ca="1" si="8"/>
        <v>0</v>
      </c>
      <c r="AC75" s="478">
        <f ca="1">AA75*Données!$F$36</f>
        <v>0</v>
      </c>
      <c r="AD75" s="478">
        <f ca="1">AA75*Données!$F$28</f>
        <v>0</v>
      </c>
      <c r="AE75" s="478">
        <f ca="1">IF(AB75=0,0,IF($E$7="C1",(AB75*$H$10),IF($E$7="C2",-AA75*Données!$G$36*$H$10,0)))</f>
        <v>0</v>
      </c>
      <c r="AF75" s="478">
        <f t="shared" ca="1" si="9"/>
        <v>0</v>
      </c>
      <c r="AG75" s="477">
        <f t="shared" si="26"/>
        <v>55</v>
      </c>
      <c r="AH75" s="478">
        <f t="shared" si="27"/>
        <v>0</v>
      </c>
      <c r="AI75" s="478">
        <f t="shared" si="28"/>
        <v>0</v>
      </c>
      <c r="AJ75" s="493">
        <f t="shared" si="29"/>
        <v>0</v>
      </c>
      <c r="AK75" s="493">
        <f t="shared" ca="1" si="30"/>
        <v>0</v>
      </c>
      <c r="AL75" s="478">
        <f t="shared" ca="1" si="10"/>
        <v>0</v>
      </c>
      <c r="AM75" s="478">
        <f t="shared" ca="1" si="11"/>
        <v>0</v>
      </c>
      <c r="AN75" s="478">
        <f t="shared" si="31"/>
        <v>0</v>
      </c>
      <c r="AO75" s="478">
        <f t="shared" ca="1" si="12"/>
        <v>0</v>
      </c>
      <c r="AP75" s="478">
        <f>AN75*Données!$F$36</f>
        <v>0</v>
      </c>
      <c r="AQ75" s="478">
        <f>AN75*Données!$F$28</f>
        <v>0</v>
      </c>
      <c r="AR75" s="478">
        <f ca="1">IF(AO75=0,0,IF($E$7="C1",(AO75*$H$10),IF($E$7="C2",-AN75*Données!$G$36*$H$10,0)))</f>
        <v>0</v>
      </c>
      <c r="AS75" s="478">
        <f t="shared" ca="1" si="13"/>
        <v>0</v>
      </c>
      <c r="AT75" s="477">
        <f t="shared" si="32"/>
        <v>55</v>
      </c>
      <c r="AU75" s="478">
        <f t="shared" si="33"/>
        <v>0</v>
      </c>
      <c r="AV75" s="478">
        <f t="shared" si="34"/>
        <v>0</v>
      </c>
      <c r="AW75" s="493">
        <f t="shared" si="35"/>
        <v>0</v>
      </c>
      <c r="AX75" s="493">
        <f t="shared" si="36"/>
        <v>0</v>
      </c>
      <c r="AY75" s="478">
        <f t="shared" si="14"/>
        <v>0</v>
      </c>
    </row>
    <row r="76" spans="1:51">
      <c r="A76" s="477">
        <f t="shared" ca="1" si="15"/>
        <v>2082</v>
      </c>
      <c r="B76" s="478">
        <f t="shared" ca="1" si="16"/>
        <v>0</v>
      </c>
      <c r="C76" s="478">
        <f ca="1">IF(OR($C$7=Données!$H$51,$C$7=Données!$H$54,$C$7=Données!$H$55,$C$7=Données!$H$57),0,B76*'Sit 1'!$C$10)</f>
        <v>0</v>
      </c>
      <c r="D76" s="478">
        <f ca="1">IFERROR(IF($H$5="",B76*'CT à Transf'!$K$28,B76*$H$5),B76*$H$5)</f>
        <v>0</v>
      </c>
      <c r="E76" s="478">
        <f t="shared" ca="1" si="17"/>
        <v>0</v>
      </c>
      <c r="F76" s="478">
        <f t="shared" ca="1" si="37"/>
        <v>0</v>
      </c>
      <c r="G76" s="478">
        <f t="shared" ca="1" si="39"/>
        <v>0</v>
      </c>
      <c r="H76" s="478">
        <f t="shared" ca="1" si="3"/>
        <v>0</v>
      </c>
      <c r="J76" s="476"/>
      <c r="K76" s="477">
        <f t="shared" si="18"/>
        <v>56</v>
      </c>
      <c r="L76" s="478">
        <f t="shared" ca="1" si="38"/>
        <v>0</v>
      </c>
      <c r="M76" s="478">
        <f t="shared" ca="1" si="19"/>
        <v>0</v>
      </c>
      <c r="N76" s="478">
        <f ca="1">IF(OR($C$7=Données!$H$52,$C$7=Données!$H$53),(L76*$N$9)+((M76*$Q$8)*$Q$9),(L76+M76)*$N$8*$N$9)</f>
        <v>0</v>
      </c>
      <c r="O76" s="478">
        <f ca="1">IF(OR($C$7=Données!$H$52,$C$7=Données!$H$53),(L76*$H$10)+(M76*$Q$8*$H$10)-(M76*$Q$8*Données!$G$36*$H$10),((L76+M76)*$N$8*$H$10)-IF($K$8="Rente à titre onéreux imposable sur",(L76+M76)*$N$8*Données!$G$36*$H$10,(L76+M76)*$N$8*Données!$M$41*$H$10))</f>
        <v>0</v>
      </c>
      <c r="P76" s="478">
        <f t="shared" ca="1" si="4"/>
        <v>0</v>
      </c>
      <c r="Q76" s="478">
        <f t="shared" ca="1" si="20"/>
        <v>0</v>
      </c>
      <c r="S76" s="476"/>
      <c r="T76" s="477">
        <f t="shared" si="21"/>
        <v>56</v>
      </c>
      <c r="U76" s="478">
        <f t="shared" ca="1" si="22"/>
        <v>0</v>
      </c>
      <c r="V76" s="478">
        <f t="shared" ca="1" si="5"/>
        <v>0</v>
      </c>
      <c r="W76" s="493">
        <f t="shared" ca="1" si="23"/>
        <v>0</v>
      </c>
      <c r="X76" s="493">
        <f t="shared" ca="1" si="24"/>
        <v>0</v>
      </c>
      <c r="Y76" s="478">
        <f t="shared" ca="1" si="6"/>
        <v>0</v>
      </c>
      <c r="Z76" s="504">
        <f t="shared" ca="1" si="25"/>
        <v>0</v>
      </c>
      <c r="AA76" s="478">
        <f t="shared" ca="1" si="7"/>
        <v>0</v>
      </c>
      <c r="AB76" s="478">
        <f t="shared" ca="1" si="8"/>
        <v>0</v>
      </c>
      <c r="AC76" s="478">
        <f ca="1">AA76*Données!$F$36</f>
        <v>0</v>
      </c>
      <c r="AD76" s="478">
        <f ca="1">AA76*Données!$F$28</f>
        <v>0</v>
      </c>
      <c r="AE76" s="478">
        <f ca="1">IF(AB76=0,0,IF($E$7="C1",(AB76*$H$10),IF($E$7="C2",-AA76*Données!$G$36*$H$10,0)))</f>
        <v>0</v>
      </c>
      <c r="AF76" s="478">
        <f t="shared" ca="1" si="9"/>
        <v>0</v>
      </c>
      <c r="AG76" s="477">
        <f t="shared" si="26"/>
        <v>56</v>
      </c>
      <c r="AH76" s="478">
        <f t="shared" si="27"/>
        <v>0</v>
      </c>
      <c r="AI76" s="478">
        <f t="shared" si="28"/>
        <v>0</v>
      </c>
      <c r="AJ76" s="493">
        <f t="shared" si="29"/>
        <v>0</v>
      </c>
      <c r="AK76" s="493">
        <f t="shared" ca="1" si="30"/>
        <v>0</v>
      </c>
      <c r="AL76" s="478">
        <f t="shared" ca="1" si="10"/>
        <v>0</v>
      </c>
      <c r="AM76" s="478">
        <f t="shared" ca="1" si="11"/>
        <v>0</v>
      </c>
      <c r="AN76" s="478">
        <f t="shared" si="31"/>
        <v>0</v>
      </c>
      <c r="AO76" s="478">
        <f t="shared" ca="1" si="12"/>
        <v>0</v>
      </c>
      <c r="AP76" s="478">
        <f>AN76*Données!$F$36</f>
        <v>0</v>
      </c>
      <c r="AQ76" s="478">
        <f>AN76*Données!$F$28</f>
        <v>0</v>
      </c>
      <c r="AR76" s="478">
        <f ca="1">IF(AO76=0,0,IF($E$7="C1",(AO76*$H$10),IF($E$7="C2",-AN76*Données!$G$36*$H$10,0)))</f>
        <v>0</v>
      </c>
      <c r="AS76" s="478">
        <f t="shared" ca="1" si="13"/>
        <v>0</v>
      </c>
      <c r="AT76" s="477">
        <f t="shared" si="32"/>
        <v>56</v>
      </c>
      <c r="AU76" s="478">
        <f t="shared" si="33"/>
        <v>0</v>
      </c>
      <c r="AV76" s="478">
        <f t="shared" si="34"/>
        <v>0</v>
      </c>
      <c r="AW76" s="493">
        <f t="shared" si="35"/>
        <v>0</v>
      </c>
      <c r="AX76" s="493">
        <f t="shared" si="36"/>
        <v>0</v>
      </c>
      <c r="AY76" s="478">
        <f t="shared" si="14"/>
        <v>0</v>
      </c>
    </row>
    <row r="77" spans="1:51">
      <c r="A77" s="477">
        <f t="shared" ca="1" si="15"/>
        <v>2083</v>
      </c>
      <c r="B77" s="478">
        <f t="shared" ca="1" si="16"/>
        <v>0</v>
      </c>
      <c r="C77" s="478">
        <f ca="1">IF(OR($C$7=Données!$H$51,$C$7=Données!$H$54,$C$7=Données!$H$55,$C$7=Données!$H$57),0,B77*'Sit 1'!$C$10)</f>
        <v>0</v>
      </c>
      <c r="D77" s="478">
        <f ca="1">IFERROR(IF($H$5="",B77*'CT à Transf'!$K$28,B77*$H$5),B77*$H$5)</f>
        <v>0</v>
      </c>
      <c r="E77" s="478">
        <f t="shared" ca="1" si="17"/>
        <v>0</v>
      </c>
      <c r="F77" s="478">
        <f t="shared" ca="1" si="37"/>
        <v>0</v>
      </c>
      <c r="G77" s="478">
        <f t="shared" ca="1" si="39"/>
        <v>0</v>
      </c>
      <c r="H77" s="478">
        <f t="shared" ca="1" si="3"/>
        <v>0</v>
      </c>
      <c r="J77" s="476"/>
      <c r="K77" s="477">
        <f t="shared" si="18"/>
        <v>57</v>
      </c>
      <c r="L77" s="478">
        <f t="shared" ca="1" si="38"/>
        <v>0</v>
      </c>
      <c r="M77" s="478">
        <f t="shared" ca="1" si="19"/>
        <v>0</v>
      </c>
      <c r="N77" s="478">
        <f ca="1">IF(OR($C$7=Données!$H$52,$C$7=Données!$H$53),(L77*$N$9)+((M77*$Q$8)*$Q$9),(L77+M77)*$N$8*$N$9)</f>
        <v>0</v>
      </c>
      <c r="O77" s="478">
        <f ca="1">IF(OR($C$7=Données!$H$52,$C$7=Données!$H$53),(L77*$H$10)+(M77*$Q$8*$H$10)-(M77*$Q$8*Données!$G$36*$H$10),((L77+M77)*$N$8*$H$10)-IF($K$8="Rente à titre onéreux imposable sur",(L77+M77)*$N$8*Données!$G$36*$H$10,(L77+M77)*$N$8*Données!$M$41*$H$10))</f>
        <v>0</v>
      </c>
      <c r="P77" s="478">
        <f t="shared" ca="1" si="4"/>
        <v>0</v>
      </c>
      <c r="Q77" s="478">
        <f t="shared" ca="1" si="20"/>
        <v>0</v>
      </c>
      <c r="S77" s="476"/>
      <c r="T77" s="477">
        <f t="shared" si="21"/>
        <v>57</v>
      </c>
      <c r="U77" s="478">
        <f t="shared" ca="1" si="22"/>
        <v>0</v>
      </c>
      <c r="V77" s="478">
        <f t="shared" ca="1" si="5"/>
        <v>0</v>
      </c>
      <c r="W77" s="493">
        <f t="shared" ca="1" si="23"/>
        <v>0</v>
      </c>
      <c r="X77" s="493">
        <f t="shared" ca="1" si="24"/>
        <v>0</v>
      </c>
      <c r="Y77" s="478">
        <f t="shared" ca="1" si="6"/>
        <v>0</v>
      </c>
      <c r="Z77" s="504">
        <f t="shared" ca="1" si="25"/>
        <v>0</v>
      </c>
      <c r="AA77" s="478">
        <f t="shared" ca="1" si="7"/>
        <v>0</v>
      </c>
      <c r="AB77" s="478">
        <f t="shared" ca="1" si="8"/>
        <v>0</v>
      </c>
      <c r="AC77" s="478">
        <f ca="1">AA77*Données!$F$36</f>
        <v>0</v>
      </c>
      <c r="AD77" s="478">
        <f ca="1">AA77*Données!$F$28</f>
        <v>0</v>
      </c>
      <c r="AE77" s="478">
        <f ca="1">IF(AB77=0,0,IF($E$7="C1",(AB77*$H$10),IF($E$7="C2",-AA77*Données!$G$36*$H$10,0)))</f>
        <v>0</v>
      </c>
      <c r="AF77" s="478">
        <f t="shared" ca="1" si="9"/>
        <v>0</v>
      </c>
      <c r="AG77" s="477">
        <f t="shared" si="26"/>
        <v>57</v>
      </c>
      <c r="AH77" s="478">
        <f t="shared" si="27"/>
        <v>0</v>
      </c>
      <c r="AI77" s="478">
        <f t="shared" si="28"/>
        <v>0</v>
      </c>
      <c r="AJ77" s="493">
        <f t="shared" si="29"/>
        <v>0</v>
      </c>
      <c r="AK77" s="493">
        <f t="shared" ca="1" si="30"/>
        <v>0</v>
      </c>
      <c r="AL77" s="478">
        <f t="shared" ca="1" si="10"/>
        <v>0</v>
      </c>
      <c r="AM77" s="478">
        <f t="shared" ca="1" si="11"/>
        <v>0</v>
      </c>
      <c r="AN77" s="478">
        <f t="shared" si="31"/>
        <v>0</v>
      </c>
      <c r="AO77" s="478">
        <f t="shared" ca="1" si="12"/>
        <v>0</v>
      </c>
      <c r="AP77" s="478">
        <f>AN77*Données!$F$36</f>
        <v>0</v>
      </c>
      <c r="AQ77" s="478">
        <f>AN77*Données!$F$28</f>
        <v>0</v>
      </c>
      <c r="AR77" s="478">
        <f ca="1">IF(AO77=0,0,IF($E$7="C1",(AO77*$H$10),IF($E$7="C2",-AN77*Données!$G$36*$H$10,0)))</f>
        <v>0</v>
      </c>
      <c r="AS77" s="478">
        <f t="shared" ca="1" si="13"/>
        <v>0</v>
      </c>
      <c r="AT77" s="477">
        <f t="shared" si="32"/>
        <v>57</v>
      </c>
      <c r="AU77" s="478">
        <f t="shared" si="33"/>
        <v>0</v>
      </c>
      <c r="AV77" s="478">
        <f t="shared" si="34"/>
        <v>0</v>
      </c>
      <c r="AW77" s="493">
        <f t="shared" si="35"/>
        <v>0</v>
      </c>
      <c r="AX77" s="493">
        <f t="shared" si="36"/>
        <v>0</v>
      </c>
      <c r="AY77" s="478">
        <f t="shared" si="14"/>
        <v>0</v>
      </c>
    </row>
    <row r="78" spans="1:51">
      <c r="A78" s="477">
        <f t="shared" ca="1" si="15"/>
        <v>2084</v>
      </c>
      <c r="B78" s="478">
        <f t="shared" ca="1" si="16"/>
        <v>0</v>
      </c>
      <c r="C78" s="478">
        <f ca="1">IF(OR($C$7=Données!$H$51,$C$7=Données!$H$54,$C$7=Données!$H$55,$C$7=Données!$H$57),0,B78*'Sit 1'!$C$10)</f>
        <v>0</v>
      </c>
      <c r="D78" s="478">
        <f ca="1">IFERROR(IF($H$5="",B78*'CT à Transf'!$K$28,B78*$H$5),B78*$H$5)</f>
        <v>0</v>
      </c>
      <c r="E78" s="478">
        <f t="shared" ca="1" si="17"/>
        <v>0</v>
      </c>
      <c r="F78" s="478">
        <f t="shared" ca="1" si="37"/>
        <v>0</v>
      </c>
      <c r="G78" s="478">
        <f t="shared" ca="1" si="39"/>
        <v>0</v>
      </c>
      <c r="H78" s="478">
        <f t="shared" ca="1" si="3"/>
        <v>0</v>
      </c>
      <c r="J78" s="476"/>
      <c r="K78" s="477">
        <f t="shared" si="18"/>
        <v>58</v>
      </c>
      <c r="L78" s="478">
        <f t="shared" ca="1" si="38"/>
        <v>0</v>
      </c>
      <c r="M78" s="478">
        <f t="shared" ca="1" si="19"/>
        <v>0</v>
      </c>
      <c r="N78" s="478">
        <f ca="1">IF(OR($C$7=Données!$H$52,$C$7=Données!$H$53),(L78*$N$9)+((M78*$Q$8)*$Q$9),(L78+M78)*$N$8*$N$9)</f>
        <v>0</v>
      </c>
      <c r="O78" s="478">
        <f ca="1">IF(OR($C$7=Données!$H$52,$C$7=Données!$H$53),(L78*$H$10)+(M78*$Q$8*$H$10)-(M78*$Q$8*Données!$G$36*$H$10),((L78+M78)*$N$8*$H$10)-IF($K$8="Rente à titre onéreux imposable sur",(L78+M78)*$N$8*Données!$G$36*$H$10,(L78+M78)*$N$8*Données!$M$41*$H$10))</f>
        <v>0</v>
      </c>
      <c r="P78" s="478">
        <f t="shared" ca="1" si="4"/>
        <v>0</v>
      </c>
      <c r="Q78" s="478">
        <f t="shared" ca="1" si="20"/>
        <v>0</v>
      </c>
      <c r="S78" s="476"/>
      <c r="T78" s="477">
        <f t="shared" si="21"/>
        <v>58</v>
      </c>
      <c r="U78" s="478">
        <f t="shared" ca="1" si="22"/>
        <v>0</v>
      </c>
      <c r="V78" s="478">
        <f t="shared" ca="1" si="5"/>
        <v>0</v>
      </c>
      <c r="W78" s="493">
        <f t="shared" ca="1" si="23"/>
        <v>0</v>
      </c>
      <c r="X78" s="493">
        <f t="shared" ca="1" si="24"/>
        <v>0</v>
      </c>
      <c r="Y78" s="478">
        <f t="shared" ca="1" si="6"/>
        <v>0</v>
      </c>
      <c r="Z78" s="504">
        <f t="shared" ca="1" si="25"/>
        <v>0</v>
      </c>
      <c r="AA78" s="478">
        <f t="shared" ca="1" si="7"/>
        <v>0</v>
      </c>
      <c r="AB78" s="478">
        <f t="shared" ca="1" si="8"/>
        <v>0</v>
      </c>
      <c r="AC78" s="478">
        <f ca="1">AA78*Données!$F$36</f>
        <v>0</v>
      </c>
      <c r="AD78" s="478">
        <f ca="1">AA78*Données!$F$28</f>
        <v>0</v>
      </c>
      <c r="AE78" s="478">
        <f ca="1">IF(AB78=0,0,IF($E$7="C1",(AB78*$H$10),IF($E$7="C2",-AA78*Données!$G$36*$H$10,0)))</f>
        <v>0</v>
      </c>
      <c r="AF78" s="478">
        <f t="shared" ca="1" si="9"/>
        <v>0</v>
      </c>
      <c r="AG78" s="477">
        <f t="shared" si="26"/>
        <v>58</v>
      </c>
      <c r="AH78" s="478">
        <f t="shared" si="27"/>
        <v>0</v>
      </c>
      <c r="AI78" s="478">
        <f t="shared" si="28"/>
        <v>0</v>
      </c>
      <c r="AJ78" s="493">
        <f t="shared" si="29"/>
        <v>0</v>
      </c>
      <c r="AK78" s="493">
        <f t="shared" ca="1" si="30"/>
        <v>0</v>
      </c>
      <c r="AL78" s="478">
        <f t="shared" ca="1" si="10"/>
        <v>0</v>
      </c>
      <c r="AM78" s="478">
        <f t="shared" ca="1" si="11"/>
        <v>0</v>
      </c>
      <c r="AN78" s="478">
        <f t="shared" si="31"/>
        <v>0</v>
      </c>
      <c r="AO78" s="478">
        <f t="shared" ca="1" si="12"/>
        <v>0</v>
      </c>
      <c r="AP78" s="478">
        <f>AN78*Données!$F$36</f>
        <v>0</v>
      </c>
      <c r="AQ78" s="478">
        <f>AN78*Données!$F$28</f>
        <v>0</v>
      </c>
      <c r="AR78" s="478">
        <f ca="1">IF(AO78=0,0,IF($E$7="C1",(AO78*$H$10),IF($E$7="C2",-AN78*Données!$G$36*$H$10,0)))</f>
        <v>0</v>
      </c>
      <c r="AS78" s="478">
        <f t="shared" ca="1" si="13"/>
        <v>0</v>
      </c>
      <c r="AT78" s="477">
        <f t="shared" si="32"/>
        <v>58</v>
      </c>
      <c r="AU78" s="478">
        <f t="shared" si="33"/>
        <v>0</v>
      </c>
      <c r="AV78" s="478">
        <f t="shared" si="34"/>
        <v>0</v>
      </c>
      <c r="AW78" s="493">
        <f t="shared" si="35"/>
        <v>0</v>
      </c>
      <c r="AX78" s="493">
        <f t="shared" si="36"/>
        <v>0</v>
      </c>
      <c r="AY78" s="478">
        <f t="shared" si="14"/>
        <v>0</v>
      </c>
    </row>
    <row r="79" spans="1:51">
      <c r="A79" s="477">
        <f t="shared" ca="1" si="15"/>
        <v>2085</v>
      </c>
      <c r="B79" s="478">
        <f t="shared" ca="1" si="16"/>
        <v>0</v>
      </c>
      <c r="C79" s="478">
        <f ca="1">IF(OR($C$7=Données!$H$51,$C$7=Données!$H$54,$C$7=Données!$H$55,$C$7=Données!$H$57),0,B79*'Sit 1'!$C$10)</f>
        <v>0</v>
      </c>
      <c r="D79" s="478">
        <f ca="1">IFERROR(IF($H$5="",B79*'CT à Transf'!$K$28,B79*$H$5),B79*$H$5)</f>
        <v>0</v>
      </c>
      <c r="E79" s="478">
        <f t="shared" ca="1" si="17"/>
        <v>0</v>
      </c>
      <c r="F79" s="478">
        <f t="shared" ca="1" si="37"/>
        <v>0</v>
      </c>
      <c r="G79" s="478">
        <f t="shared" ca="1" si="39"/>
        <v>0</v>
      </c>
      <c r="H79" s="478">
        <f t="shared" ca="1" si="3"/>
        <v>0</v>
      </c>
      <c r="J79" s="476"/>
      <c r="K79" s="477">
        <f t="shared" si="18"/>
        <v>59</v>
      </c>
      <c r="L79" s="478">
        <f t="shared" ca="1" si="38"/>
        <v>0</v>
      </c>
      <c r="M79" s="478">
        <f t="shared" ca="1" si="19"/>
        <v>0</v>
      </c>
      <c r="N79" s="478">
        <f ca="1">IF(OR($C$7=Données!$H$52,$C$7=Données!$H$53),(L79*$N$9)+((M79*$Q$8)*$Q$9),(L79+M79)*$N$8*$N$9)</f>
        <v>0</v>
      </c>
      <c r="O79" s="478">
        <f ca="1">IF(OR($C$7=Données!$H$52,$C$7=Données!$H$53),(L79*$H$10)+(M79*$Q$8*$H$10)-(M79*$Q$8*Données!$G$36*$H$10),((L79+M79)*$N$8*$H$10)-IF($K$8="Rente à titre onéreux imposable sur",(L79+M79)*$N$8*Données!$G$36*$H$10,(L79+M79)*$N$8*Données!$M$41*$H$10))</f>
        <v>0</v>
      </c>
      <c r="P79" s="478">
        <f t="shared" ca="1" si="4"/>
        <v>0</v>
      </c>
      <c r="Q79" s="478">
        <f t="shared" ca="1" si="20"/>
        <v>0</v>
      </c>
      <c r="S79" s="476"/>
      <c r="T79" s="477">
        <f t="shared" si="21"/>
        <v>59</v>
      </c>
      <c r="U79" s="478">
        <f t="shared" ca="1" si="22"/>
        <v>0</v>
      </c>
      <c r="V79" s="478">
        <f t="shared" ca="1" si="5"/>
        <v>0</v>
      </c>
      <c r="W79" s="493">
        <f t="shared" ca="1" si="23"/>
        <v>0</v>
      </c>
      <c r="X79" s="493">
        <f t="shared" ca="1" si="24"/>
        <v>0</v>
      </c>
      <c r="Y79" s="478">
        <f t="shared" ca="1" si="6"/>
        <v>0</v>
      </c>
      <c r="Z79" s="504">
        <f t="shared" ca="1" si="25"/>
        <v>0</v>
      </c>
      <c r="AA79" s="478">
        <f t="shared" ca="1" si="7"/>
        <v>0</v>
      </c>
      <c r="AB79" s="478">
        <f t="shared" ca="1" si="8"/>
        <v>0</v>
      </c>
      <c r="AC79" s="478">
        <f ca="1">AA79*Données!$F$36</f>
        <v>0</v>
      </c>
      <c r="AD79" s="478">
        <f ca="1">AA79*Données!$F$28</f>
        <v>0</v>
      </c>
      <c r="AE79" s="478">
        <f ca="1">IF(AB79=0,0,IF($E$7="C1",(AB79*$H$10),IF($E$7="C2",-AA79*Données!$G$36*$H$10,0)))</f>
        <v>0</v>
      </c>
      <c r="AF79" s="478">
        <f t="shared" ca="1" si="9"/>
        <v>0</v>
      </c>
      <c r="AG79" s="477">
        <f t="shared" si="26"/>
        <v>59</v>
      </c>
      <c r="AH79" s="478">
        <f t="shared" si="27"/>
        <v>0</v>
      </c>
      <c r="AI79" s="478">
        <f t="shared" si="28"/>
        <v>0</v>
      </c>
      <c r="AJ79" s="493">
        <f t="shared" si="29"/>
        <v>0</v>
      </c>
      <c r="AK79" s="493">
        <f t="shared" ca="1" si="30"/>
        <v>0</v>
      </c>
      <c r="AL79" s="478">
        <f t="shared" ca="1" si="10"/>
        <v>0</v>
      </c>
      <c r="AM79" s="478">
        <f t="shared" ca="1" si="11"/>
        <v>0</v>
      </c>
      <c r="AN79" s="478">
        <f t="shared" si="31"/>
        <v>0</v>
      </c>
      <c r="AO79" s="478">
        <f t="shared" ca="1" si="12"/>
        <v>0</v>
      </c>
      <c r="AP79" s="478">
        <f>AN79*Données!$F$36</f>
        <v>0</v>
      </c>
      <c r="AQ79" s="478">
        <f>AN79*Données!$F$28</f>
        <v>0</v>
      </c>
      <c r="AR79" s="478">
        <f ca="1">IF(AO79=0,0,IF($E$7="C1",(AO79*$H$10),IF($E$7="C2",-AN79*Données!$G$36*$H$10,0)))</f>
        <v>0</v>
      </c>
      <c r="AS79" s="478">
        <f t="shared" ca="1" si="13"/>
        <v>0</v>
      </c>
      <c r="AT79" s="477">
        <f t="shared" si="32"/>
        <v>59</v>
      </c>
      <c r="AU79" s="478">
        <f t="shared" si="33"/>
        <v>0</v>
      </c>
      <c r="AV79" s="478">
        <f t="shared" si="34"/>
        <v>0</v>
      </c>
      <c r="AW79" s="493">
        <f t="shared" si="35"/>
        <v>0</v>
      </c>
      <c r="AX79" s="493">
        <f t="shared" si="36"/>
        <v>0</v>
      </c>
      <c r="AY79" s="478">
        <f t="shared" si="14"/>
        <v>0</v>
      </c>
    </row>
    <row r="80" spans="1:51">
      <c r="A80" s="477">
        <f t="shared" ca="1" si="15"/>
        <v>2086</v>
      </c>
      <c r="B80" s="478">
        <f t="shared" ca="1" si="16"/>
        <v>0</v>
      </c>
      <c r="C80" s="478">
        <f ca="1">IF(OR($C$7=Données!$H$51,$C$7=Données!$H$54,$C$7=Données!$H$55,$C$7=Données!$H$57),0,B80*'Sit 1'!$C$10)</f>
        <v>0</v>
      </c>
      <c r="D80" s="478">
        <f ca="1">IFERROR(IF($H$5="",B80*'CT à Transf'!$K$28,B80*$H$5),B80*$H$5)</f>
        <v>0</v>
      </c>
      <c r="E80" s="478">
        <f t="shared" ca="1" si="17"/>
        <v>0</v>
      </c>
      <c r="F80" s="478">
        <f t="shared" ca="1" si="37"/>
        <v>0</v>
      </c>
      <c r="G80" s="478">
        <f t="shared" ca="1" si="39"/>
        <v>0</v>
      </c>
      <c r="H80" s="478">
        <f t="shared" ca="1" si="3"/>
        <v>0</v>
      </c>
      <c r="J80" s="476"/>
      <c r="K80" s="477">
        <f t="shared" si="18"/>
        <v>60</v>
      </c>
      <c r="L80" s="478">
        <f t="shared" ca="1" si="38"/>
        <v>0</v>
      </c>
      <c r="M80" s="478">
        <f t="shared" ca="1" si="19"/>
        <v>0</v>
      </c>
      <c r="N80" s="478">
        <f ca="1">IF(OR($C$7=Données!$H$52,$C$7=Données!$H$53),(L80*$N$9)+((M80*$Q$8)*$Q$9),(L80+M80)*$N$8*$N$9)</f>
        <v>0</v>
      </c>
      <c r="O80" s="478">
        <f ca="1">IF(OR($C$7=Données!$H$52,$C$7=Données!$H$53),(L80*$H$10)+(M80*$Q$8*$H$10)-(M80*$Q$8*Données!$G$36*$H$10),((L80+M80)*$N$8*$H$10)-IF($K$8="Rente à titre onéreux imposable sur",(L80+M80)*$N$8*Données!$G$36*$H$10,(L80+M80)*$N$8*Données!$M$41*$H$10))</f>
        <v>0</v>
      </c>
      <c r="P80" s="478">
        <f t="shared" ca="1" si="4"/>
        <v>0</v>
      </c>
      <c r="Q80" s="478">
        <f t="shared" ca="1" si="20"/>
        <v>0</v>
      </c>
      <c r="S80" s="476"/>
      <c r="T80" s="477">
        <f t="shared" si="21"/>
        <v>60</v>
      </c>
      <c r="U80" s="478">
        <f t="shared" ca="1" si="22"/>
        <v>0</v>
      </c>
      <c r="V80" s="478">
        <f t="shared" ca="1" si="5"/>
        <v>0</v>
      </c>
      <c r="W80" s="493">
        <f t="shared" ca="1" si="23"/>
        <v>0</v>
      </c>
      <c r="X80" s="493">
        <f t="shared" ca="1" si="24"/>
        <v>0</v>
      </c>
      <c r="Y80" s="478">
        <f t="shared" ca="1" si="6"/>
        <v>0</v>
      </c>
      <c r="Z80" s="504">
        <f t="shared" ca="1" si="25"/>
        <v>0</v>
      </c>
      <c r="AA80" s="478">
        <f t="shared" ca="1" si="7"/>
        <v>0</v>
      </c>
      <c r="AB80" s="478">
        <f t="shared" ca="1" si="8"/>
        <v>0</v>
      </c>
      <c r="AC80" s="478">
        <f ca="1">AA80*Données!$F$36</f>
        <v>0</v>
      </c>
      <c r="AD80" s="478">
        <f ca="1">AA80*Données!$F$28</f>
        <v>0</v>
      </c>
      <c r="AE80" s="478">
        <f ca="1">IF(AB80=0,0,IF($E$7="C1",(AB80*$H$10),IF($E$7="C2",-AA80*Données!$G$36*$H$10,0)))</f>
        <v>0</v>
      </c>
      <c r="AF80" s="478">
        <f t="shared" ca="1" si="9"/>
        <v>0</v>
      </c>
      <c r="AG80" s="477">
        <f t="shared" si="26"/>
        <v>60</v>
      </c>
      <c r="AH80" s="478">
        <f t="shared" si="27"/>
        <v>0</v>
      </c>
      <c r="AI80" s="478">
        <f t="shared" si="28"/>
        <v>0</v>
      </c>
      <c r="AJ80" s="493">
        <f t="shared" si="29"/>
        <v>0</v>
      </c>
      <c r="AK80" s="493">
        <f t="shared" ca="1" si="30"/>
        <v>0</v>
      </c>
      <c r="AL80" s="478">
        <f t="shared" ca="1" si="10"/>
        <v>0</v>
      </c>
      <c r="AM80" s="478">
        <f t="shared" ca="1" si="11"/>
        <v>0</v>
      </c>
      <c r="AN80" s="478">
        <f t="shared" si="31"/>
        <v>0</v>
      </c>
      <c r="AO80" s="478">
        <f t="shared" ca="1" si="12"/>
        <v>0</v>
      </c>
      <c r="AP80" s="478">
        <f>AN80*Données!$F$36</f>
        <v>0</v>
      </c>
      <c r="AQ80" s="478">
        <f>AN80*Données!$F$28</f>
        <v>0</v>
      </c>
      <c r="AR80" s="478">
        <f ca="1">IF(AO80=0,0,IF($E$7="C1",(AO80*$H$10),IF($E$7="C2",-AN80*Données!$G$36*$H$10,0)))</f>
        <v>0</v>
      </c>
      <c r="AS80" s="478">
        <f t="shared" ca="1" si="13"/>
        <v>0</v>
      </c>
      <c r="AT80" s="477">
        <f t="shared" si="32"/>
        <v>60</v>
      </c>
      <c r="AU80" s="478">
        <f t="shared" si="33"/>
        <v>0</v>
      </c>
      <c r="AV80" s="478">
        <f t="shared" si="34"/>
        <v>0</v>
      </c>
      <c r="AW80" s="493">
        <f t="shared" si="35"/>
        <v>0</v>
      </c>
      <c r="AX80" s="493">
        <f t="shared" si="36"/>
        <v>0</v>
      </c>
      <c r="AY80" s="478">
        <f t="shared" si="14"/>
        <v>0</v>
      </c>
    </row>
    <row r="81" spans="1:51">
      <c r="A81" s="477">
        <f t="shared" ca="1" si="15"/>
        <v>2087</v>
      </c>
      <c r="B81" s="478">
        <f t="shared" ca="1" si="16"/>
        <v>0</v>
      </c>
      <c r="C81" s="478">
        <f ca="1">IF(OR($C$7=Données!$H$51,$C$7=Données!$H$54,$C$7=Données!$H$55,$C$7=Données!$H$57),0,B81*'Sit 1'!$C$10)</f>
        <v>0</v>
      </c>
      <c r="D81" s="478">
        <f ca="1">IFERROR(IF($H$5="",B81*'CT à Transf'!$K$28,B81*$H$5),B81*$H$5)</f>
        <v>0</v>
      </c>
      <c r="E81" s="478">
        <f t="shared" ca="1" si="17"/>
        <v>0</v>
      </c>
      <c r="F81" s="478">
        <f t="shared" ca="1" si="37"/>
        <v>0</v>
      </c>
      <c r="G81" s="478">
        <f t="shared" ca="1" si="39"/>
        <v>0</v>
      </c>
      <c r="H81" s="478">
        <f t="shared" ca="1" si="3"/>
        <v>0</v>
      </c>
      <c r="J81" s="476"/>
      <c r="K81" s="477">
        <f t="shared" si="18"/>
        <v>61</v>
      </c>
      <c r="L81" s="478">
        <f t="shared" ca="1" si="38"/>
        <v>0</v>
      </c>
      <c r="M81" s="478">
        <f t="shared" ca="1" si="19"/>
        <v>0</v>
      </c>
      <c r="N81" s="478">
        <f ca="1">IF(OR($C$7=Données!$H$52,$C$7=Données!$H$53),(L81*$N$9)+((M81*$Q$8)*$Q$9),(L81+M81)*$N$8*$N$9)</f>
        <v>0</v>
      </c>
      <c r="O81" s="478">
        <f ca="1">IF(OR($C$7=Données!$H$52,$C$7=Données!$H$53),(L81*$H$10)+(M81*$Q$8*$H$10)-(M81*$Q$8*Données!$G$36*$H$10),((L81+M81)*$N$8*$H$10)-IF($K$8="Rente à titre onéreux imposable sur",(L81+M81)*$N$8*Données!$G$36*$H$10,(L81+M81)*$N$8*Données!$M$41*$H$10))</f>
        <v>0</v>
      </c>
      <c r="P81" s="478">
        <f t="shared" ca="1" si="4"/>
        <v>0</v>
      </c>
      <c r="Q81" s="478">
        <f t="shared" ca="1" si="20"/>
        <v>0</v>
      </c>
      <c r="S81" s="476"/>
      <c r="T81" s="477">
        <f t="shared" si="21"/>
        <v>61</v>
      </c>
      <c r="U81" s="478">
        <f t="shared" ca="1" si="22"/>
        <v>0</v>
      </c>
      <c r="V81" s="478">
        <f t="shared" ca="1" si="5"/>
        <v>0</v>
      </c>
      <c r="W81" s="493">
        <f t="shared" ca="1" si="23"/>
        <v>0</v>
      </c>
      <c r="X81" s="493">
        <f t="shared" ca="1" si="24"/>
        <v>0</v>
      </c>
      <c r="Y81" s="478">
        <f t="shared" ca="1" si="6"/>
        <v>0</v>
      </c>
      <c r="Z81" s="504">
        <f t="shared" ca="1" si="25"/>
        <v>0</v>
      </c>
      <c r="AA81" s="478">
        <f t="shared" ca="1" si="7"/>
        <v>0</v>
      </c>
      <c r="AB81" s="478">
        <f t="shared" ca="1" si="8"/>
        <v>0</v>
      </c>
      <c r="AC81" s="478">
        <f ca="1">AA81*Données!$F$36</f>
        <v>0</v>
      </c>
      <c r="AD81" s="478">
        <f ca="1">AA81*Données!$F$28</f>
        <v>0</v>
      </c>
      <c r="AE81" s="478">
        <f ca="1">IF(AB81=0,0,IF($E$7="C1",(AB81*$H$10),IF($E$7="C2",-AA81*Données!$G$36*$H$10,0)))</f>
        <v>0</v>
      </c>
      <c r="AF81" s="478">
        <f t="shared" ca="1" si="9"/>
        <v>0</v>
      </c>
      <c r="AG81" s="477">
        <f t="shared" si="26"/>
        <v>61</v>
      </c>
      <c r="AH81" s="478">
        <f t="shared" si="27"/>
        <v>0</v>
      </c>
      <c r="AI81" s="478">
        <f t="shared" si="28"/>
        <v>0</v>
      </c>
      <c r="AJ81" s="493">
        <f t="shared" si="29"/>
        <v>0</v>
      </c>
      <c r="AK81" s="493">
        <f t="shared" ca="1" si="30"/>
        <v>0</v>
      </c>
      <c r="AL81" s="478">
        <f t="shared" ca="1" si="10"/>
        <v>0</v>
      </c>
      <c r="AM81" s="478">
        <f t="shared" ca="1" si="11"/>
        <v>0</v>
      </c>
      <c r="AN81" s="478">
        <f t="shared" si="31"/>
        <v>0</v>
      </c>
      <c r="AO81" s="478">
        <f t="shared" ca="1" si="12"/>
        <v>0</v>
      </c>
      <c r="AP81" s="478">
        <f>AN81*Données!$F$36</f>
        <v>0</v>
      </c>
      <c r="AQ81" s="478">
        <f>AN81*Données!$F$28</f>
        <v>0</v>
      </c>
      <c r="AR81" s="478">
        <f ca="1">IF(AO81=0,0,IF($E$7="C1",(AO81*$H$10),IF($E$7="C2",-AN81*Données!$G$36*$H$10,0)))</f>
        <v>0</v>
      </c>
      <c r="AS81" s="478">
        <f t="shared" ca="1" si="13"/>
        <v>0</v>
      </c>
      <c r="AT81" s="477">
        <f t="shared" si="32"/>
        <v>61</v>
      </c>
      <c r="AU81" s="478">
        <f t="shared" si="33"/>
        <v>0</v>
      </c>
      <c r="AV81" s="478">
        <f t="shared" si="34"/>
        <v>0</v>
      </c>
      <c r="AW81" s="493">
        <f t="shared" si="35"/>
        <v>0</v>
      </c>
      <c r="AX81" s="493">
        <f t="shared" si="36"/>
        <v>0</v>
      </c>
      <c r="AY81" s="478">
        <f t="shared" si="14"/>
        <v>0</v>
      </c>
    </row>
    <row r="82" spans="1:51">
      <c r="A82" s="477">
        <f t="shared" ca="1" si="15"/>
        <v>2088</v>
      </c>
      <c r="B82" s="478">
        <f t="shared" ca="1" si="16"/>
        <v>0</v>
      </c>
      <c r="C82" s="478">
        <f ca="1">IF(OR($C$7=Données!$H$51,$C$7=Données!$H$54,$C$7=Données!$H$55,$C$7=Données!$H$57),0,B82*'Sit 1'!$C$10)</f>
        <v>0</v>
      </c>
      <c r="D82" s="478">
        <f ca="1">IFERROR(IF($H$5="",B82*'CT à Transf'!$K$28,B82*$H$5),B82*$H$5)</f>
        <v>0</v>
      </c>
      <c r="E82" s="478">
        <f t="shared" ca="1" si="17"/>
        <v>0</v>
      </c>
      <c r="F82" s="478">
        <f t="shared" ca="1" si="37"/>
        <v>0</v>
      </c>
      <c r="G82" s="478">
        <f t="shared" ca="1" si="39"/>
        <v>0</v>
      </c>
      <c r="H82" s="478">
        <f t="shared" ca="1" si="3"/>
        <v>0</v>
      </c>
      <c r="J82" s="476"/>
      <c r="K82" s="477">
        <f t="shared" si="18"/>
        <v>62</v>
      </c>
      <c r="L82" s="478">
        <f t="shared" ca="1" si="38"/>
        <v>0</v>
      </c>
      <c r="M82" s="478">
        <f t="shared" ca="1" si="19"/>
        <v>0</v>
      </c>
      <c r="N82" s="478">
        <f ca="1">IF(OR($C$7=Données!$H$52,$C$7=Données!$H$53),(L82*$N$9)+((M82*$Q$8)*$Q$9),(L82+M82)*$N$8*$N$9)</f>
        <v>0</v>
      </c>
      <c r="O82" s="478">
        <f ca="1">IF(OR($C$7=Données!$H$52,$C$7=Données!$H$53),(L82*$H$10)+(M82*$Q$8*$H$10)-(M82*$Q$8*Données!$G$36*$H$10),((L82+M82)*$N$8*$H$10)-IF($K$8="Rente à titre onéreux imposable sur",(L82+M82)*$N$8*Données!$G$36*$H$10,(L82+M82)*$N$8*Données!$M$41*$H$10))</f>
        <v>0</v>
      </c>
      <c r="P82" s="478">
        <f t="shared" ca="1" si="4"/>
        <v>0</v>
      </c>
      <c r="Q82" s="478">
        <f t="shared" ca="1" si="20"/>
        <v>0</v>
      </c>
      <c r="S82" s="476"/>
      <c r="T82" s="477">
        <f t="shared" si="21"/>
        <v>62</v>
      </c>
      <c r="U82" s="478">
        <f t="shared" ca="1" si="22"/>
        <v>0</v>
      </c>
      <c r="V82" s="478">
        <f t="shared" ca="1" si="5"/>
        <v>0</v>
      </c>
      <c r="W82" s="493">
        <f t="shared" ca="1" si="23"/>
        <v>0</v>
      </c>
      <c r="X82" s="493">
        <f t="shared" ca="1" si="24"/>
        <v>0</v>
      </c>
      <c r="Y82" s="478">
        <f t="shared" ca="1" si="6"/>
        <v>0</v>
      </c>
      <c r="Z82" s="504">
        <f t="shared" ca="1" si="25"/>
        <v>0</v>
      </c>
      <c r="AA82" s="478">
        <f t="shared" ca="1" si="7"/>
        <v>0</v>
      </c>
      <c r="AB82" s="478">
        <f t="shared" ca="1" si="8"/>
        <v>0</v>
      </c>
      <c r="AC82" s="478">
        <f ca="1">AA82*Données!$F$36</f>
        <v>0</v>
      </c>
      <c r="AD82" s="478">
        <f ca="1">AA82*Données!$F$28</f>
        <v>0</v>
      </c>
      <c r="AE82" s="478">
        <f ca="1">IF(AB82=0,0,IF($E$7="C1",(AB82*$H$10),IF($E$7="C2",-AA82*Données!$G$36*$H$10,0)))</f>
        <v>0</v>
      </c>
      <c r="AF82" s="478">
        <f t="shared" ca="1" si="9"/>
        <v>0</v>
      </c>
      <c r="AG82" s="477">
        <f t="shared" si="26"/>
        <v>62</v>
      </c>
      <c r="AH82" s="478">
        <f t="shared" si="27"/>
        <v>0</v>
      </c>
      <c r="AI82" s="478">
        <f t="shared" si="28"/>
        <v>0</v>
      </c>
      <c r="AJ82" s="493">
        <f t="shared" si="29"/>
        <v>0</v>
      </c>
      <c r="AK82" s="493">
        <f t="shared" ca="1" si="30"/>
        <v>0</v>
      </c>
      <c r="AL82" s="478">
        <f t="shared" ca="1" si="10"/>
        <v>0</v>
      </c>
      <c r="AM82" s="478">
        <f t="shared" ca="1" si="11"/>
        <v>0</v>
      </c>
      <c r="AN82" s="478">
        <f t="shared" si="31"/>
        <v>0</v>
      </c>
      <c r="AO82" s="478">
        <f t="shared" ca="1" si="12"/>
        <v>0</v>
      </c>
      <c r="AP82" s="478">
        <f>AN82*Données!$F$36</f>
        <v>0</v>
      </c>
      <c r="AQ82" s="478">
        <f>AN82*Données!$F$28</f>
        <v>0</v>
      </c>
      <c r="AR82" s="478">
        <f ca="1">IF(AO82=0,0,IF($E$7="C1",(AO82*$H$10),IF($E$7="C2",-AN82*Données!$G$36*$H$10,0)))</f>
        <v>0</v>
      </c>
      <c r="AS82" s="478">
        <f t="shared" ca="1" si="13"/>
        <v>0</v>
      </c>
      <c r="AT82" s="477">
        <f t="shared" si="32"/>
        <v>62</v>
      </c>
      <c r="AU82" s="478">
        <f t="shared" si="33"/>
        <v>0</v>
      </c>
      <c r="AV82" s="478">
        <f t="shared" si="34"/>
        <v>0</v>
      </c>
      <c r="AW82" s="493">
        <f t="shared" si="35"/>
        <v>0</v>
      </c>
      <c r="AX82" s="493">
        <f t="shared" si="36"/>
        <v>0</v>
      </c>
      <c r="AY82" s="478">
        <f t="shared" si="14"/>
        <v>0</v>
      </c>
    </row>
    <row r="83" spans="1:51">
      <c r="A83" s="477">
        <f t="shared" ca="1" si="15"/>
        <v>2089</v>
      </c>
      <c r="B83" s="478">
        <f t="shared" ca="1" si="16"/>
        <v>0</v>
      </c>
      <c r="C83" s="478">
        <f ca="1">IF(OR($C$7=Données!$H$51,$C$7=Données!$H$54,$C$7=Données!$H$55,$C$7=Données!$H$57),0,B83*'Sit 1'!$C$10)</f>
        <v>0</v>
      </c>
      <c r="D83" s="478">
        <f ca="1">IFERROR(IF($H$5="",B83*'CT à Transf'!$K$28,B83*$H$5),B83*$H$5)</f>
        <v>0</v>
      </c>
      <c r="E83" s="478">
        <f t="shared" ca="1" si="17"/>
        <v>0</v>
      </c>
      <c r="F83" s="478">
        <f t="shared" ca="1" si="37"/>
        <v>0</v>
      </c>
      <c r="G83" s="478">
        <f t="shared" ca="1" si="39"/>
        <v>0</v>
      </c>
      <c r="H83" s="478">
        <f t="shared" ca="1" si="3"/>
        <v>0</v>
      </c>
      <c r="J83" s="476"/>
      <c r="K83" s="477">
        <f t="shared" si="18"/>
        <v>63</v>
      </c>
      <c r="L83" s="478">
        <f t="shared" ca="1" si="38"/>
        <v>0</v>
      </c>
      <c r="M83" s="478">
        <f t="shared" ca="1" si="19"/>
        <v>0</v>
      </c>
      <c r="N83" s="478">
        <f ca="1">IF(OR($C$7=Données!$H$52,$C$7=Données!$H$53),(L83*$N$9)+((M83*$Q$8)*$Q$9),(L83+M83)*$N$8*$N$9)</f>
        <v>0</v>
      </c>
      <c r="O83" s="478">
        <f ca="1">IF(OR($C$7=Données!$H$52,$C$7=Données!$H$53),(L83*$H$10)+(M83*$Q$8*$H$10)-(M83*$Q$8*Données!$G$36*$H$10),((L83+M83)*$N$8*$H$10)-IF($K$8="Rente à titre onéreux imposable sur",(L83+M83)*$N$8*Données!$G$36*$H$10,(L83+M83)*$N$8*Données!$M$41*$H$10))</f>
        <v>0</v>
      </c>
      <c r="P83" s="478">
        <f t="shared" ca="1" si="4"/>
        <v>0</v>
      </c>
      <c r="Q83" s="478">
        <f t="shared" ca="1" si="20"/>
        <v>0</v>
      </c>
      <c r="S83" s="476"/>
      <c r="T83" s="477">
        <f t="shared" si="21"/>
        <v>63</v>
      </c>
      <c r="U83" s="478">
        <f t="shared" ca="1" si="22"/>
        <v>0</v>
      </c>
      <c r="V83" s="478">
        <f t="shared" ca="1" si="5"/>
        <v>0</v>
      </c>
      <c r="W83" s="493">
        <f t="shared" ca="1" si="23"/>
        <v>0</v>
      </c>
      <c r="X83" s="493">
        <f t="shared" ca="1" si="24"/>
        <v>0</v>
      </c>
      <c r="Y83" s="478">
        <f t="shared" ca="1" si="6"/>
        <v>0</v>
      </c>
      <c r="Z83" s="504">
        <f t="shared" ca="1" si="25"/>
        <v>0</v>
      </c>
      <c r="AA83" s="478">
        <f t="shared" ca="1" si="7"/>
        <v>0</v>
      </c>
      <c r="AB83" s="478">
        <f t="shared" ca="1" si="8"/>
        <v>0</v>
      </c>
      <c r="AC83" s="478">
        <f ca="1">AA83*Données!$F$36</f>
        <v>0</v>
      </c>
      <c r="AD83" s="478">
        <f ca="1">AA83*Données!$F$28</f>
        <v>0</v>
      </c>
      <c r="AE83" s="478">
        <f ca="1">IF(AB83=0,0,IF($E$7="C1",(AB83*$H$10),IF($E$7="C2",-AA83*Données!$G$36*$H$10,0)))</f>
        <v>0</v>
      </c>
      <c r="AF83" s="478">
        <f t="shared" ca="1" si="9"/>
        <v>0</v>
      </c>
      <c r="AG83" s="477">
        <f t="shared" si="26"/>
        <v>63</v>
      </c>
      <c r="AH83" s="478">
        <f t="shared" si="27"/>
        <v>0</v>
      </c>
      <c r="AI83" s="478">
        <f t="shared" si="28"/>
        <v>0</v>
      </c>
      <c r="AJ83" s="493">
        <f t="shared" si="29"/>
        <v>0</v>
      </c>
      <c r="AK83" s="493">
        <f t="shared" ca="1" si="30"/>
        <v>0</v>
      </c>
      <c r="AL83" s="478">
        <f t="shared" ca="1" si="10"/>
        <v>0</v>
      </c>
      <c r="AM83" s="478">
        <f t="shared" ca="1" si="11"/>
        <v>0</v>
      </c>
      <c r="AN83" s="478">
        <f t="shared" si="31"/>
        <v>0</v>
      </c>
      <c r="AO83" s="478">
        <f t="shared" ca="1" si="12"/>
        <v>0</v>
      </c>
      <c r="AP83" s="478">
        <f>AN83*Données!$F$36</f>
        <v>0</v>
      </c>
      <c r="AQ83" s="478">
        <f>AN83*Données!$F$28</f>
        <v>0</v>
      </c>
      <c r="AR83" s="478">
        <f ca="1">IF(AO83=0,0,IF($E$7="C1",(AO83*$H$10),IF($E$7="C2",-AN83*Données!$G$36*$H$10,0)))</f>
        <v>0</v>
      </c>
      <c r="AS83" s="478">
        <f t="shared" ca="1" si="13"/>
        <v>0</v>
      </c>
      <c r="AT83" s="477">
        <f t="shared" si="32"/>
        <v>63</v>
      </c>
      <c r="AU83" s="478">
        <f t="shared" si="33"/>
        <v>0</v>
      </c>
      <c r="AV83" s="478">
        <f t="shared" si="34"/>
        <v>0</v>
      </c>
      <c r="AW83" s="493">
        <f t="shared" si="35"/>
        <v>0</v>
      </c>
      <c r="AX83" s="493">
        <f t="shared" si="36"/>
        <v>0</v>
      </c>
      <c r="AY83" s="478">
        <f t="shared" si="14"/>
        <v>0</v>
      </c>
    </row>
    <row r="84" spans="1:51">
      <c r="A84" s="477">
        <f t="shared" ca="1" si="15"/>
        <v>2090</v>
      </c>
      <c r="B84" s="478">
        <f t="shared" ca="1" si="16"/>
        <v>0</v>
      </c>
      <c r="C84" s="478">
        <f ca="1">IF(OR($C$7=Données!$H$51,$C$7=Données!$H$54,$C$7=Données!$H$55,$C$7=Données!$H$57),0,B84*'Sit 1'!$C$10)</f>
        <v>0</v>
      </c>
      <c r="D84" s="478">
        <f ca="1">IFERROR(IF($H$5="",B84*'CT à Transf'!$K$28,B84*$H$5),B84*$H$5)</f>
        <v>0</v>
      </c>
      <c r="E84" s="478">
        <f t="shared" ref="E84:E108" ca="1" si="40">B84-D84</f>
        <v>0</v>
      </c>
      <c r="F84" s="478">
        <f t="shared" ref="F84:F108" ca="1" si="41">E84*$H$6</f>
        <v>0</v>
      </c>
      <c r="G84" s="478">
        <f t="shared" ca="1" si="39"/>
        <v>0</v>
      </c>
      <c r="H84" s="478">
        <f t="shared" ref="H84:H108" ca="1" si="42">IF(G85&gt;0,0,G84)</f>
        <v>0</v>
      </c>
      <c r="J84" s="476"/>
      <c r="K84" s="477">
        <f t="shared" si="18"/>
        <v>64</v>
      </c>
      <c r="L84" s="478">
        <f t="shared" ref="L84:L108" ca="1" si="43">IFERROR($O$13*(($H$13-$H$14)/$H$13),0)</f>
        <v>0</v>
      </c>
      <c r="M84" s="478">
        <f t="shared" ca="1" si="19"/>
        <v>0</v>
      </c>
      <c r="N84" s="478">
        <f ca="1">IF(OR($C$7=Données!$H$52,$C$7=Données!$H$53),(L84*$N$9)+((M84*$Q$8)*$Q$9),(L84+M84)*$N$8*$N$9)</f>
        <v>0</v>
      </c>
      <c r="O84" s="478">
        <f ca="1">IF(OR($C$7=Données!$H$52,$C$7=Données!$H$53),(L84*$H$10)+(M84*$Q$8*$H$10)-(M84*$Q$8*Données!$G$36*$H$10),((L84+M84)*$N$8*$H$10)-IF($K$8="Rente à titre onéreux imposable sur",(L84+M84)*$N$8*Données!$G$36*$H$10,(L84+M84)*$N$8*Données!$M$41*$H$10))</f>
        <v>0</v>
      </c>
      <c r="P84" s="478">
        <f t="shared" ca="1" si="4"/>
        <v>0</v>
      </c>
      <c r="Q84" s="478">
        <f t="shared" ca="1" si="20"/>
        <v>0</v>
      </c>
      <c r="S84" s="476"/>
      <c r="T84" s="477">
        <f t="shared" si="21"/>
        <v>64</v>
      </c>
      <c r="U84" s="478">
        <f t="shared" ca="1" si="22"/>
        <v>0</v>
      </c>
      <c r="V84" s="478">
        <f t="shared" ca="1" si="5"/>
        <v>0</v>
      </c>
      <c r="W84" s="493">
        <f t="shared" ca="1" si="23"/>
        <v>0</v>
      </c>
      <c r="X84" s="493">
        <f t="shared" ca="1" si="24"/>
        <v>0</v>
      </c>
      <c r="Y84" s="478">
        <f t="shared" ca="1" si="6"/>
        <v>0</v>
      </c>
      <c r="Z84" s="504">
        <f t="shared" ca="1" si="25"/>
        <v>0</v>
      </c>
      <c r="AA84" s="478">
        <f t="shared" ca="1" si="7"/>
        <v>0</v>
      </c>
      <c r="AB84" s="478">
        <f t="shared" ca="1" si="8"/>
        <v>0</v>
      </c>
      <c r="AC84" s="478">
        <f ca="1">AA84*Données!$F$36</f>
        <v>0</v>
      </c>
      <c r="AD84" s="478">
        <f ca="1">AA84*Données!$F$28</f>
        <v>0</v>
      </c>
      <c r="AE84" s="478">
        <f ca="1">IF(AB84=0,0,IF($E$7="C1",(AB84*$H$10),IF($E$7="C2",-AA84*Données!$G$36*$H$10,0)))</f>
        <v>0</v>
      </c>
      <c r="AF84" s="478">
        <f t="shared" ca="1" si="9"/>
        <v>0</v>
      </c>
      <c r="AG84" s="477">
        <f t="shared" si="26"/>
        <v>64</v>
      </c>
      <c r="AH84" s="478">
        <f t="shared" si="27"/>
        <v>0</v>
      </c>
      <c r="AI84" s="478">
        <f t="shared" si="28"/>
        <v>0</v>
      </c>
      <c r="AJ84" s="493">
        <f t="shared" si="29"/>
        <v>0</v>
      </c>
      <c r="AK84" s="493">
        <f t="shared" ca="1" si="30"/>
        <v>0</v>
      </c>
      <c r="AL84" s="478">
        <f t="shared" ca="1" si="10"/>
        <v>0</v>
      </c>
      <c r="AM84" s="478">
        <f t="shared" ca="1" si="11"/>
        <v>0</v>
      </c>
      <c r="AN84" s="478">
        <f t="shared" si="31"/>
        <v>0</v>
      </c>
      <c r="AO84" s="478">
        <f t="shared" ca="1" si="12"/>
        <v>0</v>
      </c>
      <c r="AP84" s="478">
        <f>AN84*Données!$F$36</f>
        <v>0</v>
      </c>
      <c r="AQ84" s="478">
        <f>AN84*Données!$F$28</f>
        <v>0</v>
      </c>
      <c r="AR84" s="478">
        <f ca="1">IF(AO84=0,0,IF($E$7="C1",(AO84*$H$10),IF($E$7="C2",-AN84*Données!$G$36*$H$10,0)))</f>
        <v>0</v>
      </c>
      <c r="AS84" s="478">
        <f t="shared" ca="1" si="13"/>
        <v>0</v>
      </c>
      <c r="AT84" s="477">
        <f t="shared" si="32"/>
        <v>64</v>
      </c>
      <c r="AU84" s="478">
        <f t="shared" si="33"/>
        <v>0</v>
      </c>
      <c r="AV84" s="478">
        <f t="shared" si="34"/>
        <v>0</v>
      </c>
      <c r="AW84" s="493">
        <f t="shared" si="35"/>
        <v>0</v>
      </c>
      <c r="AX84" s="493">
        <f t="shared" si="36"/>
        <v>0</v>
      </c>
      <c r="AY84" s="478">
        <f t="shared" si="14"/>
        <v>0</v>
      </c>
    </row>
    <row r="85" spans="1:51">
      <c r="A85" s="477">
        <f t="shared" ca="1" si="15"/>
        <v>2091</v>
      </c>
      <c r="B85" s="478">
        <f t="shared" ca="1" si="16"/>
        <v>0</v>
      </c>
      <c r="C85" s="478">
        <f ca="1">IF(OR($C$7=Données!$H$51,$C$7=Données!$H$54,$C$7=Données!$H$55,$C$7=Données!$H$57),0,B85*'Sit 1'!$C$10)</f>
        <v>0</v>
      </c>
      <c r="D85" s="478">
        <f ca="1">IFERROR(IF($H$5="",B85*'CT à Transf'!$K$28,B85*$H$5),B85*$H$5)</f>
        <v>0</v>
      </c>
      <c r="E85" s="478">
        <f t="shared" ca="1" si="40"/>
        <v>0</v>
      </c>
      <c r="F85" s="478">
        <f t="shared" ca="1" si="41"/>
        <v>0</v>
      </c>
      <c r="G85" s="478">
        <f t="shared" ref="G85:G108" ca="1" si="44">IF(A85&lt;$C$6,(G84*(1+$H$6))+(E85+F85),0)</f>
        <v>0</v>
      </c>
      <c r="H85" s="478">
        <f t="shared" ca="1" si="42"/>
        <v>0</v>
      </c>
      <c r="J85" s="476"/>
      <c r="K85" s="477">
        <f t="shared" si="18"/>
        <v>65</v>
      </c>
      <c r="L85" s="478">
        <f t="shared" ca="1" si="43"/>
        <v>0</v>
      </c>
      <c r="M85" s="478">
        <f t="shared" ca="1" si="19"/>
        <v>0</v>
      </c>
      <c r="N85" s="478">
        <f ca="1">IF(OR($C$7=Données!$H$52,$C$7=Données!$H$53),(L85*$N$9)+((M85*$Q$8)*$Q$9),(L85+M85)*$N$8*$N$9)</f>
        <v>0</v>
      </c>
      <c r="O85" s="478">
        <f ca="1">IF(OR($C$7=Données!$H$52,$C$7=Données!$H$53),(L85*$H$10)+(M85*$Q$8*$H$10)-(M85*$Q$8*Données!$G$36*$H$10),((L85+M85)*$N$8*$H$10)-IF($K$8="Rente à titre onéreux imposable sur",(L85+M85)*$N$8*Données!$G$36*$H$10,(L85+M85)*$N$8*Données!$M$41*$H$10))</f>
        <v>0</v>
      </c>
      <c r="P85" s="478">
        <f t="shared" ref="P85:P108" ca="1" si="45">L85+M85-N85-O85</f>
        <v>0</v>
      </c>
      <c r="Q85" s="478">
        <f t="shared" ca="1" si="20"/>
        <v>0</v>
      </c>
      <c r="S85" s="476"/>
      <c r="T85" s="477">
        <f t="shared" si="21"/>
        <v>65</v>
      </c>
      <c r="U85" s="478">
        <f t="shared" ca="1" si="22"/>
        <v>0</v>
      </c>
      <c r="V85" s="478">
        <f t="shared" ref="V85:V108" ca="1" si="46">U85*$X$5</f>
        <v>0</v>
      </c>
      <c r="W85" s="493">
        <f t="shared" ca="1" si="23"/>
        <v>0</v>
      </c>
      <c r="X85" s="493">
        <f t="shared" ca="1" si="24"/>
        <v>0</v>
      </c>
      <c r="Y85" s="478">
        <f t="shared" ref="Y85:Y108" ca="1" si="47">W85+X85</f>
        <v>0</v>
      </c>
      <c r="Z85" s="504">
        <f t="shared" ref="Z85:Z108" ca="1" si="48">IF(T85=($C$6+($X$7-$C$6)-1),Y85,IF(Y85&lt;IF(($X$7-$C$6)=0,0,-PMT($X$5,($X$7-$C$6),$H$13)),Y85,IF(($X$7-$C$6)=0,0,-PMT($X$5,($X$7-$C$6),$H$13))))</f>
        <v>0</v>
      </c>
      <c r="AA85" s="478">
        <f t="shared" ref="AA85:AA108" ca="1" si="49">IF(U85=ROUND(0,1),0,IF((W85+V85)&lt;(Z85-(X85*Z85/(X85+W85))),(W85+V85),Z85-(X85*Z85/(X85+W85))))</f>
        <v>0</v>
      </c>
      <c r="AB85" s="478">
        <f t="shared" ref="AB85:AB108" ca="1" si="50">IF((Z85-AA85)&gt;X85,X85,Z85-AA85)</f>
        <v>0</v>
      </c>
      <c r="AC85" s="478">
        <f ca="1">AA85*Données!$F$36</f>
        <v>0</v>
      </c>
      <c r="AD85" s="478">
        <f ca="1">AA85*Données!$F$28</f>
        <v>0</v>
      </c>
      <c r="AE85" s="478">
        <f ca="1">IF(AB85=0,0,IF($E$7="C1",(AB85*$H$10),IF($E$7="C2",-AA85*Données!$G$36*$H$10,0)))</f>
        <v>0</v>
      </c>
      <c r="AF85" s="478">
        <f t="shared" ref="AF85:AF108" ca="1" si="51">IF(Z85&gt;0,Z85-AC85-AD85-AE85,0)</f>
        <v>0</v>
      </c>
      <c r="AG85" s="477">
        <f t="shared" si="26"/>
        <v>65</v>
      </c>
      <c r="AH85" s="478">
        <f t="shared" si="27"/>
        <v>0</v>
      </c>
      <c r="AI85" s="478">
        <f t="shared" ref="AI85:AI108" si="52">AH85*$X$5</f>
        <v>0</v>
      </c>
      <c r="AJ85" s="493">
        <f t="shared" si="29"/>
        <v>0</v>
      </c>
      <c r="AK85" s="493">
        <f t="shared" ca="1" si="30"/>
        <v>0</v>
      </c>
      <c r="AL85" s="478">
        <f t="shared" ref="AL85:AL108" ca="1" si="53">AJ85+AK85</f>
        <v>0</v>
      </c>
      <c r="AM85" s="478">
        <f t="shared" ref="AM85:AM108" ca="1" si="54">IF(AG85=($C$6+($AJ$14-$C$6)-1),AL85,IF(AL85&lt;IF(($AJ$14-$C$6)=0,0,-PMT($X$5,($AJ$14-$C$6),$H$13)),AL85,IF(($AJ$14-$C$6)=0,0,-PMT($X$5,($AJ$14-$C$6),$H$13))))</f>
        <v>0</v>
      </c>
      <c r="AN85" s="478">
        <f t="shared" ref="AN85:AN108" si="55">IF(AH85=ROUND(0,1),0,IF((AJ85+AI85)&lt;(AM85-(AK85*AM85/(AK85+AJ85))),(AJ85+AI85),AM85-(AK85*AM85/(AK85+AJ85))))</f>
        <v>0</v>
      </c>
      <c r="AO85" s="478">
        <f t="shared" ref="AO85:AO108" ca="1" si="56">IF((AM85-AN85)&gt;AK85,AK85,AM85-AN85)</f>
        <v>0</v>
      </c>
      <c r="AP85" s="478">
        <f>AN85*Données!$F$36</f>
        <v>0</v>
      </c>
      <c r="AQ85" s="478">
        <f>AN85*Données!$F$28</f>
        <v>0</v>
      </c>
      <c r="AR85" s="478">
        <f ca="1">IF(AO85=0,0,IF($E$7="C1",(AO85*$H$10),IF($E$7="C2",-AN85*Données!$G$36*$H$10,0)))</f>
        <v>0</v>
      </c>
      <c r="AS85" s="478">
        <f t="shared" ref="AS85:AS108" ca="1" si="57">IF(AM85&gt;0,AM85-AP85-AQ85-AR85,0)</f>
        <v>0</v>
      </c>
      <c r="AT85" s="477">
        <f t="shared" si="32"/>
        <v>65</v>
      </c>
      <c r="AU85" s="478">
        <f t="shared" si="33"/>
        <v>0</v>
      </c>
      <c r="AV85" s="478">
        <f t="shared" si="34"/>
        <v>0</v>
      </c>
      <c r="AW85" s="493">
        <f t="shared" si="35"/>
        <v>0</v>
      </c>
      <c r="AX85" s="493">
        <f t="shared" si="36"/>
        <v>0</v>
      </c>
      <c r="AY85" s="478">
        <f t="shared" ref="AY85:AY108" si="58">AW85+AX85</f>
        <v>0</v>
      </c>
    </row>
    <row r="86" spans="1:51">
      <c r="A86" s="477">
        <f t="shared" ref="A86:A108" ca="1" si="59">A85+1</f>
        <v>2092</v>
      </c>
      <c r="B86" s="478">
        <f t="shared" ref="B86:B108" ca="1" si="60">IF(A86=$C$6,0,IF(A86&lt;$C$6,$C$9,0))</f>
        <v>0</v>
      </c>
      <c r="C86" s="478">
        <f ca="1">IF(OR($C$7=Données!$H$51,$C$7=Données!$H$54,$C$7=Données!$H$55,$C$7=Données!$H$57),0,B86*'Sit 1'!$C$10)</f>
        <v>0</v>
      </c>
      <c r="D86" s="478">
        <f ca="1">IFERROR(IF($H$5="",B86*'CT à Transf'!$K$28,B86*$H$5),B86*$H$5)</f>
        <v>0</v>
      </c>
      <c r="E86" s="478">
        <f t="shared" ca="1" si="40"/>
        <v>0</v>
      </c>
      <c r="F86" s="478">
        <f t="shared" ca="1" si="41"/>
        <v>0</v>
      </c>
      <c r="G86" s="478">
        <f t="shared" ca="1" si="44"/>
        <v>0</v>
      </c>
      <c r="H86" s="478">
        <f t="shared" ca="1" si="42"/>
        <v>0</v>
      </c>
      <c r="J86" s="476"/>
      <c r="K86" s="477">
        <f t="shared" ref="K86:K108" si="61">K85+1</f>
        <v>66</v>
      </c>
      <c r="L86" s="478">
        <f t="shared" ca="1" si="43"/>
        <v>0</v>
      </c>
      <c r="M86" s="478">
        <f t="shared" ref="M86:M108" ca="1" si="62">M85+((L85+M85)*$N$6)</f>
        <v>0</v>
      </c>
      <c r="N86" s="478">
        <f ca="1">IF(OR($C$7=Données!$H$52,$C$7=Données!$H$53),(L86*$N$9)+((M86*$Q$8)*$Q$9),(L86+M86)*$N$8*$N$9)</f>
        <v>0</v>
      </c>
      <c r="O86" s="478">
        <f ca="1">IF(OR($C$7=Données!$H$52,$C$7=Données!$H$53),(L86*$H$10)+(M86*$Q$8*$H$10)-(M86*$Q$8*Données!$G$36*$H$10),((L86+M86)*$N$8*$H$10)-IF($K$8="Rente à titre onéreux imposable sur",(L86+M86)*$N$8*Données!$G$36*$H$10,(L86+M86)*$N$8*Données!$M$41*$H$10))</f>
        <v>0</v>
      </c>
      <c r="P86" s="478">
        <f t="shared" ca="1" si="45"/>
        <v>0</v>
      </c>
      <c r="Q86" s="478">
        <f t="shared" ref="Q86:Q108" ca="1" si="63">Q85+P86</f>
        <v>0</v>
      </c>
      <c r="S86" s="476"/>
      <c r="T86" s="477">
        <f t="shared" ref="T86:T108" si="64">T85+1</f>
        <v>66</v>
      </c>
      <c r="U86" s="478">
        <f t="shared" ref="U86:U108" ca="1" si="65">IF((U85+V85)&lt;=IF(($X$7-$C$6)=0,0,-PMT($X$5,($X$7-$C$6),$H$13))+1,0,U85+V85-Z85)</f>
        <v>0</v>
      </c>
      <c r="V86" s="478">
        <f t="shared" ca="1" si="46"/>
        <v>0</v>
      </c>
      <c r="W86" s="493">
        <f t="shared" ref="W86:W108" ca="1" si="66">IF((W85-AA85+V86)&lt;1,0,W85-AA85+V86)</f>
        <v>0</v>
      </c>
      <c r="X86" s="493">
        <f t="shared" ref="X86:X108" ca="1" si="67">IF((X85-AB85)&lt;1,0,X85-AB85)</f>
        <v>0</v>
      </c>
      <c r="Y86" s="478">
        <f t="shared" ca="1" si="47"/>
        <v>0</v>
      </c>
      <c r="Z86" s="504">
        <f t="shared" ca="1" si="48"/>
        <v>0</v>
      </c>
      <c r="AA86" s="478">
        <f t="shared" ca="1" si="49"/>
        <v>0</v>
      </c>
      <c r="AB86" s="478">
        <f t="shared" ca="1" si="50"/>
        <v>0</v>
      </c>
      <c r="AC86" s="478">
        <f ca="1">AA86*Données!$F$36</f>
        <v>0</v>
      </c>
      <c r="AD86" s="478">
        <f ca="1">AA86*Données!$F$28</f>
        <v>0</v>
      </c>
      <c r="AE86" s="478">
        <f ca="1">IF(AB86=0,0,IF($E$7="C1",(AB86*$H$10),IF($E$7="C2",-AA86*Données!$G$36*$H$10,0)))</f>
        <v>0</v>
      </c>
      <c r="AF86" s="478">
        <f t="shared" ca="1" si="51"/>
        <v>0</v>
      </c>
      <c r="AG86" s="477">
        <f t="shared" ref="AG86:AG108" si="68">AG85+1</f>
        <v>66</v>
      </c>
      <c r="AH86" s="478">
        <f t="shared" ref="AH86:AH108" si="69">IF(OR($E$7="C1",$E$7="C1 bis",$E$7="C2"),IF((AH85+AI85)&lt;=IF(($AJ$14-$C$6)=0,0,-PMT($X$5,($AJ$14-$C$6),$H$13))+1,0,AH85+AI85-AM85),0)</f>
        <v>0</v>
      </c>
      <c r="AI86" s="478">
        <f t="shared" si="52"/>
        <v>0</v>
      </c>
      <c r="AJ86" s="493">
        <f t="shared" ref="AJ86:AJ108" si="70">IF((AJ85-AN85+AI86)&lt;1,0,AJ85-AN85+AI86)</f>
        <v>0</v>
      </c>
      <c r="AK86" s="493">
        <f t="shared" ref="AK86:AK108" ca="1" si="71">IF((AK85-AO85)&lt;1,0,AK85-AO85)</f>
        <v>0</v>
      </c>
      <c r="AL86" s="478">
        <f t="shared" ca="1" si="53"/>
        <v>0</v>
      </c>
      <c r="AM86" s="478">
        <f t="shared" ca="1" si="54"/>
        <v>0</v>
      </c>
      <c r="AN86" s="478">
        <f t="shared" si="55"/>
        <v>0</v>
      </c>
      <c r="AO86" s="478">
        <f t="shared" ca="1" si="56"/>
        <v>0</v>
      </c>
      <c r="AP86" s="478">
        <f>AN86*Données!$F$36</f>
        <v>0</v>
      </c>
      <c r="AQ86" s="478">
        <f>AN86*Données!$F$28</f>
        <v>0</v>
      </c>
      <c r="AR86" s="478">
        <f ca="1">IF(AO86=0,0,IF($E$7="C1",(AO86*$H$10),IF($E$7="C2",-AN86*Données!$G$36*$H$10,0)))</f>
        <v>0</v>
      </c>
      <c r="AS86" s="478">
        <f t="shared" ca="1" si="57"/>
        <v>0</v>
      </c>
      <c r="AT86" s="477">
        <f t="shared" ref="AT86:AT108" si="72">AT85+1</f>
        <v>66</v>
      </c>
      <c r="AU86" s="478">
        <f t="shared" ref="AU86:AU108" si="73">IF(OR($E$7="C1",$E$7="C1 bis",$E$7="C2"),IF((AU85+AV85)&lt;=IF(($AJ$14-$C$6)=0,0,-PMT($X$5,($AJ$14-$C$6),$H$13))+1,0,AU85+AV85),0)</f>
        <v>0</v>
      </c>
      <c r="AV86" s="478">
        <f t="shared" ref="AV86:AV108" si="74">AU86*$X$5</f>
        <v>0</v>
      </c>
      <c r="AW86" s="493">
        <f t="shared" ref="AW86:AW108" si="75">AW85+AV86</f>
        <v>0</v>
      </c>
      <c r="AX86" s="493">
        <f t="shared" ref="AX86:AX108" si="76">AX85</f>
        <v>0</v>
      </c>
      <c r="AY86" s="478">
        <f t="shared" si="58"/>
        <v>0</v>
      </c>
    </row>
    <row r="87" spans="1:51">
      <c r="A87" s="477">
        <f t="shared" ca="1" si="59"/>
        <v>2093</v>
      </c>
      <c r="B87" s="478">
        <f t="shared" ca="1" si="60"/>
        <v>0</v>
      </c>
      <c r="C87" s="478">
        <f ca="1">IF(OR($C$7=Données!$H$51,$C$7=Données!$H$54,$C$7=Données!$H$55,$C$7=Données!$H$57),0,B87*'Sit 1'!$C$10)</f>
        <v>0</v>
      </c>
      <c r="D87" s="478">
        <f ca="1">IFERROR(IF($H$5="",B87*'CT à Transf'!$K$28,B87*$H$5),B87*$H$5)</f>
        <v>0</v>
      </c>
      <c r="E87" s="478">
        <f t="shared" ca="1" si="40"/>
        <v>0</v>
      </c>
      <c r="F87" s="478">
        <f t="shared" ca="1" si="41"/>
        <v>0</v>
      </c>
      <c r="G87" s="478">
        <f t="shared" ca="1" si="44"/>
        <v>0</v>
      </c>
      <c r="H87" s="478">
        <f t="shared" ca="1" si="42"/>
        <v>0</v>
      </c>
      <c r="J87" s="476"/>
      <c r="K87" s="477">
        <f t="shared" si="61"/>
        <v>67</v>
      </c>
      <c r="L87" s="478">
        <f t="shared" ca="1" si="43"/>
        <v>0</v>
      </c>
      <c r="M87" s="478">
        <f t="shared" ca="1" si="62"/>
        <v>0</v>
      </c>
      <c r="N87" s="478">
        <f ca="1">IF(OR($C$7=Données!$H$52,$C$7=Données!$H$53),(L87*$N$9)+((M87*$Q$8)*$Q$9),(L87+M87)*$N$8*$N$9)</f>
        <v>0</v>
      </c>
      <c r="O87" s="478">
        <f ca="1">IF(OR($C$7=Données!$H$52,$C$7=Données!$H$53),(L87*$H$10)+(M87*$Q$8*$H$10)-(M87*$Q$8*Données!$G$36*$H$10),((L87+M87)*$N$8*$H$10)-IF($K$8="Rente à titre onéreux imposable sur",(L87+M87)*$N$8*Données!$G$36*$H$10,(L87+M87)*$N$8*Données!$M$41*$H$10))</f>
        <v>0</v>
      </c>
      <c r="P87" s="478">
        <f t="shared" ca="1" si="45"/>
        <v>0</v>
      </c>
      <c r="Q87" s="478">
        <f t="shared" ca="1" si="63"/>
        <v>0</v>
      </c>
      <c r="S87" s="476"/>
      <c r="T87" s="477">
        <f t="shared" si="64"/>
        <v>67</v>
      </c>
      <c r="U87" s="478">
        <f t="shared" ca="1" si="65"/>
        <v>0</v>
      </c>
      <c r="V87" s="478">
        <f t="shared" ca="1" si="46"/>
        <v>0</v>
      </c>
      <c r="W87" s="493">
        <f t="shared" ca="1" si="66"/>
        <v>0</v>
      </c>
      <c r="X87" s="493">
        <f t="shared" ca="1" si="67"/>
        <v>0</v>
      </c>
      <c r="Y87" s="478">
        <f t="shared" ca="1" si="47"/>
        <v>0</v>
      </c>
      <c r="Z87" s="504">
        <f t="shared" ca="1" si="48"/>
        <v>0</v>
      </c>
      <c r="AA87" s="478">
        <f t="shared" ca="1" si="49"/>
        <v>0</v>
      </c>
      <c r="AB87" s="478">
        <f t="shared" ca="1" si="50"/>
        <v>0</v>
      </c>
      <c r="AC87" s="478">
        <f ca="1">AA87*Données!$F$36</f>
        <v>0</v>
      </c>
      <c r="AD87" s="478">
        <f ca="1">AA87*Données!$F$28</f>
        <v>0</v>
      </c>
      <c r="AE87" s="478">
        <f ca="1">IF(AB87=0,0,IF($E$7="C1",(AB87*$H$10),IF($E$7="C2",-AA87*Données!$G$36*$H$10,0)))</f>
        <v>0</v>
      </c>
      <c r="AF87" s="478">
        <f t="shared" ca="1" si="51"/>
        <v>0</v>
      </c>
      <c r="AG87" s="477">
        <f t="shared" si="68"/>
        <v>67</v>
      </c>
      <c r="AH87" s="478">
        <f t="shared" si="69"/>
        <v>0</v>
      </c>
      <c r="AI87" s="478">
        <f t="shared" si="52"/>
        <v>0</v>
      </c>
      <c r="AJ87" s="493">
        <f t="shared" si="70"/>
        <v>0</v>
      </c>
      <c r="AK87" s="493">
        <f t="shared" ca="1" si="71"/>
        <v>0</v>
      </c>
      <c r="AL87" s="478">
        <f t="shared" ca="1" si="53"/>
        <v>0</v>
      </c>
      <c r="AM87" s="478">
        <f t="shared" ca="1" si="54"/>
        <v>0</v>
      </c>
      <c r="AN87" s="478">
        <f t="shared" si="55"/>
        <v>0</v>
      </c>
      <c r="AO87" s="478">
        <f t="shared" ca="1" si="56"/>
        <v>0</v>
      </c>
      <c r="AP87" s="478">
        <f>AN87*Données!$F$36</f>
        <v>0</v>
      </c>
      <c r="AQ87" s="478">
        <f>AN87*Données!$F$28</f>
        <v>0</v>
      </c>
      <c r="AR87" s="478">
        <f ca="1">IF(AO87=0,0,IF($E$7="C1",(AO87*$H$10),IF($E$7="C2",-AN87*Données!$G$36*$H$10,0)))</f>
        <v>0</v>
      </c>
      <c r="AS87" s="478">
        <f t="shared" ca="1" si="57"/>
        <v>0</v>
      </c>
      <c r="AT87" s="477">
        <f t="shared" si="72"/>
        <v>67</v>
      </c>
      <c r="AU87" s="478">
        <f t="shared" si="73"/>
        <v>0</v>
      </c>
      <c r="AV87" s="478">
        <f t="shared" si="74"/>
        <v>0</v>
      </c>
      <c r="AW87" s="493">
        <f t="shared" si="75"/>
        <v>0</v>
      </c>
      <c r="AX87" s="493">
        <f t="shared" si="76"/>
        <v>0</v>
      </c>
      <c r="AY87" s="478">
        <f t="shared" si="58"/>
        <v>0</v>
      </c>
    </row>
    <row r="88" spans="1:51">
      <c r="A88" s="477">
        <f t="shared" ca="1" si="59"/>
        <v>2094</v>
      </c>
      <c r="B88" s="478">
        <f t="shared" ca="1" si="60"/>
        <v>0</v>
      </c>
      <c r="C88" s="478">
        <f ca="1">IF(OR($C$7=Données!$H$51,$C$7=Données!$H$54,$C$7=Données!$H$55,$C$7=Données!$H$57),0,B88*'Sit 1'!$C$10)</f>
        <v>0</v>
      </c>
      <c r="D88" s="478">
        <f ca="1">IFERROR(IF($H$5="",B88*'CT à Transf'!$K$28,B88*$H$5),B88*$H$5)</f>
        <v>0</v>
      </c>
      <c r="E88" s="478">
        <f t="shared" ca="1" si="40"/>
        <v>0</v>
      </c>
      <c r="F88" s="478">
        <f t="shared" ca="1" si="41"/>
        <v>0</v>
      </c>
      <c r="G88" s="478">
        <f t="shared" ca="1" si="44"/>
        <v>0</v>
      </c>
      <c r="H88" s="478">
        <f t="shared" ca="1" si="42"/>
        <v>0</v>
      </c>
      <c r="J88" s="476"/>
      <c r="K88" s="477">
        <f t="shared" si="61"/>
        <v>68</v>
      </c>
      <c r="L88" s="478">
        <f t="shared" ca="1" si="43"/>
        <v>0</v>
      </c>
      <c r="M88" s="478">
        <f t="shared" ca="1" si="62"/>
        <v>0</v>
      </c>
      <c r="N88" s="478">
        <f ca="1">IF(OR($C$7=Données!$H$52,$C$7=Données!$H$53),(L88*$N$9)+((M88*$Q$8)*$Q$9),(L88+M88)*$N$8*$N$9)</f>
        <v>0</v>
      </c>
      <c r="O88" s="478">
        <f ca="1">IF(OR($C$7=Données!$H$52,$C$7=Données!$H$53),(L88*$H$10)+(M88*$Q$8*$H$10)-(M88*$Q$8*Données!$G$36*$H$10),((L88+M88)*$N$8*$H$10)-IF($K$8="Rente à titre onéreux imposable sur",(L88+M88)*$N$8*Données!$G$36*$H$10,(L88+M88)*$N$8*Données!$M$41*$H$10))</f>
        <v>0</v>
      </c>
      <c r="P88" s="478">
        <f t="shared" ca="1" si="45"/>
        <v>0</v>
      </c>
      <c r="Q88" s="478">
        <f t="shared" ca="1" si="63"/>
        <v>0</v>
      </c>
      <c r="S88" s="476"/>
      <c r="T88" s="477">
        <f t="shared" si="64"/>
        <v>68</v>
      </c>
      <c r="U88" s="478">
        <f t="shared" ca="1" si="65"/>
        <v>0</v>
      </c>
      <c r="V88" s="478">
        <f t="shared" ca="1" si="46"/>
        <v>0</v>
      </c>
      <c r="W88" s="493">
        <f t="shared" ca="1" si="66"/>
        <v>0</v>
      </c>
      <c r="X88" s="493">
        <f t="shared" ca="1" si="67"/>
        <v>0</v>
      </c>
      <c r="Y88" s="478">
        <f t="shared" ca="1" si="47"/>
        <v>0</v>
      </c>
      <c r="Z88" s="504">
        <f t="shared" ca="1" si="48"/>
        <v>0</v>
      </c>
      <c r="AA88" s="478">
        <f t="shared" ca="1" si="49"/>
        <v>0</v>
      </c>
      <c r="AB88" s="478">
        <f t="shared" ca="1" si="50"/>
        <v>0</v>
      </c>
      <c r="AC88" s="478">
        <f ca="1">AA88*Données!$F$36</f>
        <v>0</v>
      </c>
      <c r="AD88" s="478">
        <f ca="1">AA88*Données!$F$28</f>
        <v>0</v>
      </c>
      <c r="AE88" s="478">
        <f ca="1">IF(AB88=0,0,IF($E$7="C1",(AB88*$H$10),IF($E$7="C2",-AA88*Données!$G$36*$H$10,0)))</f>
        <v>0</v>
      </c>
      <c r="AF88" s="478">
        <f t="shared" ca="1" si="51"/>
        <v>0</v>
      </c>
      <c r="AG88" s="477">
        <f t="shared" si="68"/>
        <v>68</v>
      </c>
      <c r="AH88" s="478">
        <f t="shared" si="69"/>
        <v>0</v>
      </c>
      <c r="AI88" s="478">
        <f t="shared" si="52"/>
        <v>0</v>
      </c>
      <c r="AJ88" s="493">
        <f t="shared" si="70"/>
        <v>0</v>
      </c>
      <c r="AK88" s="493">
        <f t="shared" ca="1" si="71"/>
        <v>0</v>
      </c>
      <c r="AL88" s="478">
        <f t="shared" ca="1" si="53"/>
        <v>0</v>
      </c>
      <c r="AM88" s="478">
        <f t="shared" ca="1" si="54"/>
        <v>0</v>
      </c>
      <c r="AN88" s="478">
        <f t="shared" si="55"/>
        <v>0</v>
      </c>
      <c r="AO88" s="478">
        <f t="shared" ca="1" si="56"/>
        <v>0</v>
      </c>
      <c r="AP88" s="478">
        <f>AN88*Données!$F$36</f>
        <v>0</v>
      </c>
      <c r="AQ88" s="478">
        <f>AN88*Données!$F$28</f>
        <v>0</v>
      </c>
      <c r="AR88" s="478">
        <f ca="1">IF(AO88=0,0,IF($E$7="C1",(AO88*$H$10),IF($E$7="C2",-AN88*Données!$G$36*$H$10,0)))</f>
        <v>0</v>
      </c>
      <c r="AS88" s="478">
        <f t="shared" ca="1" si="57"/>
        <v>0</v>
      </c>
      <c r="AT88" s="477">
        <f t="shared" si="72"/>
        <v>68</v>
      </c>
      <c r="AU88" s="478">
        <f t="shared" si="73"/>
        <v>0</v>
      </c>
      <c r="AV88" s="478">
        <f t="shared" si="74"/>
        <v>0</v>
      </c>
      <c r="AW88" s="493">
        <f t="shared" si="75"/>
        <v>0</v>
      </c>
      <c r="AX88" s="493">
        <f t="shared" si="76"/>
        <v>0</v>
      </c>
      <c r="AY88" s="478">
        <f t="shared" si="58"/>
        <v>0</v>
      </c>
    </row>
    <row r="89" spans="1:51">
      <c r="A89" s="477">
        <f t="shared" ca="1" si="59"/>
        <v>2095</v>
      </c>
      <c r="B89" s="478">
        <f t="shared" ca="1" si="60"/>
        <v>0</v>
      </c>
      <c r="C89" s="478">
        <f ca="1">IF(OR($C$7=Données!$H$51,$C$7=Données!$H$54,$C$7=Données!$H$55,$C$7=Données!$H$57),0,B89*'Sit 1'!$C$10)</f>
        <v>0</v>
      </c>
      <c r="D89" s="478">
        <f ca="1">IFERROR(IF($H$5="",B89*'CT à Transf'!$K$28,B89*$H$5),B89*$H$5)</f>
        <v>0</v>
      </c>
      <c r="E89" s="478">
        <f t="shared" ca="1" si="40"/>
        <v>0</v>
      </c>
      <c r="F89" s="478">
        <f t="shared" ca="1" si="41"/>
        <v>0</v>
      </c>
      <c r="G89" s="478">
        <f t="shared" ca="1" si="44"/>
        <v>0</v>
      </c>
      <c r="H89" s="478">
        <f t="shared" ca="1" si="42"/>
        <v>0</v>
      </c>
      <c r="J89" s="476"/>
      <c r="K89" s="477">
        <f t="shared" si="61"/>
        <v>69</v>
      </c>
      <c r="L89" s="478">
        <f t="shared" ca="1" si="43"/>
        <v>0</v>
      </c>
      <c r="M89" s="478">
        <f t="shared" ca="1" si="62"/>
        <v>0</v>
      </c>
      <c r="N89" s="478">
        <f ca="1">IF(OR($C$7=Données!$H$52,$C$7=Données!$H$53),(L89*$N$9)+((M89*$Q$8)*$Q$9),(L89+M89)*$N$8*$N$9)</f>
        <v>0</v>
      </c>
      <c r="O89" s="478">
        <f ca="1">IF(OR($C$7=Données!$H$52,$C$7=Données!$H$53),(L89*$H$10)+(M89*$Q$8*$H$10)-(M89*$Q$8*Données!$G$36*$H$10),((L89+M89)*$N$8*$H$10)-IF($K$8="Rente à titre onéreux imposable sur",(L89+M89)*$N$8*Données!$G$36*$H$10,(L89+M89)*$N$8*Données!$M$41*$H$10))</f>
        <v>0</v>
      </c>
      <c r="P89" s="478">
        <f t="shared" ca="1" si="45"/>
        <v>0</v>
      </c>
      <c r="Q89" s="478">
        <f t="shared" ca="1" si="63"/>
        <v>0</v>
      </c>
      <c r="S89" s="476"/>
      <c r="T89" s="477">
        <f t="shared" si="64"/>
        <v>69</v>
      </c>
      <c r="U89" s="478">
        <f t="shared" ca="1" si="65"/>
        <v>0</v>
      </c>
      <c r="V89" s="478">
        <f t="shared" ca="1" si="46"/>
        <v>0</v>
      </c>
      <c r="W89" s="493">
        <f t="shared" ca="1" si="66"/>
        <v>0</v>
      </c>
      <c r="X89" s="493">
        <f t="shared" ca="1" si="67"/>
        <v>0</v>
      </c>
      <c r="Y89" s="478">
        <f t="shared" ca="1" si="47"/>
        <v>0</v>
      </c>
      <c r="Z89" s="504">
        <f t="shared" ca="1" si="48"/>
        <v>0</v>
      </c>
      <c r="AA89" s="478">
        <f t="shared" ca="1" si="49"/>
        <v>0</v>
      </c>
      <c r="AB89" s="478">
        <f t="shared" ca="1" si="50"/>
        <v>0</v>
      </c>
      <c r="AC89" s="478">
        <f ca="1">AA89*Données!$F$36</f>
        <v>0</v>
      </c>
      <c r="AD89" s="478">
        <f ca="1">AA89*Données!$F$28</f>
        <v>0</v>
      </c>
      <c r="AE89" s="478">
        <f ca="1">IF(AB89=0,0,IF($E$7="C1",(AB89*$H$10),IF($E$7="C2",-AA89*Données!$G$36*$H$10,0)))</f>
        <v>0</v>
      </c>
      <c r="AF89" s="478">
        <f t="shared" ca="1" si="51"/>
        <v>0</v>
      </c>
      <c r="AG89" s="477">
        <f t="shared" si="68"/>
        <v>69</v>
      </c>
      <c r="AH89" s="478">
        <f t="shared" si="69"/>
        <v>0</v>
      </c>
      <c r="AI89" s="478">
        <f t="shared" si="52"/>
        <v>0</v>
      </c>
      <c r="AJ89" s="493">
        <f t="shared" si="70"/>
        <v>0</v>
      </c>
      <c r="AK89" s="493">
        <f t="shared" ca="1" si="71"/>
        <v>0</v>
      </c>
      <c r="AL89" s="478">
        <f t="shared" ca="1" si="53"/>
        <v>0</v>
      </c>
      <c r="AM89" s="478">
        <f t="shared" ca="1" si="54"/>
        <v>0</v>
      </c>
      <c r="AN89" s="478">
        <f t="shared" si="55"/>
        <v>0</v>
      </c>
      <c r="AO89" s="478">
        <f t="shared" ca="1" si="56"/>
        <v>0</v>
      </c>
      <c r="AP89" s="478">
        <f>AN89*Données!$F$36</f>
        <v>0</v>
      </c>
      <c r="AQ89" s="478">
        <f>AN89*Données!$F$28</f>
        <v>0</v>
      </c>
      <c r="AR89" s="478">
        <f ca="1">IF(AO89=0,0,IF($E$7="C1",(AO89*$H$10),IF($E$7="C2",-AN89*Données!$G$36*$H$10,0)))</f>
        <v>0</v>
      </c>
      <c r="AS89" s="478">
        <f t="shared" ca="1" si="57"/>
        <v>0</v>
      </c>
      <c r="AT89" s="477">
        <f t="shared" si="72"/>
        <v>69</v>
      </c>
      <c r="AU89" s="478">
        <f t="shared" si="73"/>
        <v>0</v>
      </c>
      <c r="AV89" s="478">
        <f t="shared" si="74"/>
        <v>0</v>
      </c>
      <c r="AW89" s="493">
        <f t="shared" si="75"/>
        <v>0</v>
      </c>
      <c r="AX89" s="493">
        <f t="shared" si="76"/>
        <v>0</v>
      </c>
      <c r="AY89" s="478">
        <f t="shared" si="58"/>
        <v>0</v>
      </c>
    </row>
    <row r="90" spans="1:51">
      <c r="A90" s="477">
        <f t="shared" ca="1" si="59"/>
        <v>2096</v>
      </c>
      <c r="B90" s="478">
        <f t="shared" ca="1" si="60"/>
        <v>0</v>
      </c>
      <c r="C90" s="478">
        <f ca="1">IF(OR($C$7=Données!$H$51,$C$7=Données!$H$54,$C$7=Données!$H$55,$C$7=Données!$H$57),0,B90*'Sit 1'!$C$10)</f>
        <v>0</v>
      </c>
      <c r="D90" s="478">
        <f ca="1">IFERROR(IF($H$5="",B90*'CT à Transf'!$K$28,B90*$H$5),B90*$H$5)</f>
        <v>0</v>
      </c>
      <c r="E90" s="478">
        <f t="shared" ca="1" si="40"/>
        <v>0</v>
      </c>
      <c r="F90" s="478">
        <f t="shared" ca="1" si="41"/>
        <v>0</v>
      </c>
      <c r="G90" s="478">
        <f t="shared" ca="1" si="44"/>
        <v>0</v>
      </c>
      <c r="H90" s="478">
        <f t="shared" ca="1" si="42"/>
        <v>0</v>
      </c>
      <c r="J90" s="476"/>
      <c r="K90" s="477">
        <f t="shared" si="61"/>
        <v>70</v>
      </c>
      <c r="L90" s="478">
        <f t="shared" ca="1" si="43"/>
        <v>0</v>
      </c>
      <c r="M90" s="478">
        <f t="shared" ca="1" si="62"/>
        <v>0</v>
      </c>
      <c r="N90" s="478">
        <f ca="1">IF(OR($C$7=Données!$H$52,$C$7=Données!$H$53),(L90*$N$9)+((M90*$Q$8)*$Q$9),(L90+M90)*$N$8*$N$9)</f>
        <v>0</v>
      </c>
      <c r="O90" s="478">
        <f ca="1">IF(OR($C$7=Données!$H$52,$C$7=Données!$H$53),(L90*$H$10)+(M90*$Q$8*$H$10)-(M90*$Q$8*Données!$G$36*$H$10),((L90+M90)*$N$8*$H$10)-IF($K$8="Rente à titre onéreux imposable sur",(L90+M90)*$N$8*Données!$G$36*$H$10,(L90+M90)*$N$8*Données!$M$41*$H$10))</f>
        <v>0</v>
      </c>
      <c r="P90" s="478">
        <f t="shared" ca="1" si="45"/>
        <v>0</v>
      </c>
      <c r="Q90" s="478">
        <f t="shared" ca="1" si="63"/>
        <v>0</v>
      </c>
      <c r="S90" s="476"/>
      <c r="T90" s="477">
        <f t="shared" si="64"/>
        <v>70</v>
      </c>
      <c r="U90" s="478">
        <f t="shared" ca="1" si="65"/>
        <v>0</v>
      </c>
      <c r="V90" s="478">
        <f t="shared" ca="1" si="46"/>
        <v>0</v>
      </c>
      <c r="W90" s="493">
        <f t="shared" ca="1" si="66"/>
        <v>0</v>
      </c>
      <c r="X90" s="493">
        <f t="shared" ca="1" si="67"/>
        <v>0</v>
      </c>
      <c r="Y90" s="478">
        <f t="shared" ca="1" si="47"/>
        <v>0</v>
      </c>
      <c r="Z90" s="504">
        <f t="shared" ca="1" si="48"/>
        <v>0</v>
      </c>
      <c r="AA90" s="478">
        <f t="shared" ca="1" si="49"/>
        <v>0</v>
      </c>
      <c r="AB90" s="478">
        <f t="shared" ca="1" si="50"/>
        <v>0</v>
      </c>
      <c r="AC90" s="478">
        <f ca="1">AA90*Données!$F$36</f>
        <v>0</v>
      </c>
      <c r="AD90" s="478">
        <f ca="1">AA90*Données!$F$28</f>
        <v>0</v>
      </c>
      <c r="AE90" s="478">
        <f ca="1">IF(AB90=0,0,IF($E$7="C1",(AB90*$H$10),IF($E$7="C2",-AA90*Données!$G$36*$H$10,0)))</f>
        <v>0</v>
      </c>
      <c r="AF90" s="478">
        <f t="shared" ca="1" si="51"/>
        <v>0</v>
      </c>
      <c r="AG90" s="477">
        <f t="shared" si="68"/>
        <v>70</v>
      </c>
      <c r="AH90" s="478">
        <f t="shared" si="69"/>
        <v>0</v>
      </c>
      <c r="AI90" s="478">
        <f t="shared" si="52"/>
        <v>0</v>
      </c>
      <c r="AJ90" s="493">
        <f t="shared" si="70"/>
        <v>0</v>
      </c>
      <c r="AK90" s="493">
        <f t="shared" ca="1" si="71"/>
        <v>0</v>
      </c>
      <c r="AL90" s="478">
        <f t="shared" ca="1" si="53"/>
        <v>0</v>
      </c>
      <c r="AM90" s="478">
        <f t="shared" ca="1" si="54"/>
        <v>0</v>
      </c>
      <c r="AN90" s="478">
        <f t="shared" si="55"/>
        <v>0</v>
      </c>
      <c r="AO90" s="478">
        <f t="shared" ca="1" si="56"/>
        <v>0</v>
      </c>
      <c r="AP90" s="478">
        <f>AN90*Données!$F$36</f>
        <v>0</v>
      </c>
      <c r="AQ90" s="478">
        <f>AN90*Données!$F$28</f>
        <v>0</v>
      </c>
      <c r="AR90" s="478">
        <f ca="1">IF(AO90=0,0,IF($E$7="C1",(AO90*$H$10),IF($E$7="C2",-AN90*Données!$G$36*$H$10,0)))</f>
        <v>0</v>
      </c>
      <c r="AS90" s="478">
        <f t="shared" ca="1" si="57"/>
        <v>0</v>
      </c>
      <c r="AT90" s="477">
        <f t="shared" si="72"/>
        <v>70</v>
      </c>
      <c r="AU90" s="478">
        <f t="shared" si="73"/>
        <v>0</v>
      </c>
      <c r="AV90" s="478">
        <f t="shared" si="74"/>
        <v>0</v>
      </c>
      <c r="AW90" s="493">
        <f t="shared" si="75"/>
        <v>0</v>
      </c>
      <c r="AX90" s="493">
        <f t="shared" si="76"/>
        <v>0</v>
      </c>
      <c r="AY90" s="478">
        <f t="shared" si="58"/>
        <v>0</v>
      </c>
    </row>
    <row r="91" spans="1:51">
      <c r="A91" s="477">
        <f t="shared" ca="1" si="59"/>
        <v>2097</v>
      </c>
      <c r="B91" s="478">
        <f t="shared" ca="1" si="60"/>
        <v>0</v>
      </c>
      <c r="C91" s="478">
        <f ca="1">IF(OR($C$7=Données!$H$51,$C$7=Données!$H$54,$C$7=Données!$H$55,$C$7=Données!$H$57),0,B91*'Sit 1'!$C$10)</f>
        <v>0</v>
      </c>
      <c r="D91" s="478">
        <f ca="1">IFERROR(IF($H$5="",B91*'CT à Transf'!$K$28,B91*$H$5),B91*$H$5)</f>
        <v>0</v>
      </c>
      <c r="E91" s="478">
        <f t="shared" ca="1" si="40"/>
        <v>0</v>
      </c>
      <c r="F91" s="478">
        <f t="shared" ca="1" si="41"/>
        <v>0</v>
      </c>
      <c r="G91" s="478">
        <f t="shared" ca="1" si="44"/>
        <v>0</v>
      </c>
      <c r="H91" s="478">
        <f t="shared" ca="1" si="42"/>
        <v>0</v>
      </c>
      <c r="J91" s="476"/>
      <c r="K91" s="477">
        <f t="shared" si="61"/>
        <v>71</v>
      </c>
      <c r="L91" s="478">
        <f t="shared" ca="1" si="43"/>
        <v>0</v>
      </c>
      <c r="M91" s="478">
        <f t="shared" ca="1" si="62"/>
        <v>0</v>
      </c>
      <c r="N91" s="478">
        <f ca="1">IF(OR($C$7=Données!$H$52,$C$7=Données!$H$53),(L91*$N$9)+((M91*$Q$8)*$Q$9),(L91+M91)*$N$8*$N$9)</f>
        <v>0</v>
      </c>
      <c r="O91" s="478">
        <f ca="1">IF(OR($C$7=Données!$H$52,$C$7=Données!$H$53),(L91*$H$10)+(M91*$Q$8*$H$10)-(M91*$Q$8*Données!$G$36*$H$10),((L91+M91)*$N$8*$H$10)-IF($K$8="Rente à titre onéreux imposable sur",(L91+M91)*$N$8*Données!$G$36*$H$10,(L91+M91)*$N$8*Données!$M$41*$H$10))</f>
        <v>0</v>
      </c>
      <c r="P91" s="478">
        <f t="shared" ca="1" si="45"/>
        <v>0</v>
      </c>
      <c r="Q91" s="478">
        <f t="shared" ca="1" si="63"/>
        <v>0</v>
      </c>
      <c r="S91" s="476"/>
      <c r="T91" s="477">
        <f t="shared" si="64"/>
        <v>71</v>
      </c>
      <c r="U91" s="478">
        <f t="shared" ca="1" si="65"/>
        <v>0</v>
      </c>
      <c r="V91" s="478">
        <f t="shared" ca="1" si="46"/>
        <v>0</v>
      </c>
      <c r="W91" s="493">
        <f t="shared" ca="1" si="66"/>
        <v>0</v>
      </c>
      <c r="X91" s="493">
        <f t="shared" ca="1" si="67"/>
        <v>0</v>
      </c>
      <c r="Y91" s="478">
        <f t="shared" ca="1" si="47"/>
        <v>0</v>
      </c>
      <c r="Z91" s="504">
        <f t="shared" ca="1" si="48"/>
        <v>0</v>
      </c>
      <c r="AA91" s="478">
        <f t="shared" ca="1" si="49"/>
        <v>0</v>
      </c>
      <c r="AB91" s="478">
        <f t="shared" ca="1" si="50"/>
        <v>0</v>
      </c>
      <c r="AC91" s="478">
        <f ca="1">AA91*Données!$F$36</f>
        <v>0</v>
      </c>
      <c r="AD91" s="478">
        <f ca="1">AA91*Données!$F$28</f>
        <v>0</v>
      </c>
      <c r="AE91" s="478">
        <f ca="1">IF(AB91=0,0,IF($E$7="C1",(AB91*$H$10),IF($E$7="C2",-AA91*Données!$G$36*$H$10,0)))</f>
        <v>0</v>
      </c>
      <c r="AF91" s="478">
        <f t="shared" ca="1" si="51"/>
        <v>0</v>
      </c>
      <c r="AG91" s="477">
        <f t="shared" si="68"/>
        <v>71</v>
      </c>
      <c r="AH91" s="478">
        <f t="shared" si="69"/>
        <v>0</v>
      </c>
      <c r="AI91" s="478">
        <f t="shared" si="52"/>
        <v>0</v>
      </c>
      <c r="AJ91" s="493">
        <f t="shared" si="70"/>
        <v>0</v>
      </c>
      <c r="AK91" s="493">
        <f t="shared" ca="1" si="71"/>
        <v>0</v>
      </c>
      <c r="AL91" s="478">
        <f t="shared" ca="1" si="53"/>
        <v>0</v>
      </c>
      <c r="AM91" s="478">
        <f t="shared" ca="1" si="54"/>
        <v>0</v>
      </c>
      <c r="AN91" s="478">
        <f t="shared" si="55"/>
        <v>0</v>
      </c>
      <c r="AO91" s="478">
        <f t="shared" ca="1" si="56"/>
        <v>0</v>
      </c>
      <c r="AP91" s="478">
        <f>AN91*Données!$F$36</f>
        <v>0</v>
      </c>
      <c r="AQ91" s="478">
        <f>AN91*Données!$F$28</f>
        <v>0</v>
      </c>
      <c r="AR91" s="478">
        <f ca="1">IF(AO91=0,0,IF($E$7="C1",(AO91*$H$10),IF($E$7="C2",-AN91*Données!$G$36*$H$10,0)))</f>
        <v>0</v>
      </c>
      <c r="AS91" s="478">
        <f t="shared" ca="1" si="57"/>
        <v>0</v>
      </c>
      <c r="AT91" s="477">
        <f t="shared" si="72"/>
        <v>71</v>
      </c>
      <c r="AU91" s="478">
        <f t="shared" si="73"/>
        <v>0</v>
      </c>
      <c r="AV91" s="478">
        <f t="shared" si="74"/>
        <v>0</v>
      </c>
      <c r="AW91" s="493">
        <f t="shared" si="75"/>
        <v>0</v>
      </c>
      <c r="AX91" s="493">
        <f t="shared" si="76"/>
        <v>0</v>
      </c>
      <c r="AY91" s="478">
        <f t="shared" si="58"/>
        <v>0</v>
      </c>
    </row>
    <row r="92" spans="1:51">
      <c r="A92" s="477">
        <f t="shared" ca="1" si="59"/>
        <v>2098</v>
      </c>
      <c r="B92" s="478">
        <f t="shared" ca="1" si="60"/>
        <v>0</v>
      </c>
      <c r="C92" s="478">
        <f ca="1">IF(OR($C$7=Données!$H$51,$C$7=Données!$H$54,$C$7=Données!$H$55,$C$7=Données!$H$57),0,B92*'Sit 1'!$C$10)</f>
        <v>0</v>
      </c>
      <c r="D92" s="478">
        <f ca="1">IFERROR(IF($H$5="",B92*'CT à Transf'!$K$28,B92*$H$5),B92*$H$5)</f>
        <v>0</v>
      </c>
      <c r="E92" s="478">
        <f t="shared" ca="1" si="40"/>
        <v>0</v>
      </c>
      <c r="F92" s="478">
        <f t="shared" ca="1" si="41"/>
        <v>0</v>
      </c>
      <c r="G92" s="478">
        <f t="shared" ca="1" si="44"/>
        <v>0</v>
      </c>
      <c r="H92" s="478">
        <f t="shared" ca="1" si="42"/>
        <v>0</v>
      </c>
      <c r="J92" s="476"/>
      <c r="K92" s="477">
        <f t="shared" si="61"/>
        <v>72</v>
      </c>
      <c r="L92" s="478">
        <f t="shared" ca="1" si="43"/>
        <v>0</v>
      </c>
      <c r="M92" s="478">
        <f t="shared" ca="1" si="62"/>
        <v>0</v>
      </c>
      <c r="N92" s="478">
        <f ca="1">IF(OR($C$7=Données!$H$52,$C$7=Données!$H$53),(L92*$N$9)+((M92*$Q$8)*$Q$9),(L92+M92)*$N$8*$N$9)</f>
        <v>0</v>
      </c>
      <c r="O92" s="478">
        <f ca="1">IF(OR($C$7=Données!$H$52,$C$7=Données!$H$53),(L92*$H$10)+(M92*$Q$8*$H$10)-(M92*$Q$8*Données!$G$36*$H$10),((L92+M92)*$N$8*$H$10)-IF($K$8="Rente à titre onéreux imposable sur",(L92+M92)*$N$8*Données!$G$36*$H$10,(L92+M92)*$N$8*Données!$M$41*$H$10))</f>
        <v>0</v>
      </c>
      <c r="P92" s="478">
        <f t="shared" ca="1" si="45"/>
        <v>0</v>
      </c>
      <c r="Q92" s="478">
        <f t="shared" ca="1" si="63"/>
        <v>0</v>
      </c>
      <c r="S92" s="476"/>
      <c r="T92" s="477">
        <f t="shared" si="64"/>
        <v>72</v>
      </c>
      <c r="U92" s="478">
        <f t="shared" ca="1" si="65"/>
        <v>0</v>
      </c>
      <c r="V92" s="478">
        <f t="shared" ca="1" si="46"/>
        <v>0</v>
      </c>
      <c r="W92" s="493">
        <f t="shared" ca="1" si="66"/>
        <v>0</v>
      </c>
      <c r="X92" s="493">
        <f t="shared" ca="1" si="67"/>
        <v>0</v>
      </c>
      <c r="Y92" s="478">
        <f t="shared" ca="1" si="47"/>
        <v>0</v>
      </c>
      <c r="Z92" s="504">
        <f t="shared" ca="1" si="48"/>
        <v>0</v>
      </c>
      <c r="AA92" s="478">
        <f t="shared" ca="1" si="49"/>
        <v>0</v>
      </c>
      <c r="AB92" s="478">
        <f t="shared" ca="1" si="50"/>
        <v>0</v>
      </c>
      <c r="AC92" s="478">
        <f ca="1">AA92*Données!$F$36</f>
        <v>0</v>
      </c>
      <c r="AD92" s="478">
        <f ca="1">AA92*Données!$F$28</f>
        <v>0</v>
      </c>
      <c r="AE92" s="478">
        <f ca="1">IF(AB92=0,0,IF($E$7="C1",(AB92*$H$10),IF($E$7="C2",-AA92*Données!$G$36*$H$10,0)))</f>
        <v>0</v>
      </c>
      <c r="AF92" s="478">
        <f t="shared" ca="1" si="51"/>
        <v>0</v>
      </c>
      <c r="AG92" s="477">
        <f t="shared" si="68"/>
        <v>72</v>
      </c>
      <c r="AH92" s="478">
        <f t="shared" si="69"/>
        <v>0</v>
      </c>
      <c r="AI92" s="478">
        <f t="shared" si="52"/>
        <v>0</v>
      </c>
      <c r="AJ92" s="493">
        <f t="shared" si="70"/>
        <v>0</v>
      </c>
      <c r="AK92" s="493">
        <f t="shared" ca="1" si="71"/>
        <v>0</v>
      </c>
      <c r="AL92" s="478">
        <f t="shared" ca="1" si="53"/>
        <v>0</v>
      </c>
      <c r="AM92" s="478">
        <f t="shared" ca="1" si="54"/>
        <v>0</v>
      </c>
      <c r="AN92" s="478">
        <f t="shared" si="55"/>
        <v>0</v>
      </c>
      <c r="AO92" s="478">
        <f t="shared" ca="1" si="56"/>
        <v>0</v>
      </c>
      <c r="AP92" s="478">
        <f>AN92*Données!$F$36</f>
        <v>0</v>
      </c>
      <c r="AQ92" s="478">
        <f>AN92*Données!$F$28</f>
        <v>0</v>
      </c>
      <c r="AR92" s="478">
        <f ca="1">IF(AO92=0,0,IF($E$7="C1",(AO92*$H$10),IF($E$7="C2",-AN92*Données!$G$36*$H$10,0)))</f>
        <v>0</v>
      </c>
      <c r="AS92" s="478">
        <f t="shared" ca="1" si="57"/>
        <v>0</v>
      </c>
      <c r="AT92" s="477">
        <f t="shared" si="72"/>
        <v>72</v>
      </c>
      <c r="AU92" s="478">
        <f t="shared" si="73"/>
        <v>0</v>
      </c>
      <c r="AV92" s="478">
        <f t="shared" si="74"/>
        <v>0</v>
      </c>
      <c r="AW92" s="493">
        <f t="shared" si="75"/>
        <v>0</v>
      </c>
      <c r="AX92" s="493">
        <f t="shared" si="76"/>
        <v>0</v>
      </c>
      <c r="AY92" s="478">
        <f t="shared" si="58"/>
        <v>0</v>
      </c>
    </row>
    <row r="93" spans="1:51">
      <c r="A93" s="477">
        <f t="shared" ca="1" si="59"/>
        <v>2099</v>
      </c>
      <c r="B93" s="478">
        <f t="shared" ca="1" si="60"/>
        <v>0</v>
      </c>
      <c r="C93" s="478">
        <f ca="1">IF(OR($C$7=Données!$H$51,$C$7=Données!$H$54,$C$7=Données!$H$55,$C$7=Données!$H$57),0,B93*'Sit 1'!$C$10)</f>
        <v>0</v>
      </c>
      <c r="D93" s="478">
        <f ca="1">IFERROR(IF($H$5="",B93*'CT à Transf'!$K$28,B93*$H$5),B93*$H$5)</f>
        <v>0</v>
      </c>
      <c r="E93" s="478">
        <f t="shared" ca="1" si="40"/>
        <v>0</v>
      </c>
      <c r="F93" s="478">
        <f t="shared" ca="1" si="41"/>
        <v>0</v>
      </c>
      <c r="G93" s="478">
        <f t="shared" ca="1" si="44"/>
        <v>0</v>
      </c>
      <c r="H93" s="478">
        <f t="shared" ca="1" si="42"/>
        <v>0</v>
      </c>
      <c r="J93" s="476"/>
      <c r="K93" s="477">
        <f t="shared" si="61"/>
        <v>73</v>
      </c>
      <c r="L93" s="478">
        <f t="shared" ca="1" si="43"/>
        <v>0</v>
      </c>
      <c r="M93" s="478">
        <f t="shared" ca="1" si="62"/>
        <v>0</v>
      </c>
      <c r="N93" s="478">
        <f ca="1">IF(OR($C$7=Données!$H$52,$C$7=Données!$H$53),(L93*$N$9)+((M93*$Q$8)*$Q$9),(L93+M93)*$N$8*$N$9)</f>
        <v>0</v>
      </c>
      <c r="O93" s="478">
        <f ca="1">IF(OR($C$7=Données!$H$52,$C$7=Données!$H$53),(L93*$H$10)+(M93*$Q$8*$H$10)-(M93*$Q$8*Données!$G$36*$H$10),((L93+M93)*$N$8*$H$10)-IF($K$8="Rente à titre onéreux imposable sur",(L93+M93)*$N$8*Données!$G$36*$H$10,(L93+M93)*$N$8*Données!$M$41*$H$10))</f>
        <v>0</v>
      </c>
      <c r="P93" s="478">
        <f t="shared" ca="1" si="45"/>
        <v>0</v>
      </c>
      <c r="Q93" s="478">
        <f t="shared" ca="1" si="63"/>
        <v>0</v>
      </c>
      <c r="S93" s="476"/>
      <c r="T93" s="477">
        <f t="shared" si="64"/>
        <v>73</v>
      </c>
      <c r="U93" s="478">
        <f t="shared" ca="1" si="65"/>
        <v>0</v>
      </c>
      <c r="V93" s="478">
        <f t="shared" ca="1" si="46"/>
        <v>0</v>
      </c>
      <c r="W93" s="493">
        <f t="shared" ca="1" si="66"/>
        <v>0</v>
      </c>
      <c r="X93" s="493">
        <f t="shared" ca="1" si="67"/>
        <v>0</v>
      </c>
      <c r="Y93" s="478">
        <f t="shared" ca="1" si="47"/>
        <v>0</v>
      </c>
      <c r="Z93" s="504">
        <f t="shared" ca="1" si="48"/>
        <v>0</v>
      </c>
      <c r="AA93" s="478">
        <f t="shared" ca="1" si="49"/>
        <v>0</v>
      </c>
      <c r="AB93" s="478">
        <f t="shared" ca="1" si="50"/>
        <v>0</v>
      </c>
      <c r="AC93" s="478">
        <f ca="1">AA93*Données!$F$36</f>
        <v>0</v>
      </c>
      <c r="AD93" s="478">
        <f ca="1">AA93*Données!$F$28</f>
        <v>0</v>
      </c>
      <c r="AE93" s="478">
        <f ca="1">IF(AB93=0,0,IF($E$7="C1",(AB93*$H$10),IF($E$7="C2",-AA93*Données!$G$36*$H$10,0)))</f>
        <v>0</v>
      </c>
      <c r="AF93" s="478">
        <f t="shared" ca="1" si="51"/>
        <v>0</v>
      </c>
      <c r="AG93" s="477">
        <f t="shared" si="68"/>
        <v>73</v>
      </c>
      <c r="AH93" s="478">
        <f t="shared" si="69"/>
        <v>0</v>
      </c>
      <c r="AI93" s="478">
        <f t="shared" si="52"/>
        <v>0</v>
      </c>
      <c r="AJ93" s="493">
        <f t="shared" si="70"/>
        <v>0</v>
      </c>
      <c r="AK93" s="493">
        <f t="shared" ca="1" si="71"/>
        <v>0</v>
      </c>
      <c r="AL93" s="478">
        <f t="shared" ca="1" si="53"/>
        <v>0</v>
      </c>
      <c r="AM93" s="478">
        <f t="shared" ca="1" si="54"/>
        <v>0</v>
      </c>
      <c r="AN93" s="478">
        <f t="shared" si="55"/>
        <v>0</v>
      </c>
      <c r="AO93" s="478">
        <f t="shared" ca="1" si="56"/>
        <v>0</v>
      </c>
      <c r="AP93" s="478">
        <f>AN93*Données!$F$36</f>
        <v>0</v>
      </c>
      <c r="AQ93" s="478">
        <f>AN93*Données!$F$28</f>
        <v>0</v>
      </c>
      <c r="AR93" s="478">
        <f ca="1">IF(AO93=0,0,IF($E$7="C1",(AO93*$H$10),IF($E$7="C2",-AN93*Données!$G$36*$H$10,0)))</f>
        <v>0</v>
      </c>
      <c r="AS93" s="478">
        <f t="shared" ca="1" si="57"/>
        <v>0</v>
      </c>
      <c r="AT93" s="477">
        <f t="shared" si="72"/>
        <v>73</v>
      </c>
      <c r="AU93" s="478">
        <f t="shared" si="73"/>
        <v>0</v>
      </c>
      <c r="AV93" s="478">
        <f t="shared" si="74"/>
        <v>0</v>
      </c>
      <c r="AW93" s="493">
        <f t="shared" si="75"/>
        <v>0</v>
      </c>
      <c r="AX93" s="493">
        <f t="shared" si="76"/>
        <v>0</v>
      </c>
      <c r="AY93" s="478">
        <f t="shared" si="58"/>
        <v>0</v>
      </c>
    </row>
    <row r="94" spans="1:51">
      <c r="A94" s="477">
        <f t="shared" ca="1" si="59"/>
        <v>2100</v>
      </c>
      <c r="B94" s="478">
        <f t="shared" ca="1" si="60"/>
        <v>0</v>
      </c>
      <c r="C94" s="478">
        <f ca="1">IF(OR($C$7=Données!$H$51,$C$7=Données!$H$54,$C$7=Données!$H$55,$C$7=Données!$H$57),0,B94*'Sit 1'!$C$10)</f>
        <v>0</v>
      </c>
      <c r="D94" s="478">
        <f ca="1">IFERROR(IF($H$5="",B94*'CT à Transf'!$K$28,B94*$H$5),B94*$H$5)</f>
        <v>0</v>
      </c>
      <c r="E94" s="478">
        <f t="shared" ca="1" si="40"/>
        <v>0</v>
      </c>
      <c r="F94" s="478">
        <f t="shared" ca="1" si="41"/>
        <v>0</v>
      </c>
      <c r="G94" s="478">
        <f t="shared" ca="1" si="44"/>
        <v>0</v>
      </c>
      <c r="H94" s="478">
        <f t="shared" ca="1" si="42"/>
        <v>0</v>
      </c>
      <c r="J94" s="476"/>
      <c r="K94" s="477">
        <f t="shared" si="61"/>
        <v>74</v>
      </c>
      <c r="L94" s="478">
        <f t="shared" ca="1" si="43"/>
        <v>0</v>
      </c>
      <c r="M94" s="478">
        <f t="shared" ca="1" si="62"/>
        <v>0</v>
      </c>
      <c r="N94" s="478">
        <f ca="1">IF(OR($C$7=Données!$H$52,$C$7=Données!$H$53),(L94*$N$9)+((M94*$Q$8)*$Q$9),(L94+M94)*$N$8*$N$9)</f>
        <v>0</v>
      </c>
      <c r="O94" s="478">
        <f ca="1">IF(OR($C$7=Données!$H$52,$C$7=Données!$H$53),(L94*$H$10)+(M94*$Q$8*$H$10)-(M94*$Q$8*Données!$G$36*$H$10),((L94+M94)*$N$8*$H$10)-IF($K$8="Rente à titre onéreux imposable sur",(L94+M94)*$N$8*Données!$G$36*$H$10,(L94+M94)*$N$8*Données!$M$41*$H$10))</f>
        <v>0</v>
      </c>
      <c r="P94" s="478">
        <f t="shared" ca="1" si="45"/>
        <v>0</v>
      </c>
      <c r="Q94" s="478">
        <f t="shared" ca="1" si="63"/>
        <v>0</v>
      </c>
      <c r="S94" s="476"/>
      <c r="T94" s="477">
        <f t="shared" si="64"/>
        <v>74</v>
      </c>
      <c r="U94" s="478">
        <f t="shared" ca="1" si="65"/>
        <v>0</v>
      </c>
      <c r="V94" s="478">
        <f t="shared" ca="1" si="46"/>
        <v>0</v>
      </c>
      <c r="W94" s="493">
        <f t="shared" ca="1" si="66"/>
        <v>0</v>
      </c>
      <c r="X94" s="493">
        <f t="shared" ca="1" si="67"/>
        <v>0</v>
      </c>
      <c r="Y94" s="478">
        <f t="shared" ca="1" si="47"/>
        <v>0</v>
      </c>
      <c r="Z94" s="504">
        <f t="shared" ca="1" si="48"/>
        <v>0</v>
      </c>
      <c r="AA94" s="478">
        <f t="shared" ca="1" si="49"/>
        <v>0</v>
      </c>
      <c r="AB94" s="478">
        <f t="shared" ca="1" si="50"/>
        <v>0</v>
      </c>
      <c r="AC94" s="478">
        <f ca="1">AA94*Données!$F$36</f>
        <v>0</v>
      </c>
      <c r="AD94" s="478">
        <f ca="1">AA94*Données!$F$28</f>
        <v>0</v>
      </c>
      <c r="AE94" s="478">
        <f ca="1">IF(AB94=0,0,IF($E$7="C1",(AB94*$H$10),IF($E$7="C2",-AA94*Données!$G$36*$H$10,0)))</f>
        <v>0</v>
      </c>
      <c r="AF94" s="478">
        <f t="shared" ca="1" si="51"/>
        <v>0</v>
      </c>
      <c r="AG94" s="477">
        <f t="shared" si="68"/>
        <v>74</v>
      </c>
      <c r="AH94" s="478">
        <f t="shared" si="69"/>
        <v>0</v>
      </c>
      <c r="AI94" s="478">
        <f t="shared" si="52"/>
        <v>0</v>
      </c>
      <c r="AJ94" s="493">
        <f t="shared" si="70"/>
        <v>0</v>
      </c>
      <c r="AK94" s="493">
        <f t="shared" ca="1" si="71"/>
        <v>0</v>
      </c>
      <c r="AL94" s="478">
        <f t="shared" ca="1" si="53"/>
        <v>0</v>
      </c>
      <c r="AM94" s="478">
        <f t="shared" ca="1" si="54"/>
        <v>0</v>
      </c>
      <c r="AN94" s="478">
        <f t="shared" si="55"/>
        <v>0</v>
      </c>
      <c r="AO94" s="478">
        <f t="shared" ca="1" si="56"/>
        <v>0</v>
      </c>
      <c r="AP94" s="478">
        <f>AN94*Données!$F$36</f>
        <v>0</v>
      </c>
      <c r="AQ94" s="478">
        <f>AN94*Données!$F$28</f>
        <v>0</v>
      </c>
      <c r="AR94" s="478">
        <f ca="1">IF(AO94=0,0,IF($E$7="C1",(AO94*$H$10),IF($E$7="C2",-AN94*Données!$G$36*$H$10,0)))</f>
        <v>0</v>
      </c>
      <c r="AS94" s="478">
        <f t="shared" ca="1" si="57"/>
        <v>0</v>
      </c>
      <c r="AT94" s="477">
        <f t="shared" si="72"/>
        <v>74</v>
      </c>
      <c r="AU94" s="478">
        <f t="shared" si="73"/>
        <v>0</v>
      </c>
      <c r="AV94" s="478">
        <f t="shared" si="74"/>
        <v>0</v>
      </c>
      <c r="AW94" s="493">
        <f t="shared" si="75"/>
        <v>0</v>
      </c>
      <c r="AX94" s="493">
        <f t="shared" si="76"/>
        <v>0</v>
      </c>
      <c r="AY94" s="478">
        <f t="shared" si="58"/>
        <v>0</v>
      </c>
    </row>
    <row r="95" spans="1:51">
      <c r="A95" s="477">
        <f t="shared" ca="1" si="59"/>
        <v>2101</v>
      </c>
      <c r="B95" s="478">
        <f t="shared" ca="1" si="60"/>
        <v>0</v>
      </c>
      <c r="C95" s="478">
        <f ca="1">IF(OR($C$7=Données!$H$51,$C$7=Données!$H$54,$C$7=Données!$H$55,$C$7=Données!$H$57),0,B95*'Sit 1'!$C$10)</f>
        <v>0</v>
      </c>
      <c r="D95" s="478">
        <f ca="1">IFERROR(IF($H$5="",B95*'CT à Transf'!$K$28,B95*$H$5),B95*$H$5)</f>
        <v>0</v>
      </c>
      <c r="E95" s="478">
        <f t="shared" ca="1" si="40"/>
        <v>0</v>
      </c>
      <c r="F95" s="478">
        <f t="shared" ca="1" si="41"/>
        <v>0</v>
      </c>
      <c r="G95" s="478">
        <f t="shared" ca="1" si="44"/>
        <v>0</v>
      </c>
      <c r="H95" s="478">
        <f t="shared" ca="1" si="42"/>
        <v>0</v>
      </c>
      <c r="J95" s="476"/>
      <c r="K95" s="477">
        <f t="shared" si="61"/>
        <v>75</v>
      </c>
      <c r="L95" s="478">
        <f t="shared" ca="1" si="43"/>
        <v>0</v>
      </c>
      <c r="M95" s="478">
        <f t="shared" ca="1" si="62"/>
        <v>0</v>
      </c>
      <c r="N95" s="478">
        <f ca="1">IF(OR($C$7=Données!$H$52,$C$7=Données!$H$53),(L95*$N$9)+((M95*$Q$8)*$Q$9),(L95+M95)*$N$8*$N$9)</f>
        <v>0</v>
      </c>
      <c r="O95" s="478">
        <f ca="1">IF(OR($C$7=Données!$H$52,$C$7=Données!$H$53),(L95*$H$10)+(M95*$Q$8*$H$10)-(M95*$Q$8*Données!$G$36*$H$10),((L95+M95)*$N$8*$H$10)-IF($K$8="Rente à titre onéreux imposable sur",(L95+M95)*$N$8*Données!$G$36*$H$10,(L95+M95)*$N$8*Données!$M$41*$H$10))</f>
        <v>0</v>
      </c>
      <c r="P95" s="478">
        <f t="shared" ca="1" si="45"/>
        <v>0</v>
      </c>
      <c r="Q95" s="478">
        <f t="shared" ca="1" si="63"/>
        <v>0</v>
      </c>
      <c r="S95" s="476"/>
      <c r="T95" s="477">
        <f t="shared" si="64"/>
        <v>75</v>
      </c>
      <c r="U95" s="478">
        <f t="shared" ca="1" si="65"/>
        <v>0</v>
      </c>
      <c r="V95" s="478">
        <f t="shared" ca="1" si="46"/>
        <v>0</v>
      </c>
      <c r="W95" s="493">
        <f t="shared" ca="1" si="66"/>
        <v>0</v>
      </c>
      <c r="X95" s="493">
        <f t="shared" ca="1" si="67"/>
        <v>0</v>
      </c>
      <c r="Y95" s="478">
        <f t="shared" ca="1" si="47"/>
        <v>0</v>
      </c>
      <c r="Z95" s="504">
        <f t="shared" ca="1" si="48"/>
        <v>0</v>
      </c>
      <c r="AA95" s="478">
        <f t="shared" ca="1" si="49"/>
        <v>0</v>
      </c>
      <c r="AB95" s="478">
        <f t="shared" ca="1" si="50"/>
        <v>0</v>
      </c>
      <c r="AC95" s="478">
        <f ca="1">AA95*Données!$F$36</f>
        <v>0</v>
      </c>
      <c r="AD95" s="478">
        <f ca="1">AA95*Données!$F$28</f>
        <v>0</v>
      </c>
      <c r="AE95" s="478">
        <f ca="1">IF(AB95=0,0,IF($E$7="C1",(AB95*$H$10),IF($E$7="C2",-AA95*Données!$G$36*$H$10,0)))</f>
        <v>0</v>
      </c>
      <c r="AF95" s="478">
        <f t="shared" ca="1" si="51"/>
        <v>0</v>
      </c>
      <c r="AG95" s="477">
        <f t="shared" si="68"/>
        <v>75</v>
      </c>
      <c r="AH95" s="478">
        <f t="shared" si="69"/>
        <v>0</v>
      </c>
      <c r="AI95" s="478">
        <f t="shared" si="52"/>
        <v>0</v>
      </c>
      <c r="AJ95" s="493">
        <f t="shared" si="70"/>
        <v>0</v>
      </c>
      <c r="AK95" s="493">
        <f t="shared" ca="1" si="71"/>
        <v>0</v>
      </c>
      <c r="AL95" s="478">
        <f t="shared" ca="1" si="53"/>
        <v>0</v>
      </c>
      <c r="AM95" s="478">
        <f t="shared" ca="1" si="54"/>
        <v>0</v>
      </c>
      <c r="AN95" s="478">
        <f t="shared" si="55"/>
        <v>0</v>
      </c>
      <c r="AO95" s="478">
        <f t="shared" ca="1" si="56"/>
        <v>0</v>
      </c>
      <c r="AP95" s="478">
        <f>AN95*Données!$F$36</f>
        <v>0</v>
      </c>
      <c r="AQ95" s="478">
        <f>AN95*Données!$F$28</f>
        <v>0</v>
      </c>
      <c r="AR95" s="478">
        <f ca="1">IF(AO95=0,0,IF($E$7="C1",(AO95*$H$10),IF($E$7="C2",-AN95*Données!$G$36*$H$10,0)))</f>
        <v>0</v>
      </c>
      <c r="AS95" s="478">
        <f t="shared" ca="1" si="57"/>
        <v>0</v>
      </c>
      <c r="AT95" s="477">
        <f t="shared" si="72"/>
        <v>75</v>
      </c>
      <c r="AU95" s="478">
        <f t="shared" si="73"/>
        <v>0</v>
      </c>
      <c r="AV95" s="478">
        <f t="shared" si="74"/>
        <v>0</v>
      </c>
      <c r="AW95" s="493">
        <f t="shared" si="75"/>
        <v>0</v>
      </c>
      <c r="AX95" s="493">
        <f t="shared" si="76"/>
        <v>0</v>
      </c>
      <c r="AY95" s="478">
        <f t="shared" si="58"/>
        <v>0</v>
      </c>
    </row>
    <row r="96" spans="1:51">
      <c r="A96" s="477">
        <f t="shared" ca="1" si="59"/>
        <v>2102</v>
      </c>
      <c r="B96" s="478">
        <f t="shared" ca="1" si="60"/>
        <v>0</v>
      </c>
      <c r="C96" s="478">
        <f ca="1">IF(OR($C$7=Données!$H$51,$C$7=Données!$H$54,$C$7=Données!$H$55,$C$7=Données!$H$57),0,B96*'Sit 1'!$C$10)</f>
        <v>0</v>
      </c>
      <c r="D96" s="478">
        <f ca="1">IFERROR(IF($H$5="",B96*'CT à Transf'!$K$28,B96*$H$5),B96*$H$5)</f>
        <v>0</v>
      </c>
      <c r="E96" s="478">
        <f t="shared" ca="1" si="40"/>
        <v>0</v>
      </c>
      <c r="F96" s="478">
        <f t="shared" ca="1" si="41"/>
        <v>0</v>
      </c>
      <c r="G96" s="478">
        <f t="shared" ca="1" si="44"/>
        <v>0</v>
      </c>
      <c r="H96" s="478">
        <f t="shared" ca="1" si="42"/>
        <v>0</v>
      </c>
      <c r="J96" s="476"/>
      <c r="K96" s="477">
        <f t="shared" si="61"/>
        <v>76</v>
      </c>
      <c r="L96" s="478">
        <f t="shared" ca="1" si="43"/>
        <v>0</v>
      </c>
      <c r="M96" s="478">
        <f t="shared" ca="1" si="62"/>
        <v>0</v>
      </c>
      <c r="N96" s="478">
        <f ca="1">IF(OR($C$7=Données!$H$52,$C$7=Données!$H$53),(L96*$N$9)+((M96*$Q$8)*$Q$9),(L96+M96)*$N$8*$N$9)</f>
        <v>0</v>
      </c>
      <c r="O96" s="478">
        <f ca="1">IF(OR($C$7=Données!$H$52,$C$7=Données!$H$53),(L96*$H$10)+(M96*$Q$8*$H$10)-(M96*$Q$8*Données!$G$36*$H$10),((L96+M96)*$N$8*$H$10)-IF($K$8="Rente à titre onéreux imposable sur",(L96+M96)*$N$8*Données!$G$36*$H$10,(L96+M96)*$N$8*Données!$M$41*$H$10))</f>
        <v>0</v>
      </c>
      <c r="P96" s="478">
        <f t="shared" ca="1" si="45"/>
        <v>0</v>
      </c>
      <c r="Q96" s="478">
        <f t="shared" ca="1" si="63"/>
        <v>0</v>
      </c>
      <c r="S96" s="476"/>
      <c r="T96" s="477">
        <f t="shared" si="64"/>
        <v>76</v>
      </c>
      <c r="U96" s="478">
        <f t="shared" ca="1" si="65"/>
        <v>0</v>
      </c>
      <c r="V96" s="478">
        <f t="shared" ca="1" si="46"/>
        <v>0</v>
      </c>
      <c r="W96" s="493">
        <f t="shared" ca="1" si="66"/>
        <v>0</v>
      </c>
      <c r="X96" s="493">
        <f t="shared" ca="1" si="67"/>
        <v>0</v>
      </c>
      <c r="Y96" s="478">
        <f t="shared" ca="1" si="47"/>
        <v>0</v>
      </c>
      <c r="Z96" s="504">
        <f t="shared" ca="1" si="48"/>
        <v>0</v>
      </c>
      <c r="AA96" s="478">
        <f t="shared" ca="1" si="49"/>
        <v>0</v>
      </c>
      <c r="AB96" s="478">
        <f t="shared" ca="1" si="50"/>
        <v>0</v>
      </c>
      <c r="AC96" s="478">
        <f ca="1">AA96*Données!$F$36</f>
        <v>0</v>
      </c>
      <c r="AD96" s="478">
        <f ca="1">AA96*Données!$F$28</f>
        <v>0</v>
      </c>
      <c r="AE96" s="478">
        <f ca="1">IF(AB96=0,0,IF($E$7="C1",(AB96*$H$10),IF($E$7="C2",-AA96*Données!$G$36*$H$10,0)))</f>
        <v>0</v>
      </c>
      <c r="AF96" s="478">
        <f t="shared" ca="1" si="51"/>
        <v>0</v>
      </c>
      <c r="AG96" s="477">
        <f t="shared" si="68"/>
        <v>76</v>
      </c>
      <c r="AH96" s="478">
        <f t="shared" si="69"/>
        <v>0</v>
      </c>
      <c r="AI96" s="478">
        <f t="shared" si="52"/>
        <v>0</v>
      </c>
      <c r="AJ96" s="493">
        <f t="shared" si="70"/>
        <v>0</v>
      </c>
      <c r="AK96" s="493">
        <f t="shared" ca="1" si="71"/>
        <v>0</v>
      </c>
      <c r="AL96" s="478">
        <f t="shared" ca="1" si="53"/>
        <v>0</v>
      </c>
      <c r="AM96" s="478">
        <f t="shared" ca="1" si="54"/>
        <v>0</v>
      </c>
      <c r="AN96" s="478">
        <f t="shared" si="55"/>
        <v>0</v>
      </c>
      <c r="AO96" s="478">
        <f t="shared" ca="1" si="56"/>
        <v>0</v>
      </c>
      <c r="AP96" s="478">
        <f>AN96*Données!$F$36</f>
        <v>0</v>
      </c>
      <c r="AQ96" s="478">
        <f>AN96*Données!$F$28</f>
        <v>0</v>
      </c>
      <c r="AR96" s="478">
        <f ca="1">IF(AO96=0,0,IF($E$7="C1",(AO96*$H$10),IF($E$7="C2",-AN96*Données!$G$36*$H$10,0)))</f>
        <v>0</v>
      </c>
      <c r="AS96" s="478">
        <f t="shared" ca="1" si="57"/>
        <v>0</v>
      </c>
      <c r="AT96" s="477">
        <f t="shared" si="72"/>
        <v>76</v>
      </c>
      <c r="AU96" s="478">
        <f t="shared" si="73"/>
        <v>0</v>
      </c>
      <c r="AV96" s="478">
        <f t="shared" si="74"/>
        <v>0</v>
      </c>
      <c r="AW96" s="493">
        <f t="shared" si="75"/>
        <v>0</v>
      </c>
      <c r="AX96" s="493">
        <f t="shared" si="76"/>
        <v>0</v>
      </c>
      <c r="AY96" s="478">
        <f t="shared" si="58"/>
        <v>0</v>
      </c>
    </row>
    <row r="97" spans="1:51">
      <c r="A97" s="477">
        <f t="shared" ca="1" si="59"/>
        <v>2103</v>
      </c>
      <c r="B97" s="478">
        <f t="shared" ca="1" si="60"/>
        <v>0</v>
      </c>
      <c r="C97" s="478">
        <f ca="1">IF(OR($C$7=Données!$H$51,$C$7=Données!$H$54,$C$7=Données!$H$55,$C$7=Données!$H$57),0,B97*'Sit 1'!$C$10)</f>
        <v>0</v>
      </c>
      <c r="D97" s="478">
        <f ca="1">IFERROR(IF($H$5="",B97*'CT à Transf'!$K$28,B97*$H$5),B97*$H$5)</f>
        <v>0</v>
      </c>
      <c r="E97" s="478">
        <f t="shared" ca="1" si="40"/>
        <v>0</v>
      </c>
      <c r="F97" s="478">
        <f t="shared" ca="1" si="41"/>
        <v>0</v>
      </c>
      <c r="G97" s="478">
        <f t="shared" ca="1" si="44"/>
        <v>0</v>
      </c>
      <c r="H97" s="478">
        <f t="shared" ca="1" si="42"/>
        <v>0</v>
      </c>
      <c r="J97" s="476"/>
      <c r="K97" s="477">
        <f t="shared" si="61"/>
        <v>77</v>
      </c>
      <c r="L97" s="478">
        <f t="shared" ca="1" si="43"/>
        <v>0</v>
      </c>
      <c r="M97" s="478">
        <f t="shared" ca="1" si="62"/>
        <v>0</v>
      </c>
      <c r="N97" s="478">
        <f ca="1">IF(OR($C$7=Données!$H$52,$C$7=Données!$H$53),(L97*$N$9)+((M97*$Q$8)*$Q$9),(L97+M97)*$N$8*$N$9)</f>
        <v>0</v>
      </c>
      <c r="O97" s="478">
        <f ca="1">IF(OR($C$7=Données!$H$52,$C$7=Données!$H$53),(L97*$H$10)+(M97*$Q$8*$H$10)-(M97*$Q$8*Données!$G$36*$H$10),((L97+M97)*$N$8*$H$10)-IF($K$8="Rente à titre onéreux imposable sur",(L97+M97)*$N$8*Données!$G$36*$H$10,(L97+M97)*$N$8*Données!$M$41*$H$10))</f>
        <v>0</v>
      </c>
      <c r="P97" s="478">
        <f t="shared" ca="1" si="45"/>
        <v>0</v>
      </c>
      <c r="Q97" s="478">
        <f t="shared" ca="1" si="63"/>
        <v>0</v>
      </c>
      <c r="S97" s="476"/>
      <c r="T97" s="477">
        <f t="shared" si="64"/>
        <v>77</v>
      </c>
      <c r="U97" s="478">
        <f t="shared" ca="1" si="65"/>
        <v>0</v>
      </c>
      <c r="V97" s="478">
        <f t="shared" ca="1" si="46"/>
        <v>0</v>
      </c>
      <c r="W97" s="493">
        <f t="shared" ca="1" si="66"/>
        <v>0</v>
      </c>
      <c r="X97" s="493">
        <f t="shared" ca="1" si="67"/>
        <v>0</v>
      </c>
      <c r="Y97" s="478">
        <f t="shared" ca="1" si="47"/>
        <v>0</v>
      </c>
      <c r="Z97" s="504">
        <f t="shared" ca="1" si="48"/>
        <v>0</v>
      </c>
      <c r="AA97" s="478">
        <f t="shared" ca="1" si="49"/>
        <v>0</v>
      </c>
      <c r="AB97" s="478">
        <f t="shared" ca="1" si="50"/>
        <v>0</v>
      </c>
      <c r="AC97" s="478">
        <f ca="1">AA97*Données!$F$36</f>
        <v>0</v>
      </c>
      <c r="AD97" s="478">
        <f ca="1">AA97*Données!$F$28</f>
        <v>0</v>
      </c>
      <c r="AE97" s="478">
        <f ca="1">IF(AB97=0,0,IF($E$7="C1",(AB97*$H$10),IF($E$7="C2",-AA97*Données!$G$36*$H$10,0)))</f>
        <v>0</v>
      </c>
      <c r="AF97" s="478">
        <f t="shared" ca="1" si="51"/>
        <v>0</v>
      </c>
      <c r="AG97" s="477">
        <f t="shared" si="68"/>
        <v>77</v>
      </c>
      <c r="AH97" s="478">
        <f t="shared" si="69"/>
        <v>0</v>
      </c>
      <c r="AI97" s="478">
        <f t="shared" si="52"/>
        <v>0</v>
      </c>
      <c r="AJ97" s="493">
        <f t="shared" si="70"/>
        <v>0</v>
      </c>
      <c r="AK97" s="493">
        <f t="shared" ca="1" si="71"/>
        <v>0</v>
      </c>
      <c r="AL97" s="478">
        <f t="shared" ca="1" si="53"/>
        <v>0</v>
      </c>
      <c r="AM97" s="478">
        <f t="shared" ca="1" si="54"/>
        <v>0</v>
      </c>
      <c r="AN97" s="478">
        <f t="shared" si="55"/>
        <v>0</v>
      </c>
      <c r="AO97" s="478">
        <f t="shared" ca="1" si="56"/>
        <v>0</v>
      </c>
      <c r="AP97" s="478">
        <f>AN97*Données!$F$36</f>
        <v>0</v>
      </c>
      <c r="AQ97" s="478">
        <f>AN97*Données!$F$28</f>
        <v>0</v>
      </c>
      <c r="AR97" s="478">
        <f ca="1">IF(AO97=0,0,IF($E$7="C1",(AO97*$H$10),IF($E$7="C2",-AN97*Données!$G$36*$H$10,0)))</f>
        <v>0</v>
      </c>
      <c r="AS97" s="478">
        <f t="shared" ca="1" si="57"/>
        <v>0</v>
      </c>
      <c r="AT97" s="477">
        <f t="shared" si="72"/>
        <v>77</v>
      </c>
      <c r="AU97" s="478">
        <f t="shared" si="73"/>
        <v>0</v>
      </c>
      <c r="AV97" s="478">
        <f t="shared" si="74"/>
        <v>0</v>
      </c>
      <c r="AW97" s="493">
        <f t="shared" si="75"/>
        <v>0</v>
      </c>
      <c r="AX97" s="493">
        <f t="shared" si="76"/>
        <v>0</v>
      </c>
      <c r="AY97" s="478">
        <f t="shared" si="58"/>
        <v>0</v>
      </c>
    </row>
    <row r="98" spans="1:51">
      <c r="A98" s="477">
        <f t="shared" ca="1" si="59"/>
        <v>2104</v>
      </c>
      <c r="B98" s="478">
        <f t="shared" ca="1" si="60"/>
        <v>0</v>
      </c>
      <c r="C98" s="478">
        <f ca="1">IF(OR($C$7=Données!$H$51,$C$7=Données!$H$54,$C$7=Données!$H$55,$C$7=Données!$H$57),0,B98*'Sit 1'!$C$10)</f>
        <v>0</v>
      </c>
      <c r="D98" s="478">
        <f ca="1">IFERROR(IF($H$5="",B98*'CT à Transf'!$K$28,B98*$H$5),B98*$H$5)</f>
        <v>0</v>
      </c>
      <c r="E98" s="478">
        <f t="shared" ca="1" si="40"/>
        <v>0</v>
      </c>
      <c r="F98" s="478">
        <f t="shared" ca="1" si="41"/>
        <v>0</v>
      </c>
      <c r="G98" s="478">
        <f t="shared" ca="1" si="44"/>
        <v>0</v>
      </c>
      <c r="H98" s="478">
        <f t="shared" ca="1" si="42"/>
        <v>0</v>
      </c>
      <c r="J98" s="476"/>
      <c r="K98" s="477">
        <f t="shared" si="61"/>
        <v>78</v>
      </c>
      <c r="L98" s="478">
        <f t="shared" ca="1" si="43"/>
        <v>0</v>
      </c>
      <c r="M98" s="478">
        <f t="shared" ca="1" si="62"/>
        <v>0</v>
      </c>
      <c r="N98" s="478">
        <f ca="1">IF(OR($C$7=Données!$H$52,$C$7=Données!$H$53),(L98*$N$9)+((M98*$Q$8)*$Q$9),(L98+M98)*$N$8*$N$9)</f>
        <v>0</v>
      </c>
      <c r="O98" s="478">
        <f ca="1">IF(OR($C$7=Données!$H$52,$C$7=Données!$H$53),(L98*$H$10)+(M98*$Q$8*$H$10)-(M98*$Q$8*Données!$G$36*$H$10),((L98+M98)*$N$8*$H$10)-IF($K$8="Rente à titre onéreux imposable sur",(L98+M98)*$N$8*Données!$G$36*$H$10,(L98+M98)*$N$8*Données!$M$41*$H$10))</f>
        <v>0</v>
      </c>
      <c r="P98" s="478">
        <f t="shared" ca="1" si="45"/>
        <v>0</v>
      </c>
      <c r="Q98" s="478">
        <f t="shared" ca="1" si="63"/>
        <v>0</v>
      </c>
      <c r="S98" s="476"/>
      <c r="T98" s="477">
        <f t="shared" si="64"/>
        <v>78</v>
      </c>
      <c r="U98" s="478">
        <f t="shared" ca="1" si="65"/>
        <v>0</v>
      </c>
      <c r="V98" s="478">
        <f t="shared" ca="1" si="46"/>
        <v>0</v>
      </c>
      <c r="W98" s="493">
        <f t="shared" ca="1" si="66"/>
        <v>0</v>
      </c>
      <c r="X98" s="493">
        <f t="shared" ca="1" si="67"/>
        <v>0</v>
      </c>
      <c r="Y98" s="478">
        <f t="shared" ca="1" si="47"/>
        <v>0</v>
      </c>
      <c r="Z98" s="504">
        <f t="shared" ca="1" si="48"/>
        <v>0</v>
      </c>
      <c r="AA98" s="478">
        <f t="shared" ca="1" si="49"/>
        <v>0</v>
      </c>
      <c r="AB98" s="478">
        <f t="shared" ca="1" si="50"/>
        <v>0</v>
      </c>
      <c r="AC98" s="478">
        <f ca="1">AA98*Données!$F$36</f>
        <v>0</v>
      </c>
      <c r="AD98" s="478">
        <f ca="1">AA98*Données!$F$28</f>
        <v>0</v>
      </c>
      <c r="AE98" s="478">
        <f ca="1">IF(AB98=0,0,IF($E$7="C1",(AB98*$H$10),IF($E$7="C2",-AA98*Données!$G$36*$H$10,0)))</f>
        <v>0</v>
      </c>
      <c r="AF98" s="478">
        <f t="shared" ca="1" si="51"/>
        <v>0</v>
      </c>
      <c r="AG98" s="477">
        <f t="shared" si="68"/>
        <v>78</v>
      </c>
      <c r="AH98" s="478">
        <f t="shared" si="69"/>
        <v>0</v>
      </c>
      <c r="AI98" s="478">
        <f t="shared" si="52"/>
        <v>0</v>
      </c>
      <c r="AJ98" s="493">
        <f t="shared" si="70"/>
        <v>0</v>
      </c>
      <c r="AK98" s="493">
        <f t="shared" ca="1" si="71"/>
        <v>0</v>
      </c>
      <c r="AL98" s="478">
        <f t="shared" ca="1" si="53"/>
        <v>0</v>
      </c>
      <c r="AM98" s="478">
        <f t="shared" ca="1" si="54"/>
        <v>0</v>
      </c>
      <c r="AN98" s="478">
        <f t="shared" si="55"/>
        <v>0</v>
      </c>
      <c r="AO98" s="478">
        <f t="shared" ca="1" si="56"/>
        <v>0</v>
      </c>
      <c r="AP98" s="478">
        <f>AN98*Données!$F$36</f>
        <v>0</v>
      </c>
      <c r="AQ98" s="478">
        <f>AN98*Données!$F$28</f>
        <v>0</v>
      </c>
      <c r="AR98" s="478">
        <f ca="1">IF(AO98=0,0,IF($E$7="C1",(AO98*$H$10),IF($E$7="C2",-AN98*Données!$G$36*$H$10,0)))</f>
        <v>0</v>
      </c>
      <c r="AS98" s="478">
        <f t="shared" ca="1" si="57"/>
        <v>0</v>
      </c>
      <c r="AT98" s="477">
        <f t="shared" si="72"/>
        <v>78</v>
      </c>
      <c r="AU98" s="478">
        <f t="shared" si="73"/>
        <v>0</v>
      </c>
      <c r="AV98" s="478">
        <f t="shared" si="74"/>
        <v>0</v>
      </c>
      <c r="AW98" s="493">
        <f t="shared" si="75"/>
        <v>0</v>
      </c>
      <c r="AX98" s="493">
        <f t="shared" si="76"/>
        <v>0</v>
      </c>
      <c r="AY98" s="478">
        <f t="shared" si="58"/>
        <v>0</v>
      </c>
    </row>
    <row r="99" spans="1:51">
      <c r="A99" s="477">
        <f t="shared" ca="1" si="59"/>
        <v>2105</v>
      </c>
      <c r="B99" s="478">
        <f t="shared" ca="1" si="60"/>
        <v>0</v>
      </c>
      <c r="C99" s="478">
        <f ca="1">IF(OR($C$7=Données!$H$51,$C$7=Données!$H$54,$C$7=Données!$H$55,$C$7=Données!$H$57),0,B99*'Sit 1'!$C$10)</f>
        <v>0</v>
      </c>
      <c r="D99" s="478">
        <f ca="1">IFERROR(IF($H$5="",B99*'CT à Transf'!$K$28,B99*$H$5),B99*$H$5)</f>
        <v>0</v>
      </c>
      <c r="E99" s="478">
        <f t="shared" ca="1" si="40"/>
        <v>0</v>
      </c>
      <c r="F99" s="478">
        <f t="shared" ca="1" si="41"/>
        <v>0</v>
      </c>
      <c r="G99" s="478">
        <f t="shared" ca="1" si="44"/>
        <v>0</v>
      </c>
      <c r="H99" s="478">
        <f t="shared" ca="1" si="42"/>
        <v>0</v>
      </c>
      <c r="J99" s="476"/>
      <c r="K99" s="477">
        <f t="shared" si="61"/>
        <v>79</v>
      </c>
      <c r="L99" s="478">
        <f t="shared" ca="1" si="43"/>
        <v>0</v>
      </c>
      <c r="M99" s="478">
        <f t="shared" ca="1" si="62"/>
        <v>0</v>
      </c>
      <c r="N99" s="478">
        <f ca="1">IF(OR($C$7=Données!$H$52,$C$7=Données!$H$53),(L99*$N$9)+((M99*$Q$8)*$Q$9),(L99+M99)*$N$8*$N$9)</f>
        <v>0</v>
      </c>
      <c r="O99" s="478">
        <f ca="1">IF(OR($C$7=Données!$H$52,$C$7=Données!$H$53),(L99*$H$10)+(M99*$Q$8*$H$10)-(M99*$Q$8*Données!$G$36*$H$10),((L99+M99)*$N$8*$H$10)-IF($K$8="Rente à titre onéreux imposable sur",(L99+M99)*$N$8*Données!$G$36*$H$10,(L99+M99)*$N$8*Données!$M$41*$H$10))</f>
        <v>0</v>
      </c>
      <c r="P99" s="478">
        <f t="shared" ca="1" si="45"/>
        <v>0</v>
      </c>
      <c r="Q99" s="478">
        <f t="shared" ca="1" si="63"/>
        <v>0</v>
      </c>
      <c r="S99" s="476"/>
      <c r="T99" s="477">
        <f t="shared" si="64"/>
        <v>79</v>
      </c>
      <c r="U99" s="478">
        <f t="shared" ca="1" si="65"/>
        <v>0</v>
      </c>
      <c r="V99" s="478">
        <f t="shared" ca="1" si="46"/>
        <v>0</v>
      </c>
      <c r="W99" s="493">
        <f t="shared" ca="1" si="66"/>
        <v>0</v>
      </c>
      <c r="X99" s="493">
        <f t="shared" ca="1" si="67"/>
        <v>0</v>
      </c>
      <c r="Y99" s="478">
        <f t="shared" ca="1" si="47"/>
        <v>0</v>
      </c>
      <c r="Z99" s="504">
        <f t="shared" ca="1" si="48"/>
        <v>0</v>
      </c>
      <c r="AA99" s="478">
        <f t="shared" ca="1" si="49"/>
        <v>0</v>
      </c>
      <c r="AB99" s="478">
        <f t="shared" ca="1" si="50"/>
        <v>0</v>
      </c>
      <c r="AC99" s="478">
        <f ca="1">AA99*Données!$F$36</f>
        <v>0</v>
      </c>
      <c r="AD99" s="478">
        <f ca="1">AA99*Données!$F$28</f>
        <v>0</v>
      </c>
      <c r="AE99" s="478">
        <f ca="1">IF(AB99=0,0,IF($E$7="C1",(AB99*$H$10),IF($E$7="C2",-AA99*Données!$G$36*$H$10,0)))</f>
        <v>0</v>
      </c>
      <c r="AF99" s="478">
        <f t="shared" ca="1" si="51"/>
        <v>0</v>
      </c>
      <c r="AG99" s="477">
        <f t="shared" si="68"/>
        <v>79</v>
      </c>
      <c r="AH99" s="478">
        <f t="shared" si="69"/>
        <v>0</v>
      </c>
      <c r="AI99" s="478">
        <f t="shared" si="52"/>
        <v>0</v>
      </c>
      <c r="AJ99" s="493">
        <f t="shared" si="70"/>
        <v>0</v>
      </c>
      <c r="AK99" s="493">
        <f t="shared" ca="1" si="71"/>
        <v>0</v>
      </c>
      <c r="AL99" s="478">
        <f t="shared" ca="1" si="53"/>
        <v>0</v>
      </c>
      <c r="AM99" s="478">
        <f t="shared" ca="1" si="54"/>
        <v>0</v>
      </c>
      <c r="AN99" s="478">
        <f t="shared" si="55"/>
        <v>0</v>
      </c>
      <c r="AO99" s="478">
        <f t="shared" ca="1" si="56"/>
        <v>0</v>
      </c>
      <c r="AP99" s="478">
        <f>AN99*Données!$F$36</f>
        <v>0</v>
      </c>
      <c r="AQ99" s="478">
        <f>AN99*Données!$F$28</f>
        <v>0</v>
      </c>
      <c r="AR99" s="478">
        <f ca="1">IF(AO99=0,0,IF($E$7="C1",(AO99*$H$10),IF($E$7="C2",-AN99*Données!$G$36*$H$10,0)))</f>
        <v>0</v>
      </c>
      <c r="AS99" s="478">
        <f t="shared" ca="1" si="57"/>
        <v>0</v>
      </c>
      <c r="AT99" s="477">
        <f t="shared" si="72"/>
        <v>79</v>
      </c>
      <c r="AU99" s="478">
        <f t="shared" si="73"/>
        <v>0</v>
      </c>
      <c r="AV99" s="478">
        <f t="shared" si="74"/>
        <v>0</v>
      </c>
      <c r="AW99" s="493">
        <f t="shared" si="75"/>
        <v>0</v>
      </c>
      <c r="AX99" s="493">
        <f t="shared" si="76"/>
        <v>0</v>
      </c>
      <c r="AY99" s="478">
        <f t="shared" si="58"/>
        <v>0</v>
      </c>
    </row>
    <row r="100" spans="1:51">
      <c r="A100" s="477">
        <f t="shared" ca="1" si="59"/>
        <v>2106</v>
      </c>
      <c r="B100" s="478">
        <f t="shared" ca="1" si="60"/>
        <v>0</v>
      </c>
      <c r="C100" s="478">
        <f ca="1">IF(OR($C$7=Données!$H$51,$C$7=Données!$H$54,$C$7=Données!$H$55,$C$7=Données!$H$57),0,B100*'Sit 1'!$C$10)</f>
        <v>0</v>
      </c>
      <c r="D100" s="478">
        <f ca="1">IFERROR(IF($H$5="",B100*'CT à Transf'!$K$28,B100*$H$5),B100*$H$5)</f>
        <v>0</v>
      </c>
      <c r="E100" s="478">
        <f t="shared" ca="1" si="40"/>
        <v>0</v>
      </c>
      <c r="F100" s="478">
        <f t="shared" ca="1" si="41"/>
        <v>0</v>
      </c>
      <c r="G100" s="478">
        <f t="shared" ca="1" si="44"/>
        <v>0</v>
      </c>
      <c r="H100" s="478">
        <f t="shared" ca="1" si="42"/>
        <v>0</v>
      </c>
      <c r="J100" s="476"/>
      <c r="K100" s="477">
        <f t="shared" si="61"/>
        <v>80</v>
      </c>
      <c r="L100" s="478">
        <f t="shared" ca="1" si="43"/>
        <v>0</v>
      </c>
      <c r="M100" s="478">
        <f t="shared" ca="1" si="62"/>
        <v>0</v>
      </c>
      <c r="N100" s="478">
        <f ca="1">IF(OR($C$7=Données!$H$52,$C$7=Données!$H$53),(L100*$N$9)+((M100*$Q$8)*$Q$9),(L100+M100)*$N$8*$N$9)</f>
        <v>0</v>
      </c>
      <c r="O100" s="478">
        <f ca="1">IF(OR($C$7=Données!$H$52,$C$7=Données!$H$53),(L100*$H$10)+(M100*$Q$8*$H$10)-(M100*$Q$8*Données!$G$36*$H$10),((L100+M100)*$N$8*$H$10)-IF($K$8="Rente à titre onéreux imposable sur",(L100+M100)*$N$8*Données!$G$36*$H$10,(L100+M100)*$N$8*Données!$M$41*$H$10))</f>
        <v>0</v>
      </c>
      <c r="P100" s="478">
        <f t="shared" ca="1" si="45"/>
        <v>0</v>
      </c>
      <c r="Q100" s="478">
        <f t="shared" ca="1" si="63"/>
        <v>0</v>
      </c>
      <c r="S100" s="476"/>
      <c r="T100" s="477">
        <f t="shared" si="64"/>
        <v>80</v>
      </c>
      <c r="U100" s="478">
        <f t="shared" ca="1" si="65"/>
        <v>0</v>
      </c>
      <c r="V100" s="478">
        <f t="shared" ca="1" si="46"/>
        <v>0</v>
      </c>
      <c r="W100" s="493">
        <f t="shared" ca="1" si="66"/>
        <v>0</v>
      </c>
      <c r="X100" s="493">
        <f t="shared" ca="1" si="67"/>
        <v>0</v>
      </c>
      <c r="Y100" s="478">
        <f t="shared" ca="1" si="47"/>
        <v>0</v>
      </c>
      <c r="Z100" s="504">
        <f t="shared" ca="1" si="48"/>
        <v>0</v>
      </c>
      <c r="AA100" s="478">
        <f t="shared" ca="1" si="49"/>
        <v>0</v>
      </c>
      <c r="AB100" s="478">
        <f t="shared" ca="1" si="50"/>
        <v>0</v>
      </c>
      <c r="AC100" s="478">
        <f ca="1">AA100*Données!$F$36</f>
        <v>0</v>
      </c>
      <c r="AD100" s="478">
        <f ca="1">AA100*Données!$F$28</f>
        <v>0</v>
      </c>
      <c r="AE100" s="478">
        <f ca="1">IF(AB100=0,0,IF($E$7="C1",(AB100*$H$10),IF($E$7="C2",-AA100*Données!$G$36*$H$10,0)))</f>
        <v>0</v>
      </c>
      <c r="AF100" s="478">
        <f t="shared" ca="1" si="51"/>
        <v>0</v>
      </c>
      <c r="AG100" s="477">
        <f t="shared" si="68"/>
        <v>80</v>
      </c>
      <c r="AH100" s="478">
        <f t="shared" si="69"/>
        <v>0</v>
      </c>
      <c r="AI100" s="478">
        <f t="shared" si="52"/>
        <v>0</v>
      </c>
      <c r="AJ100" s="493">
        <f t="shared" si="70"/>
        <v>0</v>
      </c>
      <c r="AK100" s="493">
        <f t="shared" ca="1" si="71"/>
        <v>0</v>
      </c>
      <c r="AL100" s="478">
        <f t="shared" ca="1" si="53"/>
        <v>0</v>
      </c>
      <c r="AM100" s="478">
        <f t="shared" ca="1" si="54"/>
        <v>0</v>
      </c>
      <c r="AN100" s="478">
        <f t="shared" si="55"/>
        <v>0</v>
      </c>
      <c r="AO100" s="478">
        <f t="shared" ca="1" si="56"/>
        <v>0</v>
      </c>
      <c r="AP100" s="478">
        <f>AN100*Données!$F$36</f>
        <v>0</v>
      </c>
      <c r="AQ100" s="478">
        <f>AN100*Données!$F$28</f>
        <v>0</v>
      </c>
      <c r="AR100" s="478">
        <f ca="1">IF(AO100=0,0,IF($E$7="C1",(AO100*$H$10),IF($E$7="C2",-AN100*Données!$G$36*$H$10,0)))</f>
        <v>0</v>
      </c>
      <c r="AS100" s="478">
        <f t="shared" ca="1" si="57"/>
        <v>0</v>
      </c>
      <c r="AT100" s="477">
        <f t="shared" si="72"/>
        <v>80</v>
      </c>
      <c r="AU100" s="478">
        <f t="shared" si="73"/>
        <v>0</v>
      </c>
      <c r="AV100" s="478">
        <f t="shared" si="74"/>
        <v>0</v>
      </c>
      <c r="AW100" s="493">
        <f t="shared" si="75"/>
        <v>0</v>
      </c>
      <c r="AX100" s="493">
        <f t="shared" si="76"/>
        <v>0</v>
      </c>
      <c r="AY100" s="478">
        <f t="shared" si="58"/>
        <v>0</v>
      </c>
    </row>
    <row r="101" spans="1:51">
      <c r="A101" s="477">
        <f t="shared" ca="1" si="59"/>
        <v>2107</v>
      </c>
      <c r="B101" s="478">
        <f t="shared" ca="1" si="60"/>
        <v>0</v>
      </c>
      <c r="C101" s="478">
        <f ca="1">IF(OR($C$7=Données!$H$51,$C$7=Données!$H$54,$C$7=Données!$H$55,$C$7=Données!$H$57),0,B101*'Sit 1'!$C$10)</f>
        <v>0</v>
      </c>
      <c r="D101" s="478">
        <f ca="1">IFERROR(IF($H$5="",B101*'CT à Transf'!$K$28,B101*$H$5),B101*$H$5)</f>
        <v>0</v>
      </c>
      <c r="E101" s="478">
        <f t="shared" ca="1" si="40"/>
        <v>0</v>
      </c>
      <c r="F101" s="478">
        <f t="shared" ca="1" si="41"/>
        <v>0</v>
      </c>
      <c r="G101" s="478">
        <f t="shared" ca="1" si="44"/>
        <v>0</v>
      </c>
      <c r="H101" s="478">
        <f t="shared" ca="1" si="42"/>
        <v>0</v>
      </c>
      <c r="J101" s="476"/>
      <c r="K101" s="477">
        <f t="shared" si="61"/>
        <v>81</v>
      </c>
      <c r="L101" s="478">
        <f t="shared" ca="1" si="43"/>
        <v>0</v>
      </c>
      <c r="M101" s="478">
        <f t="shared" ca="1" si="62"/>
        <v>0</v>
      </c>
      <c r="N101" s="478">
        <f ca="1">IF(OR($C$7=Données!$H$52,$C$7=Données!$H$53),(L101*$N$9)+((M101*$Q$8)*$Q$9),(L101+M101)*$N$8*$N$9)</f>
        <v>0</v>
      </c>
      <c r="O101" s="478">
        <f ca="1">IF(OR($C$7=Données!$H$52,$C$7=Données!$H$53),(L101*$H$10)+(M101*$Q$8*$H$10)-(M101*$Q$8*Données!$G$36*$H$10),((L101+M101)*$N$8*$H$10)-IF($K$8="Rente à titre onéreux imposable sur",(L101+M101)*$N$8*Données!$G$36*$H$10,(L101+M101)*$N$8*Données!$M$41*$H$10))</f>
        <v>0</v>
      </c>
      <c r="P101" s="478">
        <f t="shared" ca="1" si="45"/>
        <v>0</v>
      </c>
      <c r="Q101" s="478">
        <f t="shared" ca="1" si="63"/>
        <v>0</v>
      </c>
      <c r="S101" s="476"/>
      <c r="T101" s="477">
        <f t="shared" si="64"/>
        <v>81</v>
      </c>
      <c r="U101" s="478">
        <f t="shared" ca="1" si="65"/>
        <v>0</v>
      </c>
      <c r="V101" s="478">
        <f t="shared" ca="1" si="46"/>
        <v>0</v>
      </c>
      <c r="W101" s="493">
        <f t="shared" ca="1" si="66"/>
        <v>0</v>
      </c>
      <c r="X101" s="493">
        <f t="shared" ca="1" si="67"/>
        <v>0</v>
      </c>
      <c r="Y101" s="478">
        <f t="shared" ca="1" si="47"/>
        <v>0</v>
      </c>
      <c r="Z101" s="504">
        <f t="shared" ca="1" si="48"/>
        <v>0</v>
      </c>
      <c r="AA101" s="478">
        <f t="shared" ca="1" si="49"/>
        <v>0</v>
      </c>
      <c r="AB101" s="478">
        <f t="shared" ca="1" si="50"/>
        <v>0</v>
      </c>
      <c r="AC101" s="478">
        <f ca="1">AA101*Données!$F$36</f>
        <v>0</v>
      </c>
      <c r="AD101" s="478">
        <f ca="1">AA101*Données!$F$28</f>
        <v>0</v>
      </c>
      <c r="AE101" s="478">
        <f ca="1">IF(AB101=0,0,IF($E$7="C1",(AB101*$H$10),IF($E$7="C2",-AA101*Données!$G$36*$H$10,0)))</f>
        <v>0</v>
      </c>
      <c r="AF101" s="478">
        <f t="shared" ca="1" si="51"/>
        <v>0</v>
      </c>
      <c r="AG101" s="477">
        <f t="shared" si="68"/>
        <v>81</v>
      </c>
      <c r="AH101" s="478">
        <f t="shared" si="69"/>
        <v>0</v>
      </c>
      <c r="AI101" s="478">
        <f t="shared" si="52"/>
        <v>0</v>
      </c>
      <c r="AJ101" s="493">
        <f t="shared" si="70"/>
        <v>0</v>
      </c>
      <c r="AK101" s="493">
        <f t="shared" ca="1" si="71"/>
        <v>0</v>
      </c>
      <c r="AL101" s="478">
        <f t="shared" ca="1" si="53"/>
        <v>0</v>
      </c>
      <c r="AM101" s="478">
        <f t="shared" ca="1" si="54"/>
        <v>0</v>
      </c>
      <c r="AN101" s="478">
        <f t="shared" si="55"/>
        <v>0</v>
      </c>
      <c r="AO101" s="478">
        <f t="shared" ca="1" si="56"/>
        <v>0</v>
      </c>
      <c r="AP101" s="478">
        <f>AN101*Données!$F$36</f>
        <v>0</v>
      </c>
      <c r="AQ101" s="478">
        <f>AN101*Données!$F$28</f>
        <v>0</v>
      </c>
      <c r="AR101" s="478">
        <f ca="1">IF(AO101=0,0,IF($E$7="C1",(AO101*$H$10),IF($E$7="C2",-AN101*Données!$G$36*$H$10,0)))</f>
        <v>0</v>
      </c>
      <c r="AS101" s="478">
        <f t="shared" ca="1" si="57"/>
        <v>0</v>
      </c>
      <c r="AT101" s="477">
        <f t="shared" si="72"/>
        <v>81</v>
      </c>
      <c r="AU101" s="478">
        <f t="shared" si="73"/>
        <v>0</v>
      </c>
      <c r="AV101" s="478">
        <f t="shared" si="74"/>
        <v>0</v>
      </c>
      <c r="AW101" s="493">
        <f t="shared" si="75"/>
        <v>0</v>
      </c>
      <c r="AX101" s="493">
        <f t="shared" si="76"/>
        <v>0</v>
      </c>
      <c r="AY101" s="478">
        <f t="shared" si="58"/>
        <v>0</v>
      </c>
    </row>
    <row r="102" spans="1:51">
      <c r="A102" s="477">
        <f t="shared" ca="1" si="59"/>
        <v>2108</v>
      </c>
      <c r="B102" s="478">
        <f t="shared" ca="1" si="60"/>
        <v>0</v>
      </c>
      <c r="C102" s="478">
        <f ca="1">IF(OR($C$7=Données!$H$51,$C$7=Données!$H$54,$C$7=Données!$H$55,$C$7=Données!$H$57),0,B102*'Sit 1'!$C$10)</f>
        <v>0</v>
      </c>
      <c r="D102" s="478">
        <f ca="1">IFERROR(IF($H$5="",B102*'CT à Transf'!$K$28,B102*$H$5),B102*$H$5)</f>
        <v>0</v>
      </c>
      <c r="E102" s="478">
        <f t="shared" ca="1" si="40"/>
        <v>0</v>
      </c>
      <c r="F102" s="478">
        <f t="shared" ca="1" si="41"/>
        <v>0</v>
      </c>
      <c r="G102" s="478">
        <f t="shared" ca="1" si="44"/>
        <v>0</v>
      </c>
      <c r="H102" s="478">
        <f t="shared" ca="1" si="42"/>
        <v>0</v>
      </c>
      <c r="J102" s="476"/>
      <c r="K102" s="477">
        <f t="shared" si="61"/>
        <v>82</v>
      </c>
      <c r="L102" s="478">
        <f t="shared" ca="1" si="43"/>
        <v>0</v>
      </c>
      <c r="M102" s="478">
        <f t="shared" ca="1" si="62"/>
        <v>0</v>
      </c>
      <c r="N102" s="478">
        <f ca="1">IF(OR($C$7=Données!$H$52,$C$7=Données!$H$53),(L102*$N$9)+((M102*$Q$8)*$Q$9),(L102+M102)*$N$8*$N$9)</f>
        <v>0</v>
      </c>
      <c r="O102" s="478">
        <f ca="1">IF(OR($C$7=Données!$H$52,$C$7=Données!$H$53),(L102*$H$10)+(M102*$Q$8*$H$10)-(M102*$Q$8*Données!$G$36*$H$10),((L102+M102)*$N$8*$H$10)-IF($K$8="Rente à titre onéreux imposable sur",(L102+M102)*$N$8*Données!$G$36*$H$10,(L102+M102)*$N$8*Données!$M$41*$H$10))</f>
        <v>0</v>
      </c>
      <c r="P102" s="478">
        <f t="shared" ca="1" si="45"/>
        <v>0</v>
      </c>
      <c r="Q102" s="478">
        <f t="shared" ca="1" si="63"/>
        <v>0</v>
      </c>
      <c r="S102" s="476"/>
      <c r="T102" s="477">
        <f t="shared" si="64"/>
        <v>82</v>
      </c>
      <c r="U102" s="478">
        <f t="shared" ca="1" si="65"/>
        <v>0</v>
      </c>
      <c r="V102" s="478">
        <f t="shared" ca="1" si="46"/>
        <v>0</v>
      </c>
      <c r="W102" s="493">
        <f t="shared" ca="1" si="66"/>
        <v>0</v>
      </c>
      <c r="X102" s="493">
        <f t="shared" ca="1" si="67"/>
        <v>0</v>
      </c>
      <c r="Y102" s="478">
        <f t="shared" ca="1" si="47"/>
        <v>0</v>
      </c>
      <c r="Z102" s="504">
        <f t="shared" ca="1" si="48"/>
        <v>0</v>
      </c>
      <c r="AA102" s="478">
        <f t="shared" ca="1" si="49"/>
        <v>0</v>
      </c>
      <c r="AB102" s="478">
        <f t="shared" ca="1" si="50"/>
        <v>0</v>
      </c>
      <c r="AC102" s="478">
        <f ca="1">AA102*Données!$F$36</f>
        <v>0</v>
      </c>
      <c r="AD102" s="478">
        <f ca="1">AA102*Données!$F$28</f>
        <v>0</v>
      </c>
      <c r="AE102" s="478">
        <f ca="1">IF(AB102=0,0,IF($E$7="C1",(AB102*$H$10),IF($E$7="C2",-AA102*Données!$G$36*$H$10,0)))</f>
        <v>0</v>
      </c>
      <c r="AF102" s="478">
        <f t="shared" ca="1" si="51"/>
        <v>0</v>
      </c>
      <c r="AG102" s="477">
        <f t="shared" si="68"/>
        <v>82</v>
      </c>
      <c r="AH102" s="478">
        <f t="shared" si="69"/>
        <v>0</v>
      </c>
      <c r="AI102" s="478">
        <f t="shared" si="52"/>
        <v>0</v>
      </c>
      <c r="AJ102" s="493">
        <f t="shared" si="70"/>
        <v>0</v>
      </c>
      <c r="AK102" s="493">
        <f t="shared" ca="1" si="71"/>
        <v>0</v>
      </c>
      <c r="AL102" s="478">
        <f t="shared" ca="1" si="53"/>
        <v>0</v>
      </c>
      <c r="AM102" s="478">
        <f t="shared" ca="1" si="54"/>
        <v>0</v>
      </c>
      <c r="AN102" s="478">
        <f t="shared" si="55"/>
        <v>0</v>
      </c>
      <c r="AO102" s="478">
        <f t="shared" ca="1" si="56"/>
        <v>0</v>
      </c>
      <c r="AP102" s="478">
        <f>AN102*Données!$F$36</f>
        <v>0</v>
      </c>
      <c r="AQ102" s="478">
        <f>AN102*Données!$F$28</f>
        <v>0</v>
      </c>
      <c r="AR102" s="478">
        <f ca="1">IF(AO102=0,0,IF($E$7="C1",(AO102*$H$10),IF($E$7="C2",-AN102*Données!$G$36*$H$10,0)))</f>
        <v>0</v>
      </c>
      <c r="AS102" s="478">
        <f t="shared" ca="1" si="57"/>
        <v>0</v>
      </c>
      <c r="AT102" s="477">
        <f t="shared" si="72"/>
        <v>82</v>
      </c>
      <c r="AU102" s="478">
        <f t="shared" si="73"/>
        <v>0</v>
      </c>
      <c r="AV102" s="478">
        <f t="shared" si="74"/>
        <v>0</v>
      </c>
      <c r="AW102" s="493">
        <f t="shared" si="75"/>
        <v>0</v>
      </c>
      <c r="AX102" s="493">
        <f t="shared" si="76"/>
        <v>0</v>
      </c>
      <c r="AY102" s="478">
        <f t="shared" si="58"/>
        <v>0</v>
      </c>
    </row>
    <row r="103" spans="1:51">
      <c r="A103" s="477">
        <f t="shared" ca="1" si="59"/>
        <v>2109</v>
      </c>
      <c r="B103" s="478">
        <f t="shared" ca="1" si="60"/>
        <v>0</v>
      </c>
      <c r="C103" s="478">
        <f ca="1">IF(OR($C$7=Données!$H$51,$C$7=Données!$H$54,$C$7=Données!$H$55,$C$7=Données!$H$57),0,B103*'Sit 1'!$C$10)</f>
        <v>0</v>
      </c>
      <c r="D103" s="478">
        <f ca="1">IFERROR(IF($H$5="",B103*'CT à Transf'!$K$28,B103*$H$5),B103*$H$5)</f>
        <v>0</v>
      </c>
      <c r="E103" s="478">
        <f t="shared" ca="1" si="40"/>
        <v>0</v>
      </c>
      <c r="F103" s="478">
        <f t="shared" ca="1" si="41"/>
        <v>0</v>
      </c>
      <c r="G103" s="478">
        <f t="shared" ca="1" si="44"/>
        <v>0</v>
      </c>
      <c r="H103" s="478">
        <f t="shared" ca="1" si="42"/>
        <v>0</v>
      </c>
      <c r="J103" s="476"/>
      <c r="K103" s="477">
        <f t="shared" si="61"/>
        <v>83</v>
      </c>
      <c r="L103" s="478">
        <f t="shared" ca="1" si="43"/>
        <v>0</v>
      </c>
      <c r="M103" s="478">
        <f t="shared" ca="1" si="62"/>
        <v>0</v>
      </c>
      <c r="N103" s="478">
        <f ca="1">IF(OR($C$7=Données!$H$52,$C$7=Données!$H$53),(L103*$N$9)+((M103*$Q$8)*$Q$9),(L103+M103)*$N$8*$N$9)</f>
        <v>0</v>
      </c>
      <c r="O103" s="478">
        <f ca="1">IF(OR($C$7=Données!$H$52,$C$7=Données!$H$53),(L103*$H$10)+(M103*$Q$8*$H$10)-(M103*$Q$8*Données!$G$36*$H$10),((L103+M103)*$N$8*$H$10)-IF($K$8="Rente à titre onéreux imposable sur",(L103+M103)*$N$8*Données!$G$36*$H$10,(L103+M103)*$N$8*Données!$M$41*$H$10))</f>
        <v>0</v>
      </c>
      <c r="P103" s="478">
        <f t="shared" ca="1" si="45"/>
        <v>0</v>
      </c>
      <c r="Q103" s="478">
        <f t="shared" ca="1" si="63"/>
        <v>0</v>
      </c>
      <c r="S103" s="476"/>
      <c r="T103" s="477">
        <f t="shared" si="64"/>
        <v>83</v>
      </c>
      <c r="U103" s="478">
        <f t="shared" ca="1" si="65"/>
        <v>0</v>
      </c>
      <c r="V103" s="478">
        <f t="shared" ca="1" si="46"/>
        <v>0</v>
      </c>
      <c r="W103" s="493">
        <f t="shared" ca="1" si="66"/>
        <v>0</v>
      </c>
      <c r="X103" s="493">
        <f t="shared" ca="1" si="67"/>
        <v>0</v>
      </c>
      <c r="Y103" s="478">
        <f t="shared" ca="1" si="47"/>
        <v>0</v>
      </c>
      <c r="Z103" s="504">
        <f t="shared" ca="1" si="48"/>
        <v>0</v>
      </c>
      <c r="AA103" s="478">
        <f t="shared" ca="1" si="49"/>
        <v>0</v>
      </c>
      <c r="AB103" s="478">
        <f t="shared" ca="1" si="50"/>
        <v>0</v>
      </c>
      <c r="AC103" s="478">
        <f ca="1">AA103*Données!$F$36</f>
        <v>0</v>
      </c>
      <c r="AD103" s="478">
        <f ca="1">AA103*Données!$F$28</f>
        <v>0</v>
      </c>
      <c r="AE103" s="478">
        <f ca="1">IF(AB103=0,0,IF($E$7="C1",(AB103*$H$10),IF($E$7="C2",-AA103*Données!$G$36*$H$10,0)))</f>
        <v>0</v>
      </c>
      <c r="AF103" s="478">
        <f t="shared" ca="1" si="51"/>
        <v>0</v>
      </c>
      <c r="AG103" s="477">
        <f t="shared" si="68"/>
        <v>83</v>
      </c>
      <c r="AH103" s="478">
        <f t="shared" si="69"/>
        <v>0</v>
      </c>
      <c r="AI103" s="478">
        <f t="shared" si="52"/>
        <v>0</v>
      </c>
      <c r="AJ103" s="493">
        <f t="shared" si="70"/>
        <v>0</v>
      </c>
      <c r="AK103" s="493">
        <f t="shared" ca="1" si="71"/>
        <v>0</v>
      </c>
      <c r="AL103" s="478">
        <f t="shared" ca="1" si="53"/>
        <v>0</v>
      </c>
      <c r="AM103" s="478">
        <f t="shared" ca="1" si="54"/>
        <v>0</v>
      </c>
      <c r="AN103" s="478">
        <f t="shared" si="55"/>
        <v>0</v>
      </c>
      <c r="AO103" s="478">
        <f t="shared" ca="1" si="56"/>
        <v>0</v>
      </c>
      <c r="AP103" s="478">
        <f>AN103*Données!$F$36</f>
        <v>0</v>
      </c>
      <c r="AQ103" s="478">
        <f>AN103*Données!$F$28</f>
        <v>0</v>
      </c>
      <c r="AR103" s="478">
        <f ca="1">IF(AO103=0,0,IF($E$7="C1",(AO103*$H$10),IF($E$7="C2",-AN103*Données!$G$36*$H$10,0)))</f>
        <v>0</v>
      </c>
      <c r="AS103" s="478">
        <f t="shared" ca="1" si="57"/>
        <v>0</v>
      </c>
      <c r="AT103" s="477">
        <f t="shared" si="72"/>
        <v>83</v>
      </c>
      <c r="AU103" s="478">
        <f t="shared" si="73"/>
        <v>0</v>
      </c>
      <c r="AV103" s="478">
        <f t="shared" si="74"/>
        <v>0</v>
      </c>
      <c r="AW103" s="493">
        <f t="shared" si="75"/>
        <v>0</v>
      </c>
      <c r="AX103" s="493">
        <f t="shared" si="76"/>
        <v>0</v>
      </c>
      <c r="AY103" s="478">
        <f t="shared" si="58"/>
        <v>0</v>
      </c>
    </row>
    <row r="104" spans="1:51">
      <c r="A104" s="477">
        <f t="shared" ca="1" si="59"/>
        <v>2110</v>
      </c>
      <c r="B104" s="478">
        <f t="shared" ca="1" si="60"/>
        <v>0</v>
      </c>
      <c r="C104" s="478">
        <f ca="1">IF(OR($C$7=Données!$H$51,$C$7=Données!$H$54,$C$7=Données!$H$55,$C$7=Données!$H$57),0,B104*'Sit 1'!$C$10)</f>
        <v>0</v>
      </c>
      <c r="D104" s="478">
        <f ca="1">IFERROR(IF($H$5="",B104*'CT à Transf'!$K$28,B104*$H$5),B104*$H$5)</f>
        <v>0</v>
      </c>
      <c r="E104" s="478">
        <f t="shared" ca="1" si="40"/>
        <v>0</v>
      </c>
      <c r="F104" s="478">
        <f t="shared" ca="1" si="41"/>
        <v>0</v>
      </c>
      <c r="G104" s="478">
        <f t="shared" ca="1" si="44"/>
        <v>0</v>
      </c>
      <c r="H104" s="478">
        <f t="shared" ca="1" si="42"/>
        <v>0</v>
      </c>
      <c r="J104" s="476"/>
      <c r="K104" s="477">
        <f t="shared" si="61"/>
        <v>84</v>
      </c>
      <c r="L104" s="478">
        <f t="shared" ca="1" si="43"/>
        <v>0</v>
      </c>
      <c r="M104" s="478">
        <f t="shared" ca="1" si="62"/>
        <v>0</v>
      </c>
      <c r="N104" s="478">
        <f ca="1">IF(OR($C$7=Données!$H$52,$C$7=Données!$H$53),(L104*$N$9)+((M104*$Q$8)*$Q$9),(L104+M104)*$N$8*$N$9)</f>
        <v>0</v>
      </c>
      <c r="O104" s="478">
        <f ca="1">IF(OR($C$7=Données!$H$52,$C$7=Données!$H$53),(L104*$H$10)+(M104*$Q$8*$H$10)-(M104*$Q$8*Données!$G$36*$H$10),((L104+M104)*$N$8*$H$10)-IF($K$8="Rente à titre onéreux imposable sur",(L104+M104)*$N$8*Données!$G$36*$H$10,(L104+M104)*$N$8*Données!$M$41*$H$10))</f>
        <v>0</v>
      </c>
      <c r="P104" s="478">
        <f t="shared" ca="1" si="45"/>
        <v>0</v>
      </c>
      <c r="Q104" s="478">
        <f t="shared" ca="1" si="63"/>
        <v>0</v>
      </c>
      <c r="S104" s="476"/>
      <c r="T104" s="477">
        <f t="shared" si="64"/>
        <v>84</v>
      </c>
      <c r="U104" s="478">
        <f t="shared" ca="1" si="65"/>
        <v>0</v>
      </c>
      <c r="V104" s="478">
        <f t="shared" ca="1" si="46"/>
        <v>0</v>
      </c>
      <c r="W104" s="493">
        <f t="shared" ca="1" si="66"/>
        <v>0</v>
      </c>
      <c r="X104" s="493">
        <f t="shared" ca="1" si="67"/>
        <v>0</v>
      </c>
      <c r="Y104" s="478">
        <f t="shared" ca="1" si="47"/>
        <v>0</v>
      </c>
      <c r="Z104" s="504">
        <f t="shared" ca="1" si="48"/>
        <v>0</v>
      </c>
      <c r="AA104" s="478">
        <f t="shared" ca="1" si="49"/>
        <v>0</v>
      </c>
      <c r="AB104" s="478">
        <f t="shared" ca="1" si="50"/>
        <v>0</v>
      </c>
      <c r="AC104" s="478">
        <f ca="1">AA104*Données!$F$36</f>
        <v>0</v>
      </c>
      <c r="AD104" s="478">
        <f ca="1">AA104*Données!$F$28</f>
        <v>0</v>
      </c>
      <c r="AE104" s="478">
        <f ca="1">IF(AB104=0,0,IF($E$7="C1",(AB104*$H$10),IF($E$7="C2",-AA104*Données!$G$36*$H$10,0)))</f>
        <v>0</v>
      </c>
      <c r="AF104" s="478">
        <f t="shared" ca="1" si="51"/>
        <v>0</v>
      </c>
      <c r="AG104" s="477">
        <f t="shared" si="68"/>
        <v>84</v>
      </c>
      <c r="AH104" s="478">
        <f t="shared" si="69"/>
        <v>0</v>
      </c>
      <c r="AI104" s="478">
        <f t="shared" si="52"/>
        <v>0</v>
      </c>
      <c r="AJ104" s="493">
        <f t="shared" si="70"/>
        <v>0</v>
      </c>
      <c r="AK104" s="493">
        <f t="shared" ca="1" si="71"/>
        <v>0</v>
      </c>
      <c r="AL104" s="478">
        <f t="shared" ca="1" si="53"/>
        <v>0</v>
      </c>
      <c r="AM104" s="478">
        <f t="shared" ca="1" si="54"/>
        <v>0</v>
      </c>
      <c r="AN104" s="478">
        <f t="shared" si="55"/>
        <v>0</v>
      </c>
      <c r="AO104" s="478">
        <f t="shared" ca="1" si="56"/>
        <v>0</v>
      </c>
      <c r="AP104" s="478">
        <f>AN104*Données!$F$36</f>
        <v>0</v>
      </c>
      <c r="AQ104" s="478">
        <f>AN104*Données!$F$28</f>
        <v>0</v>
      </c>
      <c r="AR104" s="478">
        <f ca="1">IF(AO104=0,0,IF($E$7="C1",(AO104*$H$10),IF($E$7="C2",-AN104*Données!$G$36*$H$10,0)))</f>
        <v>0</v>
      </c>
      <c r="AS104" s="478">
        <f t="shared" ca="1" si="57"/>
        <v>0</v>
      </c>
      <c r="AT104" s="477">
        <f t="shared" si="72"/>
        <v>84</v>
      </c>
      <c r="AU104" s="478">
        <f t="shared" si="73"/>
        <v>0</v>
      </c>
      <c r="AV104" s="478">
        <f t="shared" si="74"/>
        <v>0</v>
      </c>
      <c r="AW104" s="493">
        <f t="shared" si="75"/>
        <v>0</v>
      </c>
      <c r="AX104" s="493">
        <f t="shared" si="76"/>
        <v>0</v>
      </c>
      <c r="AY104" s="478">
        <f t="shared" si="58"/>
        <v>0</v>
      </c>
    </row>
    <row r="105" spans="1:51">
      <c r="A105" s="477">
        <f t="shared" ca="1" si="59"/>
        <v>2111</v>
      </c>
      <c r="B105" s="478">
        <f t="shared" ca="1" si="60"/>
        <v>0</v>
      </c>
      <c r="C105" s="478">
        <f ca="1">IF(OR($C$7=Données!$H$51,$C$7=Données!$H$54,$C$7=Données!$H$55,$C$7=Données!$H$57),0,B105*'Sit 1'!$C$10)</f>
        <v>0</v>
      </c>
      <c r="D105" s="478">
        <f ca="1">IFERROR(IF($H$5="",B105*'CT à Transf'!$K$28,B105*$H$5),B105*$H$5)</f>
        <v>0</v>
      </c>
      <c r="E105" s="478">
        <f t="shared" ca="1" si="40"/>
        <v>0</v>
      </c>
      <c r="F105" s="478">
        <f t="shared" ca="1" si="41"/>
        <v>0</v>
      </c>
      <c r="G105" s="478">
        <f t="shared" ca="1" si="44"/>
        <v>0</v>
      </c>
      <c r="H105" s="478">
        <f t="shared" ca="1" si="42"/>
        <v>0</v>
      </c>
      <c r="J105" s="476"/>
      <c r="K105" s="477">
        <f t="shared" si="61"/>
        <v>85</v>
      </c>
      <c r="L105" s="478">
        <f t="shared" ca="1" si="43"/>
        <v>0</v>
      </c>
      <c r="M105" s="478">
        <f t="shared" ca="1" si="62"/>
        <v>0</v>
      </c>
      <c r="N105" s="478">
        <f ca="1">IF(OR($C$7=Données!$H$52,$C$7=Données!$H$53),(L105*$N$9)+((M105*$Q$8)*$Q$9),(L105+M105)*$N$8*$N$9)</f>
        <v>0</v>
      </c>
      <c r="O105" s="478">
        <f ca="1">IF(OR($C$7=Données!$H$52,$C$7=Données!$H$53),(L105*$H$10)+(M105*$Q$8*$H$10)-(M105*$Q$8*Données!$G$36*$H$10),((L105+M105)*$N$8*$H$10)-IF($K$8="Rente à titre onéreux imposable sur",(L105+M105)*$N$8*Données!$G$36*$H$10,(L105+M105)*$N$8*Données!$M$41*$H$10))</f>
        <v>0</v>
      </c>
      <c r="P105" s="478">
        <f t="shared" ca="1" si="45"/>
        <v>0</v>
      </c>
      <c r="Q105" s="478">
        <f t="shared" ca="1" si="63"/>
        <v>0</v>
      </c>
      <c r="S105" s="476"/>
      <c r="T105" s="477">
        <f t="shared" si="64"/>
        <v>85</v>
      </c>
      <c r="U105" s="478">
        <f t="shared" ca="1" si="65"/>
        <v>0</v>
      </c>
      <c r="V105" s="478">
        <f t="shared" ca="1" si="46"/>
        <v>0</v>
      </c>
      <c r="W105" s="493">
        <f t="shared" ca="1" si="66"/>
        <v>0</v>
      </c>
      <c r="X105" s="493">
        <f t="shared" ca="1" si="67"/>
        <v>0</v>
      </c>
      <c r="Y105" s="478">
        <f t="shared" ca="1" si="47"/>
        <v>0</v>
      </c>
      <c r="Z105" s="504">
        <f t="shared" ca="1" si="48"/>
        <v>0</v>
      </c>
      <c r="AA105" s="478">
        <f t="shared" ca="1" si="49"/>
        <v>0</v>
      </c>
      <c r="AB105" s="478">
        <f t="shared" ca="1" si="50"/>
        <v>0</v>
      </c>
      <c r="AC105" s="478">
        <f ca="1">AA105*Données!$F$36</f>
        <v>0</v>
      </c>
      <c r="AD105" s="478">
        <f ca="1">AA105*Données!$F$28</f>
        <v>0</v>
      </c>
      <c r="AE105" s="478">
        <f ca="1">IF(AB105=0,0,IF($E$7="C1",(AB105*$H$10),IF($E$7="C2",-AA105*Données!$G$36*$H$10,0)))</f>
        <v>0</v>
      </c>
      <c r="AF105" s="478">
        <f t="shared" ca="1" si="51"/>
        <v>0</v>
      </c>
      <c r="AG105" s="477">
        <f t="shared" si="68"/>
        <v>85</v>
      </c>
      <c r="AH105" s="478">
        <f t="shared" si="69"/>
        <v>0</v>
      </c>
      <c r="AI105" s="478">
        <f t="shared" si="52"/>
        <v>0</v>
      </c>
      <c r="AJ105" s="493">
        <f t="shared" si="70"/>
        <v>0</v>
      </c>
      <c r="AK105" s="493">
        <f t="shared" ca="1" si="71"/>
        <v>0</v>
      </c>
      <c r="AL105" s="478">
        <f t="shared" ca="1" si="53"/>
        <v>0</v>
      </c>
      <c r="AM105" s="478">
        <f t="shared" ca="1" si="54"/>
        <v>0</v>
      </c>
      <c r="AN105" s="478">
        <f t="shared" si="55"/>
        <v>0</v>
      </c>
      <c r="AO105" s="478">
        <f t="shared" ca="1" si="56"/>
        <v>0</v>
      </c>
      <c r="AP105" s="478">
        <f>AN105*Données!$F$36</f>
        <v>0</v>
      </c>
      <c r="AQ105" s="478">
        <f>AN105*Données!$F$28</f>
        <v>0</v>
      </c>
      <c r="AR105" s="478">
        <f ca="1">IF(AO105=0,0,IF($E$7="C1",(AO105*$H$10),IF($E$7="C2",-AN105*Données!$G$36*$H$10,0)))</f>
        <v>0</v>
      </c>
      <c r="AS105" s="478">
        <f t="shared" ca="1" si="57"/>
        <v>0</v>
      </c>
      <c r="AT105" s="477">
        <f t="shared" si="72"/>
        <v>85</v>
      </c>
      <c r="AU105" s="478">
        <f t="shared" si="73"/>
        <v>0</v>
      </c>
      <c r="AV105" s="478">
        <f t="shared" si="74"/>
        <v>0</v>
      </c>
      <c r="AW105" s="493">
        <f t="shared" si="75"/>
        <v>0</v>
      </c>
      <c r="AX105" s="493">
        <f t="shared" si="76"/>
        <v>0</v>
      </c>
      <c r="AY105" s="478">
        <f t="shared" si="58"/>
        <v>0</v>
      </c>
    </row>
    <row r="106" spans="1:51">
      <c r="A106" s="477">
        <f t="shared" ca="1" si="59"/>
        <v>2112</v>
      </c>
      <c r="B106" s="478">
        <f t="shared" ca="1" si="60"/>
        <v>0</v>
      </c>
      <c r="C106" s="478">
        <f ca="1">IF(OR($C$7=Données!$H$51,$C$7=Données!$H$54,$C$7=Données!$H$55,$C$7=Données!$H$57),0,B106*'Sit 1'!$C$10)</f>
        <v>0</v>
      </c>
      <c r="D106" s="478">
        <f ca="1">IFERROR(IF($H$5="",B106*'CT à Transf'!$K$28,B106*$H$5),B106*$H$5)</f>
        <v>0</v>
      </c>
      <c r="E106" s="478">
        <f t="shared" ca="1" si="40"/>
        <v>0</v>
      </c>
      <c r="F106" s="478">
        <f t="shared" ca="1" si="41"/>
        <v>0</v>
      </c>
      <c r="G106" s="478">
        <f t="shared" ca="1" si="44"/>
        <v>0</v>
      </c>
      <c r="H106" s="478">
        <f t="shared" ca="1" si="42"/>
        <v>0</v>
      </c>
      <c r="J106" s="476"/>
      <c r="K106" s="477">
        <f t="shared" si="61"/>
        <v>86</v>
      </c>
      <c r="L106" s="478">
        <f t="shared" ca="1" si="43"/>
        <v>0</v>
      </c>
      <c r="M106" s="478">
        <f t="shared" ca="1" si="62"/>
        <v>0</v>
      </c>
      <c r="N106" s="478">
        <f ca="1">IF(OR($C$7=Données!$H$52,$C$7=Données!$H$53),(L106*$N$9)+((M106*$Q$8)*$Q$9),(L106+M106)*$N$8*$N$9)</f>
        <v>0</v>
      </c>
      <c r="O106" s="478">
        <f ca="1">IF(OR($C$7=Données!$H$52,$C$7=Données!$H$53),(L106*$H$10)+(M106*$Q$8*$H$10)-(M106*$Q$8*Données!$G$36*$H$10),((L106+M106)*$N$8*$H$10)-IF($K$8="Rente à titre onéreux imposable sur",(L106+M106)*$N$8*Données!$G$36*$H$10,(L106+M106)*$N$8*Données!$M$41*$H$10))</f>
        <v>0</v>
      </c>
      <c r="P106" s="478">
        <f t="shared" ca="1" si="45"/>
        <v>0</v>
      </c>
      <c r="Q106" s="478">
        <f t="shared" ca="1" si="63"/>
        <v>0</v>
      </c>
      <c r="S106" s="476"/>
      <c r="T106" s="477">
        <f t="shared" si="64"/>
        <v>86</v>
      </c>
      <c r="U106" s="478">
        <f t="shared" ca="1" si="65"/>
        <v>0</v>
      </c>
      <c r="V106" s="478">
        <f t="shared" ca="1" si="46"/>
        <v>0</v>
      </c>
      <c r="W106" s="493">
        <f t="shared" ca="1" si="66"/>
        <v>0</v>
      </c>
      <c r="X106" s="493">
        <f t="shared" ca="1" si="67"/>
        <v>0</v>
      </c>
      <c r="Y106" s="478">
        <f t="shared" ca="1" si="47"/>
        <v>0</v>
      </c>
      <c r="Z106" s="504">
        <f t="shared" ca="1" si="48"/>
        <v>0</v>
      </c>
      <c r="AA106" s="478">
        <f t="shared" ca="1" si="49"/>
        <v>0</v>
      </c>
      <c r="AB106" s="478">
        <f t="shared" ca="1" si="50"/>
        <v>0</v>
      </c>
      <c r="AC106" s="478">
        <f ca="1">AA106*Données!$F$36</f>
        <v>0</v>
      </c>
      <c r="AD106" s="478">
        <f ca="1">AA106*Données!$F$28</f>
        <v>0</v>
      </c>
      <c r="AE106" s="478">
        <f ca="1">IF(AB106=0,0,IF($E$7="C1",(AB106*$H$10),IF($E$7="C2",-AA106*Données!$G$36*$H$10,0)))</f>
        <v>0</v>
      </c>
      <c r="AF106" s="478">
        <f t="shared" ca="1" si="51"/>
        <v>0</v>
      </c>
      <c r="AG106" s="477">
        <f t="shared" si="68"/>
        <v>86</v>
      </c>
      <c r="AH106" s="478">
        <f t="shared" si="69"/>
        <v>0</v>
      </c>
      <c r="AI106" s="478">
        <f t="shared" si="52"/>
        <v>0</v>
      </c>
      <c r="AJ106" s="493">
        <f t="shared" si="70"/>
        <v>0</v>
      </c>
      <c r="AK106" s="493">
        <f t="shared" ca="1" si="71"/>
        <v>0</v>
      </c>
      <c r="AL106" s="478">
        <f t="shared" ca="1" si="53"/>
        <v>0</v>
      </c>
      <c r="AM106" s="478">
        <f t="shared" ca="1" si="54"/>
        <v>0</v>
      </c>
      <c r="AN106" s="478">
        <f t="shared" si="55"/>
        <v>0</v>
      </c>
      <c r="AO106" s="478">
        <f t="shared" ca="1" si="56"/>
        <v>0</v>
      </c>
      <c r="AP106" s="478">
        <f>AN106*Données!$F$36</f>
        <v>0</v>
      </c>
      <c r="AQ106" s="478">
        <f>AN106*Données!$F$28</f>
        <v>0</v>
      </c>
      <c r="AR106" s="478">
        <f ca="1">IF(AO106=0,0,IF($E$7="C1",(AO106*$H$10),IF($E$7="C2",-AN106*Données!$G$36*$H$10,0)))</f>
        <v>0</v>
      </c>
      <c r="AS106" s="478">
        <f t="shared" ca="1" si="57"/>
        <v>0</v>
      </c>
      <c r="AT106" s="477">
        <f t="shared" si="72"/>
        <v>86</v>
      </c>
      <c r="AU106" s="478">
        <f t="shared" si="73"/>
        <v>0</v>
      </c>
      <c r="AV106" s="478">
        <f t="shared" si="74"/>
        <v>0</v>
      </c>
      <c r="AW106" s="493">
        <f t="shared" si="75"/>
        <v>0</v>
      </c>
      <c r="AX106" s="493">
        <f t="shared" si="76"/>
        <v>0</v>
      </c>
      <c r="AY106" s="478">
        <f t="shared" si="58"/>
        <v>0</v>
      </c>
    </row>
    <row r="107" spans="1:51">
      <c r="A107" s="477">
        <f t="shared" ca="1" si="59"/>
        <v>2113</v>
      </c>
      <c r="B107" s="478">
        <f t="shared" ca="1" si="60"/>
        <v>0</v>
      </c>
      <c r="C107" s="478">
        <f ca="1">IF(OR($C$7=Données!$H$51,$C$7=Données!$H$54,$C$7=Données!$H$55,$C$7=Données!$H$57),0,B107*'Sit 1'!$C$10)</f>
        <v>0</v>
      </c>
      <c r="D107" s="478">
        <f ca="1">IFERROR(IF($H$5="",B107*'CT à Transf'!$K$28,B107*$H$5),B107*$H$5)</f>
        <v>0</v>
      </c>
      <c r="E107" s="478">
        <f t="shared" ca="1" si="40"/>
        <v>0</v>
      </c>
      <c r="F107" s="478">
        <f t="shared" ca="1" si="41"/>
        <v>0</v>
      </c>
      <c r="G107" s="478">
        <f t="shared" ca="1" si="44"/>
        <v>0</v>
      </c>
      <c r="H107" s="478">
        <f t="shared" ca="1" si="42"/>
        <v>0</v>
      </c>
      <c r="J107" s="476"/>
      <c r="K107" s="477">
        <f t="shared" si="61"/>
        <v>87</v>
      </c>
      <c r="L107" s="478">
        <f t="shared" ca="1" si="43"/>
        <v>0</v>
      </c>
      <c r="M107" s="478">
        <f t="shared" ca="1" si="62"/>
        <v>0</v>
      </c>
      <c r="N107" s="478">
        <f ca="1">IF(OR($C$7=Données!$H$52,$C$7=Données!$H$53),(L107*$N$9)+((M107*$Q$8)*$Q$9),(L107+M107)*$N$8*$N$9)</f>
        <v>0</v>
      </c>
      <c r="O107" s="478">
        <f ca="1">IF(OR($C$7=Données!$H$52,$C$7=Données!$H$53),(L107*$H$10)+(M107*$Q$8*$H$10)-(M107*$Q$8*Données!$G$36*$H$10),((L107+M107)*$N$8*$H$10)-IF($K$8="Rente à titre onéreux imposable sur",(L107+M107)*$N$8*Données!$G$36*$H$10,(L107+M107)*$N$8*Données!$M$41*$H$10))</f>
        <v>0</v>
      </c>
      <c r="P107" s="478">
        <f t="shared" ca="1" si="45"/>
        <v>0</v>
      </c>
      <c r="Q107" s="478">
        <f t="shared" ca="1" si="63"/>
        <v>0</v>
      </c>
      <c r="S107" s="476"/>
      <c r="T107" s="477">
        <f t="shared" si="64"/>
        <v>87</v>
      </c>
      <c r="U107" s="478">
        <f t="shared" ca="1" si="65"/>
        <v>0</v>
      </c>
      <c r="V107" s="478">
        <f t="shared" ca="1" si="46"/>
        <v>0</v>
      </c>
      <c r="W107" s="493">
        <f t="shared" ca="1" si="66"/>
        <v>0</v>
      </c>
      <c r="X107" s="493">
        <f t="shared" ca="1" si="67"/>
        <v>0</v>
      </c>
      <c r="Y107" s="478">
        <f t="shared" ca="1" si="47"/>
        <v>0</v>
      </c>
      <c r="Z107" s="504">
        <f t="shared" ca="1" si="48"/>
        <v>0</v>
      </c>
      <c r="AA107" s="478">
        <f t="shared" ca="1" si="49"/>
        <v>0</v>
      </c>
      <c r="AB107" s="478">
        <f t="shared" ca="1" si="50"/>
        <v>0</v>
      </c>
      <c r="AC107" s="478">
        <f ca="1">AA107*Données!$F$36</f>
        <v>0</v>
      </c>
      <c r="AD107" s="478">
        <f ca="1">AA107*Données!$F$28</f>
        <v>0</v>
      </c>
      <c r="AE107" s="478">
        <f ca="1">IF(AB107=0,0,IF($E$7="C1",(AB107*$H$10),IF($E$7="C2",-AA107*Données!$G$36*$H$10,0)))</f>
        <v>0</v>
      </c>
      <c r="AF107" s="478">
        <f t="shared" ca="1" si="51"/>
        <v>0</v>
      </c>
      <c r="AG107" s="477">
        <f t="shared" si="68"/>
        <v>87</v>
      </c>
      <c r="AH107" s="478">
        <f t="shared" si="69"/>
        <v>0</v>
      </c>
      <c r="AI107" s="478">
        <f t="shared" si="52"/>
        <v>0</v>
      </c>
      <c r="AJ107" s="493">
        <f t="shared" si="70"/>
        <v>0</v>
      </c>
      <c r="AK107" s="493">
        <f t="shared" ca="1" si="71"/>
        <v>0</v>
      </c>
      <c r="AL107" s="478">
        <f t="shared" ca="1" si="53"/>
        <v>0</v>
      </c>
      <c r="AM107" s="478">
        <f t="shared" ca="1" si="54"/>
        <v>0</v>
      </c>
      <c r="AN107" s="478">
        <f t="shared" si="55"/>
        <v>0</v>
      </c>
      <c r="AO107" s="478">
        <f t="shared" ca="1" si="56"/>
        <v>0</v>
      </c>
      <c r="AP107" s="478">
        <f>AN107*Données!$F$36</f>
        <v>0</v>
      </c>
      <c r="AQ107" s="478">
        <f>AN107*Données!$F$28</f>
        <v>0</v>
      </c>
      <c r="AR107" s="478">
        <f ca="1">IF(AO107=0,0,IF($E$7="C1",(AO107*$H$10),IF($E$7="C2",-AN107*Données!$G$36*$H$10,0)))</f>
        <v>0</v>
      </c>
      <c r="AS107" s="478">
        <f t="shared" ca="1" si="57"/>
        <v>0</v>
      </c>
      <c r="AT107" s="477">
        <f t="shared" si="72"/>
        <v>87</v>
      </c>
      <c r="AU107" s="478">
        <f t="shared" si="73"/>
        <v>0</v>
      </c>
      <c r="AV107" s="478">
        <f t="shared" si="74"/>
        <v>0</v>
      </c>
      <c r="AW107" s="493">
        <f t="shared" si="75"/>
        <v>0</v>
      </c>
      <c r="AX107" s="493">
        <f t="shared" si="76"/>
        <v>0</v>
      </c>
      <c r="AY107" s="478">
        <f t="shared" si="58"/>
        <v>0</v>
      </c>
    </row>
    <row r="108" spans="1:51">
      <c r="A108" s="477">
        <f t="shared" ca="1" si="59"/>
        <v>2114</v>
      </c>
      <c r="B108" s="478">
        <f t="shared" ca="1" si="60"/>
        <v>0</v>
      </c>
      <c r="C108" s="478">
        <f ca="1">IF(OR($C$7=Données!$H$51,$C$7=Données!$H$54,$C$7=Données!$H$55,$C$7=Données!$H$57),0,B108*'Sit 1'!$C$10)</f>
        <v>0</v>
      </c>
      <c r="D108" s="478">
        <f ca="1">IFERROR(IF($H$5="",B108*'CT à Transf'!$K$28,B108*$H$5),B108*$H$5)</f>
        <v>0</v>
      </c>
      <c r="E108" s="478">
        <f t="shared" ca="1" si="40"/>
        <v>0</v>
      </c>
      <c r="F108" s="478">
        <f t="shared" ca="1" si="41"/>
        <v>0</v>
      </c>
      <c r="G108" s="478">
        <f t="shared" ca="1" si="44"/>
        <v>0</v>
      </c>
      <c r="H108" s="478">
        <f t="shared" ca="1" si="42"/>
        <v>0</v>
      </c>
      <c r="J108" s="476"/>
      <c r="K108" s="477">
        <f t="shared" si="61"/>
        <v>88</v>
      </c>
      <c r="L108" s="478">
        <f t="shared" ca="1" si="43"/>
        <v>0</v>
      </c>
      <c r="M108" s="478">
        <f t="shared" ca="1" si="62"/>
        <v>0</v>
      </c>
      <c r="N108" s="478">
        <f ca="1">IF(OR($C$7=Données!$H$52,$C$7=Données!$H$53),(L108*$N$9)+((M108*$Q$8)*$Q$9),(L108+M108)*$N$8*$N$9)</f>
        <v>0</v>
      </c>
      <c r="O108" s="478">
        <f ca="1">IF(OR($C$7=Données!$H$52,$C$7=Données!$H$53),(L108*$H$10)+(M108*$Q$8*$H$10)-(M108*$Q$8*Données!$G$36*$H$10),((L108+M108)*$N$8*$H$10)-IF($K$8="Rente à titre onéreux imposable sur",(L108+M108)*$N$8*Données!$G$36*$H$10,(L108+M108)*$N$8*Données!$M$41*$H$10))</f>
        <v>0</v>
      </c>
      <c r="P108" s="478">
        <f t="shared" ca="1" si="45"/>
        <v>0</v>
      </c>
      <c r="Q108" s="478">
        <f t="shared" ca="1" si="63"/>
        <v>0</v>
      </c>
      <c r="S108" s="476"/>
      <c r="T108" s="477">
        <f t="shared" si="64"/>
        <v>88</v>
      </c>
      <c r="U108" s="478">
        <f t="shared" ca="1" si="65"/>
        <v>0</v>
      </c>
      <c r="V108" s="478">
        <f t="shared" ca="1" si="46"/>
        <v>0</v>
      </c>
      <c r="W108" s="493">
        <f t="shared" ca="1" si="66"/>
        <v>0</v>
      </c>
      <c r="X108" s="493">
        <f t="shared" ca="1" si="67"/>
        <v>0</v>
      </c>
      <c r="Y108" s="478">
        <f t="shared" ca="1" si="47"/>
        <v>0</v>
      </c>
      <c r="Z108" s="505">
        <f t="shared" ca="1" si="48"/>
        <v>0</v>
      </c>
      <c r="AA108" s="478">
        <f t="shared" ca="1" si="49"/>
        <v>0</v>
      </c>
      <c r="AB108" s="478">
        <f t="shared" ca="1" si="50"/>
        <v>0</v>
      </c>
      <c r="AC108" s="478">
        <f ca="1">AA108*Données!$F$36</f>
        <v>0</v>
      </c>
      <c r="AD108" s="478">
        <f ca="1">AA108*Données!$F$28</f>
        <v>0</v>
      </c>
      <c r="AE108" s="478">
        <f ca="1">IF(AB108=0,0,IF($E$7="C1",(AB108*$H$10),IF($E$7="C2",-AA108*Données!$G$36*$H$10,0)))</f>
        <v>0</v>
      </c>
      <c r="AF108" s="478">
        <f t="shared" ca="1" si="51"/>
        <v>0</v>
      </c>
      <c r="AG108" s="477">
        <f t="shared" si="68"/>
        <v>88</v>
      </c>
      <c r="AH108" s="478">
        <f t="shared" si="69"/>
        <v>0</v>
      </c>
      <c r="AI108" s="478">
        <f t="shared" si="52"/>
        <v>0</v>
      </c>
      <c r="AJ108" s="493">
        <f t="shared" si="70"/>
        <v>0</v>
      </c>
      <c r="AK108" s="493">
        <f t="shared" ca="1" si="71"/>
        <v>0</v>
      </c>
      <c r="AL108" s="478">
        <f t="shared" ca="1" si="53"/>
        <v>0</v>
      </c>
      <c r="AM108" s="478">
        <f t="shared" ca="1" si="54"/>
        <v>0</v>
      </c>
      <c r="AN108" s="478">
        <f t="shared" si="55"/>
        <v>0</v>
      </c>
      <c r="AO108" s="478">
        <f t="shared" ca="1" si="56"/>
        <v>0</v>
      </c>
      <c r="AP108" s="478">
        <f>AN108*Données!$F$36</f>
        <v>0</v>
      </c>
      <c r="AQ108" s="478">
        <f>AN108*Données!$F$28</f>
        <v>0</v>
      </c>
      <c r="AR108" s="478">
        <f ca="1">IF(AO108=0,0,IF($E$7="C1",(AO108*$H$10),IF($E$7="C2",-AN108*Données!$G$36*$H$10,0)))</f>
        <v>0</v>
      </c>
      <c r="AS108" s="478">
        <f t="shared" ca="1" si="57"/>
        <v>0</v>
      </c>
      <c r="AT108" s="477">
        <f t="shared" si="72"/>
        <v>88</v>
      </c>
      <c r="AU108" s="478">
        <f t="shared" si="73"/>
        <v>0</v>
      </c>
      <c r="AV108" s="478">
        <f t="shared" si="74"/>
        <v>0</v>
      </c>
      <c r="AW108" s="493">
        <f t="shared" si="75"/>
        <v>0</v>
      </c>
      <c r="AX108" s="493">
        <f t="shared" si="76"/>
        <v>0</v>
      </c>
      <c r="AY108" s="478">
        <f t="shared" si="58"/>
        <v>0</v>
      </c>
    </row>
    <row r="109" spans="1:51">
      <c r="A109" s="494"/>
      <c r="B109" s="495">
        <f ca="1">SUM(B20:B108)</f>
        <v>0</v>
      </c>
      <c r="C109" s="495">
        <f ca="1">SUM(C20:C108)</f>
        <v>0</v>
      </c>
      <c r="D109" s="495">
        <f ca="1">SUM(D20:D108)</f>
        <v>0</v>
      </c>
      <c r="E109" s="495">
        <f ca="1">SUM(E20:E108)</f>
        <v>0</v>
      </c>
      <c r="F109" s="496"/>
      <c r="G109" s="497"/>
      <c r="H109" s="495">
        <f ca="1">SUM(H20:H108)</f>
        <v>0</v>
      </c>
      <c r="I109" s="495">
        <f t="shared" ref="I109:J109" si="77">SUM(I20:I108)</f>
        <v>0</v>
      </c>
      <c r="J109" s="495">
        <f t="shared" si="77"/>
        <v>0</v>
      </c>
      <c r="K109" s="495"/>
      <c r="L109" s="495"/>
      <c r="M109" s="495"/>
      <c r="N109" s="495"/>
      <c r="O109" s="495"/>
      <c r="P109" s="496"/>
      <c r="Q109" s="497"/>
      <c r="R109" s="484"/>
      <c r="S109" s="485"/>
      <c r="T109" s="484"/>
      <c r="U109" s="495"/>
      <c r="V109" s="495"/>
      <c r="W109" s="495"/>
      <c r="X109" s="495"/>
      <c r="Y109" s="495"/>
      <c r="Z109" s="495"/>
      <c r="AA109" s="495"/>
      <c r="AB109" s="495"/>
      <c r="AC109" s="495"/>
      <c r="AD109" s="495"/>
      <c r="AE109" s="495"/>
      <c r="AF109" s="495">
        <f t="shared" ref="AF109" ca="1" si="78">SUM(AF20:AF108)</f>
        <v>0</v>
      </c>
      <c r="AG109" s="484"/>
      <c r="AH109" s="495"/>
      <c r="AI109" s="495"/>
      <c r="AJ109" s="495"/>
      <c r="AK109" s="495"/>
      <c r="AL109" s="495"/>
      <c r="AM109" s="495"/>
      <c r="AN109" s="495"/>
      <c r="AO109" s="495"/>
      <c r="AP109" s="495"/>
      <c r="AQ109" s="495"/>
      <c r="AR109" s="495"/>
      <c r="AS109" s="495">
        <f t="shared" ref="AS109" ca="1" si="79">SUM(AS20:AS108)</f>
        <v>0</v>
      </c>
      <c r="AT109" s="484"/>
      <c r="AU109" s="495"/>
      <c r="AV109" s="495"/>
      <c r="AW109" s="495"/>
      <c r="AX109" s="495"/>
      <c r="AY109" s="495"/>
    </row>
    <row r="110" spans="1:51">
      <c r="A110" s="479"/>
      <c r="B110" s="479"/>
      <c r="C110" s="479"/>
      <c r="D110" s="479"/>
      <c r="E110" s="479"/>
      <c r="F110" s="479"/>
      <c r="G110" s="479"/>
      <c r="H110" s="479"/>
    </row>
  </sheetData>
  <sheetProtection selectLockedCells="1"/>
  <mergeCells count="62">
    <mergeCell ref="C10:D10"/>
    <mergeCell ref="A5:B5"/>
    <mergeCell ref="F5:G5"/>
    <mergeCell ref="F6:G6"/>
    <mergeCell ref="A7:B7"/>
    <mergeCell ref="C7:D7"/>
    <mergeCell ref="A18:H18"/>
    <mergeCell ref="K18:Q18"/>
    <mergeCell ref="O8:P8"/>
    <mergeCell ref="O9:P9"/>
    <mergeCell ref="K8:M8"/>
    <mergeCell ref="K9:M9"/>
    <mergeCell ref="A9:B9"/>
    <mergeCell ref="F8:G8"/>
    <mergeCell ref="P13:Q13"/>
    <mergeCell ref="K13:N13"/>
    <mergeCell ref="K15:N15"/>
    <mergeCell ref="F10:G10"/>
    <mergeCell ref="A17:H17"/>
    <mergeCell ref="A14:C14"/>
    <mergeCell ref="A15:C15"/>
    <mergeCell ref="F15:G15"/>
    <mergeCell ref="T16:W16"/>
    <mergeCell ref="T15:W15"/>
    <mergeCell ref="X15:Y15"/>
    <mergeCell ref="X16:Y16"/>
    <mergeCell ref="T7:W7"/>
    <mergeCell ref="X14:Y14"/>
    <mergeCell ref="T14:W14"/>
    <mergeCell ref="T13:Y13"/>
    <mergeCell ref="K14:N14"/>
    <mergeCell ref="D3:AA3"/>
    <mergeCell ref="F13:G13"/>
    <mergeCell ref="F14:G14"/>
    <mergeCell ref="Z14:AA14"/>
    <mergeCell ref="Z13:AB13"/>
    <mergeCell ref="T8:W8"/>
    <mergeCell ref="T5:W5"/>
    <mergeCell ref="K5:M5"/>
    <mergeCell ref="K6:M6"/>
    <mergeCell ref="C5:D5"/>
    <mergeCell ref="C6:D6"/>
    <mergeCell ref="C9:D9"/>
    <mergeCell ref="A13:C13"/>
    <mergeCell ref="F7:G7"/>
    <mergeCell ref="A10:B10"/>
    <mergeCell ref="AW13:AY13"/>
    <mergeCell ref="AX14:AY14"/>
    <mergeCell ref="AW15:AY15"/>
    <mergeCell ref="AT18:AY18"/>
    <mergeCell ref="Z15:AA15"/>
    <mergeCell ref="Z16:AA16"/>
    <mergeCell ref="AC16:AE16"/>
    <mergeCell ref="AC14:AE14"/>
    <mergeCell ref="AC15:AE15"/>
    <mergeCell ref="AG18:AS18"/>
    <mergeCell ref="AJ13:AL13"/>
    <mergeCell ref="AK14:AL14"/>
    <mergeCell ref="AJ15:AL15"/>
    <mergeCell ref="AF16:AG16"/>
    <mergeCell ref="AC13:AF13"/>
    <mergeCell ref="T18:AF18"/>
  </mergeCells>
  <conditionalFormatting sqref="C9">
    <cfRule type="containsBlanks" dxfId="107" priority="25">
      <formula>LEN(TRIM(C9))=0</formula>
    </cfRule>
  </conditionalFormatting>
  <conditionalFormatting sqref="C10">
    <cfRule type="cellIs" dxfId="106" priority="13" operator="equal">
      <formula>""</formula>
    </cfRule>
  </conditionalFormatting>
  <conditionalFormatting sqref="H5">
    <cfRule type="containsBlanks" dxfId="105" priority="12">
      <formula>LEN(TRIM(H5))=0</formula>
    </cfRule>
  </conditionalFormatting>
  <conditionalFormatting sqref="H10">
    <cfRule type="cellIs" dxfId="104" priority="7" operator="equal">
      <formula>""</formula>
    </cfRule>
  </conditionalFormatting>
  <conditionalFormatting sqref="H15">
    <cfRule type="expression" dxfId="103" priority="24">
      <formula>#REF!="PERP"</formula>
    </cfRule>
  </conditionalFormatting>
  <conditionalFormatting sqref="Q8:Q9">
    <cfRule type="containsBlanks" dxfId="102" priority="14">
      <formula>LEN(TRIM(Q8))=0</formula>
    </cfRule>
  </conditionalFormatting>
  <conditionalFormatting sqref="T8:AB8">
    <cfRule type="expression" dxfId="101" priority="4">
      <formula>$E$7=""</formula>
    </cfRule>
  </conditionalFormatting>
  <conditionalFormatting sqref="T18:AF108">
    <cfRule type="expression" dxfId="100" priority="3">
      <formula>$E$7=""</formula>
    </cfRule>
  </conditionalFormatting>
  <conditionalFormatting sqref="X8">
    <cfRule type="containsBlanks" dxfId="99" priority="5">
      <formula>LEN(TRIM(X8))=0</formula>
    </cfRule>
  </conditionalFormatting>
  <dataValidations count="1">
    <dataValidation type="whole" allowBlank="1" showInputMessage="1" showErrorMessage="1" sqref="X7:X8" xr:uid="{3DF849CC-319D-4B4A-849B-DBC784652344}">
      <formula1>55</formula1>
      <formula2>120</formula2>
    </dataValidation>
  </dataValidations>
  <pageMargins left="0.25" right="0.25" top="0.75" bottom="0.75" header="0.3" footer="0.3"/>
  <pageSetup paperSize="9" scale="35"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AC0094A-919A-445E-9C52-A3CF32D21F7B}">
          <x14:formula1>
            <xm:f>Données!$F$13:$F$17</xm:f>
          </x14:formula1>
          <xm:sqref>C10</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FF194-7A21-4298-9627-6B7E1959DF10}">
  <sheetPr codeName="Feuil5">
    <tabColor theme="9" tint="0.39997558519241921"/>
    <outlinePr showOutlineSymbols="0"/>
    <pageSetUpPr autoPageBreaks="0" fitToPage="1"/>
  </sheetPr>
  <dimension ref="A2:AY110"/>
  <sheetViews>
    <sheetView showGridLines="0" showRowColHeaders="0" showZeros="0" showOutlineSymbols="0" zoomScale="123" zoomScaleNormal="123" workbookViewId="0">
      <selection activeCell="H5" sqref="H5"/>
    </sheetView>
  </sheetViews>
  <sheetFormatPr baseColWidth="10" defaultColWidth="11.44140625" defaultRowHeight="14.4"/>
  <cols>
    <col min="1" max="1" width="4.5546875" style="468" customWidth="1"/>
    <col min="2" max="2" width="12.5546875" style="468" customWidth="1"/>
    <col min="3" max="3" width="9" style="468" customWidth="1"/>
    <col min="4" max="4" width="10" style="468" customWidth="1"/>
    <col min="5" max="6" width="8.5546875" style="468" customWidth="1"/>
    <col min="7" max="7" width="11.33203125" style="468" customWidth="1"/>
    <col min="8" max="8" width="10.6640625" style="468" customWidth="1"/>
    <col min="9" max="10" width="0.6640625" style="468" customWidth="1"/>
    <col min="11" max="11" width="4.5546875" style="468" customWidth="1"/>
    <col min="12" max="13" width="11.33203125" style="468" customWidth="1"/>
    <col min="14" max="14" width="10.6640625" style="468" customWidth="1"/>
    <col min="15" max="15" width="9.44140625" style="468" customWidth="1"/>
    <col min="16" max="16" width="10.33203125" style="468" customWidth="1"/>
    <col min="17" max="17" width="11.109375" style="468" customWidth="1"/>
    <col min="18" max="19" width="0.6640625" style="468" customWidth="1"/>
    <col min="20" max="20" width="4.5546875" style="468" customWidth="1"/>
    <col min="21" max="22" width="11.33203125" style="468" customWidth="1"/>
    <col min="23" max="23" width="10.6640625" style="468" customWidth="1"/>
    <col min="24" max="24" width="9.33203125" style="468" customWidth="1"/>
    <col min="25" max="25" width="10.33203125" style="468" customWidth="1"/>
    <col min="26" max="26" width="11.109375" style="468" customWidth="1"/>
    <col min="27" max="28" width="10.6640625" style="468" customWidth="1"/>
    <col min="29" max="29" width="8" style="468" customWidth="1"/>
    <col min="30" max="30" width="10.6640625" style="468" customWidth="1"/>
    <col min="31" max="31" width="7.88671875" style="468" customWidth="1"/>
    <col min="32" max="32" width="10.6640625" style="468" customWidth="1"/>
    <col min="33" max="51" width="11.44140625" style="468" customWidth="1"/>
    <col min="52" max="16384" width="11.44140625" style="468"/>
  </cols>
  <sheetData>
    <row r="2" spans="1:51" ht="15.75" customHeight="1"/>
    <row r="3" spans="1:51" ht="15.75" customHeight="1">
      <c r="C3" s="486"/>
      <c r="D3" s="930" t="s">
        <v>1489</v>
      </c>
      <c r="E3" s="930"/>
      <c r="F3" s="930"/>
      <c r="G3" s="930"/>
      <c r="H3" s="930"/>
      <c r="I3" s="930"/>
      <c r="J3" s="930"/>
      <c r="K3" s="930"/>
      <c r="L3" s="930"/>
      <c r="M3" s="930"/>
      <c r="N3" s="930"/>
      <c r="O3" s="930"/>
      <c r="P3" s="930"/>
      <c r="Q3" s="930"/>
      <c r="R3" s="930"/>
      <c r="S3" s="930"/>
      <c r="T3" s="930"/>
      <c r="U3" s="930"/>
      <c r="V3" s="930"/>
      <c r="W3" s="930"/>
      <c r="X3" s="930"/>
      <c r="Y3" s="930"/>
      <c r="Z3" s="930"/>
      <c r="AA3" s="930"/>
      <c r="AB3" s="486"/>
      <c r="AC3" s="486"/>
    </row>
    <row r="5" spans="1:51" ht="14.25" customHeight="1">
      <c r="A5" s="953" t="s">
        <v>1416</v>
      </c>
      <c r="B5" s="954"/>
      <c r="C5" s="946">
        <f ca="1">(YEAR(TODAY()))-SynthèsePER!I13</f>
        <v>2026</v>
      </c>
      <c r="D5" s="947"/>
      <c r="E5" s="469"/>
      <c r="F5" s="944" t="s">
        <v>1475</v>
      </c>
      <c r="G5" s="945"/>
      <c r="H5" s="467"/>
      <c r="J5" s="470"/>
      <c r="K5" s="944" t="s">
        <v>1436</v>
      </c>
      <c r="L5" s="944"/>
      <c r="M5" s="945"/>
      <c r="N5" s="471" t="e">
        <f ca="1">SynthèsePER!R13</f>
        <v>#N/A</v>
      </c>
      <c r="S5" s="470"/>
      <c r="T5" s="944" t="s">
        <v>1464</v>
      </c>
      <c r="U5" s="944"/>
      <c r="V5" s="944"/>
      <c r="W5" s="944"/>
      <c r="X5" s="471">
        <f>NewPER!Q30</f>
        <v>0</v>
      </c>
    </row>
    <row r="6" spans="1:51" ht="14.25" customHeight="1">
      <c r="A6" s="472" t="s">
        <v>1418</v>
      </c>
      <c r="B6" s="473"/>
      <c r="C6" s="948">
        <f>SynthèsePER!G24</f>
        <v>0</v>
      </c>
      <c r="D6" s="949"/>
      <c r="F6" s="944" t="s">
        <v>1422</v>
      </c>
      <c r="G6" s="945"/>
      <c r="H6" s="474">
        <f>NewPER!I26</f>
        <v>0</v>
      </c>
      <c r="J6" s="470"/>
      <c r="K6" s="944" t="s">
        <v>1452</v>
      </c>
      <c r="L6" s="944"/>
      <c r="M6" s="945"/>
      <c r="N6" s="471">
        <f>NewPER!Q26</f>
        <v>0</v>
      </c>
      <c r="S6" s="470"/>
    </row>
    <row r="7" spans="1:51" ht="14.25" customHeight="1">
      <c r="A7" s="963" t="s">
        <v>1421</v>
      </c>
      <c r="B7" s="964"/>
      <c r="C7" s="965">
        <f>IF(OR('CT à Transf'!K12=Données!H50,'CT à Transf'!K12=Données!H52),Données!H52,IF(OR('CT à Transf'!K12=Données!H51,'CT à Transf'!K12=Données!H55),Données!H55,IF(OR('CT à Transf'!K12=Données!H53,'CT à Transf'!K12=Données!H56),Données!H53,'CT à Transf'!K12)))</f>
        <v>0</v>
      </c>
      <c r="D7" s="966"/>
      <c r="E7" s="492" t="str">
        <f>IF(OR(C7=Données!H52,C7=Données!H53),"C1",IF(C7=Données!H54,"C1 bis",IF(C7=Données!H55,"C3",IF(C7=Données!H57,"C2",""))))</f>
        <v/>
      </c>
      <c r="F7" s="944" t="s">
        <v>295</v>
      </c>
      <c r="G7" s="945"/>
      <c r="H7" s="475">
        <f>('CT à Transf'!K23*(1-NewPER!H16))*(1-NewPER!H18)</f>
        <v>0</v>
      </c>
      <c r="I7" s="469"/>
      <c r="J7" s="470"/>
      <c r="R7" s="469"/>
      <c r="S7" s="470"/>
      <c r="T7" s="953" t="s">
        <v>1472</v>
      </c>
      <c r="U7" s="953"/>
      <c r="V7" s="953"/>
      <c r="W7" s="953"/>
      <c r="X7" s="491">
        <f>IF(OR(C7=Données!H50,C7=Données!H51,C7=Données!H56),C6,IF(X8="",SynthèsePER!Q19,IF(OR(C7=Données!H50,C7=Données!H51,C7=Données!H56),C6,X8)))</f>
        <v>80</v>
      </c>
      <c r="Y7" s="490" t="str">
        <f>"ans soit un fractionnement en "&amp;(X7-C6)&amp;" ans avec épuisement du capital à cette date"</f>
        <v>ans soit un fractionnement en 80 ans avec épuisement du capital à cette date</v>
      </c>
    </row>
    <row r="8" spans="1:51" ht="14.25" customHeight="1">
      <c r="A8" s="469"/>
      <c r="B8" s="469"/>
      <c r="F8" s="944" t="s">
        <v>1423</v>
      </c>
      <c r="G8" s="945"/>
      <c r="H8" s="475">
        <f>('CT à Transf'!K24*(1-NewPER!H16))*(1-NewPER!H18)</f>
        <v>0</v>
      </c>
      <c r="I8" s="469"/>
      <c r="J8" s="470"/>
      <c r="K8" s="944" t="str">
        <f>IF(OR(C7=Données!H54,C7=Données!H57),"Rente à titre onéreux imposable sur","Rente à titre gratuit imposable sur")</f>
        <v>Rente à titre gratuit imposable sur</v>
      </c>
      <c r="L8" s="944"/>
      <c r="M8" s="945"/>
      <c r="N8" s="471">
        <f>IF(K8="Rente à titre gratuit imposable sur",100%,IF(C6&gt;=69,30%,40%))</f>
        <v>1</v>
      </c>
      <c r="O8" s="958" t="str">
        <f>IF(O9="","","et RVTO sur intérets")</f>
        <v/>
      </c>
      <c r="P8" s="959"/>
      <c r="Q8" s="471" t="str">
        <f>IF(O8="","",IF(C6&gt;=69,30%,40%))</f>
        <v/>
      </c>
      <c r="R8" s="469"/>
      <c r="S8" s="470"/>
      <c r="T8" s="894" t="s">
        <v>1466</v>
      </c>
      <c r="U8" s="894"/>
      <c r="V8" s="894"/>
      <c r="W8" s="894"/>
      <c r="X8" s="489"/>
      <c r="Y8" s="490" t="s">
        <v>1471</v>
      </c>
    </row>
    <row r="9" spans="1:51">
      <c r="A9" s="953" t="s">
        <v>1389</v>
      </c>
      <c r="B9" s="954"/>
      <c r="C9" s="950"/>
      <c r="D9" s="951"/>
      <c r="J9" s="476"/>
      <c r="K9" s="944" t="str">
        <f>IF(OR(C7=Données!H50,C7=Données!H56),"PS sur 100% de la rente",IF(OR(C7=Données!H51,C7=Données!H55),"PS sur 100% de la rente",IF(OR(C7=Données!H52,C7=Données!H53),"PS sur la rente générée par les versements","PS sur fraction de la rente")))</f>
        <v>PS sur fraction de la rente</v>
      </c>
      <c r="L9" s="944"/>
      <c r="M9" s="945"/>
      <c r="N9" s="471">
        <f>IF(OR(C7=Données!H50,C7=Données!H56),Données!L41-Données!K41,IF(OR(C7=Données!H51,C7=Données!H55),Données!L41,IF(OR(C7=Données!H52,C7=Données!H53),Données!J41,Données!F36)))</f>
        <v>0.17199999999999999</v>
      </c>
      <c r="O9" s="958" t="str">
        <f>IF(K9="PS sur la rente générée par les versements","et sur la part intérets","")</f>
        <v/>
      </c>
      <c r="P9" s="959"/>
      <c r="Q9" s="471" t="str">
        <f>IF(K9="PS sur la rente générée par les versements",Données!F36,"")</f>
        <v/>
      </c>
      <c r="S9" s="476"/>
    </row>
    <row r="10" spans="1:51" ht="16.5" customHeight="1">
      <c r="A10" s="953" t="s">
        <v>1394</v>
      </c>
      <c r="B10" s="954"/>
      <c r="C10" s="961"/>
      <c r="D10" s="962"/>
      <c r="F10" s="953" t="s">
        <v>1395</v>
      </c>
      <c r="G10" s="954"/>
      <c r="H10" s="488">
        <f>SynthèsePER!I15</f>
        <v>0</v>
      </c>
      <c r="J10" s="476"/>
      <c r="S10" s="476"/>
    </row>
    <row r="11" spans="1:51" ht="8.25" customHeight="1">
      <c r="A11" s="480"/>
      <c r="B11" s="480"/>
      <c r="C11" s="480"/>
      <c r="D11" s="481"/>
      <c r="E11" s="481"/>
      <c r="F11" s="481"/>
      <c r="G11" s="481"/>
      <c r="H11" s="481"/>
      <c r="I11" s="481"/>
      <c r="J11" s="482"/>
      <c r="K11" s="481"/>
      <c r="L11" s="481"/>
      <c r="M11" s="481"/>
      <c r="N11" s="481"/>
      <c r="O11" s="481"/>
      <c r="P11" s="481"/>
      <c r="Q11" s="481"/>
      <c r="R11" s="481"/>
      <c r="S11" s="482"/>
      <c r="T11" s="481"/>
      <c r="U11" s="481"/>
      <c r="V11" s="481"/>
      <c r="W11" s="481"/>
      <c r="X11" s="481"/>
      <c r="Y11" s="481"/>
      <c r="Z11" s="481"/>
      <c r="AA11" s="481"/>
      <c r="AB11" s="481"/>
      <c r="AC11" s="481"/>
      <c r="AD11" s="481"/>
      <c r="AE11" s="481"/>
      <c r="AF11" s="481"/>
    </row>
    <row r="12" spans="1:51" ht="8.25" customHeight="1">
      <c r="A12" s="483"/>
      <c r="B12" s="483"/>
      <c r="C12" s="483"/>
      <c r="D12" s="483"/>
      <c r="E12" s="484"/>
      <c r="F12" s="484"/>
      <c r="G12" s="484"/>
      <c r="H12" s="484"/>
      <c r="I12" s="484"/>
      <c r="J12" s="485"/>
      <c r="K12" s="484"/>
      <c r="L12" s="484"/>
      <c r="M12" s="484"/>
      <c r="N12" s="484"/>
      <c r="O12" s="484"/>
      <c r="P12" s="484"/>
      <c r="Q12" s="484"/>
      <c r="R12" s="484"/>
      <c r="S12" s="485"/>
      <c r="T12" s="484"/>
      <c r="U12" s="484"/>
      <c r="V12" s="484"/>
      <c r="W12" s="484"/>
      <c r="X12" s="484"/>
      <c r="Y12" s="484"/>
      <c r="Z12" s="484"/>
      <c r="AA12" s="484"/>
      <c r="AB12" s="484"/>
      <c r="AC12" s="484"/>
      <c r="AD12" s="484"/>
      <c r="AE12" s="484"/>
      <c r="AF12" s="484"/>
    </row>
    <row r="13" spans="1:51">
      <c r="A13" s="952" t="s">
        <v>1446</v>
      </c>
      <c r="B13" s="952"/>
      <c r="C13" s="952"/>
      <c r="D13" s="500">
        <f ca="1">B109</f>
        <v>0</v>
      </c>
      <c r="F13" s="942" t="s">
        <v>1424</v>
      </c>
      <c r="G13" s="942"/>
      <c r="H13" s="499">
        <f ca="1">H109</f>
        <v>0</v>
      </c>
      <c r="J13" s="476"/>
      <c r="K13" s="942" t="s">
        <v>1477</v>
      </c>
      <c r="L13" s="942"/>
      <c r="M13" s="942"/>
      <c r="N13" s="942"/>
      <c r="O13" s="499" t="e">
        <f ca="1">N5*H13</f>
        <v>#N/A</v>
      </c>
      <c r="P13" s="938" t="s">
        <v>1451</v>
      </c>
      <c r="Q13" s="938"/>
      <c r="S13" s="476"/>
      <c r="T13" s="955" t="s">
        <v>1474</v>
      </c>
      <c r="U13" s="955"/>
      <c r="V13" s="955"/>
      <c r="W13" s="955"/>
      <c r="X13" s="955"/>
      <c r="Y13" s="955"/>
      <c r="Z13" s="943" t="str">
        <f>"Fractionnement et épuisement à "&amp;X7&amp;" ans"</f>
        <v>Fractionnement et épuisement à 80 ans</v>
      </c>
      <c r="AA13" s="943"/>
      <c r="AB13" s="943"/>
      <c r="AC13" s="943" t="str">
        <f>"Fractionnement et épuisement à "&amp;AJ14&amp;" ans"</f>
        <v>Fractionnement et épuisement à 90 ans</v>
      </c>
      <c r="AD13" s="943"/>
      <c r="AE13" s="943"/>
      <c r="AF13" s="943"/>
      <c r="AG13" s="502"/>
      <c r="AJ13" s="938" t="s">
        <v>1473</v>
      </c>
      <c r="AK13" s="938"/>
      <c r="AL13" s="938"/>
      <c r="AT13" s="502"/>
      <c r="AW13" s="938" t="s">
        <v>1484</v>
      </c>
      <c r="AX13" s="938"/>
      <c r="AY13" s="938"/>
    </row>
    <row r="14" spans="1:51">
      <c r="A14" s="952" t="s">
        <v>1425</v>
      </c>
      <c r="B14" s="952"/>
      <c r="C14" s="952"/>
      <c r="D14" s="500">
        <f ca="1">C109</f>
        <v>0</v>
      </c>
      <c r="F14" s="942" t="s">
        <v>1426</v>
      </c>
      <c r="G14" s="942"/>
      <c r="H14" s="499">
        <f ca="1">H13-H7+H8-E109</f>
        <v>0</v>
      </c>
      <c r="J14" s="476"/>
      <c r="K14" s="942" t="s">
        <v>1476</v>
      </c>
      <c r="L14" s="942"/>
      <c r="M14" s="942"/>
      <c r="N14" s="942"/>
      <c r="O14" s="499" t="e">
        <f ca="1">O13-N20</f>
        <v>#N/A</v>
      </c>
      <c r="P14" s="498" t="str">
        <f>SynthèsePER!G28&amp;" ans"</f>
        <v>80 ans</v>
      </c>
      <c r="Q14" s="499">
        <f ca="1">IFERROR(IF(C6=SynthèsePER!Q19,0,INDEX(K20:Q108,MATCH(SynthèsePER!Q19-1,K20:K108,0),7)),0)</f>
        <v>0</v>
      </c>
      <c r="S14" s="476"/>
      <c r="T14" s="942" t="s">
        <v>1467</v>
      </c>
      <c r="U14" s="942"/>
      <c r="V14" s="942"/>
      <c r="W14" s="942"/>
      <c r="X14" s="939" t="e">
        <f ca="1">IF(AND(OR(C7=Données!H50,C7=Données!H51,C7=Données!H55,C7=Données!H56),O13&lt;(Données!S26*12)),H13,IF(OR(C7=Données!H50,C7=Données!H51,C7=Données!H55,C7=Données!H56),0,H13))</f>
        <v>#N/A</v>
      </c>
      <c r="Y14" s="939"/>
      <c r="Z14" s="942" t="s">
        <v>1469</v>
      </c>
      <c r="AA14" s="942"/>
      <c r="AB14" s="499">
        <f ca="1">Z20</f>
        <v>0</v>
      </c>
      <c r="AC14" s="942" t="s">
        <v>1469</v>
      </c>
      <c r="AD14" s="942"/>
      <c r="AE14" s="942"/>
      <c r="AF14" s="499">
        <f ca="1">AM20</f>
        <v>0</v>
      </c>
      <c r="AJ14" s="498">
        <f>SynthèsePER!$R$19</f>
        <v>90</v>
      </c>
      <c r="AK14" s="939" t="s">
        <v>51</v>
      </c>
      <c r="AL14" s="939"/>
      <c r="AW14" s="498">
        <f>SynthèsePER!$R$19</f>
        <v>90</v>
      </c>
      <c r="AX14" s="939" t="s">
        <v>51</v>
      </c>
      <c r="AY14" s="939"/>
    </row>
    <row r="15" spans="1:51">
      <c r="A15" s="952" t="s">
        <v>1427</v>
      </c>
      <c r="B15" s="952"/>
      <c r="C15" s="952"/>
      <c r="D15" s="500">
        <f ca="1">D13-D14</f>
        <v>0</v>
      </c>
      <c r="F15" s="942" t="s">
        <v>1428</v>
      </c>
      <c r="G15" s="942"/>
      <c r="H15" s="499">
        <f ca="1">E109+H7-H8</f>
        <v>0</v>
      </c>
      <c r="J15" s="476"/>
      <c r="K15" s="942" t="s">
        <v>1478</v>
      </c>
      <c r="L15" s="942"/>
      <c r="M15" s="942"/>
      <c r="N15" s="942"/>
      <c r="O15" s="499">
        <f ca="1">P20</f>
        <v>0</v>
      </c>
      <c r="P15" s="498" t="str">
        <f>SynthèsePER!G29&amp;" ans"</f>
        <v>90 ans</v>
      </c>
      <c r="Q15" s="499">
        <f>IFERROR(IF(C6=SynthèsePER!R19,0,INDEX(K20:Q108,MATCH(SynthèsePER!R19-1,K20:K108,0),7)),0)</f>
        <v>0</v>
      </c>
      <c r="S15" s="476"/>
      <c r="T15" s="942" t="s">
        <v>1468</v>
      </c>
      <c r="U15" s="942"/>
      <c r="V15" s="942"/>
      <c r="W15" s="942"/>
      <c r="X15" s="939" t="e">
        <f ca="1">IF(AND(OR(C7=Données!H50,C7=Données!H51,C7=Données!H55,C7=Données!H56),O13&lt;(Données!S26*12)),H13-(H13*N9),IF(OR(C7=Données!H50,C7=Données!H51,C7=Données!H55,C7=Données!H56),0,IF(C7=Données!H57,H13-(H14*N9),IF(AND(C7=Données!H55,O13&lt;(Données!S26*12)),H13-(H14*Données!F36),IF(C7=Données!H54,H13-(H14*Données!F36),H13-(H14*Données!F36))))))</f>
        <v>#N/A</v>
      </c>
      <c r="Y15" s="939"/>
      <c r="Z15" s="942" t="s">
        <v>1470</v>
      </c>
      <c r="AA15" s="942"/>
      <c r="AB15" s="499">
        <f ca="1">AF20</f>
        <v>0</v>
      </c>
      <c r="AC15" s="942" t="s">
        <v>1470</v>
      </c>
      <c r="AD15" s="942"/>
      <c r="AE15" s="942"/>
      <c r="AF15" s="499">
        <f ca="1">AS20</f>
        <v>0</v>
      </c>
      <c r="AJ15" s="940">
        <f ca="1">AS109</f>
        <v>0</v>
      </c>
      <c r="AK15" s="940"/>
      <c r="AL15" s="940"/>
      <c r="AW15" s="940" t="e">
        <f>INDEX(AT20:AY108,(MATCH(AW14-1, AT20:AT108, 0)),6)</f>
        <v>#N/A</v>
      </c>
      <c r="AX15" s="940"/>
      <c r="AY15" s="940"/>
    </row>
    <row r="16" spans="1:51">
      <c r="J16" s="476"/>
      <c r="S16" s="476"/>
      <c r="T16" s="942" t="str">
        <f>IF(OR(C7=Données!H50,C7=Données!H51,C7=Données!H56),"Capital net (PFL 7,5% et PS + CSG déductible)","Capital net (PS et IR)")</f>
        <v>Capital net (PS et IR)</v>
      </c>
      <c r="U16" s="942"/>
      <c r="V16" s="942"/>
      <c r="W16" s="942"/>
      <c r="X16" s="939" t="e">
        <f ca="1">X15-IF(AND(OR(C7=Données!H50,C7=Données!H51,C7=Données!H55,C7=Données!H56),O13&lt;(Données!S26*12)),((H13*0.9)*Données!S27)-(H13*Données!M41*H10),IF(OR(C7=Données!H50,C7=Données!H51,C7=Données!H55,C7=Données!H56),0,IF(C7=Données!H57,-H14*Données!G36*$H$10,IF(AND(C7=Données!H55,O13&lt;(Données!S26*12)),((H13-H14)*$H$10)-(H14*Données!F28),IF(C7=Données!H54,H14*Données!F28,((H13-H14)*$H$10)+(H14*Données!F28))))))</f>
        <v>#N/A</v>
      </c>
      <c r="Y16" s="939"/>
      <c r="Z16" s="942" t="s">
        <v>1480</v>
      </c>
      <c r="AA16" s="942"/>
      <c r="AB16" s="499">
        <f ca="1">AF109</f>
        <v>0</v>
      </c>
      <c r="AC16" s="942" t="s">
        <v>1480</v>
      </c>
      <c r="AD16" s="942"/>
      <c r="AE16" s="942"/>
      <c r="AF16" s="939">
        <f ca="1">AJ15</f>
        <v>0</v>
      </c>
      <c r="AG16" s="939"/>
    </row>
    <row r="17" spans="1:51" ht="8.25" customHeight="1">
      <c r="A17" s="960"/>
      <c r="B17" s="960"/>
      <c r="C17" s="960"/>
      <c r="D17" s="960"/>
      <c r="E17" s="960"/>
      <c r="F17" s="960"/>
      <c r="G17" s="960"/>
      <c r="H17" s="960"/>
      <c r="J17" s="476"/>
      <c r="S17" s="476"/>
    </row>
    <row r="18" spans="1:51" ht="18.75" customHeight="1">
      <c r="A18" s="956" t="s">
        <v>1438</v>
      </c>
      <c r="B18" s="956"/>
      <c r="C18" s="956"/>
      <c r="D18" s="956"/>
      <c r="E18" s="956"/>
      <c r="F18" s="956"/>
      <c r="G18" s="956"/>
      <c r="H18" s="956"/>
      <c r="J18" s="476"/>
      <c r="K18" s="957" t="s">
        <v>1439</v>
      </c>
      <c r="L18" s="957"/>
      <c r="M18" s="957"/>
      <c r="N18" s="957"/>
      <c r="O18" s="957"/>
      <c r="P18" s="957"/>
      <c r="Q18" s="957"/>
      <c r="S18" s="476"/>
      <c r="T18" s="941" t="str">
        <f>"Phase liquidation en capital fractionné "&amp;X7&amp;" ans"</f>
        <v>Phase liquidation en capital fractionné 80 ans</v>
      </c>
      <c r="U18" s="941"/>
      <c r="V18" s="941"/>
      <c r="W18" s="941"/>
      <c r="X18" s="941"/>
      <c r="Y18" s="941"/>
      <c r="Z18" s="941"/>
      <c r="AA18" s="941"/>
      <c r="AB18" s="941"/>
      <c r="AC18" s="941"/>
      <c r="AD18" s="941"/>
      <c r="AE18" s="941"/>
      <c r="AF18" s="941"/>
      <c r="AG18" s="941" t="s">
        <v>1479</v>
      </c>
      <c r="AH18" s="941"/>
      <c r="AI18" s="941"/>
      <c r="AJ18" s="941"/>
      <c r="AK18" s="941"/>
      <c r="AL18" s="941"/>
      <c r="AM18" s="941"/>
      <c r="AN18" s="941"/>
      <c r="AO18" s="941"/>
      <c r="AP18" s="941"/>
      <c r="AQ18" s="941"/>
      <c r="AR18" s="941"/>
      <c r="AS18" s="941"/>
      <c r="AT18" s="941" t="s">
        <v>1485</v>
      </c>
      <c r="AU18" s="941"/>
      <c r="AV18" s="941"/>
      <c r="AW18" s="941"/>
      <c r="AX18" s="941"/>
      <c r="AY18" s="941"/>
    </row>
    <row r="19" spans="1:51" ht="24.75" customHeight="1">
      <c r="A19" s="501" t="s">
        <v>1429</v>
      </c>
      <c r="B19" s="501" t="s">
        <v>1430</v>
      </c>
      <c r="C19" s="501" t="s">
        <v>1425</v>
      </c>
      <c r="D19" s="501" t="s">
        <v>1431</v>
      </c>
      <c r="E19" s="501" t="s">
        <v>1432</v>
      </c>
      <c r="F19" s="501" t="s">
        <v>1433</v>
      </c>
      <c r="G19" s="501" t="s">
        <v>1434</v>
      </c>
      <c r="H19" s="501" t="s">
        <v>1424</v>
      </c>
      <c r="J19" s="476"/>
      <c r="K19" s="487" t="s">
        <v>1429</v>
      </c>
      <c r="L19" s="487" t="s">
        <v>1450</v>
      </c>
      <c r="M19" s="487" t="s">
        <v>1449</v>
      </c>
      <c r="N19" s="487" t="s">
        <v>23</v>
      </c>
      <c r="O19" s="487" t="s">
        <v>117</v>
      </c>
      <c r="P19" s="487" t="s">
        <v>1448</v>
      </c>
      <c r="Q19" s="487" t="s">
        <v>1447</v>
      </c>
      <c r="S19" s="476"/>
      <c r="T19" s="487" t="s">
        <v>1429</v>
      </c>
      <c r="U19" s="487" t="s">
        <v>1453</v>
      </c>
      <c r="V19" s="487" t="s">
        <v>1462</v>
      </c>
      <c r="W19" s="487" t="s">
        <v>1463</v>
      </c>
      <c r="X19" s="487" t="s">
        <v>1454</v>
      </c>
      <c r="Y19" s="487" t="s">
        <v>1458</v>
      </c>
      <c r="Z19" s="503" t="s">
        <v>1481</v>
      </c>
      <c r="AA19" s="487" t="s">
        <v>1461</v>
      </c>
      <c r="AB19" s="487" t="s">
        <v>1456</v>
      </c>
      <c r="AC19" s="487" t="s">
        <v>1460</v>
      </c>
      <c r="AD19" s="487" t="s">
        <v>1459</v>
      </c>
      <c r="AE19" s="487" t="s">
        <v>117</v>
      </c>
      <c r="AF19" s="487" t="s">
        <v>1457</v>
      </c>
      <c r="AG19" s="487" t="s">
        <v>1429</v>
      </c>
      <c r="AH19" s="487" t="s">
        <v>1453</v>
      </c>
      <c r="AI19" s="487" t="s">
        <v>1462</v>
      </c>
      <c r="AJ19" s="487" t="s">
        <v>1463</v>
      </c>
      <c r="AK19" s="487" t="s">
        <v>1454</v>
      </c>
      <c r="AL19" s="487" t="s">
        <v>1458</v>
      </c>
      <c r="AM19" s="487" t="s">
        <v>1455</v>
      </c>
      <c r="AN19" s="487" t="s">
        <v>1461</v>
      </c>
      <c r="AO19" s="487" t="s">
        <v>1456</v>
      </c>
      <c r="AP19" s="487" t="s">
        <v>1460</v>
      </c>
      <c r="AQ19" s="487" t="s">
        <v>1459</v>
      </c>
      <c r="AR19" s="487" t="s">
        <v>117</v>
      </c>
      <c r="AS19" s="487" t="s">
        <v>1457</v>
      </c>
      <c r="AT19" s="487" t="s">
        <v>1429</v>
      </c>
      <c r="AU19" s="487" t="s">
        <v>1453</v>
      </c>
      <c r="AV19" s="487" t="s">
        <v>1462</v>
      </c>
      <c r="AW19" s="487" t="s">
        <v>1463</v>
      </c>
      <c r="AX19" s="487" t="s">
        <v>1454</v>
      </c>
      <c r="AY19" s="487" t="s">
        <v>1458</v>
      </c>
    </row>
    <row r="20" spans="1:51">
      <c r="A20" s="477">
        <f ca="1">C5</f>
        <v>2026</v>
      </c>
      <c r="B20" s="478">
        <f>C9</f>
        <v>0</v>
      </c>
      <c r="C20" s="478">
        <f>IF(OR($C$7=Données!$H$51,$C$7=Données!$H$54,$C$7=Données!$H$55,$C$7=Données!$H$57),0,B20*$C$10)</f>
        <v>0</v>
      </c>
      <c r="D20" s="478">
        <f>IFERROR(IF($H$5="",B20*'CT à Transf'!$K$28,B20*$H$5),B20*$H$5)</f>
        <v>0</v>
      </c>
      <c r="E20" s="478">
        <f>B20-D20</f>
        <v>0</v>
      </c>
      <c r="F20" s="478">
        <f>E20*$H$6</f>
        <v>0</v>
      </c>
      <c r="G20" s="478">
        <f>(E20+F20)+((H7)*(1+H6))</f>
        <v>0</v>
      </c>
      <c r="H20" s="478">
        <f ca="1">IF(G21&gt;0,0,G20)</f>
        <v>0</v>
      </c>
      <c r="J20" s="476"/>
      <c r="K20" s="477">
        <f>C6</f>
        <v>0</v>
      </c>
      <c r="L20" s="478">
        <f t="shared" ref="L20:L51" ca="1" si="0">IFERROR($O$13*(($H$13-$H$14)/$H$13),0)</f>
        <v>0</v>
      </c>
      <c r="M20" s="478">
        <f ca="1">IFERROR(O13*(H14/H13),0)</f>
        <v>0</v>
      </c>
      <c r="N20" s="478">
        <f ca="1">IF(OR($C$7=Données!$H$52,$C$7=Données!$H$53),(L20*$N$9)+((M20*$Q$8)*$Q$9),(L20+M20)*$N$8*$N$9)</f>
        <v>0</v>
      </c>
      <c r="O20" s="478">
        <f ca="1">IF(OR($C$7=Données!$H$52,$C$7=Données!$H$53),(L20*$H$10)+(M20*$Q$8*$H$10)-(M20*$Q$8*Données!$G$36*$H$10),((L20+M20)*$N$8*$H$10)-IF($K$8="Rente à titre onéreux imposable sur",(L20+M20)*$N$8*Données!$G$36*$H$10,(L20+M20)*$N$8*Données!$M$41*$H$10))</f>
        <v>0</v>
      </c>
      <c r="P20" s="478">
        <f ca="1">L20+M20-N20-O20</f>
        <v>0</v>
      </c>
      <c r="Q20" s="478">
        <f ca="1">P20</f>
        <v>0</v>
      </c>
      <c r="S20" s="476"/>
      <c r="T20" s="477">
        <f>C6</f>
        <v>0</v>
      </c>
      <c r="U20" s="478">
        <f>IF(OR($E$7="C1",$E$7="C1 bis",$E$7="C2"),H13,0)</f>
        <v>0</v>
      </c>
      <c r="V20" s="478">
        <f>U20*$X$5</f>
        <v>0</v>
      </c>
      <c r="W20" s="478">
        <f>IF(OR($E$7="C1",$E$7="C1 bis",$E$7="C2"),H14+V20,0)</f>
        <v>0</v>
      </c>
      <c r="X20" s="478">
        <f>IF(OR($E$7="C1",$E$7="C1 bis",$E$7="C2"),H13-H14,0)</f>
        <v>0</v>
      </c>
      <c r="Y20" s="478">
        <f>W20+X20</f>
        <v>0</v>
      </c>
      <c r="Z20" s="504">
        <f ca="1">IF(T20=($C$6+($X$7-$C$6)-1),Y20,IF(Y20&lt;IF(($X$7-$C$6)=0,0,-PMT($X$5,($X$7-$C$6),$H$13)),Y20,IF(($X$7-$C$6)=0,0,-PMT($X$5,($X$7-$C$6),$H$13))))</f>
        <v>0</v>
      </c>
      <c r="AA20" s="478">
        <f>IF(U20=ROUND(0,1),0,IF((W20+V20)&lt;(Z20-(X20*Z20/(X20+W20))),(W20+V20),Z20-(X20*Z20/(X20+W20))))</f>
        <v>0</v>
      </c>
      <c r="AB20" s="478">
        <f ca="1">IF((Z20-AA20)&gt;X20,X20,Z20-AA20)</f>
        <v>0</v>
      </c>
      <c r="AC20" s="478">
        <f>AA20*Données!$F$36</f>
        <v>0</v>
      </c>
      <c r="AD20" s="478">
        <f>AA20*Données!$F$28</f>
        <v>0</v>
      </c>
      <c r="AE20" s="478">
        <f ca="1">IF(AB20=0,0,IF($E$7="C1",(AB20*$H$10),IF($E$7="C2",-AA20*Données!$G$36*$H$10,0)))</f>
        <v>0</v>
      </c>
      <c r="AF20" s="478">
        <f ca="1">IF(Z20&gt;0,Z20-AC20-AD20-AE20,0)</f>
        <v>0</v>
      </c>
      <c r="AG20" s="477">
        <f>C6</f>
        <v>0</v>
      </c>
      <c r="AH20" s="478">
        <f>IF(OR($E$7="C1",$E$7="C1 bis",$E$7="C2"),H13,0)</f>
        <v>0</v>
      </c>
      <c r="AI20" s="478">
        <f>AH20*$X$5</f>
        <v>0</v>
      </c>
      <c r="AJ20" s="478">
        <f>IF(OR($E$7="C1",$E$7="C1 bis",$E$7="C2"),H14+AI20,0)</f>
        <v>0</v>
      </c>
      <c r="AK20" s="478">
        <f>IF(OR($E$7="C1",$E$7="C1 bis",$E$7="C2"),H13-H14,0)</f>
        <v>0</v>
      </c>
      <c r="AL20" s="478">
        <f>AJ20+AK20</f>
        <v>0</v>
      </c>
      <c r="AM20" s="478">
        <f ca="1">IF(AG20=($C$6+($AJ$14-$C$6)-1),AL20,IF(AL20&lt;IF(($AJ$14-$C$6)=0,0,-PMT($X$5,($AJ$14-$C$6),$H$13)),AL20,IF(($AJ$14-$C$6)=0,0,-PMT($X$5,($AJ$14-$C$6),$H$13))))</f>
        <v>0</v>
      </c>
      <c r="AN20" s="478">
        <f>IF(AH20=ROUND(0,1),0,IF((AJ20+AI20)&lt;(AM20-(AK20*AM20/(AK20+AJ20))),(AJ20+AI20),AM20-(AK20*AM20/(AK20+AJ20))))</f>
        <v>0</v>
      </c>
      <c r="AO20" s="478">
        <f ca="1">IF((AM20-AN20)&gt;AK20,AK20,AM20-AN20)</f>
        <v>0</v>
      </c>
      <c r="AP20" s="478">
        <f>AN20*Données!$F$36</f>
        <v>0</v>
      </c>
      <c r="AQ20" s="478">
        <f>AN20*Données!$F$28</f>
        <v>0</v>
      </c>
      <c r="AR20" s="478">
        <f ca="1">IF(AO20=0,0,IF($E$7="C1",(AO20*$H$10),IF($E$7="C2",-AN20*Données!$G$36*$H$10,0)))</f>
        <v>0</v>
      </c>
      <c r="AS20" s="478">
        <f ca="1">IF(AM20&gt;0,AM20-AP20-AQ20-AR20,0)</f>
        <v>0</v>
      </c>
      <c r="AT20" s="477">
        <f>AG20</f>
        <v>0</v>
      </c>
      <c r="AU20" s="478">
        <f>IF(OR($E$7="C1",$E$7="C1 bis",$E$7="C2"),H13,0)</f>
        <v>0</v>
      </c>
      <c r="AV20" s="478">
        <f>AU20*$X$5</f>
        <v>0</v>
      </c>
      <c r="AW20" s="493">
        <f>IF(OR($E$7="C1",$E$7="C1 bis",$E$7="C2"),H14+AV20,0)</f>
        <v>0</v>
      </c>
      <c r="AX20" s="478">
        <f>IF(OR($E$7="C1",$E$7="C1 bis",$E$7="C2"),H13-H14,0)</f>
        <v>0</v>
      </c>
      <c r="AY20" s="478">
        <f>AW20+AX20</f>
        <v>0</v>
      </c>
    </row>
    <row r="21" spans="1:51">
      <c r="A21" s="477">
        <f ca="1">A20+1</f>
        <v>2027</v>
      </c>
      <c r="B21" s="478">
        <f ca="1">IF(A21=$C$6,0,IF(A21&lt;$C$6,$C$9,0))</f>
        <v>0</v>
      </c>
      <c r="C21" s="478">
        <f ca="1">IF(OR($C$7=Données!$H$51,$C$7=Données!$H$54,$C$7=Données!$H$55,$C$7=Données!$H$57),0,B21*$C$10)</f>
        <v>0</v>
      </c>
      <c r="D21" s="478">
        <f ca="1">IFERROR(IF($H$5="",B21*'CT à Transf'!$K$28,B21*$H$5),B21*$H$5)</f>
        <v>0</v>
      </c>
      <c r="E21" s="478">
        <f ca="1">B21-D21</f>
        <v>0</v>
      </c>
      <c r="F21" s="478">
        <f t="shared" ref="F21:F83" ca="1" si="1">E21*$H$6</f>
        <v>0</v>
      </c>
      <c r="G21" s="478">
        <f ca="1">IF(A21&lt;$C$6,(G20*(1+$H$6))+(E21+F21),0)</f>
        <v>0</v>
      </c>
      <c r="H21" s="478">
        <f t="shared" ref="H21:H84" ca="1" si="2">IF(G22&gt;0,0,G21)</f>
        <v>0</v>
      </c>
      <c r="J21" s="476"/>
      <c r="K21" s="477">
        <f>K20+1</f>
        <v>1</v>
      </c>
      <c r="L21" s="478">
        <f t="shared" ca="1" si="0"/>
        <v>0</v>
      </c>
      <c r="M21" s="478">
        <f ca="1">M20+((L20+M20)*$N$6)</f>
        <v>0</v>
      </c>
      <c r="N21" s="478">
        <f ca="1">IF(OR($C$7=Données!$H$52,$C$7=Données!$H$53),(L21*$N$9)+((M21*$Q$8)*$Q$9),(L21+M21)*$N$8*$N$9)</f>
        <v>0</v>
      </c>
      <c r="O21" s="478">
        <f ca="1">IF(OR($C$7=Données!$H$52,$C$7=Données!$H$53),(L21*$H$10)+(M21*$Q$8*$H$10)-(M21*$Q$8*Données!$G$36*$H$10),((L21+M21)*$N$8*$H$10)-IF($K$8="Rente à titre onéreux imposable sur",(L21+M21)*$N$8*Données!$G$36*$H$10,(L21+M21)*$N$8*Données!$M$41*$H$10))</f>
        <v>0</v>
      </c>
      <c r="P21" s="478">
        <f t="shared" ref="P21:P84" ca="1" si="3">L21+M21-N21-O21</f>
        <v>0</v>
      </c>
      <c r="Q21" s="478">
        <f ca="1">Q20+P21</f>
        <v>0</v>
      </c>
      <c r="S21" s="476"/>
      <c r="T21" s="477">
        <f>T20+1</f>
        <v>1</v>
      </c>
      <c r="U21" s="478">
        <f>IF(OR($E$7="C1",$E$7="C1 bis",$E$7="C2"),IF((U20+V20)&lt;=IF(($X$7-$C$6)=0,0,-PMT($X$5,($X$7-$C$6),$H$13))+1,0,U20+V20-Z20),0)</f>
        <v>0</v>
      </c>
      <c r="V21" s="478">
        <f t="shared" ref="V21:V84" si="4">U21*$X$5</f>
        <v>0</v>
      </c>
      <c r="W21" s="493">
        <f>IF((W20-AA20+V21)&lt;1,0,W20-AA20+V21)</f>
        <v>0</v>
      </c>
      <c r="X21" s="493">
        <f ca="1">IF((X20-AB20)&lt;1,0,X20-AB20)</f>
        <v>0</v>
      </c>
      <c r="Y21" s="478">
        <f t="shared" ref="Y21:Y84" ca="1" si="5">W21+X21</f>
        <v>0</v>
      </c>
      <c r="Z21" s="504">
        <f ca="1">IF(T21=($C$6+($X$7-$C$6)-1),Y21,IF(Y21&lt;IF(($X$7-$C$6)=0,0,-PMT($X$5,($X$7-$C$6),$H$13)),Y21,IF(($X$7-$C$6)=0,0,-PMT($X$5,($X$7-$C$6),$H$13))))</f>
        <v>0</v>
      </c>
      <c r="AA21" s="478">
        <f t="shared" ref="AA21:AA84" si="6">IF(U21=ROUND(0,1),0,IF((W21+V21)&lt;(Z21-(X21*Z21/(X21+W21))),(W21+V21),Z21-(X21*Z21/(X21+W21))))</f>
        <v>0</v>
      </c>
      <c r="AB21" s="478">
        <f t="shared" ref="AB21:AB84" ca="1" si="7">IF((Z21-AA21)&gt;X21,X21,Z21-AA21)</f>
        <v>0</v>
      </c>
      <c r="AC21" s="478">
        <f>AA21*Données!$F$36</f>
        <v>0</v>
      </c>
      <c r="AD21" s="478">
        <f>AA21*Données!$F$28</f>
        <v>0</v>
      </c>
      <c r="AE21" s="478">
        <f ca="1">IF(AB21=0,0,IF($E$7="C1",(AB21*$H$10),IF($E$7="C2",-AA21*Données!$G$36*$H$10,0)))</f>
        <v>0</v>
      </c>
      <c r="AF21" s="478">
        <f t="shared" ref="AF21:AF84" ca="1" si="8">IF(Z21&gt;0,Z21-AC21-AD21-AE21,0)</f>
        <v>0</v>
      </c>
      <c r="AG21" s="477">
        <f>AG20+1</f>
        <v>1</v>
      </c>
      <c r="AH21" s="478">
        <f>IF(OR($E$7="C1",$E$7="C1 bis",$E$7="C2"),IF((AH20+AI20)&lt;=IF(($AJ$14-$C$6)=0,0,-PMT($X$5,($AJ$14-$C$6),$H$13))+1,0,AH20+AI20-AM20),0)</f>
        <v>0</v>
      </c>
      <c r="AI21" s="478">
        <f>AH21*$X$5</f>
        <v>0</v>
      </c>
      <c r="AJ21" s="493">
        <f>IF((AJ20-AN20+AI21)&lt;1,0,AJ20-AN20+AI21)</f>
        <v>0</v>
      </c>
      <c r="AK21" s="493">
        <f ca="1">IF((AK20-AO20)&lt;1,0,AK20-AO20)</f>
        <v>0</v>
      </c>
      <c r="AL21" s="478">
        <f t="shared" ref="AL21:AL84" ca="1" si="9">AJ21+AK21</f>
        <v>0</v>
      </c>
      <c r="AM21" s="478">
        <f t="shared" ref="AM21:AM84" ca="1" si="10">IF(AG21=($C$6+($AJ$14-$C$6)-1),AL21,IF(AL21&lt;IF(($AJ$14-$C$6)=0,0,-PMT($X$5,($AJ$14-$C$6),$H$13)),AL21,IF(($AJ$14-$C$6)=0,0,-PMT($X$5,($AJ$14-$C$6),$H$13))))</f>
        <v>0</v>
      </c>
      <c r="AN21" s="478">
        <f>IF(AH21=ROUND(0,1),0,IF((AJ21+AI21)&lt;(AM21-(AK21*AM21/(AK21+AJ21))),(AJ21+AI21),AM21-(AK21*AM21/(AK21+AJ21))))</f>
        <v>0</v>
      </c>
      <c r="AO21" s="478">
        <f t="shared" ref="AO21:AO84" ca="1" si="11">IF((AM21-AN21)&gt;AK21,AK21,AM21-AN21)</f>
        <v>0</v>
      </c>
      <c r="AP21" s="478">
        <f>AN21*Données!$F$36</f>
        <v>0</v>
      </c>
      <c r="AQ21" s="478">
        <f>AN21*Données!$F$28</f>
        <v>0</v>
      </c>
      <c r="AR21" s="478">
        <f ca="1">IF(AO21=0,0,IF($E$7="C1",(AO21*$H$10),IF($E$7="C2",-AN21*Données!$G$36*$H$10,0)))</f>
        <v>0</v>
      </c>
      <c r="AS21" s="478">
        <f t="shared" ref="AS21:AS84" ca="1" si="12">IF(AM21&gt;0,AM21-AP21-AQ21-AR21,0)</f>
        <v>0</v>
      </c>
      <c r="AT21" s="477">
        <f>AT20+1</f>
        <v>1</v>
      </c>
      <c r="AU21" s="478">
        <f>IF(OR($E$7="C1",$E$7="C1 bis",$E$7="C2"),IF((AU20+AV20)&lt;=IF(($AJ$14-$C$6)=0,0,-PMT($X$5,($AJ$14-$C$6),$H$13))+1,0,AU20+AV20),0)</f>
        <v>0</v>
      </c>
      <c r="AV21" s="478">
        <f>AU21*$X$5</f>
        <v>0</v>
      </c>
      <c r="AW21" s="493">
        <f>AW20+AV21</f>
        <v>0</v>
      </c>
      <c r="AX21" s="493">
        <f>AX20</f>
        <v>0</v>
      </c>
      <c r="AY21" s="478">
        <f t="shared" ref="AY21:AY84" si="13">AW21+AX21</f>
        <v>0</v>
      </c>
    </row>
    <row r="22" spans="1:51">
      <c r="A22" s="477">
        <f t="shared" ref="A22:A85" ca="1" si="14">A21+1</f>
        <v>2028</v>
      </c>
      <c r="B22" s="478">
        <f t="shared" ref="B22:B85" ca="1" si="15">IF(A22=$C$6,0,IF(A22&lt;$C$6,$C$9,0))</f>
        <v>0</v>
      </c>
      <c r="C22" s="478">
        <f ca="1">IF(OR($C$7=Données!$H$51,$C$7=Données!$H$54,$C$7=Données!$H$55,$C$7=Données!$H$57),0,B22*$C$10)</f>
        <v>0</v>
      </c>
      <c r="D22" s="478">
        <f ca="1">IFERROR(IF($H$5="",B22*'CT à Transf'!$K$28,B22*$H$5),B22*$H$5)</f>
        <v>0</v>
      </c>
      <c r="E22" s="478">
        <f t="shared" ref="E22:E85" ca="1" si="16">B22-D22</f>
        <v>0</v>
      </c>
      <c r="F22" s="478">
        <f t="shared" ca="1" si="1"/>
        <v>0</v>
      </c>
      <c r="G22" s="478">
        <f t="shared" ref="G22:G84" ca="1" si="17">IF(A22&lt;$C$6,(G21*(1+$H$6))+(E22+F22),0)</f>
        <v>0</v>
      </c>
      <c r="H22" s="478">
        <f t="shared" ca="1" si="2"/>
        <v>0</v>
      </c>
      <c r="J22" s="476"/>
      <c r="K22" s="477">
        <f t="shared" ref="K22:K85" si="18">K21+1</f>
        <v>2</v>
      </c>
      <c r="L22" s="478">
        <f t="shared" ca="1" si="0"/>
        <v>0</v>
      </c>
      <c r="M22" s="478">
        <f t="shared" ref="M22:M85" ca="1" si="19">M21+((L21+M21)*$N$6)</f>
        <v>0</v>
      </c>
      <c r="N22" s="478">
        <f ca="1">IF(OR($C$7=Données!$H$52,$C$7=Données!$H$53),(L22*$N$9)+((M22*$Q$8)*$Q$9),(L22+M22)*$N$8*$N$9)</f>
        <v>0</v>
      </c>
      <c r="O22" s="478">
        <f ca="1">IF(OR($C$7=Données!$H$52,$C$7=Données!$H$53),(L22*$H$10)+(M22*$Q$8*$H$10)-(M22*$Q$8*Données!$G$36*$H$10),((L22+M22)*$N$8*$H$10)-IF($K$8="Rente à titre onéreux imposable sur",(L22+M22)*$N$8*Données!$G$36*$H$10,(L22+M22)*$N$8*Données!$M$41*$H$10))</f>
        <v>0</v>
      </c>
      <c r="P22" s="478">
        <f t="shared" ca="1" si="3"/>
        <v>0</v>
      </c>
      <c r="Q22" s="478">
        <f t="shared" ref="Q22:Q85" ca="1" si="20">Q21+P22</f>
        <v>0</v>
      </c>
      <c r="S22" s="476"/>
      <c r="T22" s="477">
        <f t="shared" ref="T22:T85" si="21">T21+1</f>
        <v>2</v>
      </c>
      <c r="U22" s="478">
        <f t="shared" ref="U22:U85" ca="1" si="22">IF((U21+V21)&lt;=IF(($X$7-$C$6)=0,0,-PMT($X$5,($X$7-$C$6),$H$13))+1,0,U21+V21-Z21)</f>
        <v>0</v>
      </c>
      <c r="V22" s="478">
        <f t="shared" ca="1" si="4"/>
        <v>0</v>
      </c>
      <c r="W22" s="493">
        <f t="shared" ref="W22:W85" ca="1" si="23">IF((W21-AA21+V22)&lt;1,0,W21-AA21+V22)</f>
        <v>0</v>
      </c>
      <c r="X22" s="493">
        <f t="shared" ref="X22:X85" ca="1" si="24">IF((X21-AB21)&lt;1,0,X21-AB21)</f>
        <v>0</v>
      </c>
      <c r="Y22" s="478">
        <f t="shared" ca="1" si="5"/>
        <v>0</v>
      </c>
      <c r="Z22" s="504">
        <f t="shared" ref="Z22:Z85" ca="1" si="25">IF(T22=($C$6+($X$7-$C$6)-1),Y22,IF(Y22&lt;IF(($X$7-$C$6)=0,0,-PMT($X$5,($X$7-$C$6),$H$13)),Y22,IF(($X$7-$C$6)=0,0,-PMT($X$5,($X$7-$C$6),$H$13))))</f>
        <v>0</v>
      </c>
      <c r="AA22" s="478">
        <f t="shared" ca="1" si="6"/>
        <v>0</v>
      </c>
      <c r="AB22" s="478">
        <f t="shared" ca="1" si="7"/>
        <v>0</v>
      </c>
      <c r="AC22" s="478">
        <f ca="1">AA22*Données!$F$36</f>
        <v>0</v>
      </c>
      <c r="AD22" s="478">
        <f ca="1">AA22*Données!$F$28</f>
        <v>0</v>
      </c>
      <c r="AE22" s="478">
        <f ca="1">IF(AB22=0,0,IF($E$7="C1",(AB22*$H$10),IF($E$7="C2",-AA22*Données!$G$36*$H$10,0)))</f>
        <v>0</v>
      </c>
      <c r="AF22" s="478">
        <f t="shared" ca="1" si="8"/>
        <v>0</v>
      </c>
      <c r="AG22" s="477">
        <f t="shared" ref="AG22:AG85" si="26">AG21+1</f>
        <v>2</v>
      </c>
      <c r="AH22" s="478">
        <f t="shared" ref="AH22:AH85" si="27">IF(OR($E$7="C1",$E$7="C1 bis",$E$7="C2"),IF((AH21+AI21)&lt;=IF(($AJ$14-$C$6)=0,0,-PMT($X$5,($AJ$14-$C$6),$H$13))+1,0,AH21+AI21-AM21),0)</f>
        <v>0</v>
      </c>
      <c r="AI22" s="478">
        <f t="shared" ref="AI22:AI85" si="28">AH22*$X$5</f>
        <v>0</v>
      </c>
      <c r="AJ22" s="493">
        <f t="shared" ref="AJ22:AJ85" si="29">IF((AJ21-AN21+AI22)&lt;1,0,AJ21-AN21+AI22)</f>
        <v>0</v>
      </c>
      <c r="AK22" s="493">
        <f t="shared" ref="AK22:AK85" ca="1" si="30">IF((AK21-AO21)&lt;1,0,AK21-AO21)</f>
        <v>0</v>
      </c>
      <c r="AL22" s="478">
        <f t="shared" ca="1" si="9"/>
        <v>0</v>
      </c>
      <c r="AM22" s="478">
        <f t="shared" ca="1" si="10"/>
        <v>0</v>
      </c>
      <c r="AN22" s="478">
        <f t="shared" ref="AN22:AN85" si="31">IF(AH22=ROUND(0,1),0,IF((AJ22+AI22)&lt;(AM22-(AK22*AM22/(AK22+AJ22))),(AJ22+AI22),AM22-(AK22*AM22/(AK22+AJ22))))</f>
        <v>0</v>
      </c>
      <c r="AO22" s="478">
        <f t="shared" ca="1" si="11"/>
        <v>0</v>
      </c>
      <c r="AP22" s="478">
        <f>AN22*Données!$F$36</f>
        <v>0</v>
      </c>
      <c r="AQ22" s="478">
        <f>AN22*Données!$F$28</f>
        <v>0</v>
      </c>
      <c r="AR22" s="478">
        <f ca="1">IF(AO22=0,0,IF($E$7="C1",(AO22*$H$10),IF($E$7="C2",-AN22*Données!$G$36*$H$10,0)))</f>
        <v>0</v>
      </c>
      <c r="AS22" s="478">
        <f t="shared" ca="1" si="12"/>
        <v>0</v>
      </c>
      <c r="AT22" s="477">
        <f t="shared" ref="AT22:AT85" si="32">AT21+1</f>
        <v>2</v>
      </c>
      <c r="AU22" s="478">
        <f t="shared" ref="AU22:AU85" si="33">IF(OR($E$7="C1",$E$7="C1 bis",$E$7="C2"),IF((AU21+AV21)&lt;=IF(($AJ$14-$C$6)=0,0,-PMT($X$5,($AJ$14-$C$6),$H$13))+1,0,AU21+AV21),0)</f>
        <v>0</v>
      </c>
      <c r="AV22" s="478">
        <f t="shared" ref="AV22:AV85" si="34">AU22*$X$5</f>
        <v>0</v>
      </c>
      <c r="AW22" s="493">
        <f t="shared" ref="AW22:AW85" si="35">AW21+AV22</f>
        <v>0</v>
      </c>
      <c r="AX22" s="493">
        <f t="shared" ref="AX22:AX85" si="36">AX21</f>
        <v>0</v>
      </c>
      <c r="AY22" s="478">
        <f t="shared" si="13"/>
        <v>0</v>
      </c>
    </row>
    <row r="23" spans="1:51">
      <c r="A23" s="477">
        <f t="shared" ca="1" si="14"/>
        <v>2029</v>
      </c>
      <c r="B23" s="478">
        <f t="shared" ca="1" si="15"/>
        <v>0</v>
      </c>
      <c r="C23" s="478">
        <f ca="1">IF(OR($C$7=Données!$H$51,$C$7=Données!$H$54,$C$7=Données!$H$55,$C$7=Données!$H$57),0,B23*$C$10)</f>
        <v>0</v>
      </c>
      <c r="D23" s="478">
        <f ca="1">IFERROR(IF($H$5="",B23*'CT à Transf'!$K$28,B23*$H$5),B23*$H$5)</f>
        <v>0</v>
      </c>
      <c r="E23" s="478">
        <f t="shared" ca="1" si="16"/>
        <v>0</v>
      </c>
      <c r="F23" s="478">
        <f t="shared" ca="1" si="1"/>
        <v>0</v>
      </c>
      <c r="G23" s="478">
        <f t="shared" ca="1" si="17"/>
        <v>0</v>
      </c>
      <c r="H23" s="478">
        <f t="shared" ca="1" si="2"/>
        <v>0</v>
      </c>
      <c r="J23" s="476"/>
      <c r="K23" s="477">
        <f t="shared" si="18"/>
        <v>3</v>
      </c>
      <c r="L23" s="478">
        <f t="shared" ca="1" si="0"/>
        <v>0</v>
      </c>
      <c r="M23" s="478">
        <f t="shared" ca="1" si="19"/>
        <v>0</v>
      </c>
      <c r="N23" s="478">
        <f ca="1">IF(OR($C$7=Données!$H$52,$C$7=Données!$H$53),(L23*$N$9)+((M23*$Q$8)*$Q$9),(L23+M23)*$N$8*$N$9)</f>
        <v>0</v>
      </c>
      <c r="O23" s="478">
        <f ca="1">IF(OR($C$7=Données!$H$52,$C$7=Données!$H$53),(L23*$H$10)+(M23*$Q$8*$H$10)-(M23*$Q$8*Données!$G$36*$H$10),((L23+M23)*$N$8*$H$10)-IF($K$8="Rente à titre onéreux imposable sur",(L23+M23)*$N$8*Données!$G$36*$H$10,(L23+M23)*$N$8*Données!$M$41*$H$10))</f>
        <v>0</v>
      </c>
      <c r="P23" s="478">
        <f t="shared" ca="1" si="3"/>
        <v>0</v>
      </c>
      <c r="Q23" s="478">
        <f t="shared" ca="1" si="20"/>
        <v>0</v>
      </c>
      <c r="S23" s="476"/>
      <c r="T23" s="477">
        <f t="shared" si="21"/>
        <v>3</v>
      </c>
      <c r="U23" s="478">
        <f t="shared" ca="1" si="22"/>
        <v>0</v>
      </c>
      <c r="V23" s="478">
        <f t="shared" ca="1" si="4"/>
        <v>0</v>
      </c>
      <c r="W23" s="493">
        <f t="shared" ca="1" si="23"/>
        <v>0</v>
      </c>
      <c r="X23" s="493">
        <f t="shared" ca="1" si="24"/>
        <v>0</v>
      </c>
      <c r="Y23" s="478">
        <f t="shared" ca="1" si="5"/>
        <v>0</v>
      </c>
      <c r="Z23" s="504">
        <f t="shared" ca="1" si="25"/>
        <v>0</v>
      </c>
      <c r="AA23" s="478">
        <f t="shared" ca="1" si="6"/>
        <v>0</v>
      </c>
      <c r="AB23" s="478">
        <f t="shared" ca="1" si="7"/>
        <v>0</v>
      </c>
      <c r="AC23" s="478">
        <f ca="1">AA23*Données!$F$36</f>
        <v>0</v>
      </c>
      <c r="AD23" s="478">
        <f ca="1">AA23*Données!$F$28</f>
        <v>0</v>
      </c>
      <c r="AE23" s="478">
        <f ca="1">IF(AB23=0,0,IF($E$7="C1",(AB23*$H$10),IF($E$7="C2",-AA23*Données!$G$36*$H$10,0)))</f>
        <v>0</v>
      </c>
      <c r="AF23" s="478">
        <f t="shared" ca="1" si="8"/>
        <v>0</v>
      </c>
      <c r="AG23" s="477">
        <f t="shared" si="26"/>
        <v>3</v>
      </c>
      <c r="AH23" s="478">
        <f t="shared" si="27"/>
        <v>0</v>
      </c>
      <c r="AI23" s="478">
        <f t="shared" si="28"/>
        <v>0</v>
      </c>
      <c r="AJ23" s="493">
        <f t="shared" si="29"/>
        <v>0</v>
      </c>
      <c r="AK23" s="493">
        <f t="shared" ca="1" si="30"/>
        <v>0</v>
      </c>
      <c r="AL23" s="478">
        <f t="shared" ca="1" si="9"/>
        <v>0</v>
      </c>
      <c r="AM23" s="478">
        <f t="shared" ca="1" si="10"/>
        <v>0</v>
      </c>
      <c r="AN23" s="478">
        <f t="shared" si="31"/>
        <v>0</v>
      </c>
      <c r="AO23" s="478">
        <f t="shared" ca="1" si="11"/>
        <v>0</v>
      </c>
      <c r="AP23" s="478">
        <f>AN23*Données!$F$36</f>
        <v>0</v>
      </c>
      <c r="AQ23" s="478">
        <f>AN23*Données!$F$28</f>
        <v>0</v>
      </c>
      <c r="AR23" s="478">
        <f ca="1">IF(AO23=0,0,IF($E$7="C1",(AO23*$H$10),IF($E$7="C2",-AN23*Données!$G$36*$H$10,0)))</f>
        <v>0</v>
      </c>
      <c r="AS23" s="478">
        <f t="shared" ca="1" si="12"/>
        <v>0</v>
      </c>
      <c r="AT23" s="477">
        <f t="shared" si="32"/>
        <v>3</v>
      </c>
      <c r="AU23" s="478">
        <f t="shared" si="33"/>
        <v>0</v>
      </c>
      <c r="AV23" s="478">
        <f t="shared" si="34"/>
        <v>0</v>
      </c>
      <c r="AW23" s="493">
        <f t="shared" si="35"/>
        <v>0</v>
      </c>
      <c r="AX23" s="493">
        <f t="shared" si="36"/>
        <v>0</v>
      </c>
      <c r="AY23" s="478">
        <f t="shared" si="13"/>
        <v>0</v>
      </c>
    </row>
    <row r="24" spans="1:51">
      <c r="A24" s="477">
        <f t="shared" ca="1" si="14"/>
        <v>2030</v>
      </c>
      <c r="B24" s="478">
        <f t="shared" ca="1" si="15"/>
        <v>0</v>
      </c>
      <c r="C24" s="478">
        <f ca="1">IF(OR($C$7=Données!$H$51,$C$7=Données!$H$54,$C$7=Données!$H$55,$C$7=Données!$H$57),0,B24*$C$10)</f>
        <v>0</v>
      </c>
      <c r="D24" s="478">
        <f ca="1">IFERROR(IF($H$5="",B24*'CT à Transf'!$K$28,B24*$H$5),B24*$H$5)</f>
        <v>0</v>
      </c>
      <c r="E24" s="478">
        <f t="shared" ca="1" si="16"/>
        <v>0</v>
      </c>
      <c r="F24" s="478">
        <f t="shared" ca="1" si="1"/>
        <v>0</v>
      </c>
      <c r="G24" s="478">
        <f t="shared" ca="1" si="17"/>
        <v>0</v>
      </c>
      <c r="H24" s="478">
        <f t="shared" ca="1" si="2"/>
        <v>0</v>
      </c>
      <c r="J24" s="476"/>
      <c r="K24" s="477">
        <f t="shared" si="18"/>
        <v>4</v>
      </c>
      <c r="L24" s="478">
        <f t="shared" ca="1" si="0"/>
        <v>0</v>
      </c>
      <c r="M24" s="478">
        <f t="shared" ca="1" si="19"/>
        <v>0</v>
      </c>
      <c r="N24" s="478">
        <f ca="1">IF(OR($C$7=Données!$H$52,$C$7=Données!$H$53),(L24*$N$9)+((M24*$Q$8)*$Q$9),(L24+M24)*$N$8*$N$9)</f>
        <v>0</v>
      </c>
      <c r="O24" s="478">
        <f ca="1">IF(OR($C$7=Données!$H$52,$C$7=Données!$H$53),(L24*$H$10)+(M24*$Q$8*$H$10)-(M24*$Q$8*Données!$G$36*$H$10),((L24+M24)*$N$8*$H$10)-IF($K$8="Rente à titre onéreux imposable sur",(L24+M24)*$N$8*Données!$G$36*$H$10,(L24+M24)*$N$8*Données!$M$41*$H$10))</f>
        <v>0</v>
      </c>
      <c r="P24" s="478">
        <f t="shared" ca="1" si="3"/>
        <v>0</v>
      </c>
      <c r="Q24" s="478">
        <f t="shared" ca="1" si="20"/>
        <v>0</v>
      </c>
      <c r="S24" s="476"/>
      <c r="T24" s="477">
        <f t="shared" si="21"/>
        <v>4</v>
      </c>
      <c r="U24" s="478">
        <f t="shared" ca="1" si="22"/>
        <v>0</v>
      </c>
      <c r="V24" s="478">
        <f t="shared" ca="1" si="4"/>
        <v>0</v>
      </c>
      <c r="W24" s="493">
        <f t="shared" ca="1" si="23"/>
        <v>0</v>
      </c>
      <c r="X24" s="493">
        <f t="shared" ca="1" si="24"/>
        <v>0</v>
      </c>
      <c r="Y24" s="478">
        <f t="shared" ca="1" si="5"/>
        <v>0</v>
      </c>
      <c r="Z24" s="504">
        <f t="shared" ca="1" si="25"/>
        <v>0</v>
      </c>
      <c r="AA24" s="478">
        <f t="shared" ca="1" si="6"/>
        <v>0</v>
      </c>
      <c r="AB24" s="478">
        <f t="shared" ca="1" si="7"/>
        <v>0</v>
      </c>
      <c r="AC24" s="478">
        <f ca="1">AA24*Données!$F$36</f>
        <v>0</v>
      </c>
      <c r="AD24" s="478">
        <f ca="1">AA24*Données!$F$28</f>
        <v>0</v>
      </c>
      <c r="AE24" s="478">
        <f ca="1">IF(AB24=0,0,IF($E$7="C1",(AB24*$H$10),IF($E$7="C2",-AA24*Données!$G$36*$H$10,0)))</f>
        <v>0</v>
      </c>
      <c r="AF24" s="478">
        <f t="shared" ca="1" si="8"/>
        <v>0</v>
      </c>
      <c r="AG24" s="477">
        <f t="shared" si="26"/>
        <v>4</v>
      </c>
      <c r="AH24" s="478">
        <f t="shared" si="27"/>
        <v>0</v>
      </c>
      <c r="AI24" s="478">
        <f t="shared" si="28"/>
        <v>0</v>
      </c>
      <c r="AJ24" s="493">
        <f t="shared" si="29"/>
        <v>0</v>
      </c>
      <c r="AK24" s="493">
        <f t="shared" ca="1" si="30"/>
        <v>0</v>
      </c>
      <c r="AL24" s="478">
        <f t="shared" ca="1" si="9"/>
        <v>0</v>
      </c>
      <c r="AM24" s="478">
        <f t="shared" ca="1" si="10"/>
        <v>0</v>
      </c>
      <c r="AN24" s="478">
        <f t="shared" si="31"/>
        <v>0</v>
      </c>
      <c r="AO24" s="478">
        <f t="shared" ca="1" si="11"/>
        <v>0</v>
      </c>
      <c r="AP24" s="478">
        <f>AN24*Données!$F$36</f>
        <v>0</v>
      </c>
      <c r="AQ24" s="478">
        <f>AN24*Données!$F$28</f>
        <v>0</v>
      </c>
      <c r="AR24" s="478">
        <f ca="1">IF(AO24=0,0,IF($E$7="C1",(AO24*$H$10),IF($E$7="C2",-AN24*Données!$G$36*$H$10,0)))</f>
        <v>0</v>
      </c>
      <c r="AS24" s="478">
        <f t="shared" ca="1" si="12"/>
        <v>0</v>
      </c>
      <c r="AT24" s="477">
        <f t="shared" si="32"/>
        <v>4</v>
      </c>
      <c r="AU24" s="478">
        <f t="shared" si="33"/>
        <v>0</v>
      </c>
      <c r="AV24" s="478">
        <f t="shared" si="34"/>
        <v>0</v>
      </c>
      <c r="AW24" s="493">
        <f t="shared" si="35"/>
        <v>0</v>
      </c>
      <c r="AX24" s="493">
        <f t="shared" si="36"/>
        <v>0</v>
      </c>
      <c r="AY24" s="478">
        <f t="shared" si="13"/>
        <v>0</v>
      </c>
    </row>
    <row r="25" spans="1:51">
      <c r="A25" s="477">
        <f t="shared" ca="1" si="14"/>
        <v>2031</v>
      </c>
      <c r="B25" s="478">
        <f t="shared" ca="1" si="15"/>
        <v>0</v>
      </c>
      <c r="C25" s="478">
        <f ca="1">IF(OR($C$7=Données!$H$51,$C$7=Données!$H$54,$C$7=Données!$H$55,$C$7=Données!$H$57),0,B25*$C$10)</f>
        <v>0</v>
      </c>
      <c r="D25" s="478">
        <f ca="1">IFERROR(IF($H$5="",B25*'CT à Transf'!$K$28,B25*$H$5),B25*$H$5)</f>
        <v>0</v>
      </c>
      <c r="E25" s="478">
        <f t="shared" ca="1" si="16"/>
        <v>0</v>
      </c>
      <c r="F25" s="478">
        <f t="shared" ca="1" si="1"/>
        <v>0</v>
      </c>
      <c r="G25" s="478">
        <f t="shared" ca="1" si="17"/>
        <v>0</v>
      </c>
      <c r="H25" s="478">
        <f t="shared" ca="1" si="2"/>
        <v>0</v>
      </c>
      <c r="J25" s="476"/>
      <c r="K25" s="477">
        <f t="shared" si="18"/>
        <v>5</v>
      </c>
      <c r="L25" s="478">
        <f t="shared" ca="1" si="0"/>
        <v>0</v>
      </c>
      <c r="M25" s="478">
        <f t="shared" ca="1" si="19"/>
        <v>0</v>
      </c>
      <c r="N25" s="478">
        <f ca="1">IF(OR($C$7=Données!$H$52,$C$7=Données!$H$53),(L25*$N$9)+((M25*$Q$8)*$Q$9),(L25+M25)*$N$8*$N$9)</f>
        <v>0</v>
      </c>
      <c r="O25" s="478">
        <f ca="1">IF(OR($C$7=Données!$H$52,$C$7=Données!$H$53),(L25*$H$10)+(M25*$Q$8*$H$10)-(M25*$Q$8*Données!$G$36*$H$10),((L25+M25)*$N$8*$H$10)-IF($K$8="Rente à titre onéreux imposable sur",(L25+M25)*$N$8*Données!$G$36*$H$10,(L25+M25)*$N$8*Données!$M$41*$H$10))</f>
        <v>0</v>
      </c>
      <c r="P25" s="478">
        <f t="shared" ca="1" si="3"/>
        <v>0</v>
      </c>
      <c r="Q25" s="478">
        <f t="shared" ca="1" si="20"/>
        <v>0</v>
      </c>
      <c r="S25" s="476"/>
      <c r="T25" s="477">
        <f t="shared" si="21"/>
        <v>5</v>
      </c>
      <c r="U25" s="478">
        <f t="shared" ca="1" si="22"/>
        <v>0</v>
      </c>
      <c r="V25" s="478">
        <f t="shared" ca="1" si="4"/>
        <v>0</v>
      </c>
      <c r="W25" s="493">
        <f t="shared" ca="1" si="23"/>
        <v>0</v>
      </c>
      <c r="X25" s="493">
        <f t="shared" ca="1" si="24"/>
        <v>0</v>
      </c>
      <c r="Y25" s="478">
        <f t="shared" ca="1" si="5"/>
        <v>0</v>
      </c>
      <c r="Z25" s="504">
        <f t="shared" ca="1" si="25"/>
        <v>0</v>
      </c>
      <c r="AA25" s="478">
        <f t="shared" ca="1" si="6"/>
        <v>0</v>
      </c>
      <c r="AB25" s="478">
        <f t="shared" ca="1" si="7"/>
        <v>0</v>
      </c>
      <c r="AC25" s="478">
        <f ca="1">AA25*Données!$F$36</f>
        <v>0</v>
      </c>
      <c r="AD25" s="478">
        <f ca="1">AA25*Données!$F$28</f>
        <v>0</v>
      </c>
      <c r="AE25" s="478">
        <f ca="1">IF(AB25=0,0,IF($E$7="C1",(AB25*$H$10),IF($E$7="C2",-AA25*Données!$G$36*$H$10,0)))</f>
        <v>0</v>
      </c>
      <c r="AF25" s="478">
        <f t="shared" ca="1" si="8"/>
        <v>0</v>
      </c>
      <c r="AG25" s="477">
        <f t="shared" si="26"/>
        <v>5</v>
      </c>
      <c r="AH25" s="478">
        <f t="shared" si="27"/>
        <v>0</v>
      </c>
      <c r="AI25" s="478">
        <f t="shared" si="28"/>
        <v>0</v>
      </c>
      <c r="AJ25" s="493">
        <f t="shared" si="29"/>
        <v>0</v>
      </c>
      <c r="AK25" s="493">
        <f t="shared" ca="1" si="30"/>
        <v>0</v>
      </c>
      <c r="AL25" s="478">
        <f t="shared" ca="1" si="9"/>
        <v>0</v>
      </c>
      <c r="AM25" s="478">
        <f t="shared" ca="1" si="10"/>
        <v>0</v>
      </c>
      <c r="AN25" s="478">
        <f t="shared" si="31"/>
        <v>0</v>
      </c>
      <c r="AO25" s="478">
        <f t="shared" ca="1" si="11"/>
        <v>0</v>
      </c>
      <c r="AP25" s="478">
        <f>AN25*Données!$F$36</f>
        <v>0</v>
      </c>
      <c r="AQ25" s="478">
        <f>AN25*Données!$F$28</f>
        <v>0</v>
      </c>
      <c r="AR25" s="478">
        <f ca="1">IF(AO25=0,0,IF($E$7="C1",(AO25*$H$10),IF($E$7="C2",-AN25*Données!$G$36*$H$10,0)))</f>
        <v>0</v>
      </c>
      <c r="AS25" s="478">
        <f t="shared" ca="1" si="12"/>
        <v>0</v>
      </c>
      <c r="AT25" s="477">
        <f t="shared" si="32"/>
        <v>5</v>
      </c>
      <c r="AU25" s="478">
        <f t="shared" si="33"/>
        <v>0</v>
      </c>
      <c r="AV25" s="478">
        <f t="shared" si="34"/>
        <v>0</v>
      </c>
      <c r="AW25" s="493">
        <f t="shared" si="35"/>
        <v>0</v>
      </c>
      <c r="AX25" s="493">
        <f t="shared" si="36"/>
        <v>0</v>
      </c>
      <c r="AY25" s="478">
        <f t="shared" si="13"/>
        <v>0</v>
      </c>
    </row>
    <row r="26" spans="1:51">
      <c r="A26" s="477">
        <f t="shared" ca="1" si="14"/>
        <v>2032</v>
      </c>
      <c r="B26" s="478">
        <f t="shared" ca="1" si="15"/>
        <v>0</v>
      </c>
      <c r="C26" s="478">
        <f ca="1">IF(OR($C$7=Données!$H$51,$C$7=Données!$H$54,$C$7=Données!$H$55,$C$7=Données!$H$57),0,B26*$C$10)</f>
        <v>0</v>
      </c>
      <c r="D26" s="478">
        <f ca="1">IFERROR(IF($H$5="",B26*'CT à Transf'!$K$28,B26*$H$5),B26*$H$5)</f>
        <v>0</v>
      </c>
      <c r="E26" s="478">
        <f t="shared" ca="1" si="16"/>
        <v>0</v>
      </c>
      <c r="F26" s="478">
        <f t="shared" ca="1" si="1"/>
        <v>0</v>
      </c>
      <c r="G26" s="478">
        <f t="shared" ca="1" si="17"/>
        <v>0</v>
      </c>
      <c r="H26" s="478">
        <f t="shared" ca="1" si="2"/>
        <v>0</v>
      </c>
      <c r="J26" s="476"/>
      <c r="K26" s="477">
        <f t="shared" si="18"/>
        <v>6</v>
      </c>
      <c r="L26" s="478">
        <f t="shared" ca="1" si="0"/>
        <v>0</v>
      </c>
      <c r="M26" s="478">
        <f t="shared" ca="1" si="19"/>
        <v>0</v>
      </c>
      <c r="N26" s="478">
        <f ca="1">IF(OR($C$7=Données!$H$52,$C$7=Données!$H$53),(L26*$N$9)+((M26*$Q$8)*$Q$9),(L26+M26)*$N$8*$N$9)</f>
        <v>0</v>
      </c>
      <c r="O26" s="478">
        <f ca="1">IF(OR($C$7=Données!$H$52,$C$7=Données!$H$53),(L26*$H$10)+(M26*$Q$8*$H$10)-(M26*$Q$8*Données!$G$36*$H$10),((L26+M26)*$N$8*$H$10)-IF($K$8="Rente à titre onéreux imposable sur",(L26+M26)*$N$8*Données!$G$36*$H$10,(L26+M26)*$N$8*Données!$M$41*$H$10))</f>
        <v>0</v>
      </c>
      <c r="P26" s="478">
        <f t="shared" ca="1" si="3"/>
        <v>0</v>
      </c>
      <c r="Q26" s="478">
        <f t="shared" ca="1" si="20"/>
        <v>0</v>
      </c>
      <c r="S26" s="476"/>
      <c r="T26" s="477">
        <f t="shared" si="21"/>
        <v>6</v>
      </c>
      <c r="U26" s="478">
        <f t="shared" ca="1" si="22"/>
        <v>0</v>
      </c>
      <c r="V26" s="478">
        <f t="shared" ca="1" si="4"/>
        <v>0</v>
      </c>
      <c r="W26" s="493">
        <f t="shared" ca="1" si="23"/>
        <v>0</v>
      </c>
      <c r="X26" s="493">
        <f t="shared" ca="1" si="24"/>
        <v>0</v>
      </c>
      <c r="Y26" s="478">
        <f t="shared" ca="1" si="5"/>
        <v>0</v>
      </c>
      <c r="Z26" s="504">
        <f t="shared" ca="1" si="25"/>
        <v>0</v>
      </c>
      <c r="AA26" s="478">
        <f t="shared" ca="1" si="6"/>
        <v>0</v>
      </c>
      <c r="AB26" s="478">
        <f t="shared" ca="1" si="7"/>
        <v>0</v>
      </c>
      <c r="AC26" s="478">
        <f ca="1">AA26*Données!$F$36</f>
        <v>0</v>
      </c>
      <c r="AD26" s="478">
        <f ca="1">AA26*Données!$F$28</f>
        <v>0</v>
      </c>
      <c r="AE26" s="478">
        <f ca="1">IF(AB26=0,0,IF($E$7="C1",(AB26*$H$10),IF($E$7="C2",-AA26*Données!$G$36*$H$10,0)))</f>
        <v>0</v>
      </c>
      <c r="AF26" s="478">
        <f t="shared" ca="1" si="8"/>
        <v>0</v>
      </c>
      <c r="AG26" s="477">
        <f t="shared" si="26"/>
        <v>6</v>
      </c>
      <c r="AH26" s="478">
        <f t="shared" si="27"/>
        <v>0</v>
      </c>
      <c r="AI26" s="478">
        <f t="shared" si="28"/>
        <v>0</v>
      </c>
      <c r="AJ26" s="493">
        <f t="shared" si="29"/>
        <v>0</v>
      </c>
      <c r="AK26" s="493">
        <f t="shared" ca="1" si="30"/>
        <v>0</v>
      </c>
      <c r="AL26" s="478">
        <f t="shared" ca="1" si="9"/>
        <v>0</v>
      </c>
      <c r="AM26" s="478">
        <f t="shared" ca="1" si="10"/>
        <v>0</v>
      </c>
      <c r="AN26" s="478">
        <f t="shared" si="31"/>
        <v>0</v>
      </c>
      <c r="AO26" s="478">
        <f t="shared" ca="1" si="11"/>
        <v>0</v>
      </c>
      <c r="AP26" s="478">
        <f>AN26*Données!$F$36</f>
        <v>0</v>
      </c>
      <c r="AQ26" s="478">
        <f>AN26*Données!$F$28</f>
        <v>0</v>
      </c>
      <c r="AR26" s="478">
        <f ca="1">IF(AO26=0,0,IF($E$7="C1",(AO26*$H$10),IF($E$7="C2",-AN26*Données!$G$36*$H$10,0)))</f>
        <v>0</v>
      </c>
      <c r="AS26" s="478">
        <f t="shared" ca="1" si="12"/>
        <v>0</v>
      </c>
      <c r="AT26" s="477">
        <f t="shared" si="32"/>
        <v>6</v>
      </c>
      <c r="AU26" s="478">
        <f t="shared" si="33"/>
        <v>0</v>
      </c>
      <c r="AV26" s="478">
        <f t="shared" si="34"/>
        <v>0</v>
      </c>
      <c r="AW26" s="493">
        <f t="shared" si="35"/>
        <v>0</v>
      </c>
      <c r="AX26" s="493">
        <f t="shared" si="36"/>
        <v>0</v>
      </c>
      <c r="AY26" s="478">
        <f t="shared" si="13"/>
        <v>0</v>
      </c>
    </row>
    <row r="27" spans="1:51">
      <c r="A27" s="477">
        <f t="shared" ca="1" si="14"/>
        <v>2033</v>
      </c>
      <c r="B27" s="478">
        <f t="shared" ca="1" si="15"/>
        <v>0</v>
      </c>
      <c r="C27" s="478">
        <f ca="1">IF(OR($C$7=Données!$H$51,$C$7=Données!$H$54,$C$7=Données!$H$55,$C$7=Données!$H$57),0,B27*$C$10)</f>
        <v>0</v>
      </c>
      <c r="D27" s="478">
        <f ca="1">IFERROR(IF($H$5="",B27*'CT à Transf'!$K$28,B27*$H$5),B27*$H$5)</f>
        <v>0</v>
      </c>
      <c r="E27" s="478">
        <f t="shared" ca="1" si="16"/>
        <v>0</v>
      </c>
      <c r="F27" s="478">
        <f t="shared" ca="1" si="1"/>
        <v>0</v>
      </c>
      <c r="G27" s="478">
        <f t="shared" ca="1" si="17"/>
        <v>0</v>
      </c>
      <c r="H27" s="478">
        <f t="shared" ca="1" si="2"/>
        <v>0</v>
      </c>
      <c r="J27" s="476"/>
      <c r="K27" s="477">
        <f t="shared" si="18"/>
        <v>7</v>
      </c>
      <c r="L27" s="478">
        <f t="shared" ca="1" si="0"/>
        <v>0</v>
      </c>
      <c r="M27" s="478">
        <f t="shared" ca="1" si="19"/>
        <v>0</v>
      </c>
      <c r="N27" s="478">
        <f ca="1">IF(OR($C$7=Données!$H$52,$C$7=Données!$H$53),(L27*$N$9)+((M27*$Q$8)*$Q$9),(L27+M27)*$N$8*$N$9)</f>
        <v>0</v>
      </c>
      <c r="O27" s="478">
        <f ca="1">IF(OR($C$7=Données!$H$52,$C$7=Données!$H$53),(L27*$H$10)+(M27*$Q$8*$H$10)-(M27*$Q$8*Données!$G$36*$H$10),((L27+M27)*$N$8*$H$10)-IF($K$8="Rente à titre onéreux imposable sur",(L27+M27)*$N$8*Données!$G$36*$H$10,(L27+M27)*$N$8*Données!$M$41*$H$10))</f>
        <v>0</v>
      </c>
      <c r="P27" s="478">
        <f t="shared" ca="1" si="3"/>
        <v>0</v>
      </c>
      <c r="Q27" s="478">
        <f t="shared" ca="1" si="20"/>
        <v>0</v>
      </c>
      <c r="S27" s="476"/>
      <c r="T27" s="477">
        <f t="shared" si="21"/>
        <v>7</v>
      </c>
      <c r="U27" s="478">
        <f t="shared" ca="1" si="22"/>
        <v>0</v>
      </c>
      <c r="V27" s="478">
        <f t="shared" ca="1" si="4"/>
        <v>0</v>
      </c>
      <c r="W27" s="493">
        <f t="shared" ca="1" si="23"/>
        <v>0</v>
      </c>
      <c r="X27" s="493">
        <f t="shared" ca="1" si="24"/>
        <v>0</v>
      </c>
      <c r="Y27" s="478">
        <f t="shared" ca="1" si="5"/>
        <v>0</v>
      </c>
      <c r="Z27" s="504">
        <f t="shared" ca="1" si="25"/>
        <v>0</v>
      </c>
      <c r="AA27" s="478">
        <f t="shared" ca="1" si="6"/>
        <v>0</v>
      </c>
      <c r="AB27" s="478">
        <f t="shared" ca="1" si="7"/>
        <v>0</v>
      </c>
      <c r="AC27" s="478">
        <f ca="1">AA27*Données!$F$36</f>
        <v>0</v>
      </c>
      <c r="AD27" s="478">
        <f ca="1">AA27*Données!$F$28</f>
        <v>0</v>
      </c>
      <c r="AE27" s="478">
        <f ca="1">IF(AB27=0,0,IF($E$7="C1",(AB27*$H$10),IF($E$7="C2",-AA27*Données!$G$36*$H$10,0)))</f>
        <v>0</v>
      </c>
      <c r="AF27" s="478">
        <f t="shared" ca="1" si="8"/>
        <v>0</v>
      </c>
      <c r="AG27" s="477">
        <f t="shared" si="26"/>
        <v>7</v>
      </c>
      <c r="AH27" s="478">
        <f t="shared" si="27"/>
        <v>0</v>
      </c>
      <c r="AI27" s="478">
        <f t="shared" si="28"/>
        <v>0</v>
      </c>
      <c r="AJ27" s="493">
        <f t="shared" si="29"/>
        <v>0</v>
      </c>
      <c r="AK27" s="493">
        <f t="shared" ca="1" si="30"/>
        <v>0</v>
      </c>
      <c r="AL27" s="478">
        <f t="shared" ca="1" si="9"/>
        <v>0</v>
      </c>
      <c r="AM27" s="478">
        <f t="shared" ca="1" si="10"/>
        <v>0</v>
      </c>
      <c r="AN27" s="478">
        <f t="shared" si="31"/>
        <v>0</v>
      </c>
      <c r="AO27" s="478">
        <f t="shared" ca="1" si="11"/>
        <v>0</v>
      </c>
      <c r="AP27" s="478">
        <f>AN27*Données!$F$36</f>
        <v>0</v>
      </c>
      <c r="AQ27" s="478">
        <f>AN27*Données!$F$28</f>
        <v>0</v>
      </c>
      <c r="AR27" s="478">
        <f ca="1">IF(AO27=0,0,IF($E$7="C1",(AO27*$H$10),IF($E$7="C2",-AN27*Données!$G$36*$H$10,0)))</f>
        <v>0</v>
      </c>
      <c r="AS27" s="478">
        <f t="shared" ca="1" si="12"/>
        <v>0</v>
      </c>
      <c r="AT27" s="477">
        <f t="shared" si="32"/>
        <v>7</v>
      </c>
      <c r="AU27" s="478">
        <f t="shared" si="33"/>
        <v>0</v>
      </c>
      <c r="AV27" s="478">
        <f t="shared" si="34"/>
        <v>0</v>
      </c>
      <c r="AW27" s="493">
        <f t="shared" si="35"/>
        <v>0</v>
      </c>
      <c r="AX27" s="493">
        <f t="shared" si="36"/>
        <v>0</v>
      </c>
      <c r="AY27" s="478">
        <f t="shared" si="13"/>
        <v>0</v>
      </c>
    </row>
    <row r="28" spans="1:51">
      <c r="A28" s="477">
        <f t="shared" ca="1" si="14"/>
        <v>2034</v>
      </c>
      <c r="B28" s="478">
        <f t="shared" ca="1" si="15"/>
        <v>0</v>
      </c>
      <c r="C28" s="478">
        <f ca="1">IF(OR($C$7=Données!$H$51,$C$7=Données!$H$54,$C$7=Données!$H$55,$C$7=Données!$H$57),0,B28*$C$10)</f>
        <v>0</v>
      </c>
      <c r="D28" s="478">
        <f ca="1">IFERROR(IF($H$5="",B28*'CT à Transf'!$K$28,B28*$H$5),B28*$H$5)</f>
        <v>0</v>
      </c>
      <c r="E28" s="478">
        <f t="shared" ca="1" si="16"/>
        <v>0</v>
      </c>
      <c r="F28" s="478">
        <f t="shared" ca="1" si="1"/>
        <v>0</v>
      </c>
      <c r="G28" s="478">
        <f t="shared" ca="1" si="17"/>
        <v>0</v>
      </c>
      <c r="H28" s="478">
        <f t="shared" ca="1" si="2"/>
        <v>0</v>
      </c>
      <c r="J28" s="476"/>
      <c r="K28" s="477">
        <f t="shared" si="18"/>
        <v>8</v>
      </c>
      <c r="L28" s="478">
        <f t="shared" ca="1" si="0"/>
        <v>0</v>
      </c>
      <c r="M28" s="478">
        <f t="shared" ca="1" si="19"/>
        <v>0</v>
      </c>
      <c r="N28" s="478">
        <f ca="1">IF(OR($C$7=Données!$H$52,$C$7=Données!$H$53),(L28*$N$9)+((M28*$Q$8)*$Q$9),(L28+M28)*$N$8*$N$9)</f>
        <v>0</v>
      </c>
      <c r="O28" s="478">
        <f ca="1">IF(OR($C$7=Données!$H$52,$C$7=Données!$H$53),(L28*$H$10)+(M28*$Q$8*$H$10)-(M28*$Q$8*Données!$G$36*$H$10),((L28+M28)*$N$8*$H$10)-IF($K$8="Rente à titre onéreux imposable sur",(L28+M28)*$N$8*Données!$G$36*$H$10,(L28+M28)*$N$8*Données!$M$41*$H$10))</f>
        <v>0</v>
      </c>
      <c r="P28" s="478">
        <f t="shared" ca="1" si="3"/>
        <v>0</v>
      </c>
      <c r="Q28" s="478">
        <f t="shared" ca="1" si="20"/>
        <v>0</v>
      </c>
      <c r="S28" s="476"/>
      <c r="T28" s="477">
        <f t="shared" si="21"/>
        <v>8</v>
      </c>
      <c r="U28" s="478">
        <f t="shared" ca="1" si="22"/>
        <v>0</v>
      </c>
      <c r="V28" s="478">
        <f t="shared" ca="1" si="4"/>
        <v>0</v>
      </c>
      <c r="W28" s="493">
        <f t="shared" ca="1" si="23"/>
        <v>0</v>
      </c>
      <c r="X28" s="493">
        <f t="shared" ca="1" si="24"/>
        <v>0</v>
      </c>
      <c r="Y28" s="478">
        <f t="shared" ca="1" si="5"/>
        <v>0</v>
      </c>
      <c r="Z28" s="504">
        <f t="shared" ca="1" si="25"/>
        <v>0</v>
      </c>
      <c r="AA28" s="478">
        <f t="shared" ca="1" si="6"/>
        <v>0</v>
      </c>
      <c r="AB28" s="478">
        <f t="shared" ca="1" si="7"/>
        <v>0</v>
      </c>
      <c r="AC28" s="478">
        <f ca="1">AA28*Données!$F$36</f>
        <v>0</v>
      </c>
      <c r="AD28" s="478">
        <f ca="1">AA28*Données!$F$28</f>
        <v>0</v>
      </c>
      <c r="AE28" s="478">
        <f ca="1">IF(AB28=0,0,IF($E$7="C1",(AB28*$H$10),IF($E$7="C2",-AA28*Données!$G$36*$H$10,0)))</f>
        <v>0</v>
      </c>
      <c r="AF28" s="478">
        <f t="shared" ca="1" si="8"/>
        <v>0</v>
      </c>
      <c r="AG28" s="477">
        <f t="shared" si="26"/>
        <v>8</v>
      </c>
      <c r="AH28" s="478">
        <f t="shared" si="27"/>
        <v>0</v>
      </c>
      <c r="AI28" s="478">
        <f t="shared" si="28"/>
        <v>0</v>
      </c>
      <c r="AJ28" s="493">
        <f t="shared" si="29"/>
        <v>0</v>
      </c>
      <c r="AK28" s="493">
        <f t="shared" ca="1" si="30"/>
        <v>0</v>
      </c>
      <c r="AL28" s="478">
        <f t="shared" ca="1" si="9"/>
        <v>0</v>
      </c>
      <c r="AM28" s="478">
        <f t="shared" ca="1" si="10"/>
        <v>0</v>
      </c>
      <c r="AN28" s="478">
        <f t="shared" si="31"/>
        <v>0</v>
      </c>
      <c r="AO28" s="478">
        <f t="shared" ca="1" si="11"/>
        <v>0</v>
      </c>
      <c r="AP28" s="478">
        <f>AN28*Données!$F$36</f>
        <v>0</v>
      </c>
      <c r="AQ28" s="478">
        <f>AN28*Données!$F$28</f>
        <v>0</v>
      </c>
      <c r="AR28" s="478">
        <f ca="1">IF(AO28=0,0,IF($E$7="C1",(AO28*$H$10),IF($E$7="C2",-AN28*Données!$G$36*$H$10,0)))</f>
        <v>0</v>
      </c>
      <c r="AS28" s="478">
        <f t="shared" ca="1" si="12"/>
        <v>0</v>
      </c>
      <c r="AT28" s="477">
        <f t="shared" si="32"/>
        <v>8</v>
      </c>
      <c r="AU28" s="478">
        <f t="shared" si="33"/>
        <v>0</v>
      </c>
      <c r="AV28" s="478">
        <f t="shared" si="34"/>
        <v>0</v>
      </c>
      <c r="AW28" s="493">
        <f t="shared" si="35"/>
        <v>0</v>
      </c>
      <c r="AX28" s="493">
        <f t="shared" si="36"/>
        <v>0</v>
      </c>
      <c r="AY28" s="478">
        <f t="shared" si="13"/>
        <v>0</v>
      </c>
    </row>
    <row r="29" spans="1:51">
      <c r="A29" s="477">
        <f t="shared" ca="1" si="14"/>
        <v>2035</v>
      </c>
      <c r="B29" s="478">
        <f t="shared" ca="1" si="15"/>
        <v>0</v>
      </c>
      <c r="C29" s="478">
        <f ca="1">IF(OR($C$7=Données!$H$51,$C$7=Données!$H$54,$C$7=Données!$H$55,$C$7=Données!$H$57),0,B29*$C$10)</f>
        <v>0</v>
      </c>
      <c r="D29" s="478">
        <f ca="1">IFERROR(IF($H$5="",B29*'CT à Transf'!$K$28,B29*$H$5),B29*$H$5)</f>
        <v>0</v>
      </c>
      <c r="E29" s="478">
        <f t="shared" ca="1" si="16"/>
        <v>0</v>
      </c>
      <c r="F29" s="478">
        <f t="shared" ca="1" si="1"/>
        <v>0</v>
      </c>
      <c r="G29" s="478">
        <f t="shared" ca="1" si="17"/>
        <v>0</v>
      </c>
      <c r="H29" s="478">
        <f t="shared" ca="1" si="2"/>
        <v>0</v>
      </c>
      <c r="J29" s="476"/>
      <c r="K29" s="477">
        <f t="shared" si="18"/>
        <v>9</v>
      </c>
      <c r="L29" s="478">
        <f t="shared" ca="1" si="0"/>
        <v>0</v>
      </c>
      <c r="M29" s="478">
        <f t="shared" ca="1" si="19"/>
        <v>0</v>
      </c>
      <c r="N29" s="478">
        <f ca="1">IF(OR($C$7=Données!$H$52,$C$7=Données!$H$53),(L29*$N$9)+((M29*$Q$8)*$Q$9),(L29+M29)*$N$8*$N$9)</f>
        <v>0</v>
      </c>
      <c r="O29" s="478">
        <f ca="1">IF(OR($C$7=Données!$H$52,$C$7=Données!$H$53),(L29*$H$10)+(M29*$Q$8*$H$10)-(M29*$Q$8*Données!$G$36*$H$10),((L29+M29)*$N$8*$H$10)-IF($K$8="Rente à titre onéreux imposable sur",(L29+M29)*$N$8*Données!$G$36*$H$10,(L29+M29)*$N$8*Données!$M$41*$H$10))</f>
        <v>0</v>
      </c>
      <c r="P29" s="478">
        <f t="shared" ca="1" si="3"/>
        <v>0</v>
      </c>
      <c r="Q29" s="478">
        <f t="shared" ca="1" si="20"/>
        <v>0</v>
      </c>
      <c r="S29" s="476"/>
      <c r="T29" s="477">
        <f t="shared" si="21"/>
        <v>9</v>
      </c>
      <c r="U29" s="478">
        <f t="shared" ca="1" si="22"/>
        <v>0</v>
      </c>
      <c r="V29" s="478">
        <f t="shared" ca="1" si="4"/>
        <v>0</v>
      </c>
      <c r="W29" s="493">
        <f t="shared" ca="1" si="23"/>
        <v>0</v>
      </c>
      <c r="X29" s="493">
        <f t="shared" ca="1" si="24"/>
        <v>0</v>
      </c>
      <c r="Y29" s="478">
        <f t="shared" ca="1" si="5"/>
        <v>0</v>
      </c>
      <c r="Z29" s="504">
        <f t="shared" ca="1" si="25"/>
        <v>0</v>
      </c>
      <c r="AA29" s="478">
        <f t="shared" ca="1" si="6"/>
        <v>0</v>
      </c>
      <c r="AB29" s="478">
        <f t="shared" ca="1" si="7"/>
        <v>0</v>
      </c>
      <c r="AC29" s="478">
        <f ca="1">AA29*Données!$F$36</f>
        <v>0</v>
      </c>
      <c r="AD29" s="478">
        <f ca="1">AA29*Données!$F$28</f>
        <v>0</v>
      </c>
      <c r="AE29" s="478">
        <f ca="1">IF(AB29=0,0,IF($E$7="C1",(AB29*$H$10),IF($E$7="C2",-AA29*Données!$G$36*$H$10,0)))</f>
        <v>0</v>
      </c>
      <c r="AF29" s="478">
        <f t="shared" ca="1" si="8"/>
        <v>0</v>
      </c>
      <c r="AG29" s="477">
        <f t="shared" si="26"/>
        <v>9</v>
      </c>
      <c r="AH29" s="478">
        <f t="shared" si="27"/>
        <v>0</v>
      </c>
      <c r="AI29" s="478">
        <f t="shared" si="28"/>
        <v>0</v>
      </c>
      <c r="AJ29" s="493">
        <f t="shared" si="29"/>
        <v>0</v>
      </c>
      <c r="AK29" s="493">
        <f t="shared" ca="1" si="30"/>
        <v>0</v>
      </c>
      <c r="AL29" s="478">
        <f t="shared" ca="1" si="9"/>
        <v>0</v>
      </c>
      <c r="AM29" s="478">
        <f t="shared" ca="1" si="10"/>
        <v>0</v>
      </c>
      <c r="AN29" s="478">
        <f t="shared" si="31"/>
        <v>0</v>
      </c>
      <c r="AO29" s="478">
        <f t="shared" ca="1" si="11"/>
        <v>0</v>
      </c>
      <c r="AP29" s="478">
        <f>AN29*Données!$F$36</f>
        <v>0</v>
      </c>
      <c r="AQ29" s="478">
        <f>AN29*Données!$F$28</f>
        <v>0</v>
      </c>
      <c r="AR29" s="478">
        <f ca="1">IF(AO29=0,0,IF($E$7="C1",(AO29*$H$10),IF($E$7="C2",-AN29*Données!$G$36*$H$10,0)))</f>
        <v>0</v>
      </c>
      <c r="AS29" s="478">
        <f t="shared" ca="1" si="12"/>
        <v>0</v>
      </c>
      <c r="AT29" s="477">
        <f t="shared" si="32"/>
        <v>9</v>
      </c>
      <c r="AU29" s="478">
        <f t="shared" si="33"/>
        <v>0</v>
      </c>
      <c r="AV29" s="478">
        <f t="shared" si="34"/>
        <v>0</v>
      </c>
      <c r="AW29" s="493">
        <f t="shared" si="35"/>
        <v>0</v>
      </c>
      <c r="AX29" s="493">
        <f t="shared" si="36"/>
        <v>0</v>
      </c>
      <c r="AY29" s="478">
        <f t="shared" si="13"/>
        <v>0</v>
      </c>
    </row>
    <row r="30" spans="1:51">
      <c r="A30" s="477">
        <f t="shared" ca="1" si="14"/>
        <v>2036</v>
      </c>
      <c r="B30" s="478">
        <f t="shared" ca="1" si="15"/>
        <v>0</v>
      </c>
      <c r="C30" s="478">
        <f ca="1">IF(OR($C$7=Données!$H$51,$C$7=Données!$H$54,$C$7=Données!$H$55,$C$7=Données!$H$57),0,B30*$C$10)</f>
        <v>0</v>
      </c>
      <c r="D30" s="478">
        <f ca="1">IFERROR(IF($H$5="",B30*'CT à Transf'!$K$28,B30*$H$5),B30*$H$5)</f>
        <v>0</v>
      </c>
      <c r="E30" s="478">
        <f t="shared" ca="1" si="16"/>
        <v>0</v>
      </c>
      <c r="F30" s="478">
        <f t="shared" ca="1" si="1"/>
        <v>0</v>
      </c>
      <c r="G30" s="478">
        <f t="shared" ca="1" si="17"/>
        <v>0</v>
      </c>
      <c r="H30" s="478">
        <f t="shared" ca="1" si="2"/>
        <v>0</v>
      </c>
      <c r="J30" s="476"/>
      <c r="K30" s="477">
        <f t="shared" si="18"/>
        <v>10</v>
      </c>
      <c r="L30" s="478">
        <f t="shared" ca="1" si="0"/>
        <v>0</v>
      </c>
      <c r="M30" s="478">
        <f t="shared" ca="1" si="19"/>
        <v>0</v>
      </c>
      <c r="N30" s="478">
        <f ca="1">IF(OR($C$7=Données!$H$52,$C$7=Données!$H$53),(L30*$N$9)+((M30*$Q$8)*$Q$9),(L30+M30)*$N$8*$N$9)</f>
        <v>0</v>
      </c>
      <c r="O30" s="478">
        <f ca="1">IF(OR($C$7=Données!$H$52,$C$7=Données!$H$53),(L30*$H$10)+(M30*$Q$8*$H$10)-(M30*$Q$8*Données!$G$36*$H$10),((L30+M30)*$N$8*$H$10)-IF($K$8="Rente à titre onéreux imposable sur",(L30+M30)*$N$8*Données!$G$36*$H$10,(L30+M30)*$N$8*Données!$M$41*$H$10))</f>
        <v>0</v>
      </c>
      <c r="P30" s="478">
        <f t="shared" ca="1" si="3"/>
        <v>0</v>
      </c>
      <c r="Q30" s="478">
        <f t="shared" ca="1" si="20"/>
        <v>0</v>
      </c>
      <c r="S30" s="476"/>
      <c r="T30" s="477">
        <f t="shared" si="21"/>
        <v>10</v>
      </c>
      <c r="U30" s="478">
        <f t="shared" ca="1" si="22"/>
        <v>0</v>
      </c>
      <c r="V30" s="478">
        <f t="shared" ca="1" si="4"/>
        <v>0</v>
      </c>
      <c r="W30" s="493">
        <f t="shared" ca="1" si="23"/>
        <v>0</v>
      </c>
      <c r="X30" s="493">
        <f t="shared" ca="1" si="24"/>
        <v>0</v>
      </c>
      <c r="Y30" s="478">
        <f t="shared" ca="1" si="5"/>
        <v>0</v>
      </c>
      <c r="Z30" s="504">
        <f t="shared" ca="1" si="25"/>
        <v>0</v>
      </c>
      <c r="AA30" s="478">
        <f t="shared" ca="1" si="6"/>
        <v>0</v>
      </c>
      <c r="AB30" s="478">
        <f t="shared" ca="1" si="7"/>
        <v>0</v>
      </c>
      <c r="AC30" s="478">
        <f ca="1">AA30*Données!$F$36</f>
        <v>0</v>
      </c>
      <c r="AD30" s="478">
        <f ca="1">AA30*Données!$F$28</f>
        <v>0</v>
      </c>
      <c r="AE30" s="478">
        <f ca="1">IF(AB30=0,0,IF($E$7="C1",(AB30*$H$10),IF($E$7="C2",-AA30*Données!$G$36*$H$10,0)))</f>
        <v>0</v>
      </c>
      <c r="AF30" s="478">
        <f t="shared" ca="1" si="8"/>
        <v>0</v>
      </c>
      <c r="AG30" s="477">
        <f t="shared" si="26"/>
        <v>10</v>
      </c>
      <c r="AH30" s="478">
        <f t="shared" si="27"/>
        <v>0</v>
      </c>
      <c r="AI30" s="478">
        <f t="shared" si="28"/>
        <v>0</v>
      </c>
      <c r="AJ30" s="493">
        <f t="shared" si="29"/>
        <v>0</v>
      </c>
      <c r="AK30" s="493">
        <f t="shared" ca="1" si="30"/>
        <v>0</v>
      </c>
      <c r="AL30" s="478">
        <f t="shared" ca="1" si="9"/>
        <v>0</v>
      </c>
      <c r="AM30" s="478">
        <f t="shared" ca="1" si="10"/>
        <v>0</v>
      </c>
      <c r="AN30" s="478">
        <f t="shared" si="31"/>
        <v>0</v>
      </c>
      <c r="AO30" s="478">
        <f t="shared" ca="1" si="11"/>
        <v>0</v>
      </c>
      <c r="AP30" s="478">
        <f>AN30*Données!$F$36</f>
        <v>0</v>
      </c>
      <c r="AQ30" s="478">
        <f>AN30*Données!$F$28</f>
        <v>0</v>
      </c>
      <c r="AR30" s="478">
        <f ca="1">IF(AO30=0,0,IF($E$7="C1",(AO30*$H$10),IF($E$7="C2",-AN30*Données!$G$36*$H$10,0)))</f>
        <v>0</v>
      </c>
      <c r="AS30" s="478">
        <f t="shared" ca="1" si="12"/>
        <v>0</v>
      </c>
      <c r="AT30" s="477">
        <f t="shared" si="32"/>
        <v>10</v>
      </c>
      <c r="AU30" s="478">
        <f t="shared" si="33"/>
        <v>0</v>
      </c>
      <c r="AV30" s="478">
        <f t="shared" si="34"/>
        <v>0</v>
      </c>
      <c r="AW30" s="493">
        <f t="shared" si="35"/>
        <v>0</v>
      </c>
      <c r="AX30" s="493">
        <f t="shared" si="36"/>
        <v>0</v>
      </c>
      <c r="AY30" s="478">
        <f t="shared" si="13"/>
        <v>0</v>
      </c>
    </row>
    <row r="31" spans="1:51">
      <c r="A31" s="477">
        <f t="shared" ca="1" si="14"/>
        <v>2037</v>
      </c>
      <c r="B31" s="478">
        <f t="shared" ca="1" si="15"/>
        <v>0</v>
      </c>
      <c r="C31" s="478">
        <f ca="1">IF(OR($C$7=Données!$H$51,$C$7=Données!$H$54,$C$7=Données!$H$55,$C$7=Données!$H$57),0,B31*$C$10)</f>
        <v>0</v>
      </c>
      <c r="D31" s="478">
        <f ca="1">IFERROR(IF($H$5="",B31*'CT à Transf'!$K$28,B31*$H$5),B31*$H$5)</f>
        <v>0</v>
      </c>
      <c r="E31" s="478">
        <f t="shared" ca="1" si="16"/>
        <v>0</v>
      </c>
      <c r="F31" s="478">
        <f t="shared" ca="1" si="1"/>
        <v>0</v>
      </c>
      <c r="G31" s="478">
        <f t="shared" ca="1" si="17"/>
        <v>0</v>
      </c>
      <c r="H31" s="478">
        <f t="shared" ca="1" si="2"/>
        <v>0</v>
      </c>
      <c r="J31" s="476"/>
      <c r="K31" s="477">
        <f t="shared" si="18"/>
        <v>11</v>
      </c>
      <c r="L31" s="478">
        <f t="shared" ca="1" si="0"/>
        <v>0</v>
      </c>
      <c r="M31" s="478">
        <f t="shared" ca="1" si="19"/>
        <v>0</v>
      </c>
      <c r="N31" s="478">
        <f ca="1">IF(OR($C$7=Données!$H$52,$C$7=Données!$H$53),(L31*$N$9)+((M31*$Q$8)*$Q$9),(L31+M31)*$N$8*$N$9)</f>
        <v>0</v>
      </c>
      <c r="O31" s="478">
        <f ca="1">IF(OR($C$7=Données!$H$52,$C$7=Données!$H$53),(L31*$H$10)+(M31*$Q$8*$H$10)-(M31*$Q$8*Données!$G$36*$H$10),((L31+M31)*$N$8*$H$10)-IF($K$8="Rente à titre onéreux imposable sur",(L31+M31)*$N$8*Données!$G$36*$H$10,(L31+M31)*$N$8*Données!$M$41*$H$10))</f>
        <v>0</v>
      </c>
      <c r="P31" s="478">
        <f t="shared" ca="1" si="3"/>
        <v>0</v>
      </c>
      <c r="Q31" s="478">
        <f t="shared" ca="1" si="20"/>
        <v>0</v>
      </c>
      <c r="S31" s="476"/>
      <c r="T31" s="477">
        <f t="shared" si="21"/>
        <v>11</v>
      </c>
      <c r="U31" s="478">
        <f t="shared" ca="1" si="22"/>
        <v>0</v>
      </c>
      <c r="V31" s="478">
        <f t="shared" ca="1" si="4"/>
        <v>0</v>
      </c>
      <c r="W31" s="493">
        <f t="shared" ca="1" si="23"/>
        <v>0</v>
      </c>
      <c r="X31" s="493">
        <f t="shared" ca="1" si="24"/>
        <v>0</v>
      </c>
      <c r="Y31" s="478">
        <f t="shared" ca="1" si="5"/>
        <v>0</v>
      </c>
      <c r="Z31" s="504">
        <f t="shared" ca="1" si="25"/>
        <v>0</v>
      </c>
      <c r="AA31" s="478">
        <f t="shared" ca="1" si="6"/>
        <v>0</v>
      </c>
      <c r="AB31" s="478">
        <f t="shared" ca="1" si="7"/>
        <v>0</v>
      </c>
      <c r="AC31" s="478">
        <f ca="1">AA31*Données!$F$36</f>
        <v>0</v>
      </c>
      <c r="AD31" s="478">
        <f ca="1">AA31*Données!$F$28</f>
        <v>0</v>
      </c>
      <c r="AE31" s="478">
        <f ca="1">IF(AB31=0,0,IF($E$7="C1",(AB31*$H$10),IF($E$7="C2",-AA31*Données!$G$36*$H$10,0)))</f>
        <v>0</v>
      </c>
      <c r="AF31" s="478">
        <f t="shared" ca="1" si="8"/>
        <v>0</v>
      </c>
      <c r="AG31" s="477">
        <f t="shared" si="26"/>
        <v>11</v>
      </c>
      <c r="AH31" s="478">
        <f t="shared" si="27"/>
        <v>0</v>
      </c>
      <c r="AI31" s="478">
        <f t="shared" si="28"/>
        <v>0</v>
      </c>
      <c r="AJ31" s="493">
        <f t="shared" si="29"/>
        <v>0</v>
      </c>
      <c r="AK31" s="493">
        <f t="shared" ca="1" si="30"/>
        <v>0</v>
      </c>
      <c r="AL31" s="478">
        <f t="shared" ca="1" si="9"/>
        <v>0</v>
      </c>
      <c r="AM31" s="478">
        <f t="shared" ca="1" si="10"/>
        <v>0</v>
      </c>
      <c r="AN31" s="478">
        <f t="shared" si="31"/>
        <v>0</v>
      </c>
      <c r="AO31" s="478">
        <f t="shared" ca="1" si="11"/>
        <v>0</v>
      </c>
      <c r="AP31" s="478">
        <f>AN31*Données!$F$36</f>
        <v>0</v>
      </c>
      <c r="AQ31" s="478">
        <f>AN31*Données!$F$28</f>
        <v>0</v>
      </c>
      <c r="AR31" s="478">
        <f ca="1">IF(AO31=0,0,IF($E$7="C1",(AO31*$H$10),IF($E$7="C2",-AN31*Données!$G$36*$H$10,0)))</f>
        <v>0</v>
      </c>
      <c r="AS31" s="478">
        <f t="shared" ca="1" si="12"/>
        <v>0</v>
      </c>
      <c r="AT31" s="477">
        <f t="shared" si="32"/>
        <v>11</v>
      </c>
      <c r="AU31" s="478">
        <f t="shared" si="33"/>
        <v>0</v>
      </c>
      <c r="AV31" s="478">
        <f t="shared" si="34"/>
        <v>0</v>
      </c>
      <c r="AW31" s="493">
        <f t="shared" si="35"/>
        <v>0</v>
      </c>
      <c r="AX31" s="493">
        <f t="shared" si="36"/>
        <v>0</v>
      </c>
      <c r="AY31" s="478">
        <f t="shared" si="13"/>
        <v>0</v>
      </c>
    </row>
    <row r="32" spans="1:51">
      <c r="A32" s="477">
        <f t="shared" ca="1" si="14"/>
        <v>2038</v>
      </c>
      <c r="B32" s="478">
        <f t="shared" ca="1" si="15"/>
        <v>0</v>
      </c>
      <c r="C32" s="478">
        <f ca="1">IF(OR($C$7=Données!$H$51,$C$7=Données!$H$54,$C$7=Données!$H$55,$C$7=Données!$H$57),0,B32*$C$10)</f>
        <v>0</v>
      </c>
      <c r="D32" s="478">
        <f ca="1">IFERROR(IF($H$5="",B32*'CT à Transf'!$K$28,B32*$H$5),B32*$H$5)</f>
        <v>0</v>
      </c>
      <c r="E32" s="478">
        <f t="shared" ca="1" si="16"/>
        <v>0</v>
      </c>
      <c r="F32" s="478">
        <f t="shared" ca="1" si="1"/>
        <v>0</v>
      </c>
      <c r="G32" s="478">
        <f t="shared" ca="1" si="17"/>
        <v>0</v>
      </c>
      <c r="H32" s="478">
        <f t="shared" ca="1" si="2"/>
        <v>0</v>
      </c>
      <c r="J32" s="476"/>
      <c r="K32" s="477">
        <f t="shared" si="18"/>
        <v>12</v>
      </c>
      <c r="L32" s="478">
        <f t="shared" ca="1" si="0"/>
        <v>0</v>
      </c>
      <c r="M32" s="478">
        <f t="shared" ca="1" si="19"/>
        <v>0</v>
      </c>
      <c r="N32" s="478">
        <f ca="1">IF(OR($C$7=Données!$H$52,$C$7=Données!$H$53),(L32*$N$9)+((M32*$Q$8)*$Q$9),(L32+M32)*$N$8*$N$9)</f>
        <v>0</v>
      </c>
      <c r="O32" s="478">
        <f ca="1">IF(OR($C$7=Données!$H$52,$C$7=Données!$H$53),(L32*$H$10)+(M32*$Q$8*$H$10)-(M32*$Q$8*Données!$G$36*$H$10),((L32+M32)*$N$8*$H$10)-IF($K$8="Rente à titre onéreux imposable sur",(L32+M32)*$N$8*Données!$G$36*$H$10,(L32+M32)*$N$8*Données!$M$41*$H$10))</f>
        <v>0</v>
      </c>
      <c r="P32" s="478">
        <f t="shared" ca="1" si="3"/>
        <v>0</v>
      </c>
      <c r="Q32" s="478">
        <f t="shared" ca="1" si="20"/>
        <v>0</v>
      </c>
      <c r="S32" s="476"/>
      <c r="T32" s="477">
        <f t="shared" si="21"/>
        <v>12</v>
      </c>
      <c r="U32" s="478">
        <f t="shared" ca="1" si="22"/>
        <v>0</v>
      </c>
      <c r="V32" s="478">
        <f t="shared" ca="1" si="4"/>
        <v>0</v>
      </c>
      <c r="W32" s="493">
        <f t="shared" ca="1" si="23"/>
        <v>0</v>
      </c>
      <c r="X32" s="493">
        <f t="shared" ca="1" si="24"/>
        <v>0</v>
      </c>
      <c r="Y32" s="478">
        <f t="shared" ca="1" si="5"/>
        <v>0</v>
      </c>
      <c r="Z32" s="504">
        <f t="shared" ca="1" si="25"/>
        <v>0</v>
      </c>
      <c r="AA32" s="478">
        <f t="shared" ca="1" si="6"/>
        <v>0</v>
      </c>
      <c r="AB32" s="478">
        <f t="shared" ca="1" si="7"/>
        <v>0</v>
      </c>
      <c r="AC32" s="478">
        <f ca="1">AA32*Données!$F$36</f>
        <v>0</v>
      </c>
      <c r="AD32" s="478">
        <f ca="1">AA32*Données!$F$28</f>
        <v>0</v>
      </c>
      <c r="AE32" s="478">
        <f ca="1">IF(AB32=0,0,IF($E$7="C1",(AB32*$H$10),IF($E$7="C2",-AA32*Données!$G$36*$H$10,0)))</f>
        <v>0</v>
      </c>
      <c r="AF32" s="478">
        <f t="shared" ca="1" si="8"/>
        <v>0</v>
      </c>
      <c r="AG32" s="477">
        <f t="shared" si="26"/>
        <v>12</v>
      </c>
      <c r="AH32" s="478">
        <f t="shared" si="27"/>
        <v>0</v>
      </c>
      <c r="AI32" s="478">
        <f t="shared" si="28"/>
        <v>0</v>
      </c>
      <c r="AJ32" s="493">
        <f t="shared" si="29"/>
        <v>0</v>
      </c>
      <c r="AK32" s="493">
        <f t="shared" ca="1" si="30"/>
        <v>0</v>
      </c>
      <c r="AL32" s="478">
        <f t="shared" ca="1" si="9"/>
        <v>0</v>
      </c>
      <c r="AM32" s="478">
        <f t="shared" ca="1" si="10"/>
        <v>0</v>
      </c>
      <c r="AN32" s="478">
        <f t="shared" si="31"/>
        <v>0</v>
      </c>
      <c r="AO32" s="478">
        <f t="shared" ca="1" si="11"/>
        <v>0</v>
      </c>
      <c r="AP32" s="478">
        <f>AN32*Données!$F$36</f>
        <v>0</v>
      </c>
      <c r="AQ32" s="478">
        <f>AN32*Données!$F$28</f>
        <v>0</v>
      </c>
      <c r="AR32" s="478">
        <f ca="1">IF(AO32=0,0,IF($E$7="C1",(AO32*$H$10),IF($E$7="C2",-AN32*Données!$G$36*$H$10,0)))</f>
        <v>0</v>
      </c>
      <c r="AS32" s="478">
        <f t="shared" ca="1" si="12"/>
        <v>0</v>
      </c>
      <c r="AT32" s="477">
        <f t="shared" si="32"/>
        <v>12</v>
      </c>
      <c r="AU32" s="478">
        <f t="shared" si="33"/>
        <v>0</v>
      </c>
      <c r="AV32" s="478">
        <f t="shared" si="34"/>
        <v>0</v>
      </c>
      <c r="AW32" s="493">
        <f t="shared" si="35"/>
        <v>0</v>
      </c>
      <c r="AX32" s="493">
        <f t="shared" si="36"/>
        <v>0</v>
      </c>
      <c r="AY32" s="478">
        <f t="shared" si="13"/>
        <v>0</v>
      </c>
    </row>
    <row r="33" spans="1:51">
      <c r="A33" s="477">
        <f t="shared" ca="1" si="14"/>
        <v>2039</v>
      </c>
      <c r="B33" s="478">
        <f t="shared" ca="1" si="15"/>
        <v>0</v>
      </c>
      <c r="C33" s="478">
        <f ca="1">IF(OR($C$7=Données!$H$51,$C$7=Données!$H$54,$C$7=Données!$H$55,$C$7=Données!$H$57),0,B33*$C$10)</f>
        <v>0</v>
      </c>
      <c r="D33" s="478">
        <f ca="1">IFERROR(IF($H$5="",B33*'CT à Transf'!$K$28,B33*$H$5),B33*$H$5)</f>
        <v>0</v>
      </c>
      <c r="E33" s="478">
        <f t="shared" ca="1" si="16"/>
        <v>0</v>
      </c>
      <c r="F33" s="478">
        <f t="shared" ca="1" si="1"/>
        <v>0</v>
      </c>
      <c r="G33" s="478">
        <f t="shared" ca="1" si="17"/>
        <v>0</v>
      </c>
      <c r="H33" s="478">
        <f t="shared" ca="1" si="2"/>
        <v>0</v>
      </c>
      <c r="J33" s="476"/>
      <c r="K33" s="477">
        <f t="shared" si="18"/>
        <v>13</v>
      </c>
      <c r="L33" s="478">
        <f t="shared" ca="1" si="0"/>
        <v>0</v>
      </c>
      <c r="M33" s="478">
        <f t="shared" ca="1" si="19"/>
        <v>0</v>
      </c>
      <c r="N33" s="478">
        <f ca="1">IF(OR($C$7=Données!$H$52,$C$7=Données!$H$53),(L33*$N$9)+((M33*$Q$8)*$Q$9),(L33+M33)*$N$8*$N$9)</f>
        <v>0</v>
      </c>
      <c r="O33" s="478">
        <f ca="1">IF(OR($C$7=Données!$H$52,$C$7=Données!$H$53),(L33*$H$10)+(M33*$Q$8*$H$10)-(M33*$Q$8*Données!$G$36*$H$10),((L33+M33)*$N$8*$H$10)-IF($K$8="Rente à titre onéreux imposable sur",(L33+M33)*$N$8*Données!$G$36*$H$10,(L33+M33)*$N$8*Données!$M$41*$H$10))</f>
        <v>0</v>
      </c>
      <c r="P33" s="478">
        <f t="shared" ca="1" si="3"/>
        <v>0</v>
      </c>
      <c r="Q33" s="478">
        <f t="shared" ca="1" si="20"/>
        <v>0</v>
      </c>
      <c r="S33" s="476"/>
      <c r="T33" s="477">
        <f t="shared" si="21"/>
        <v>13</v>
      </c>
      <c r="U33" s="478">
        <f t="shared" ca="1" si="22"/>
        <v>0</v>
      </c>
      <c r="V33" s="478">
        <f t="shared" ca="1" si="4"/>
        <v>0</v>
      </c>
      <c r="W33" s="493">
        <f t="shared" ca="1" si="23"/>
        <v>0</v>
      </c>
      <c r="X33" s="493">
        <f t="shared" ca="1" si="24"/>
        <v>0</v>
      </c>
      <c r="Y33" s="478">
        <f t="shared" ca="1" si="5"/>
        <v>0</v>
      </c>
      <c r="Z33" s="504">
        <f t="shared" ca="1" si="25"/>
        <v>0</v>
      </c>
      <c r="AA33" s="478">
        <f t="shared" ca="1" si="6"/>
        <v>0</v>
      </c>
      <c r="AB33" s="478">
        <f t="shared" ca="1" si="7"/>
        <v>0</v>
      </c>
      <c r="AC33" s="478">
        <f ca="1">AA33*Données!$F$36</f>
        <v>0</v>
      </c>
      <c r="AD33" s="478">
        <f ca="1">AA33*Données!$F$28</f>
        <v>0</v>
      </c>
      <c r="AE33" s="478">
        <f ca="1">IF(AB33=0,0,IF($E$7="C1",(AB33*$H$10),IF($E$7="C2",-AA33*Données!$G$36*$H$10,0)))</f>
        <v>0</v>
      </c>
      <c r="AF33" s="478">
        <f t="shared" ca="1" si="8"/>
        <v>0</v>
      </c>
      <c r="AG33" s="477">
        <f t="shared" si="26"/>
        <v>13</v>
      </c>
      <c r="AH33" s="478">
        <f t="shared" si="27"/>
        <v>0</v>
      </c>
      <c r="AI33" s="478">
        <f t="shared" si="28"/>
        <v>0</v>
      </c>
      <c r="AJ33" s="493">
        <f t="shared" si="29"/>
        <v>0</v>
      </c>
      <c r="AK33" s="493">
        <f t="shared" ca="1" si="30"/>
        <v>0</v>
      </c>
      <c r="AL33" s="478">
        <f t="shared" ca="1" si="9"/>
        <v>0</v>
      </c>
      <c r="AM33" s="478">
        <f t="shared" ca="1" si="10"/>
        <v>0</v>
      </c>
      <c r="AN33" s="478">
        <f t="shared" si="31"/>
        <v>0</v>
      </c>
      <c r="AO33" s="478">
        <f t="shared" ca="1" si="11"/>
        <v>0</v>
      </c>
      <c r="AP33" s="478">
        <f>AN33*Données!$F$36</f>
        <v>0</v>
      </c>
      <c r="AQ33" s="478">
        <f>AN33*Données!$F$28</f>
        <v>0</v>
      </c>
      <c r="AR33" s="478">
        <f ca="1">IF(AO33=0,0,IF($E$7="C1",(AO33*$H$10),IF($E$7="C2",-AN33*Données!$G$36*$H$10,0)))</f>
        <v>0</v>
      </c>
      <c r="AS33" s="478">
        <f t="shared" ca="1" si="12"/>
        <v>0</v>
      </c>
      <c r="AT33" s="477">
        <f t="shared" si="32"/>
        <v>13</v>
      </c>
      <c r="AU33" s="478">
        <f t="shared" si="33"/>
        <v>0</v>
      </c>
      <c r="AV33" s="478">
        <f t="shared" si="34"/>
        <v>0</v>
      </c>
      <c r="AW33" s="493">
        <f t="shared" si="35"/>
        <v>0</v>
      </c>
      <c r="AX33" s="493">
        <f t="shared" si="36"/>
        <v>0</v>
      </c>
      <c r="AY33" s="478">
        <f t="shared" si="13"/>
        <v>0</v>
      </c>
    </row>
    <row r="34" spans="1:51">
      <c r="A34" s="477">
        <f t="shared" ca="1" si="14"/>
        <v>2040</v>
      </c>
      <c r="B34" s="478">
        <f t="shared" ca="1" si="15"/>
        <v>0</v>
      </c>
      <c r="C34" s="478">
        <f ca="1">IF(OR($C$7=Données!$H$51,$C$7=Données!$H$54,$C$7=Données!$H$55,$C$7=Données!$H$57),0,B34*$C$10)</f>
        <v>0</v>
      </c>
      <c r="D34" s="478">
        <f ca="1">IFERROR(IF($H$5="",B34*'CT à Transf'!$K$28,B34*$H$5),B34*$H$5)</f>
        <v>0</v>
      </c>
      <c r="E34" s="478">
        <f t="shared" ca="1" si="16"/>
        <v>0</v>
      </c>
      <c r="F34" s="478">
        <f t="shared" ca="1" si="1"/>
        <v>0</v>
      </c>
      <c r="G34" s="478">
        <f t="shared" ca="1" si="17"/>
        <v>0</v>
      </c>
      <c r="H34" s="478">
        <f t="shared" ca="1" si="2"/>
        <v>0</v>
      </c>
      <c r="J34" s="476"/>
      <c r="K34" s="477">
        <f t="shared" si="18"/>
        <v>14</v>
      </c>
      <c r="L34" s="478">
        <f t="shared" ca="1" si="0"/>
        <v>0</v>
      </c>
      <c r="M34" s="478">
        <f t="shared" ca="1" si="19"/>
        <v>0</v>
      </c>
      <c r="N34" s="478">
        <f ca="1">IF(OR($C$7=Données!$H$52,$C$7=Données!$H$53),(L34*$N$9)+((M34*$Q$8)*$Q$9),(L34+M34)*$N$8*$N$9)</f>
        <v>0</v>
      </c>
      <c r="O34" s="478">
        <f ca="1">IF(OR($C$7=Données!$H$52,$C$7=Données!$H$53),(L34*$H$10)+(M34*$Q$8*$H$10)-(M34*$Q$8*Données!$G$36*$H$10),((L34+M34)*$N$8*$H$10)-IF($K$8="Rente à titre onéreux imposable sur",(L34+M34)*$N$8*Données!$G$36*$H$10,(L34+M34)*$N$8*Données!$M$41*$H$10))</f>
        <v>0</v>
      </c>
      <c r="P34" s="478">
        <f t="shared" ca="1" si="3"/>
        <v>0</v>
      </c>
      <c r="Q34" s="478">
        <f t="shared" ca="1" si="20"/>
        <v>0</v>
      </c>
      <c r="S34" s="476"/>
      <c r="T34" s="477">
        <f t="shared" si="21"/>
        <v>14</v>
      </c>
      <c r="U34" s="478">
        <f t="shared" ca="1" si="22"/>
        <v>0</v>
      </c>
      <c r="V34" s="478">
        <f t="shared" ca="1" si="4"/>
        <v>0</v>
      </c>
      <c r="W34" s="493">
        <f t="shared" ca="1" si="23"/>
        <v>0</v>
      </c>
      <c r="X34" s="493">
        <f t="shared" ca="1" si="24"/>
        <v>0</v>
      </c>
      <c r="Y34" s="478">
        <f t="shared" ca="1" si="5"/>
        <v>0</v>
      </c>
      <c r="Z34" s="504">
        <f t="shared" ca="1" si="25"/>
        <v>0</v>
      </c>
      <c r="AA34" s="478">
        <f t="shared" ca="1" si="6"/>
        <v>0</v>
      </c>
      <c r="AB34" s="478">
        <f t="shared" ca="1" si="7"/>
        <v>0</v>
      </c>
      <c r="AC34" s="478">
        <f ca="1">AA34*Données!$F$36</f>
        <v>0</v>
      </c>
      <c r="AD34" s="478">
        <f ca="1">AA34*Données!$F$28</f>
        <v>0</v>
      </c>
      <c r="AE34" s="478">
        <f ca="1">IF(AB34=0,0,IF($E$7="C1",(AB34*$H$10),IF($E$7="C2",-AA34*Données!$G$36*$H$10,0)))</f>
        <v>0</v>
      </c>
      <c r="AF34" s="478">
        <f t="shared" ca="1" si="8"/>
        <v>0</v>
      </c>
      <c r="AG34" s="477">
        <f t="shared" si="26"/>
        <v>14</v>
      </c>
      <c r="AH34" s="478">
        <f t="shared" si="27"/>
        <v>0</v>
      </c>
      <c r="AI34" s="478">
        <f t="shared" si="28"/>
        <v>0</v>
      </c>
      <c r="AJ34" s="493">
        <f t="shared" si="29"/>
        <v>0</v>
      </c>
      <c r="AK34" s="493">
        <f t="shared" ca="1" si="30"/>
        <v>0</v>
      </c>
      <c r="AL34" s="478">
        <f t="shared" ca="1" si="9"/>
        <v>0</v>
      </c>
      <c r="AM34" s="478">
        <f t="shared" ca="1" si="10"/>
        <v>0</v>
      </c>
      <c r="AN34" s="478">
        <f t="shared" si="31"/>
        <v>0</v>
      </c>
      <c r="AO34" s="478">
        <f t="shared" ca="1" si="11"/>
        <v>0</v>
      </c>
      <c r="AP34" s="478">
        <f>AN34*Données!$F$36</f>
        <v>0</v>
      </c>
      <c r="AQ34" s="478">
        <f>AN34*Données!$F$28</f>
        <v>0</v>
      </c>
      <c r="AR34" s="478">
        <f ca="1">IF(AO34=0,0,IF($E$7="C1",(AO34*$H$10),IF($E$7="C2",-AN34*Données!$G$36*$H$10,0)))</f>
        <v>0</v>
      </c>
      <c r="AS34" s="478">
        <f t="shared" ca="1" si="12"/>
        <v>0</v>
      </c>
      <c r="AT34" s="477">
        <f t="shared" si="32"/>
        <v>14</v>
      </c>
      <c r="AU34" s="478">
        <f t="shared" si="33"/>
        <v>0</v>
      </c>
      <c r="AV34" s="478">
        <f t="shared" si="34"/>
        <v>0</v>
      </c>
      <c r="AW34" s="493">
        <f t="shared" si="35"/>
        <v>0</v>
      </c>
      <c r="AX34" s="493">
        <f t="shared" si="36"/>
        <v>0</v>
      </c>
      <c r="AY34" s="478">
        <f t="shared" si="13"/>
        <v>0</v>
      </c>
    </row>
    <row r="35" spans="1:51">
      <c r="A35" s="477">
        <f t="shared" ca="1" si="14"/>
        <v>2041</v>
      </c>
      <c r="B35" s="478">
        <f t="shared" ca="1" si="15"/>
        <v>0</v>
      </c>
      <c r="C35" s="478">
        <f ca="1">IF(OR($C$7=Données!$H$51,$C$7=Données!$H$54,$C$7=Données!$H$55,$C$7=Données!$H$57),0,B35*$C$10)</f>
        <v>0</v>
      </c>
      <c r="D35" s="478">
        <f ca="1">IFERROR(IF($H$5="",B35*'CT à Transf'!$K$28,B35*$H$5),B35*$H$5)</f>
        <v>0</v>
      </c>
      <c r="E35" s="478">
        <f t="shared" ca="1" si="16"/>
        <v>0</v>
      </c>
      <c r="F35" s="478">
        <f t="shared" ca="1" si="1"/>
        <v>0</v>
      </c>
      <c r="G35" s="478">
        <f t="shared" ca="1" si="17"/>
        <v>0</v>
      </c>
      <c r="H35" s="478">
        <f t="shared" ca="1" si="2"/>
        <v>0</v>
      </c>
      <c r="J35" s="476"/>
      <c r="K35" s="477">
        <f t="shared" si="18"/>
        <v>15</v>
      </c>
      <c r="L35" s="478">
        <f t="shared" ca="1" si="0"/>
        <v>0</v>
      </c>
      <c r="M35" s="478">
        <f t="shared" ca="1" si="19"/>
        <v>0</v>
      </c>
      <c r="N35" s="478">
        <f ca="1">IF(OR($C$7=Données!$H$52,$C$7=Données!$H$53),(L35*$N$9)+((M35*$Q$8)*$Q$9),(L35+M35)*$N$8*$N$9)</f>
        <v>0</v>
      </c>
      <c r="O35" s="478">
        <f ca="1">IF(OR($C$7=Données!$H$52,$C$7=Données!$H$53),(L35*$H$10)+(M35*$Q$8*$H$10)-(M35*$Q$8*Données!$G$36*$H$10),((L35+M35)*$N$8*$H$10)-IF($K$8="Rente à titre onéreux imposable sur",(L35+M35)*$N$8*Données!$G$36*$H$10,(L35+M35)*$N$8*Données!$M$41*$H$10))</f>
        <v>0</v>
      </c>
      <c r="P35" s="478">
        <f t="shared" ca="1" si="3"/>
        <v>0</v>
      </c>
      <c r="Q35" s="478">
        <f t="shared" ca="1" si="20"/>
        <v>0</v>
      </c>
      <c r="S35" s="476"/>
      <c r="T35" s="477">
        <f t="shared" si="21"/>
        <v>15</v>
      </c>
      <c r="U35" s="478">
        <f t="shared" ca="1" si="22"/>
        <v>0</v>
      </c>
      <c r="V35" s="478">
        <f t="shared" ca="1" si="4"/>
        <v>0</v>
      </c>
      <c r="W35" s="493">
        <f t="shared" ca="1" si="23"/>
        <v>0</v>
      </c>
      <c r="X35" s="493">
        <f t="shared" ca="1" si="24"/>
        <v>0</v>
      </c>
      <c r="Y35" s="478">
        <f t="shared" ca="1" si="5"/>
        <v>0</v>
      </c>
      <c r="Z35" s="504">
        <f t="shared" ca="1" si="25"/>
        <v>0</v>
      </c>
      <c r="AA35" s="478">
        <f t="shared" ca="1" si="6"/>
        <v>0</v>
      </c>
      <c r="AB35" s="478">
        <f t="shared" ca="1" si="7"/>
        <v>0</v>
      </c>
      <c r="AC35" s="478">
        <f ca="1">AA35*Données!$F$36</f>
        <v>0</v>
      </c>
      <c r="AD35" s="478">
        <f ca="1">AA35*Données!$F$28</f>
        <v>0</v>
      </c>
      <c r="AE35" s="478">
        <f ca="1">IF(AB35=0,0,IF($E$7="C1",(AB35*$H$10),IF($E$7="C2",-AA35*Données!$G$36*$H$10,0)))</f>
        <v>0</v>
      </c>
      <c r="AF35" s="478">
        <f t="shared" ca="1" si="8"/>
        <v>0</v>
      </c>
      <c r="AG35" s="477">
        <f t="shared" si="26"/>
        <v>15</v>
      </c>
      <c r="AH35" s="478">
        <f t="shared" si="27"/>
        <v>0</v>
      </c>
      <c r="AI35" s="478">
        <f t="shared" si="28"/>
        <v>0</v>
      </c>
      <c r="AJ35" s="493">
        <f t="shared" si="29"/>
        <v>0</v>
      </c>
      <c r="AK35" s="493">
        <f t="shared" ca="1" si="30"/>
        <v>0</v>
      </c>
      <c r="AL35" s="478">
        <f t="shared" ca="1" si="9"/>
        <v>0</v>
      </c>
      <c r="AM35" s="478">
        <f t="shared" ca="1" si="10"/>
        <v>0</v>
      </c>
      <c r="AN35" s="478">
        <f t="shared" si="31"/>
        <v>0</v>
      </c>
      <c r="AO35" s="478">
        <f t="shared" ca="1" si="11"/>
        <v>0</v>
      </c>
      <c r="AP35" s="478">
        <f>AN35*Données!$F$36</f>
        <v>0</v>
      </c>
      <c r="AQ35" s="478">
        <f>AN35*Données!$F$28</f>
        <v>0</v>
      </c>
      <c r="AR35" s="478">
        <f ca="1">IF(AO35=0,0,IF($E$7="C1",(AO35*$H$10),IF($E$7="C2",-AN35*Données!$G$36*$H$10,0)))</f>
        <v>0</v>
      </c>
      <c r="AS35" s="478">
        <f t="shared" ca="1" si="12"/>
        <v>0</v>
      </c>
      <c r="AT35" s="477">
        <f t="shared" si="32"/>
        <v>15</v>
      </c>
      <c r="AU35" s="478">
        <f t="shared" si="33"/>
        <v>0</v>
      </c>
      <c r="AV35" s="478">
        <f t="shared" si="34"/>
        <v>0</v>
      </c>
      <c r="AW35" s="493">
        <f t="shared" si="35"/>
        <v>0</v>
      </c>
      <c r="AX35" s="493">
        <f t="shared" si="36"/>
        <v>0</v>
      </c>
      <c r="AY35" s="478">
        <f t="shared" si="13"/>
        <v>0</v>
      </c>
    </row>
    <row r="36" spans="1:51">
      <c r="A36" s="477">
        <f t="shared" ca="1" si="14"/>
        <v>2042</v>
      </c>
      <c r="B36" s="478">
        <f t="shared" ca="1" si="15"/>
        <v>0</v>
      </c>
      <c r="C36" s="478">
        <f ca="1">IF(OR($C$7=Données!$H$51,$C$7=Données!$H$54,$C$7=Données!$H$55,$C$7=Données!$H$57),0,B36*$C$10)</f>
        <v>0</v>
      </c>
      <c r="D36" s="478">
        <f ca="1">IFERROR(IF($H$5="",B36*'CT à Transf'!$K$28,B36*$H$5),B36*$H$5)</f>
        <v>0</v>
      </c>
      <c r="E36" s="478">
        <f t="shared" ca="1" si="16"/>
        <v>0</v>
      </c>
      <c r="F36" s="478">
        <f t="shared" ca="1" si="1"/>
        <v>0</v>
      </c>
      <c r="G36" s="478">
        <f t="shared" ca="1" si="17"/>
        <v>0</v>
      </c>
      <c r="H36" s="478">
        <f t="shared" ca="1" si="2"/>
        <v>0</v>
      </c>
      <c r="J36" s="476"/>
      <c r="K36" s="477">
        <f t="shared" si="18"/>
        <v>16</v>
      </c>
      <c r="L36" s="478">
        <f t="shared" ca="1" si="0"/>
        <v>0</v>
      </c>
      <c r="M36" s="478">
        <f t="shared" ca="1" si="19"/>
        <v>0</v>
      </c>
      <c r="N36" s="478">
        <f ca="1">IF(OR($C$7=Données!$H$52,$C$7=Données!$H$53),(L36*$N$9)+((M36*$Q$8)*$Q$9),(L36+M36)*$N$8*$N$9)</f>
        <v>0</v>
      </c>
      <c r="O36" s="478">
        <f ca="1">IF(OR($C$7=Données!$H$52,$C$7=Données!$H$53),(L36*$H$10)+(M36*$Q$8*$H$10)-(M36*$Q$8*Données!$G$36*$H$10),((L36+M36)*$N$8*$H$10)-IF($K$8="Rente à titre onéreux imposable sur",(L36+M36)*$N$8*Données!$G$36*$H$10,(L36+M36)*$N$8*Données!$M$41*$H$10))</f>
        <v>0</v>
      </c>
      <c r="P36" s="478">
        <f t="shared" ca="1" si="3"/>
        <v>0</v>
      </c>
      <c r="Q36" s="478">
        <f t="shared" ca="1" si="20"/>
        <v>0</v>
      </c>
      <c r="S36" s="476"/>
      <c r="T36" s="477">
        <f t="shared" si="21"/>
        <v>16</v>
      </c>
      <c r="U36" s="478">
        <f t="shared" ca="1" si="22"/>
        <v>0</v>
      </c>
      <c r="V36" s="478">
        <f t="shared" ca="1" si="4"/>
        <v>0</v>
      </c>
      <c r="W36" s="493">
        <f t="shared" ca="1" si="23"/>
        <v>0</v>
      </c>
      <c r="X36" s="493">
        <f t="shared" ca="1" si="24"/>
        <v>0</v>
      </c>
      <c r="Y36" s="478">
        <f t="shared" ca="1" si="5"/>
        <v>0</v>
      </c>
      <c r="Z36" s="504">
        <f t="shared" ca="1" si="25"/>
        <v>0</v>
      </c>
      <c r="AA36" s="478">
        <f t="shared" ca="1" si="6"/>
        <v>0</v>
      </c>
      <c r="AB36" s="478">
        <f t="shared" ca="1" si="7"/>
        <v>0</v>
      </c>
      <c r="AC36" s="478">
        <f ca="1">AA36*Données!$F$36</f>
        <v>0</v>
      </c>
      <c r="AD36" s="478">
        <f ca="1">AA36*Données!$F$28</f>
        <v>0</v>
      </c>
      <c r="AE36" s="478">
        <f ca="1">IF(AB36=0,0,IF($E$7="C1",(AB36*$H$10),IF($E$7="C2",-AA36*Données!$G$36*$H$10,0)))</f>
        <v>0</v>
      </c>
      <c r="AF36" s="478">
        <f t="shared" ca="1" si="8"/>
        <v>0</v>
      </c>
      <c r="AG36" s="477">
        <f t="shared" si="26"/>
        <v>16</v>
      </c>
      <c r="AH36" s="478">
        <f t="shared" si="27"/>
        <v>0</v>
      </c>
      <c r="AI36" s="478">
        <f t="shared" si="28"/>
        <v>0</v>
      </c>
      <c r="AJ36" s="493">
        <f t="shared" si="29"/>
        <v>0</v>
      </c>
      <c r="AK36" s="493">
        <f t="shared" ca="1" si="30"/>
        <v>0</v>
      </c>
      <c r="AL36" s="478">
        <f t="shared" ca="1" si="9"/>
        <v>0</v>
      </c>
      <c r="AM36" s="478">
        <f t="shared" ca="1" si="10"/>
        <v>0</v>
      </c>
      <c r="AN36" s="478">
        <f t="shared" si="31"/>
        <v>0</v>
      </c>
      <c r="AO36" s="478">
        <f t="shared" ca="1" si="11"/>
        <v>0</v>
      </c>
      <c r="AP36" s="478">
        <f>AN36*Données!$F$36</f>
        <v>0</v>
      </c>
      <c r="AQ36" s="478">
        <f>AN36*Données!$F$28</f>
        <v>0</v>
      </c>
      <c r="AR36" s="478">
        <f ca="1">IF(AO36=0,0,IF($E$7="C1",(AO36*$H$10),IF($E$7="C2",-AN36*Données!$G$36*$H$10,0)))</f>
        <v>0</v>
      </c>
      <c r="AS36" s="478">
        <f t="shared" ca="1" si="12"/>
        <v>0</v>
      </c>
      <c r="AT36" s="477">
        <f t="shared" si="32"/>
        <v>16</v>
      </c>
      <c r="AU36" s="478">
        <f t="shared" si="33"/>
        <v>0</v>
      </c>
      <c r="AV36" s="478">
        <f t="shared" si="34"/>
        <v>0</v>
      </c>
      <c r="AW36" s="493">
        <f t="shared" si="35"/>
        <v>0</v>
      </c>
      <c r="AX36" s="493">
        <f t="shared" si="36"/>
        <v>0</v>
      </c>
      <c r="AY36" s="478">
        <f t="shared" si="13"/>
        <v>0</v>
      </c>
    </row>
    <row r="37" spans="1:51">
      <c r="A37" s="477">
        <f t="shared" ca="1" si="14"/>
        <v>2043</v>
      </c>
      <c r="B37" s="478">
        <f t="shared" ca="1" si="15"/>
        <v>0</v>
      </c>
      <c r="C37" s="478">
        <f ca="1">IF(OR($C$7=Données!$H$51,$C$7=Données!$H$54,$C$7=Données!$H$55,$C$7=Données!$H$57),0,B37*$C$10)</f>
        <v>0</v>
      </c>
      <c r="D37" s="478">
        <f ca="1">IFERROR(IF($H$5="",B37*'CT à Transf'!$K$28,B37*$H$5),B37*$H$5)</f>
        <v>0</v>
      </c>
      <c r="E37" s="478">
        <f t="shared" ca="1" si="16"/>
        <v>0</v>
      </c>
      <c r="F37" s="478">
        <f t="shared" ca="1" si="1"/>
        <v>0</v>
      </c>
      <c r="G37" s="478">
        <f t="shared" ca="1" si="17"/>
        <v>0</v>
      </c>
      <c r="H37" s="478">
        <f t="shared" ca="1" si="2"/>
        <v>0</v>
      </c>
      <c r="J37" s="476"/>
      <c r="K37" s="477">
        <f t="shared" si="18"/>
        <v>17</v>
      </c>
      <c r="L37" s="478">
        <f t="shared" ca="1" si="0"/>
        <v>0</v>
      </c>
      <c r="M37" s="478">
        <f t="shared" ca="1" si="19"/>
        <v>0</v>
      </c>
      <c r="N37" s="478">
        <f ca="1">IF(OR($C$7=Données!$H$52,$C$7=Données!$H$53),(L37*$N$9)+((M37*$Q$8)*$Q$9),(L37+M37)*$N$8*$N$9)</f>
        <v>0</v>
      </c>
      <c r="O37" s="478">
        <f ca="1">IF(OR($C$7=Données!$H$52,$C$7=Données!$H$53),(L37*$H$10)+(M37*$Q$8*$H$10)-(M37*$Q$8*Données!$G$36*$H$10),((L37+M37)*$N$8*$H$10)-IF($K$8="Rente à titre onéreux imposable sur",(L37+M37)*$N$8*Données!$G$36*$H$10,(L37+M37)*$N$8*Données!$M$41*$H$10))</f>
        <v>0</v>
      </c>
      <c r="P37" s="478">
        <f t="shared" ca="1" si="3"/>
        <v>0</v>
      </c>
      <c r="Q37" s="478">
        <f t="shared" ca="1" si="20"/>
        <v>0</v>
      </c>
      <c r="S37" s="476"/>
      <c r="T37" s="477">
        <f t="shared" si="21"/>
        <v>17</v>
      </c>
      <c r="U37" s="478">
        <f t="shared" ca="1" si="22"/>
        <v>0</v>
      </c>
      <c r="V37" s="478">
        <f t="shared" ca="1" si="4"/>
        <v>0</v>
      </c>
      <c r="W37" s="493">
        <f t="shared" ca="1" si="23"/>
        <v>0</v>
      </c>
      <c r="X37" s="493">
        <f t="shared" ca="1" si="24"/>
        <v>0</v>
      </c>
      <c r="Y37" s="478">
        <f t="shared" ca="1" si="5"/>
        <v>0</v>
      </c>
      <c r="Z37" s="504">
        <f t="shared" ca="1" si="25"/>
        <v>0</v>
      </c>
      <c r="AA37" s="478">
        <f t="shared" ca="1" si="6"/>
        <v>0</v>
      </c>
      <c r="AB37" s="478">
        <f t="shared" ca="1" si="7"/>
        <v>0</v>
      </c>
      <c r="AC37" s="478">
        <f ca="1">AA37*Données!$F$36</f>
        <v>0</v>
      </c>
      <c r="AD37" s="478">
        <f ca="1">AA37*Données!$F$28</f>
        <v>0</v>
      </c>
      <c r="AE37" s="478">
        <f ca="1">IF(AB37=0,0,IF($E$7="C1",(AB37*$H$10),IF($E$7="C2",-AA37*Données!$G$36*$H$10,0)))</f>
        <v>0</v>
      </c>
      <c r="AF37" s="478">
        <f t="shared" ca="1" si="8"/>
        <v>0</v>
      </c>
      <c r="AG37" s="477">
        <f t="shared" si="26"/>
        <v>17</v>
      </c>
      <c r="AH37" s="478">
        <f t="shared" si="27"/>
        <v>0</v>
      </c>
      <c r="AI37" s="478">
        <f t="shared" si="28"/>
        <v>0</v>
      </c>
      <c r="AJ37" s="493">
        <f t="shared" si="29"/>
        <v>0</v>
      </c>
      <c r="AK37" s="493">
        <f t="shared" ca="1" si="30"/>
        <v>0</v>
      </c>
      <c r="AL37" s="478">
        <f t="shared" ca="1" si="9"/>
        <v>0</v>
      </c>
      <c r="AM37" s="478">
        <f t="shared" ca="1" si="10"/>
        <v>0</v>
      </c>
      <c r="AN37" s="478">
        <f t="shared" si="31"/>
        <v>0</v>
      </c>
      <c r="AO37" s="478">
        <f t="shared" ca="1" si="11"/>
        <v>0</v>
      </c>
      <c r="AP37" s="478">
        <f>AN37*Données!$F$36</f>
        <v>0</v>
      </c>
      <c r="AQ37" s="478">
        <f>AN37*Données!$F$28</f>
        <v>0</v>
      </c>
      <c r="AR37" s="478">
        <f ca="1">IF(AO37=0,0,IF($E$7="C1",(AO37*$H$10),IF($E$7="C2",-AN37*Données!$G$36*$H$10,0)))</f>
        <v>0</v>
      </c>
      <c r="AS37" s="478">
        <f t="shared" ca="1" si="12"/>
        <v>0</v>
      </c>
      <c r="AT37" s="477">
        <f t="shared" si="32"/>
        <v>17</v>
      </c>
      <c r="AU37" s="478">
        <f t="shared" si="33"/>
        <v>0</v>
      </c>
      <c r="AV37" s="478">
        <f t="shared" si="34"/>
        <v>0</v>
      </c>
      <c r="AW37" s="493">
        <f t="shared" si="35"/>
        <v>0</v>
      </c>
      <c r="AX37" s="493">
        <f t="shared" si="36"/>
        <v>0</v>
      </c>
      <c r="AY37" s="478">
        <f t="shared" si="13"/>
        <v>0</v>
      </c>
    </row>
    <row r="38" spans="1:51">
      <c r="A38" s="477">
        <f t="shared" ca="1" si="14"/>
        <v>2044</v>
      </c>
      <c r="B38" s="478">
        <f t="shared" ca="1" si="15"/>
        <v>0</v>
      </c>
      <c r="C38" s="478">
        <f ca="1">IF(OR($C$7=Données!$H$51,$C$7=Données!$H$54,$C$7=Données!$H$55,$C$7=Données!$H$57),0,B38*$C$10)</f>
        <v>0</v>
      </c>
      <c r="D38" s="478">
        <f ca="1">IFERROR(IF($H$5="",B38*'CT à Transf'!$K$28,B38*$H$5),B38*$H$5)</f>
        <v>0</v>
      </c>
      <c r="E38" s="478">
        <f t="shared" ca="1" si="16"/>
        <v>0</v>
      </c>
      <c r="F38" s="478">
        <f t="shared" ca="1" si="1"/>
        <v>0</v>
      </c>
      <c r="G38" s="478">
        <f t="shared" ca="1" si="17"/>
        <v>0</v>
      </c>
      <c r="H38" s="478">
        <f t="shared" ca="1" si="2"/>
        <v>0</v>
      </c>
      <c r="J38" s="476"/>
      <c r="K38" s="477">
        <f t="shared" si="18"/>
        <v>18</v>
      </c>
      <c r="L38" s="478">
        <f t="shared" ca="1" si="0"/>
        <v>0</v>
      </c>
      <c r="M38" s="478">
        <f t="shared" ca="1" si="19"/>
        <v>0</v>
      </c>
      <c r="N38" s="478">
        <f ca="1">IF(OR($C$7=Données!$H$52,$C$7=Données!$H$53),(L38*$N$9)+((M38*$Q$8)*$Q$9),(L38+M38)*$N$8*$N$9)</f>
        <v>0</v>
      </c>
      <c r="O38" s="478">
        <f ca="1">IF(OR($C$7=Données!$H$52,$C$7=Données!$H$53),(L38*$H$10)+(M38*$Q$8*$H$10)-(M38*$Q$8*Données!$G$36*$H$10),((L38+M38)*$N$8*$H$10)-IF($K$8="Rente à titre onéreux imposable sur",(L38+M38)*$N$8*Données!$G$36*$H$10,(L38+M38)*$N$8*Données!$M$41*$H$10))</f>
        <v>0</v>
      </c>
      <c r="P38" s="478">
        <f t="shared" ca="1" si="3"/>
        <v>0</v>
      </c>
      <c r="Q38" s="478">
        <f t="shared" ca="1" si="20"/>
        <v>0</v>
      </c>
      <c r="S38" s="476"/>
      <c r="T38" s="477">
        <f t="shared" si="21"/>
        <v>18</v>
      </c>
      <c r="U38" s="478">
        <f t="shared" ca="1" si="22"/>
        <v>0</v>
      </c>
      <c r="V38" s="478">
        <f t="shared" ca="1" si="4"/>
        <v>0</v>
      </c>
      <c r="W38" s="493">
        <f t="shared" ca="1" si="23"/>
        <v>0</v>
      </c>
      <c r="X38" s="493">
        <f t="shared" ca="1" si="24"/>
        <v>0</v>
      </c>
      <c r="Y38" s="478">
        <f t="shared" ca="1" si="5"/>
        <v>0</v>
      </c>
      <c r="Z38" s="504">
        <f t="shared" ca="1" si="25"/>
        <v>0</v>
      </c>
      <c r="AA38" s="478">
        <f t="shared" ca="1" si="6"/>
        <v>0</v>
      </c>
      <c r="AB38" s="478">
        <f t="shared" ca="1" si="7"/>
        <v>0</v>
      </c>
      <c r="AC38" s="478">
        <f ca="1">AA38*Données!$F$36</f>
        <v>0</v>
      </c>
      <c r="AD38" s="478">
        <f ca="1">AA38*Données!$F$28</f>
        <v>0</v>
      </c>
      <c r="AE38" s="478">
        <f ca="1">IF(AB38=0,0,IF($E$7="C1",(AB38*$H$10),IF($E$7="C2",-AA38*Données!$G$36*$H$10,0)))</f>
        <v>0</v>
      </c>
      <c r="AF38" s="478">
        <f t="shared" ca="1" si="8"/>
        <v>0</v>
      </c>
      <c r="AG38" s="477">
        <f t="shared" si="26"/>
        <v>18</v>
      </c>
      <c r="AH38" s="478">
        <f t="shared" si="27"/>
        <v>0</v>
      </c>
      <c r="AI38" s="478">
        <f t="shared" si="28"/>
        <v>0</v>
      </c>
      <c r="AJ38" s="493">
        <f t="shared" si="29"/>
        <v>0</v>
      </c>
      <c r="AK38" s="493">
        <f t="shared" ca="1" si="30"/>
        <v>0</v>
      </c>
      <c r="AL38" s="478">
        <f t="shared" ca="1" si="9"/>
        <v>0</v>
      </c>
      <c r="AM38" s="478">
        <f t="shared" ca="1" si="10"/>
        <v>0</v>
      </c>
      <c r="AN38" s="478">
        <f t="shared" si="31"/>
        <v>0</v>
      </c>
      <c r="AO38" s="478">
        <f t="shared" ca="1" si="11"/>
        <v>0</v>
      </c>
      <c r="AP38" s="478">
        <f>AN38*Données!$F$36</f>
        <v>0</v>
      </c>
      <c r="AQ38" s="478">
        <f>AN38*Données!$F$28</f>
        <v>0</v>
      </c>
      <c r="AR38" s="478">
        <f ca="1">IF(AO38=0,0,IF($E$7="C1",(AO38*$H$10),IF($E$7="C2",-AN38*Données!$G$36*$H$10,0)))</f>
        <v>0</v>
      </c>
      <c r="AS38" s="478">
        <f t="shared" ca="1" si="12"/>
        <v>0</v>
      </c>
      <c r="AT38" s="477">
        <f t="shared" si="32"/>
        <v>18</v>
      </c>
      <c r="AU38" s="478">
        <f t="shared" si="33"/>
        <v>0</v>
      </c>
      <c r="AV38" s="478">
        <f t="shared" si="34"/>
        <v>0</v>
      </c>
      <c r="AW38" s="493">
        <f t="shared" si="35"/>
        <v>0</v>
      </c>
      <c r="AX38" s="493">
        <f t="shared" si="36"/>
        <v>0</v>
      </c>
      <c r="AY38" s="478">
        <f t="shared" si="13"/>
        <v>0</v>
      </c>
    </row>
    <row r="39" spans="1:51">
      <c r="A39" s="477">
        <f t="shared" ca="1" si="14"/>
        <v>2045</v>
      </c>
      <c r="B39" s="478">
        <f t="shared" ca="1" si="15"/>
        <v>0</v>
      </c>
      <c r="C39" s="478">
        <f ca="1">IF(OR($C$7=Données!$H$51,$C$7=Données!$H$54,$C$7=Données!$H$55,$C$7=Données!$H$57),0,B39*$C$10)</f>
        <v>0</v>
      </c>
      <c r="D39" s="478">
        <f ca="1">IFERROR(IF($H$5="",B39*'CT à Transf'!$K$28,B39*$H$5),B39*$H$5)</f>
        <v>0</v>
      </c>
      <c r="E39" s="478">
        <f t="shared" ca="1" si="16"/>
        <v>0</v>
      </c>
      <c r="F39" s="478">
        <f t="shared" ca="1" si="1"/>
        <v>0</v>
      </c>
      <c r="G39" s="478">
        <f t="shared" ca="1" si="17"/>
        <v>0</v>
      </c>
      <c r="H39" s="478">
        <f t="shared" ca="1" si="2"/>
        <v>0</v>
      </c>
      <c r="J39" s="476"/>
      <c r="K39" s="477">
        <f t="shared" si="18"/>
        <v>19</v>
      </c>
      <c r="L39" s="478">
        <f t="shared" ca="1" si="0"/>
        <v>0</v>
      </c>
      <c r="M39" s="478">
        <f t="shared" ca="1" si="19"/>
        <v>0</v>
      </c>
      <c r="N39" s="478">
        <f ca="1">IF(OR($C$7=Données!$H$52,$C$7=Données!$H$53),(L39*$N$9)+((M39*$Q$8)*$Q$9),(L39+M39)*$N$8*$N$9)</f>
        <v>0</v>
      </c>
      <c r="O39" s="478">
        <f ca="1">IF(OR($C$7=Données!$H$52,$C$7=Données!$H$53),(L39*$H$10)+(M39*$Q$8*$H$10)-(M39*$Q$8*Données!$G$36*$H$10),((L39+M39)*$N$8*$H$10)-IF($K$8="Rente à titre onéreux imposable sur",(L39+M39)*$N$8*Données!$G$36*$H$10,(L39+M39)*$N$8*Données!$M$41*$H$10))</f>
        <v>0</v>
      </c>
      <c r="P39" s="478">
        <f t="shared" ca="1" si="3"/>
        <v>0</v>
      </c>
      <c r="Q39" s="478">
        <f t="shared" ca="1" si="20"/>
        <v>0</v>
      </c>
      <c r="S39" s="476"/>
      <c r="T39" s="477">
        <f t="shared" si="21"/>
        <v>19</v>
      </c>
      <c r="U39" s="478">
        <f t="shared" ca="1" si="22"/>
        <v>0</v>
      </c>
      <c r="V39" s="478">
        <f t="shared" ca="1" si="4"/>
        <v>0</v>
      </c>
      <c r="W39" s="493">
        <f t="shared" ca="1" si="23"/>
        <v>0</v>
      </c>
      <c r="X39" s="493">
        <f t="shared" ca="1" si="24"/>
        <v>0</v>
      </c>
      <c r="Y39" s="478">
        <f t="shared" ca="1" si="5"/>
        <v>0</v>
      </c>
      <c r="Z39" s="504">
        <f t="shared" ca="1" si="25"/>
        <v>0</v>
      </c>
      <c r="AA39" s="478">
        <f t="shared" ca="1" si="6"/>
        <v>0</v>
      </c>
      <c r="AB39" s="478">
        <f t="shared" ca="1" si="7"/>
        <v>0</v>
      </c>
      <c r="AC39" s="478">
        <f ca="1">AA39*Données!$F$36</f>
        <v>0</v>
      </c>
      <c r="AD39" s="478">
        <f ca="1">AA39*Données!$F$28</f>
        <v>0</v>
      </c>
      <c r="AE39" s="478">
        <f ca="1">IF(AB39=0,0,IF($E$7="C1",(AB39*$H$10),IF($E$7="C2",-AA39*Données!$G$36*$H$10,0)))</f>
        <v>0</v>
      </c>
      <c r="AF39" s="478">
        <f t="shared" ca="1" si="8"/>
        <v>0</v>
      </c>
      <c r="AG39" s="477">
        <f t="shared" si="26"/>
        <v>19</v>
      </c>
      <c r="AH39" s="478">
        <f t="shared" si="27"/>
        <v>0</v>
      </c>
      <c r="AI39" s="478">
        <f t="shared" si="28"/>
        <v>0</v>
      </c>
      <c r="AJ39" s="493">
        <f t="shared" si="29"/>
        <v>0</v>
      </c>
      <c r="AK39" s="493">
        <f t="shared" ca="1" si="30"/>
        <v>0</v>
      </c>
      <c r="AL39" s="478">
        <f t="shared" ca="1" si="9"/>
        <v>0</v>
      </c>
      <c r="AM39" s="478">
        <f t="shared" ca="1" si="10"/>
        <v>0</v>
      </c>
      <c r="AN39" s="478">
        <f t="shared" si="31"/>
        <v>0</v>
      </c>
      <c r="AO39" s="478">
        <f t="shared" ca="1" si="11"/>
        <v>0</v>
      </c>
      <c r="AP39" s="478">
        <f>AN39*Données!$F$36</f>
        <v>0</v>
      </c>
      <c r="AQ39" s="478">
        <f>AN39*Données!$F$28</f>
        <v>0</v>
      </c>
      <c r="AR39" s="478">
        <f ca="1">IF(AO39=0,0,IF($E$7="C1",(AO39*$H$10),IF($E$7="C2",-AN39*Données!$G$36*$H$10,0)))</f>
        <v>0</v>
      </c>
      <c r="AS39" s="478">
        <f t="shared" ca="1" si="12"/>
        <v>0</v>
      </c>
      <c r="AT39" s="477">
        <f t="shared" si="32"/>
        <v>19</v>
      </c>
      <c r="AU39" s="478">
        <f t="shared" si="33"/>
        <v>0</v>
      </c>
      <c r="AV39" s="478">
        <f t="shared" si="34"/>
        <v>0</v>
      </c>
      <c r="AW39" s="493">
        <f t="shared" si="35"/>
        <v>0</v>
      </c>
      <c r="AX39" s="493">
        <f t="shared" si="36"/>
        <v>0</v>
      </c>
      <c r="AY39" s="478">
        <f t="shared" si="13"/>
        <v>0</v>
      </c>
    </row>
    <row r="40" spans="1:51">
      <c r="A40" s="477">
        <f t="shared" ca="1" si="14"/>
        <v>2046</v>
      </c>
      <c r="B40" s="478">
        <f t="shared" ca="1" si="15"/>
        <v>0</v>
      </c>
      <c r="C40" s="478">
        <f ca="1">IF(OR($C$7=Données!$H$51,$C$7=Données!$H$54,$C$7=Données!$H$55,$C$7=Données!$H$57),0,B40*$C$10)</f>
        <v>0</v>
      </c>
      <c r="D40" s="478">
        <f ca="1">IFERROR(IF($H$5="",B40*'CT à Transf'!$K$28,B40*$H$5),B40*$H$5)</f>
        <v>0</v>
      </c>
      <c r="E40" s="478">
        <f t="shared" ca="1" si="16"/>
        <v>0</v>
      </c>
      <c r="F40" s="478">
        <f t="shared" ca="1" si="1"/>
        <v>0</v>
      </c>
      <c r="G40" s="478">
        <f t="shared" ca="1" si="17"/>
        <v>0</v>
      </c>
      <c r="H40" s="478">
        <f t="shared" ca="1" si="2"/>
        <v>0</v>
      </c>
      <c r="J40" s="476"/>
      <c r="K40" s="477">
        <f t="shared" si="18"/>
        <v>20</v>
      </c>
      <c r="L40" s="478">
        <f t="shared" ca="1" si="0"/>
        <v>0</v>
      </c>
      <c r="M40" s="478">
        <f t="shared" ca="1" si="19"/>
        <v>0</v>
      </c>
      <c r="N40" s="478">
        <f ca="1">IF(OR($C$7=Données!$H$52,$C$7=Données!$H$53),(L40*$N$9)+((M40*$Q$8)*$Q$9),(L40+M40)*$N$8*$N$9)</f>
        <v>0</v>
      </c>
      <c r="O40" s="478">
        <f ca="1">IF(OR($C$7=Données!$H$52,$C$7=Données!$H$53),(L40*$H$10)+(M40*$Q$8*$H$10)-(M40*$Q$8*Données!$G$36*$H$10),((L40+M40)*$N$8*$H$10)-IF($K$8="Rente à titre onéreux imposable sur",(L40+M40)*$N$8*Données!$G$36*$H$10,(L40+M40)*$N$8*Données!$M$41*$H$10))</f>
        <v>0</v>
      </c>
      <c r="P40" s="478">
        <f t="shared" ca="1" si="3"/>
        <v>0</v>
      </c>
      <c r="Q40" s="478">
        <f t="shared" ca="1" si="20"/>
        <v>0</v>
      </c>
      <c r="S40" s="476"/>
      <c r="T40" s="477">
        <f t="shared" si="21"/>
        <v>20</v>
      </c>
      <c r="U40" s="478">
        <f t="shared" ca="1" si="22"/>
        <v>0</v>
      </c>
      <c r="V40" s="478">
        <f t="shared" ca="1" si="4"/>
        <v>0</v>
      </c>
      <c r="W40" s="493">
        <f t="shared" ca="1" si="23"/>
        <v>0</v>
      </c>
      <c r="X40" s="493">
        <f t="shared" ca="1" si="24"/>
        <v>0</v>
      </c>
      <c r="Y40" s="478">
        <f t="shared" ca="1" si="5"/>
        <v>0</v>
      </c>
      <c r="Z40" s="504">
        <f t="shared" ca="1" si="25"/>
        <v>0</v>
      </c>
      <c r="AA40" s="478">
        <f t="shared" ca="1" si="6"/>
        <v>0</v>
      </c>
      <c r="AB40" s="478">
        <f t="shared" ca="1" si="7"/>
        <v>0</v>
      </c>
      <c r="AC40" s="478">
        <f ca="1">AA40*Données!$F$36</f>
        <v>0</v>
      </c>
      <c r="AD40" s="478">
        <f ca="1">AA40*Données!$F$28</f>
        <v>0</v>
      </c>
      <c r="AE40" s="478">
        <f ca="1">IF(AB40=0,0,IF($E$7="C1",(AB40*$H$10),IF($E$7="C2",-AA40*Données!$G$36*$H$10,0)))</f>
        <v>0</v>
      </c>
      <c r="AF40" s="478">
        <f t="shared" ca="1" si="8"/>
        <v>0</v>
      </c>
      <c r="AG40" s="477">
        <f t="shared" si="26"/>
        <v>20</v>
      </c>
      <c r="AH40" s="478">
        <f t="shared" si="27"/>
        <v>0</v>
      </c>
      <c r="AI40" s="478">
        <f t="shared" si="28"/>
        <v>0</v>
      </c>
      <c r="AJ40" s="493">
        <f t="shared" si="29"/>
        <v>0</v>
      </c>
      <c r="AK40" s="493">
        <f t="shared" ca="1" si="30"/>
        <v>0</v>
      </c>
      <c r="AL40" s="478">
        <f t="shared" ca="1" si="9"/>
        <v>0</v>
      </c>
      <c r="AM40" s="478">
        <f t="shared" ca="1" si="10"/>
        <v>0</v>
      </c>
      <c r="AN40" s="478">
        <f t="shared" si="31"/>
        <v>0</v>
      </c>
      <c r="AO40" s="478">
        <f t="shared" ca="1" si="11"/>
        <v>0</v>
      </c>
      <c r="AP40" s="478">
        <f>AN40*Données!$F$36</f>
        <v>0</v>
      </c>
      <c r="AQ40" s="478">
        <f>AN40*Données!$F$28</f>
        <v>0</v>
      </c>
      <c r="AR40" s="478">
        <f ca="1">IF(AO40=0,0,IF($E$7="C1",(AO40*$H$10),IF($E$7="C2",-AN40*Données!$G$36*$H$10,0)))</f>
        <v>0</v>
      </c>
      <c r="AS40" s="478">
        <f t="shared" ca="1" si="12"/>
        <v>0</v>
      </c>
      <c r="AT40" s="477">
        <f t="shared" si="32"/>
        <v>20</v>
      </c>
      <c r="AU40" s="478">
        <f t="shared" si="33"/>
        <v>0</v>
      </c>
      <c r="AV40" s="478">
        <f t="shared" si="34"/>
        <v>0</v>
      </c>
      <c r="AW40" s="493">
        <f t="shared" si="35"/>
        <v>0</v>
      </c>
      <c r="AX40" s="493">
        <f t="shared" si="36"/>
        <v>0</v>
      </c>
      <c r="AY40" s="478">
        <f t="shared" si="13"/>
        <v>0</v>
      </c>
    </row>
    <row r="41" spans="1:51">
      <c r="A41" s="477">
        <f t="shared" ca="1" si="14"/>
        <v>2047</v>
      </c>
      <c r="B41" s="478">
        <f t="shared" ca="1" si="15"/>
        <v>0</v>
      </c>
      <c r="C41" s="478">
        <f ca="1">IF(OR($C$7=Données!$H$51,$C$7=Données!$H$54,$C$7=Données!$H$55,$C$7=Données!$H$57),0,B41*$C$10)</f>
        <v>0</v>
      </c>
      <c r="D41" s="478">
        <f ca="1">IFERROR(IF($H$5="",B41*'CT à Transf'!$K$28,B41*$H$5),B41*$H$5)</f>
        <v>0</v>
      </c>
      <c r="E41" s="478">
        <f t="shared" ca="1" si="16"/>
        <v>0</v>
      </c>
      <c r="F41" s="478">
        <f t="shared" ca="1" si="1"/>
        <v>0</v>
      </c>
      <c r="G41" s="478">
        <f t="shared" ca="1" si="17"/>
        <v>0</v>
      </c>
      <c r="H41" s="478">
        <f t="shared" ca="1" si="2"/>
        <v>0</v>
      </c>
      <c r="J41" s="476"/>
      <c r="K41" s="477">
        <f t="shared" si="18"/>
        <v>21</v>
      </c>
      <c r="L41" s="478">
        <f t="shared" ca="1" si="0"/>
        <v>0</v>
      </c>
      <c r="M41" s="478">
        <f t="shared" ca="1" si="19"/>
        <v>0</v>
      </c>
      <c r="N41" s="478">
        <f ca="1">IF(OR($C$7=Données!$H$52,$C$7=Données!$H$53),(L41*$N$9)+((M41*$Q$8)*$Q$9),(L41+M41)*$N$8*$N$9)</f>
        <v>0</v>
      </c>
      <c r="O41" s="478">
        <f ca="1">IF(OR($C$7=Données!$H$52,$C$7=Données!$H$53),(L41*$H$10)+(M41*$Q$8*$H$10)-(M41*$Q$8*Données!$G$36*$H$10),((L41+M41)*$N$8*$H$10)-IF($K$8="Rente à titre onéreux imposable sur",(L41+M41)*$N$8*Données!$G$36*$H$10,(L41+M41)*$N$8*Données!$M$41*$H$10))</f>
        <v>0</v>
      </c>
      <c r="P41" s="478">
        <f t="shared" ca="1" si="3"/>
        <v>0</v>
      </c>
      <c r="Q41" s="478">
        <f t="shared" ca="1" si="20"/>
        <v>0</v>
      </c>
      <c r="S41" s="476"/>
      <c r="T41" s="477">
        <f t="shared" si="21"/>
        <v>21</v>
      </c>
      <c r="U41" s="478">
        <f t="shared" ca="1" si="22"/>
        <v>0</v>
      </c>
      <c r="V41" s="478">
        <f t="shared" ca="1" si="4"/>
        <v>0</v>
      </c>
      <c r="W41" s="493">
        <f t="shared" ca="1" si="23"/>
        <v>0</v>
      </c>
      <c r="X41" s="493">
        <f t="shared" ca="1" si="24"/>
        <v>0</v>
      </c>
      <c r="Y41" s="478">
        <f t="shared" ca="1" si="5"/>
        <v>0</v>
      </c>
      <c r="Z41" s="504">
        <f t="shared" ca="1" si="25"/>
        <v>0</v>
      </c>
      <c r="AA41" s="478">
        <f t="shared" ca="1" si="6"/>
        <v>0</v>
      </c>
      <c r="AB41" s="478">
        <f t="shared" ca="1" si="7"/>
        <v>0</v>
      </c>
      <c r="AC41" s="478">
        <f ca="1">AA41*Données!$F$36</f>
        <v>0</v>
      </c>
      <c r="AD41" s="478">
        <f ca="1">AA41*Données!$F$28</f>
        <v>0</v>
      </c>
      <c r="AE41" s="478">
        <f ca="1">IF(AB41=0,0,IF($E$7="C1",(AB41*$H$10),IF($E$7="C2",-AA41*Données!$G$36*$H$10,0)))</f>
        <v>0</v>
      </c>
      <c r="AF41" s="478">
        <f t="shared" ca="1" si="8"/>
        <v>0</v>
      </c>
      <c r="AG41" s="477">
        <f t="shared" si="26"/>
        <v>21</v>
      </c>
      <c r="AH41" s="478">
        <f t="shared" si="27"/>
        <v>0</v>
      </c>
      <c r="AI41" s="478">
        <f t="shared" si="28"/>
        <v>0</v>
      </c>
      <c r="AJ41" s="493">
        <f t="shared" si="29"/>
        <v>0</v>
      </c>
      <c r="AK41" s="493">
        <f t="shared" ca="1" si="30"/>
        <v>0</v>
      </c>
      <c r="AL41" s="478">
        <f t="shared" ca="1" si="9"/>
        <v>0</v>
      </c>
      <c r="AM41" s="478">
        <f t="shared" ca="1" si="10"/>
        <v>0</v>
      </c>
      <c r="AN41" s="478">
        <f t="shared" si="31"/>
        <v>0</v>
      </c>
      <c r="AO41" s="478">
        <f t="shared" ca="1" si="11"/>
        <v>0</v>
      </c>
      <c r="AP41" s="478">
        <f>AN41*Données!$F$36</f>
        <v>0</v>
      </c>
      <c r="AQ41" s="478">
        <f>AN41*Données!$F$28</f>
        <v>0</v>
      </c>
      <c r="AR41" s="478">
        <f ca="1">IF(AO41=0,0,IF($E$7="C1",(AO41*$H$10),IF($E$7="C2",-AN41*Données!$G$36*$H$10,0)))</f>
        <v>0</v>
      </c>
      <c r="AS41" s="478">
        <f t="shared" ca="1" si="12"/>
        <v>0</v>
      </c>
      <c r="AT41" s="477">
        <f t="shared" si="32"/>
        <v>21</v>
      </c>
      <c r="AU41" s="478">
        <f t="shared" si="33"/>
        <v>0</v>
      </c>
      <c r="AV41" s="478">
        <f t="shared" si="34"/>
        <v>0</v>
      </c>
      <c r="AW41" s="493">
        <f t="shared" si="35"/>
        <v>0</v>
      </c>
      <c r="AX41" s="493">
        <f t="shared" si="36"/>
        <v>0</v>
      </c>
      <c r="AY41" s="478">
        <f t="shared" si="13"/>
        <v>0</v>
      </c>
    </row>
    <row r="42" spans="1:51">
      <c r="A42" s="477">
        <f t="shared" ca="1" si="14"/>
        <v>2048</v>
      </c>
      <c r="B42" s="478">
        <f t="shared" ca="1" si="15"/>
        <v>0</v>
      </c>
      <c r="C42" s="478">
        <f ca="1">IF(OR($C$7=Données!$H$51,$C$7=Données!$H$54,$C$7=Données!$H$55,$C$7=Données!$H$57),0,B42*$C$10)</f>
        <v>0</v>
      </c>
      <c r="D42" s="478">
        <f ca="1">IFERROR(IF($H$5="",B42*'CT à Transf'!$K$28,B42*$H$5),B42*$H$5)</f>
        <v>0</v>
      </c>
      <c r="E42" s="478">
        <f t="shared" ca="1" si="16"/>
        <v>0</v>
      </c>
      <c r="F42" s="478">
        <f t="shared" ca="1" si="1"/>
        <v>0</v>
      </c>
      <c r="G42" s="478">
        <f t="shared" ca="1" si="17"/>
        <v>0</v>
      </c>
      <c r="H42" s="478">
        <f t="shared" ca="1" si="2"/>
        <v>0</v>
      </c>
      <c r="J42" s="476"/>
      <c r="K42" s="477">
        <f t="shared" si="18"/>
        <v>22</v>
      </c>
      <c r="L42" s="478">
        <f t="shared" ca="1" si="0"/>
        <v>0</v>
      </c>
      <c r="M42" s="478">
        <f t="shared" ca="1" si="19"/>
        <v>0</v>
      </c>
      <c r="N42" s="478">
        <f ca="1">IF(OR($C$7=Données!$H$52,$C$7=Données!$H$53),(L42*$N$9)+((M42*$Q$8)*$Q$9),(L42+M42)*$N$8*$N$9)</f>
        <v>0</v>
      </c>
      <c r="O42" s="478">
        <f ca="1">IF(OR($C$7=Données!$H$52,$C$7=Données!$H$53),(L42*$H$10)+(M42*$Q$8*$H$10)-(M42*$Q$8*Données!$G$36*$H$10),((L42+M42)*$N$8*$H$10)-IF($K$8="Rente à titre onéreux imposable sur",(L42+M42)*$N$8*Données!$G$36*$H$10,(L42+M42)*$N$8*Données!$M$41*$H$10))</f>
        <v>0</v>
      </c>
      <c r="P42" s="478">
        <f t="shared" ca="1" si="3"/>
        <v>0</v>
      </c>
      <c r="Q42" s="478">
        <f t="shared" ca="1" si="20"/>
        <v>0</v>
      </c>
      <c r="S42" s="476"/>
      <c r="T42" s="477">
        <f t="shared" si="21"/>
        <v>22</v>
      </c>
      <c r="U42" s="478">
        <f t="shared" ca="1" si="22"/>
        <v>0</v>
      </c>
      <c r="V42" s="478">
        <f t="shared" ca="1" si="4"/>
        <v>0</v>
      </c>
      <c r="W42" s="493">
        <f t="shared" ca="1" si="23"/>
        <v>0</v>
      </c>
      <c r="X42" s="493">
        <f t="shared" ca="1" si="24"/>
        <v>0</v>
      </c>
      <c r="Y42" s="478">
        <f t="shared" ca="1" si="5"/>
        <v>0</v>
      </c>
      <c r="Z42" s="504">
        <f t="shared" ca="1" si="25"/>
        <v>0</v>
      </c>
      <c r="AA42" s="478">
        <f t="shared" ca="1" si="6"/>
        <v>0</v>
      </c>
      <c r="AB42" s="478">
        <f t="shared" ca="1" si="7"/>
        <v>0</v>
      </c>
      <c r="AC42" s="478">
        <f ca="1">AA42*Données!$F$36</f>
        <v>0</v>
      </c>
      <c r="AD42" s="478">
        <f ca="1">AA42*Données!$F$28</f>
        <v>0</v>
      </c>
      <c r="AE42" s="478">
        <f ca="1">IF(AB42=0,0,IF($E$7="C1",(AB42*$H$10),IF($E$7="C2",-AA42*Données!$G$36*$H$10,0)))</f>
        <v>0</v>
      </c>
      <c r="AF42" s="478">
        <f t="shared" ca="1" si="8"/>
        <v>0</v>
      </c>
      <c r="AG42" s="477">
        <f t="shared" si="26"/>
        <v>22</v>
      </c>
      <c r="AH42" s="478">
        <f t="shared" si="27"/>
        <v>0</v>
      </c>
      <c r="AI42" s="478">
        <f t="shared" si="28"/>
        <v>0</v>
      </c>
      <c r="AJ42" s="493">
        <f t="shared" si="29"/>
        <v>0</v>
      </c>
      <c r="AK42" s="493">
        <f t="shared" ca="1" si="30"/>
        <v>0</v>
      </c>
      <c r="AL42" s="478">
        <f t="shared" ca="1" si="9"/>
        <v>0</v>
      </c>
      <c r="AM42" s="478">
        <f t="shared" ca="1" si="10"/>
        <v>0</v>
      </c>
      <c r="AN42" s="478">
        <f t="shared" si="31"/>
        <v>0</v>
      </c>
      <c r="AO42" s="478">
        <f t="shared" ca="1" si="11"/>
        <v>0</v>
      </c>
      <c r="AP42" s="478">
        <f>AN42*Données!$F$36</f>
        <v>0</v>
      </c>
      <c r="AQ42" s="478">
        <f>AN42*Données!$F$28</f>
        <v>0</v>
      </c>
      <c r="AR42" s="478">
        <f ca="1">IF(AO42=0,0,IF($E$7="C1",(AO42*$H$10),IF($E$7="C2",-AN42*Données!$G$36*$H$10,0)))</f>
        <v>0</v>
      </c>
      <c r="AS42" s="478">
        <f t="shared" ca="1" si="12"/>
        <v>0</v>
      </c>
      <c r="AT42" s="477">
        <f t="shared" si="32"/>
        <v>22</v>
      </c>
      <c r="AU42" s="478">
        <f t="shared" si="33"/>
        <v>0</v>
      </c>
      <c r="AV42" s="478">
        <f t="shared" si="34"/>
        <v>0</v>
      </c>
      <c r="AW42" s="493">
        <f t="shared" si="35"/>
        <v>0</v>
      </c>
      <c r="AX42" s="493">
        <f t="shared" si="36"/>
        <v>0</v>
      </c>
      <c r="AY42" s="478">
        <f t="shared" si="13"/>
        <v>0</v>
      </c>
    </row>
    <row r="43" spans="1:51">
      <c r="A43" s="477">
        <f t="shared" ca="1" si="14"/>
        <v>2049</v>
      </c>
      <c r="B43" s="478">
        <f t="shared" ca="1" si="15"/>
        <v>0</v>
      </c>
      <c r="C43" s="478">
        <f ca="1">IF(OR($C$7=Données!$H$51,$C$7=Données!$H$54,$C$7=Données!$H$55,$C$7=Données!$H$57),0,B43*$C$10)</f>
        <v>0</v>
      </c>
      <c r="D43" s="478">
        <f ca="1">IFERROR(IF($H$5="",B43*'CT à Transf'!$K$28,B43*$H$5),B43*$H$5)</f>
        <v>0</v>
      </c>
      <c r="E43" s="478">
        <f t="shared" ca="1" si="16"/>
        <v>0</v>
      </c>
      <c r="F43" s="478">
        <f t="shared" ca="1" si="1"/>
        <v>0</v>
      </c>
      <c r="G43" s="478">
        <f t="shared" ca="1" si="17"/>
        <v>0</v>
      </c>
      <c r="H43" s="478">
        <f t="shared" ca="1" si="2"/>
        <v>0</v>
      </c>
      <c r="J43" s="476"/>
      <c r="K43" s="477">
        <f t="shared" si="18"/>
        <v>23</v>
      </c>
      <c r="L43" s="478">
        <f t="shared" ca="1" si="0"/>
        <v>0</v>
      </c>
      <c r="M43" s="478">
        <f t="shared" ca="1" si="19"/>
        <v>0</v>
      </c>
      <c r="N43" s="478">
        <f ca="1">IF(OR($C$7=Données!$H$52,$C$7=Données!$H$53),(L43*$N$9)+((M43*$Q$8)*$Q$9),(L43+M43)*$N$8*$N$9)</f>
        <v>0</v>
      </c>
      <c r="O43" s="478">
        <f ca="1">IF(OR($C$7=Données!$H$52,$C$7=Données!$H$53),(L43*$H$10)+(M43*$Q$8*$H$10)-(M43*$Q$8*Données!$G$36*$H$10),((L43+M43)*$N$8*$H$10)-IF($K$8="Rente à titre onéreux imposable sur",(L43+M43)*$N$8*Données!$G$36*$H$10,(L43+M43)*$N$8*Données!$M$41*$H$10))</f>
        <v>0</v>
      </c>
      <c r="P43" s="478">
        <f t="shared" ca="1" si="3"/>
        <v>0</v>
      </c>
      <c r="Q43" s="478">
        <f t="shared" ca="1" si="20"/>
        <v>0</v>
      </c>
      <c r="S43" s="476"/>
      <c r="T43" s="477">
        <f t="shared" si="21"/>
        <v>23</v>
      </c>
      <c r="U43" s="478">
        <f t="shared" ca="1" si="22"/>
        <v>0</v>
      </c>
      <c r="V43" s="478">
        <f t="shared" ca="1" si="4"/>
        <v>0</v>
      </c>
      <c r="W43" s="493">
        <f t="shared" ca="1" si="23"/>
        <v>0</v>
      </c>
      <c r="X43" s="493">
        <f t="shared" ca="1" si="24"/>
        <v>0</v>
      </c>
      <c r="Y43" s="478">
        <f t="shared" ca="1" si="5"/>
        <v>0</v>
      </c>
      <c r="Z43" s="504">
        <f t="shared" ca="1" si="25"/>
        <v>0</v>
      </c>
      <c r="AA43" s="478">
        <f t="shared" ca="1" si="6"/>
        <v>0</v>
      </c>
      <c r="AB43" s="478">
        <f t="shared" ca="1" si="7"/>
        <v>0</v>
      </c>
      <c r="AC43" s="478">
        <f ca="1">AA43*Données!$F$36</f>
        <v>0</v>
      </c>
      <c r="AD43" s="478">
        <f ca="1">AA43*Données!$F$28</f>
        <v>0</v>
      </c>
      <c r="AE43" s="478">
        <f ca="1">IF(AB43=0,0,IF($E$7="C1",(AB43*$H$10),IF($E$7="C2",-AA43*Données!$G$36*$H$10,0)))</f>
        <v>0</v>
      </c>
      <c r="AF43" s="478">
        <f t="shared" ca="1" si="8"/>
        <v>0</v>
      </c>
      <c r="AG43" s="477">
        <f t="shared" si="26"/>
        <v>23</v>
      </c>
      <c r="AH43" s="478">
        <f t="shared" si="27"/>
        <v>0</v>
      </c>
      <c r="AI43" s="478">
        <f t="shared" si="28"/>
        <v>0</v>
      </c>
      <c r="AJ43" s="493">
        <f t="shared" si="29"/>
        <v>0</v>
      </c>
      <c r="AK43" s="493">
        <f t="shared" ca="1" si="30"/>
        <v>0</v>
      </c>
      <c r="AL43" s="478">
        <f t="shared" ca="1" si="9"/>
        <v>0</v>
      </c>
      <c r="AM43" s="478">
        <f t="shared" ca="1" si="10"/>
        <v>0</v>
      </c>
      <c r="AN43" s="478">
        <f t="shared" si="31"/>
        <v>0</v>
      </c>
      <c r="AO43" s="478">
        <f t="shared" ca="1" si="11"/>
        <v>0</v>
      </c>
      <c r="AP43" s="478">
        <f>AN43*Données!$F$36</f>
        <v>0</v>
      </c>
      <c r="AQ43" s="478">
        <f>AN43*Données!$F$28</f>
        <v>0</v>
      </c>
      <c r="AR43" s="478">
        <f ca="1">IF(AO43=0,0,IF($E$7="C1",(AO43*$H$10),IF($E$7="C2",-AN43*Données!$G$36*$H$10,0)))</f>
        <v>0</v>
      </c>
      <c r="AS43" s="478">
        <f t="shared" ca="1" si="12"/>
        <v>0</v>
      </c>
      <c r="AT43" s="477">
        <f t="shared" si="32"/>
        <v>23</v>
      </c>
      <c r="AU43" s="478">
        <f t="shared" si="33"/>
        <v>0</v>
      </c>
      <c r="AV43" s="478">
        <f t="shared" si="34"/>
        <v>0</v>
      </c>
      <c r="AW43" s="493">
        <f t="shared" si="35"/>
        <v>0</v>
      </c>
      <c r="AX43" s="493">
        <f t="shared" si="36"/>
        <v>0</v>
      </c>
      <c r="AY43" s="478">
        <f t="shared" si="13"/>
        <v>0</v>
      </c>
    </row>
    <row r="44" spans="1:51">
      <c r="A44" s="477">
        <f t="shared" ca="1" si="14"/>
        <v>2050</v>
      </c>
      <c r="B44" s="478">
        <f t="shared" ca="1" si="15"/>
        <v>0</v>
      </c>
      <c r="C44" s="478">
        <f ca="1">IF(OR($C$7=Données!$H$51,$C$7=Données!$H$54,$C$7=Données!$H$55,$C$7=Données!$H$57),0,B44*$C$10)</f>
        <v>0</v>
      </c>
      <c r="D44" s="478">
        <f ca="1">IFERROR(IF($H$5="",B44*'CT à Transf'!$K$28,B44*$H$5),B44*$H$5)</f>
        <v>0</v>
      </c>
      <c r="E44" s="478">
        <f t="shared" ca="1" si="16"/>
        <v>0</v>
      </c>
      <c r="F44" s="478">
        <f t="shared" ca="1" si="1"/>
        <v>0</v>
      </c>
      <c r="G44" s="478">
        <f t="shared" ca="1" si="17"/>
        <v>0</v>
      </c>
      <c r="H44" s="478">
        <f t="shared" ca="1" si="2"/>
        <v>0</v>
      </c>
      <c r="J44" s="476"/>
      <c r="K44" s="477">
        <f t="shared" si="18"/>
        <v>24</v>
      </c>
      <c r="L44" s="478">
        <f t="shared" ca="1" si="0"/>
        <v>0</v>
      </c>
      <c r="M44" s="478">
        <f t="shared" ca="1" si="19"/>
        <v>0</v>
      </c>
      <c r="N44" s="478">
        <f ca="1">IF(OR($C$7=Données!$H$52,$C$7=Données!$H$53),(L44*$N$9)+((M44*$Q$8)*$Q$9),(L44+M44)*$N$8*$N$9)</f>
        <v>0</v>
      </c>
      <c r="O44" s="478">
        <f ca="1">IF(OR($C$7=Données!$H$52,$C$7=Données!$H$53),(L44*$H$10)+(M44*$Q$8*$H$10)-(M44*$Q$8*Données!$G$36*$H$10),((L44+M44)*$N$8*$H$10)-IF($K$8="Rente à titre onéreux imposable sur",(L44+M44)*$N$8*Données!$G$36*$H$10,(L44+M44)*$N$8*Données!$M$41*$H$10))</f>
        <v>0</v>
      </c>
      <c r="P44" s="478">
        <f t="shared" ca="1" si="3"/>
        <v>0</v>
      </c>
      <c r="Q44" s="478">
        <f t="shared" ca="1" si="20"/>
        <v>0</v>
      </c>
      <c r="S44" s="476"/>
      <c r="T44" s="477">
        <f t="shared" si="21"/>
        <v>24</v>
      </c>
      <c r="U44" s="478">
        <f t="shared" ca="1" si="22"/>
        <v>0</v>
      </c>
      <c r="V44" s="478">
        <f t="shared" ca="1" si="4"/>
        <v>0</v>
      </c>
      <c r="W44" s="493">
        <f t="shared" ca="1" si="23"/>
        <v>0</v>
      </c>
      <c r="X44" s="493">
        <f t="shared" ca="1" si="24"/>
        <v>0</v>
      </c>
      <c r="Y44" s="478">
        <f t="shared" ca="1" si="5"/>
        <v>0</v>
      </c>
      <c r="Z44" s="504">
        <f t="shared" ca="1" si="25"/>
        <v>0</v>
      </c>
      <c r="AA44" s="478">
        <f t="shared" ca="1" si="6"/>
        <v>0</v>
      </c>
      <c r="AB44" s="478">
        <f t="shared" ca="1" si="7"/>
        <v>0</v>
      </c>
      <c r="AC44" s="478">
        <f ca="1">AA44*Données!$F$36</f>
        <v>0</v>
      </c>
      <c r="AD44" s="478">
        <f ca="1">AA44*Données!$F$28</f>
        <v>0</v>
      </c>
      <c r="AE44" s="478">
        <f ca="1">IF(AB44=0,0,IF($E$7="C1",(AB44*$H$10),IF($E$7="C2",-AA44*Données!$G$36*$H$10,0)))</f>
        <v>0</v>
      </c>
      <c r="AF44" s="478">
        <f t="shared" ca="1" si="8"/>
        <v>0</v>
      </c>
      <c r="AG44" s="477">
        <f t="shared" si="26"/>
        <v>24</v>
      </c>
      <c r="AH44" s="478">
        <f t="shared" si="27"/>
        <v>0</v>
      </c>
      <c r="AI44" s="478">
        <f t="shared" si="28"/>
        <v>0</v>
      </c>
      <c r="AJ44" s="493">
        <f t="shared" si="29"/>
        <v>0</v>
      </c>
      <c r="AK44" s="493">
        <f t="shared" ca="1" si="30"/>
        <v>0</v>
      </c>
      <c r="AL44" s="478">
        <f t="shared" ca="1" si="9"/>
        <v>0</v>
      </c>
      <c r="AM44" s="478">
        <f t="shared" ca="1" si="10"/>
        <v>0</v>
      </c>
      <c r="AN44" s="478">
        <f t="shared" si="31"/>
        <v>0</v>
      </c>
      <c r="AO44" s="478">
        <f t="shared" ca="1" si="11"/>
        <v>0</v>
      </c>
      <c r="AP44" s="478">
        <f>AN44*Données!$F$36</f>
        <v>0</v>
      </c>
      <c r="AQ44" s="478">
        <f>AN44*Données!$F$28</f>
        <v>0</v>
      </c>
      <c r="AR44" s="478">
        <f ca="1">IF(AO44=0,0,IF($E$7="C1",(AO44*$H$10),IF($E$7="C2",-AN44*Données!$G$36*$H$10,0)))</f>
        <v>0</v>
      </c>
      <c r="AS44" s="478">
        <f t="shared" ca="1" si="12"/>
        <v>0</v>
      </c>
      <c r="AT44" s="477">
        <f t="shared" si="32"/>
        <v>24</v>
      </c>
      <c r="AU44" s="478">
        <f t="shared" si="33"/>
        <v>0</v>
      </c>
      <c r="AV44" s="478">
        <f t="shared" si="34"/>
        <v>0</v>
      </c>
      <c r="AW44" s="493">
        <f t="shared" si="35"/>
        <v>0</v>
      </c>
      <c r="AX44" s="493">
        <f t="shared" si="36"/>
        <v>0</v>
      </c>
      <c r="AY44" s="478">
        <f t="shared" si="13"/>
        <v>0</v>
      </c>
    </row>
    <row r="45" spans="1:51">
      <c r="A45" s="477">
        <f t="shared" ca="1" si="14"/>
        <v>2051</v>
      </c>
      <c r="B45" s="478">
        <f t="shared" ca="1" si="15"/>
        <v>0</v>
      </c>
      <c r="C45" s="478">
        <f ca="1">IF(OR($C$7=Données!$H$51,$C$7=Données!$H$54,$C$7=Données!$H$55,$C$7=Données!$H$57),0,B45*$C$10)</f>
        <v>0</v>
      </c>
      <c r="D45" s="478">
        <f ca="1">IFERROR(IF($H$5="",B45*'CT à Transf'!$K$28,B45*$H$5),B45*$H$5)</f>
        <v>0</v>
      </c>
      <c r="E45" s="478">
        <f t="shared" ca="1" si="16"/>
        <v>0</v>
      </c>
      <c r="F45" s="478">
        <f t="shared" ca="1" si="1"/>
        <v>0</v>
      </c>
      <c r="G45" s="478">
        <f t="shared" ca="1" si="17"/>
        <v>0</v>
      </c>
      <c r="H45" s="478">
        <f t="shared" ca="1" si="2"/>
        <v>0</v>
      </c>
      <c r="J45" s="476"/>
      <c r="K45" s="477">
        <f t="shared" si="18"/>
        <v>25</v>
      </c>
      <c r="L45" s="478">
        <f t="shared" ca="1" si="0"/>
        <v>0</v>
      </c>
      <c r="M45" s="478">
        <f t="shared" ca="1" si="19"/>
        <v>0</v>
      </c>
      <c r="N45" s="478">
        <f ca="1">IF(OR($C$7=Données!$H$52,$C$7=Données!$H$53),(L45*$N$9)+((M45*$Q$8)*$Q$9),(L45+M45)*$N$8*$N$9)</f>
        <v>0</v>
      </c>
      <c r="O45" s="478">
        <f ca="1">IF(OR($C$7=Données!$H$52,$C$7=Données!$H$53),(L45*$H$10)+(M45*$Q$8*$H$10)-(M45*$Q$8*Données!$G$36*$H$10),((L45+M45)*$N$8*$H$10)-IF($K$8="Rente à titre onéreux imposable sur",(L45+M45)*$N$8*Données!$G$36*$H$10,(L45+M45)*$N$8*Données!$M$41*$H$10))</f>
        <v>0</v>
      </c>
      <c r="P45" s="478">
        <f t="shared" ca="1" si="3"/>
        <v>0</v>
      </c>
      <c r="Q45" s="478">
        <f t="shared" ca="1" si="20"/>
        <v>0</v>
      </c>
      <c r="S45" s="476"/>
      <c r="T45" s="477">
        <f t="shared" si="21"/>
        <v>25</v>
      </c>
      <c r="U45" s="478">
        <f t="shared" ca="1" si="22"/>
        <v>0</v>
      </c>
      <c r="V45" s="478">
        <f t="shared" ca="1" si="4"/>
        <v>0</v>
      </c>
      <c r="W45" s="493">
        <f t="shared" ca="1" si="23"/>
        <v>0</v>
      </c>
      <c r="X45" s="493">
        <f t="shared" ca="1" si="24"/>
        <v>0</v>
      </c>
      <c r="Y45" s="478">
        <f t="shared" ca="1" si="5"/>
        <v>0</v>
      </c>
      <c r="Z45" s="504">
        <f t="shared" ca="1" si="25"/>
        <v>0</v>
      </c>
      <c r="AA45" s="478">
        <f t="shared" ca="1" si="6"/>
        <v>0</v>
      </c>
      <c r="AB45" s="478">
        <f t="shared" ca="1" si="7"/>
        <v>0</v>
      </c>
      <c r="AC45" s="478">
        <f ca="1">AA45*Données!$F$36</f>
        <v>0</v>
      </c>
      <c r="AD45" s="478">
        <f ca="1">AA45*Données!$F$28</f>
        <v>0</v>
      </c>
      <c r="AE45" s="478">
        <f ca="1">IF(AB45=0,0,IF($E$7="C1",(AB45*$H$10),IF($E$7="C2",-AA45*Données!$G$36*$H$10,0)))</f>
        <v>0</v>
      </c>
      <c r="AF45" s="478">
        <f t="shared" ca="1" si="8"/>
        <v>0</v>
      </c>
      <c r="AG45" s="477">
        <f t="shared" si="26"/>
        <v>25</v>
      </c>
      <c r="AH45" s="478">
        <f t="shared" si="27"/>
        <v>0</v>
      </c>
      <c r="AI45" s="478">
        <f t="shared" si="28"/>
        <v>0</v>
      </c>
      <c r="AJ45" s="493">
        <f t="shared" si="29"/>
        <v>0</v>
      </c>
      <c r="AK45" s="493">
        <f t="shared" ca="1" si="30"/>
        <v>0</v>
      </c>
      <c r="AL45" s="478">
        <f t="shared" ca="1" si="9"/>
        <v>0</v>
      </c>
      <c r="AM45" s="478">
        <f t="shared" ca="1" si="10"/>
        <v>0</v>
      </c>
      <c r="AN45" s="478">
        <f t="shared" si="31"/>
        <v>0</v>
      </c>
      <c r="AO45" s="478">
        <f t="shared" ca="1" si="11"/>
        <v>0</v>
      </c>
      <c r="AP45" s="478">
        <f>AN45*Données!$F$36</f>
        <v>0</v>
      </c>
      <c r="AQ45" s="478">
        <f>AN45*Données!$F$28</f>
        <v>0</v>
      </c>
      <c r="AR45" s="478">
        <f ca="1">IF(AO45=0,0,IF($E$7="C1",(AO45*$H$10),IF($E$7="C2",-AN45*Données!$G$36*$H$10,0)))</f>
        <v>0</v>
      </c>
      <c r="AS45" s="478">
        <f t="shared" ca="1" si="12"/>
        <v>0</v>
      </c>
      <c r="AT45" s="477">
        <f t="shared" si="32"/>
        <v>25</v>
      </c>
      <c r="AU45" s="478">
        <f t="shared" si="33"/>
        <v>0</v>
      </c>
      <c r="AV45" s="478">
        <f t="shared" si="34"/>
        <v>0</v>
      </c>
      <c r="AW45" s="493">
        <f t="shared" si="35"/>
        <v>0</v>
      </c>
      <c r="AX45" s="493">
        <f t="shared" si="36"/>
        <v>0</v>
      </c>
      <c r="AY45" s="478">
        <f t="shared" si="13"/>
        <v>0</v>
      </c>
    </row>
    <row r="46" spans="1:51">
      <c r="A46" s="477">
        <f t="shared" ca="1" si="14"/>
        <v>2052</v>
      </c>
      <c r="B46" s="478">
        <f t="shared" ca="1" si="15"/>
        <v>0</v>
      </c>
      <c r="C46" s="478">
        <f ca="1">IF(OR($C$7=Données!$H$51,$C$7=Données!$H$54,$C$7=Données!$H$55,$C$7=Données!$H$57),0,B46*$C$10)</f>
        <v>0</v>
      </c>
      <c r="D46" s="478">
        <f ca="1">IFERROR(IF($H$5="",B46*'CT à Transf'!$K$28,B46*$H$5),B46*$H$5)</f>
        <v>0</v>
      </c>
      <c r="E46" s="478">
        <f t="shared" ca="1" si="16"/>
        <v>0</v>
      </c>
      <c r="F46" s="478">
        <f t="shared" ca="1" si="1"/>
        <v>0</v>
      </c>
      <c r="G46" s="478">
        <f t="shared" ca="1" si="17"/>
        <v>0</v>
      </c>
      <c r="H46" s="478">
        <f t="shared" ca="1" si="2"/>
        <v>0</v>
      </c>
      <c r="J46" s="476"/>
      <c r="K46" s="477">
        <f t="shared" si="18"/>
        <v>26</v>
      </c>
      <c r="L46" s="478">
        <f t="shared" ca="1" si="0"/>
        <v>0</v>
      </c>
      <c r="M46" s="478">
        <f t="shared" ca="1" si="19"/>
        <v>0</v>
      </c>
      <c r="N46" s="478">
        <f ca="1">IF(OR($C$7=Données!$H$52,$C$7=Données!$H$53),(L46*$N$9)+((M46*$Q$8)*$Q$9),(L46+M46)*$N$8*$N$9)</f>
        <v>0</v>
      </c>
      <c r="O46" s="478">
        <f ca="1">IF(OR($C$7=Données!$H$52,$C$7=Données!$H$53),(L46*$H$10)+(M46*$Q$8*$H$10)-(M46*$Q$8*Données!$G$36*$H$10),((L46+M46)*$N$8*$H$10)-IF($K$8="Rente à titre onéreux imposable sur",(L46+M46)*$N$8*Données!$G$36*$H$10,(L46+M46)*$N$8*Données!$M$41*$H$10))</f>
        <v>0</v>
      </c>
      <c r="P46" s="478">
        <f t="shared" ca="1" si="3"/>
        <v>0</v>
      </c>
      <c r="Q46" s="478">
        <f t="shared" ca="1" si="20"/>
        <v>0</v>
      </c>
      <c r="S46" s="476"/>
      <c r="T46" s="477">
        <f t="shared" si="21"/>
        <v>26</v>
      </c>
      <c r="U46" s="478">
        <f t="shared" ca="1" si="22"/>
        <v>0</v>
      </c>
      <c r="V46" s="478">
        <f t="shared" ca="1" si="4"/>
        <v>0</v>
      </c>
      <c r="W46" s="493">
        <f t="shared" ca="1" si="23"/>
        <v>0</v>
      </c>
      <c r="X46" s="493">
        <f t="shared" ca="1" si="24"/>
        <v>0</v>
      </c>
      <c r="Y46" s="478">
        <f t="shared" ca="1" si="5"/>
        <v>0</v>
      </c>
      <c r="Z46" s="504">
        <f t="shared" ca="1" si="25"/>
        <v>0</v>
      </c>
      <c r="AA46" s="478">
        <f t="shared" ca="1" si="6"/>
        <v>0</v>
      </c>
      <c r="AB46" s="478">
        <f t="shared" ca="1" si="7"/>
        <v>0</v>
      </c>
      <c r="AC46" s="478">
        <f ca="1">AA46*Données!$F$36</f>
        <v>0</v>
      </c>
      <c r="AD46" s="478">
        <f ca="1">AA46*Données!$F$28</f>
        <v>0</v>
      </c>
      <c r="AE46" s="478">
        <f ca="1">IF(AB46=0,0,IF($E$7="C1",(AB46*$H$10),IF($E$7="C2",-AA46*Données!$G$36*$H$10,0)))</f>
        <v>0</v>
      </c>
      <c r="AF46" s="478">
        <f t="shared" ca="1" si="8"/>
        <v>0</v>
      </c>
      <c r="AG46" s="477">
        <f t="shared" si="26"/>
        <v>26</v>
      </c>
      <c r="AH46" s="478">
        <f t="shared" si="27"/>
        <v>0</v>
      </c>
      <c r="AI46" s="478">
        <f t="shared" si="28"/>
        <v>0</v>
      </c>
      <c r="AJ46" s="493">
        <f t="shared" si="29"/>
        <v>0</v>
      </c>
      <c r="AK46" s="493">
        <f t="shared" ca="1" si="30"/>
        <v>0</v>
      </c>
      <c r="AL46" s="478">
        <f t="shared" ca="1" si="9"/>
        <v>0</v>
      </c>
      <c r="AM46" s="478">
        <f t="shared" ca="1" si="10"/>
        <v>0</v>
      </c>
      <c r="AN46" s="478">
        <f t="shared" si="31"/>
        <v>0</v>
      </c>
      <c r="AO46" s="478">
        <f t="shared" ca="1" si="11"/>
        <v>0</v>
      </c>
      <c r="AP46" s="478">
        <f>AN46*Données!$F$36</f>
        <v>0</v>
      </c>
      <c r="AQ46" s="478">
        <f>AN46*Données!$F$28</f>
        <v>0</v>
      </c>
      <c r="AR46" s="478">
        <f ca="1">IF(AO46=0,0,IF($E$7="C1",(AO46*$H$10),IF($E$7="C2",-AN46*Données!$G$36*$H$10,0)))</f>
        <v>0</v>
      </c>
      <c r="AS46" s="478">
        <f t="shared" ca="1" si="12"/>
        <v>0</v>
      </c>
      <c r="AT46" s="477">
        <f t="shared" si="32"/>
        <v>26</v>
      </c>
      <c r="AU46" s="478">
        <f t="shared" si="33"/>
        <v>0</v>
      </c>
      <c r="AV46" s="478">
        <f t="shared" si="34"/>
        <v>0</v>
      </c>
      <c r="AW46" s="493">
        <f t="shared" si="35"/>
        <v>0</v>
      </c>
      <c r="AX46" s="493">
        <f t="shared" si="36"/>
        <v>0</v>
      </c>
      <c r="AY46" s="478">
        <f t="shared" si="13"/>
        <v>0</v>
      </c>
    </row>
    <row r="47" spans="1:51">
      <c r="A47" s="477">
        <f t="shared" ca="1" si="14"/>
        <v>2053</v>
      </c>
      <c r="B47" s="478">
        <f t="shared" ca="1" si="15"/>
        <v>0</v>
      </c>
      <c r="C47" s="478">
        <f ca="1">IF(OR($C$7=Données!$H$51,$C$7=Données!$H$54,$C$7=Données!$H$55,$C$7=Données!$H$57),0,B47*$C$10)</f>
        <v>0</v>
      </c>
      <c r="D47" s="478">
        <f ca="1">IFERROR(IF($H$5="",B47*'CT à Transf'!$K$28,B47*$H$5),B47*$H$5)</f>
        <v>0</v>
      </c>
      <c r="E47" s="478">
        <f t="shared" ca="1" si="16"/>
        <v>0</v>
      </c>
      <c r="F47" s="478">
        <f t="shared" ca="1" si="1"/>
        <v>0</v>
      </c>
      <c r="G47" s="478">
        <f t="shared" ca="1" si="17"/>
        <v>0</v>
      </c>
      <c r="H47" s="478">
        <f t="shared" ca="1" si="2"/>
        <v>0</v>
      </c>
      <c r="J47" s="476"/>
      <c r="K47" s="477">
        <f t="shared" si="18"/>
        <v>27</v>
      </c>
      <c r="L47" s="478">
        <f t="shared" ca="1" si="0"/>
        <v>0</v>
      </c>
      <c r="M47" s="478">
        <f t="shared" ca="1" si="19"/>
        <v>0</v>
      </c>
      <c r="N47" s="478">
        <f ca="1">IF(OR($C$7=Données!$H$52,$C$7=Données!$H$53),(L47*$N$9)+((M47*$Q$8)*$Q$9),(L47+M47)*$N$8*$N$9)</f>
        <v>0</v>
      </c>
      <c r="O47" s="478">
        <f ca="1">IF(OR($C$7=Données!$H$52,$C$7=Données!$H$53),(L47*$H$10)+(M47*$Q$8*$H$10)-(M47*$Q$8*Données!$G$36*$H$10),((L47+M47)*$N$8*$H$10)-IF($K$8="Rente à titre onéreux imposable sur",(L47+M47)*$N$8*Données!$G$36*$H$10,(L47+M47)*$N$8*Données!$M$41*$H$10))</f>
        <v>0</v>
      </c>
      <c r="P47" s="478">
        <f t="shared" ca="1" si="3"/>
        <v>0</v>
      </c>
      <c r="Q47" s="478">
        <f t="shared" ca="1" si="20"/>
        <v>0</v>
      </c>
      <c r="S47" s="476"/>
      <c r="T47" s="477">
        <f t="shared" si="21"/>
        <v>27</v>
      </c>
      <c r="U47" s="478">
        <f t="shared" ca="1" si="22"/>
        <v>0</v>
      </c>
      <c r="V47" s="478">
        <f t="shared" ca="1" si="4"/>
        <v>0</v>
      </c>
      <c r="W47" s="493">
        <f t="shared" ca="1" si="23"/>
        <v>0</v>
      </c>
      <c r="X47" s="493">
        <f t="shared" ca="1" si="24"/>
        <v>0</v>
      </c>
      <c r="Y47" s="478">
        <f t="shared" ca="1" si="5"/>
        <v>0</v>
      </c>
      <c r="Z47" s="504">
        <f t="shared" ca="1" si="25"/>
        <v>0</v>
      </c>
      <c r="AA47" s="478">
        <f t="shared" ca="1" si="6"/>
        <v>0</v>
      </c>
      <c r="AB47" s="478">
        <f t="shared" ca="1" si="7"/>
        <v>0</v>
      </c>
      <c r="AC47" s="478">
        <f ca="1">AA47*Données!$F$36</f>
        <v>0</v>
      </c>
      <c r="AD47" s="478">
        <f ca="1">AA47*Données!$F$28</f>
        <v>0</v>
      </c>
      <c r="AE47" s="478">
        <f ca="1">IF(AB47=0,0,IF($E$7="C1",(AB47*$H$10),IF($E$7="C2",-AA47*Données!$G$36*$H$10,0)))</f>
        <v>0</v>
      </c>
      <c r="AF47" s="478">
        <f t="shared" ca="1" si="8"/>
        <v>0</v>
      </c>
      <c r="AG47" s="477">
        <f t="shared" si="26"/>
        <v>27</v>
      </c>
      <c r="AH47" s="478">
        <f t="shared" si="27"/>
        <v>0</v>
      </c>
      <c r="AI47" s="478">
        <f t="shared" si="28"/>
        <v>0</v>
      </c>
      <c r="AJ47" s="493">
        <f t="shared" si="29"/>
        <v>0</v>
      </c>
      <c r="AK47" s="493">
        <f t="shared" ca="1" si="30"/>
        <v>0</v>
      </c>
      <c r="AL47" s="478">
        <f t="shared" ca="1" si="9"/>
        <v>0</v>
      </c>
      <c r="AM47" s="478">
        <f t="shared" ca="1" si="10"/>
        <v>0</v>
      </c>
      <c r="AN47" s="478">
        <f t="shared" si="31"/>
        <v>0</v>
      </c>
      <c r="AO47" s="478">
        <f t="shared" ca="1" si="11"/>
        <v>0</v>
      </c>
      <c r="AP47" s="478">
        <f>AN47*Données!$F$36</f>
        <v>0</v>
      </c>
      <c r="AQ47" s="478">
        <f>AN47*Données!$F$28</f>
        <v>0</v>
      </c>
      <c r="AR47" s="478">
        <f ca="1">IF(AO47=0,0,IF($E$7="C1",(AO47*$H$10),IF($E$7="C2",-AN47*Données!$G$36*$H$10,0)))</f>
        <v>0</v>
      </c>
      <c r="AS47" s="478">
        <f t="shared" ca="1" si="12"/>
        <v>0</v>
      </c>
      <c r="AT47" s="477">
        <f t="shared" si="32"/>
        <v>27</v>
      </c>
      <c r="AU47" s="478">
        <f t="shared" si="33"/>
        <v>0</v>
      </c>
      <c r="AV47" s="478">
        <f t="shared" si="34"/>
        <v>0</v>
      </c>
      <c r="AW47" s="493">
        <f t="shared" si="35"/>
        <v>0</v>
      </c>
      <c r="AX47" s="493">
        <f t="shared" si="36"/>
        <v>0</v>
      </c>
      <c r="AY47" s="478">
        <f t="shared" si="13"/>
        <v>0</v>
      </c>
    </row>
    <row r="48" spans="1:51">
      <c r="A48" s="477">
        <f t="shared" ca="1" si="14"/>
        <v>2054</v>
      </c>
      <c r="B48" s="478">
        <f t="shared" ca="1" si="15"/>
        <v>0</v>
      </c>
      <c r="C48" s="478">
        <f ca="1">IF(OR($C$7=Données!$H$51,$C$7=Données!$H$54,$C$7=Données!$H$55,$C$7=Données!$H$57),0,B48*$C$10)</f>
        <v>0</v>
      </c>
      <c r="D48" s="478">
        <f ca="1">IFERROR(IF($H$5="",B48*'CT à Transf'!$K$28,B48*$H$5),B48*$H$5)</f>
        <v>0</v>
      </c>
      <c r="E48" s="478">
        <f t="shared" ca="1" si="16"/>
        <v>0</v>
      </c>
      <c r="F48" s="478">
        <f t="shared" ca="1" si="1"/>
        <v>0</v>
      </c>
      <c r="G48" s="478">
        <f t="shared" ca="1" si="17"/>
        <v>0</v>
      </c>
      <c r="H48" s="478">
        <f t="shared" ca="1" si="2"/>
        <v>0</v>
      </c>
      <c r="J48" s="476"/>
      <c r="K48" s="477">
        <f t="shared" si="18"/>
        <v>28</v>
      </c>
      <c r="L48" s="478">
        <f t="shared" ca="1" si="0"/>
        <v>0</v>
      </c>
      <c r="M48" s="478">
        <f t="shared" ca="1" si="19"/>
        <v>0</v>
      </c>
      <c r="N48" s="478">
        <f ca="1">IF(OR($C$7=Données!$H$52,$C$7=Données!$H$53),(L48*$N$9)+((M48*$Q$8)*$Q$9),(L48+M48)*$N$8*$N$9)</f>
        <v>0</v>
      </c>
      <c r="O48" s="478">
        <f ca="1">IF(OR($C$7=Données!$H$52,$C$7=Données!$H$53),(L48*$H$10)+(M48*$Q$8*$H$10)-(M48*$Q$8*Données!$G$36*$H$10),((L48+M48)*$N$8*$H$10)-IF($K$8="Rente à titre onéreux imposable sur",(L48+M48)*$N$8*Données!$G$36*$H$10,(L48+M48)*$N$8*Données!$M$41*$H$10))</f>
        <v>0</v>
      </c>
      <c r="P48" s="478">
        <f t="shared" ca="1" si="3"/>
        <v>0</v>
      </c>
      <c r="Q48" s="478">
        <f t="shared" ca="1" si="20"/>
        <v>0</v>
      </c>
      <c r="S48" s="476"/>
      <c r="T48" s="477">
        <f t="shared" si="21"/>
        <v>28</v>
      </c>
      <c r="U48" s="478">
        <f t="shared" ca="1" si="22"/>
        <v>0</v>
      </c>
      <c r="V48" s="478">
        <f t="shared" ca="1" si="4"/>
        <v>0</v>
      </c>
      <c r="W48" s="493">
        <f t="shared" ca="1" si="23"/>
        <v>0</v>
      </c>
      <c r="X48" s="493">
        <f t="shared" ca="1" si="24"/>
        <v>0</v>
      </c>
      <c r="Y48" s="478">
        <f t="shared" ca="1" si="5"/>
        <v>0</v>
      </c>
      <c r="Z48" s="504">
        <f t="shared" ca="1" si="25"/>
        <v>0</v>
      </c>
      <c r="AA48" s="478">
        <f t="shared" ca="1" si="6"/>
        <v>0</v>
      </c>
      <c r="AB48" s="478">
        <f t="shared" ca="1" si="7"/>
        <v>0</v>
      </c>
      <c r="AC48" s="478">
        <f ca="1">AA48*Données!$F$36</f>
        <v>0</v>
      </c>
      <c r="AD48" s="478">
        <f ca="1">AA48*Données!$F$28</f>
        <v>0</v>
      </c>
      <c r="AE48" s="478">
        <f ca="1">IF(AB48=0,0,IF($E$7="C1",(AB48*$H$10),IF($E$7="C2",-AA48*Données!$G$36*$H$10,0)))</f>
        <v>0</v>
      </c>
      <c r="AF48" s="478">
        <f t="shared" ca="1" si="8"/>
        <v>0</v>
      </c>
      <c r="AG48" s="477">
        <f t="shared" si="26"/>
        <v>28</v>
      </c>
      <c r="AH48" s="478">
        <f t="shared" si="27"/>
        <v>0</v>
      </c>
      <c r="AI48" s="478">
        <f t="shared" si="28"/>
        <v>0</v>
      </c>
      <c r="AJ48" s="493">
        <f t="shared" si="29"/>
        <v>0</v>
      </c>
      <c r="AK48" s="493">
        <f t="shared" ca="1" si="30"/>
        <v>0</v>
      </c>
      <c r="AL48" s="478">
        <f t="shared" ca="1" si="9"/>
        <v>0</v>
      </c>
      <c r="AM48" s="478">
        <f t="shared" ca="1" si="10"/>
        <v>0</v>
      </c>
      <c r="AN48" s="478">
        <f t="shared" si="31"/>
        <v>0</v>
      </c>
      <c r="AO48" s="478">
        <f t="shared" ca="1" si="11"/>
        <v>0</v>
      </c>
      <c r="AP48" s="478">
        <f>AN48*Données!$F$36</f>
        <v>0</v>
      </c>
      <c r="AQ48" s="478">
        <f>AN48*Données!$F$28</f>
        <v>0</v>
      </c>
      <c r="AR48" s="478">
        <f ca="1">IF(AO48=0,0,IF($E$7="C1",(AO48*$H$10),IF($E$7="C2",-AN48*Données!$G$36*$H$10,0)))</f>
        <v>0</v>
      </c>
      <c r="AS48" s="478">
        <f t="shared" ca="1" si="12"/>
        <v>0</v>
      </c>
      <c r="AT48" s="477">
        <f t="shared" si="32"/>
        <v>28</v>
      </c>
      <c r="AU48" s="478">
        <f t="shared" si="33"/>
        <v>0</v>
      </c>
      <c r="AV48" s="478">
        <f t="shared" si="34"/>
        <v>0</v>
      </c>
      <c r="AW48" s="493">
        <f t="shared" si="35"/>
        <v>0</v>
      </c>
      <c r="AX48" s="493">
        <f t="shared" si="36"/>
        <v>0</v>
      </c>
      <c r="AY48" s="478">
        <f t="shared" si="13"/>
        <v>0</v>
      </c>
    </row>
    <row r="49" spans="1:51">
      <c r="A49" s="477">
        <f t="shared" ca="1" si="14"/>
        <v>2055</v>
      </c>
      <c r="B49" s="478">
        <f t="shared" ca="1" si="15"/>
        <v>0</v>
      </c>
      <c r="C49" s="478">
        <f ca="1">IF(OR($C$7=Données!$H$51,$C$7=Données!$H$54,$C$7=Données!$H$55,$C$7=Données!$H$57),0,B49*$C$10)</f>
        <v>0</v>
      </c>
      <c r="D49" s="478">
        <f ca="1">IFERROR(IF($H$5="",B49*'CT à Transf'!$K$28,B49*$H$5),B49*$H$5)</f>
        <v>0</v>
      </c>
      <c r="E49" s="478">
        <f t="shared" ca="1" si="16"/>
        <v>0</v>
      </c>
      <c r="F49" s="478">
        <f t="shared" ca="1" si="1"/>
        <v>0</v>
      </c>
      <c r="G49" s="478">
        <f t="shared" ca="1" si="17"/>
        <v>0</v>
      </c>
      <c r="H49" s="478">
        <f t="shared" ca="1" si="2"/>
        <v>0</v>
      </c>
      <c r="J49" s="476"/>
      <c r="K49" s="477">
        <f t="shared" si="18"/>
        <v>29</v>
      </c>
      <c r="L49" s="478">
        <f t="shared" ca="1" si="0"/>
        <v>0</v>
      </c>
      <c r="M49" s="478">
        <f t="shared" ca="1" si="19"/>
        <v>0</v>
      </c>
      <c r="N49" s="478">
        <f ca="1">IF(OR($C$7=Données!$H$52,$C$7=Données!$H$53),(L49*$N$9)+((M49*$Q$8)*$Q$9),(L49+M49)*$N$8*$N$9)</f>
        <v>0</v>
      </c>
      <c r="O49" s="478">
        <f ca="1">IF(OR($C$7=Données!$H$52,$C$7=Données!$H$53),(L49*$H$10)+(M49*$Q$8*$H$10)-(M49*$Q$8*Données!$G$36*$H$10),((L49+M49)*$N$8*$H$10)-IF($K$8="Rente à titre onéreux imposable sur",(L49+M49)*$N$8*Données!$G$36*$H$10,(L49+M49)*$N$8*Données!$M$41*$H$10))</f>
        <v>0</v>
      </c>
      <c r="P49" s="478">
        <f t="shared" ca="1" si="3"/>
        <v>0</v>
      </c>
      <c r="Q49" s="478">
        <f t="shared" ca="1" si="20"/>
        <v>0</v>
      </c>
      <c r="S49" s="476"/>
      <c r="T49" s="477">
        <f t="shared" si="21"/>
        <v>29</v>
      </c>
      <c r="U49" s="478">
        <f t="shared" ca="1" si="22"/>
        <v>0</v>
      </c>
      <c r="V49" s="478">
        <f t="shared" ca="1" si="4"/>
        <v>0</v>
      </c>
      <c r="W49" s="493">
        <f t="shared" ca="1" si="23"/>
        <v>0</v>
      </c>
      <c r="X49" s="493">
        <f t="shared" ca="1" si="24"/>
        <v>0</v>
      </c>
      <c r="Y49" s="478">
        <f t="shared" ca="1" si="5"/>
        <v>0</v>
      </c>
      <c r="Z49" s="504">
        <f t="shared" ca="1" si="25"/>
        <v>0</v>
      </c>
      <c r="AA49" s="478">
        <f t="shared" ca="1" si="6"/>
        <v>0</v>
      </c>
      <c r="AB49" s="478">
        <f t="shared" ca="1" si="7"/>
        <v>0</v>
      </c>
      <c r="AC49" s="478">
        <f ca="1">AA49*Données!$F$36</f>
        <v>0</v>
      </c>
      <c r="AD49" s="478">
        <f ca="1">AA49*Données!$F$28</f>
        <v>0</v>
      </c>
      <c r="AE49" s="478">
        <f ca="1">IF(AB49=0,0,IF($E$7="C1",(AB49*$H$10),IF($E$7="C2",-AA49*Données!$G$36*$H$10,0)))</f>
        <v>0</v>
      </c>
      <c r="AF49" s="478">
        <f t="shared" ca="1" si="8"/>
        <v>0</v>
      </c>
      <c r="AG49" s="477">
        <f t="shared" si="26"/>
        <v>29</v>
      </c>
      <c r="AH49" s="478">
        <f t="shared" si="27"/>
        <v>0</v>
      </c>
      <c r="AI49" s="478">
        <f t="shared" si="28"/>
        <v>0</v>
      </c>
      <c r="AJ49" s="493">
        <f t="shared" si="29"/>
        <v>0</v>
      </c>
      <c r="AK49" s="493">
        <f t="shared" ca="1" si="30"/>
        <v>0</v>
      </c>
      <c r="AL49" s="478">
        <f t="shared" ca="1" si="9"/>
        <v>0</v>
      </c>
      <c r="AM49" s="478">
        <f t="shared" ca="1" si="10"/>
        <v>0</v>
      </c>
      <c r="AN49" s="478">
        <f t="shared" si="31"/>
        <v>0</v>
      </c>
      <c r="AO49" s="478">
        <f t="shared" ca="1" si="11"/>
        <v>0</v>
      </c>
      <c r="AP49" s="478">
        <f>AN49*Données!$F$36</f>
        <v>0</v>
      </c>
      <c r="AQ49" s="478">
        <f>AN49*Données!$F$28</f>
        <v>0</v>
      </c>
      <c r="AR49" s="478">
        <f ca="1">IF(AO49=0,0,IF($E$7="C1",(AO49*$H$10),IF($E$7="C2",-AN49*Données!$G$36*$H$10,0)))</f>
        <v>0</v>
      </c>
      <c r="AS49" s="478">
        <f t="shared" ca="1" si="12"/>
        <v>0</v>
      </c>
      <c r="AT49" s="477">
        <f t="shared" si="32"/>
        <v>29</v>
      </c>
      <c r="AU49" s="478">
        <f t="shared" si="33"/>
        <v>0</v>
      </c>
      <c r="AV49" s="478">
        <f t="shared" si="34"/>
        <v>0</v>
      </c>
      <c r="AW49" s="493">
        <f t="shared" si="35"/>
        <v>0</v>
      </c>
      <c r="AX49" s="493">
        <f t="shared" si="36"/>
        <v>0</v>
      </c>
      <c r="AY49" s="478">
        <f t="shared" si="13"/>
        <v>0</v>
      </c>
    </row>
    <row r="50" spans="1:51">
      <c r="A50" s="477">
        <f t="shared" ca="1" si="14"/>
        <v>2056</v>
      </c>
      <c r="B50" s="478">
        <f t="shared" ca="1" si="15"/>
        <v>0</v>
      </c>
      <c r="C50" s="478">
        <f ca="1">IF(OR($C$7=Données!$H$51,$C$7=Données!$H$54,$C$7=Données!$H$55,$C$7=Données!$H$57),0,B50*$C$10)</f>
        <v>0</v>
      </c>
      <c r="D50" s="478">
        <f ca="1">IFERROR(IF($H$5="",B50*'CT à Transf'!$K$28,B50*$H$5),B50*$H$5)</f>
        <v>0</v>
      </c>
      <c r="E50" s="478">
        <f t="shared" ca="1" si="16"/>
        <v>0</v>
      </c>
      <c r="F50" s="478">
        <f t="shared" ca="1" si="1"/>
        <v>0</v>
      </c>
      <c r="G50" s="478">
        <f t="shared" ca="1" si="17"/>
        <v>0</v>
      </c>
      <c r="H50" s="478">
        <f t="shared" ca="1" si="2"/>
        <v>0</v>
      </c>
      <c r="J50" s="476"/>
      <c r="K50" s="477">
        <f t="shared" si="18"/>
        <v>30</v>
      </c>
      <c r="L50" s="478">
        <f t="shared" ca="1" si="0"/>
        <v>0</v>
      </c>
      <c r="M50" s="478">
        <f t="shared" ca="1" si="19"/>
        <v>0</v>
      </c>
      <c r="N50" s="478">
        <f ca="1">IF(OR($C$7=Données!$H$52,$C$7=Données!$H$53),(L50*$N$9)+((M50*$Q$8)*$Q$9),(L50+M50)*$N$8*$N$9)</f>
        <v>0</v>
      </c>
      <c r="O50" s="478">
        <f ca="1">IF(OR($C$7=Données!$H$52,$C$7=Données!$H$53),(L50*$H$10)+(M50*$Q$8*$H$10)-(M50*$Q$8*Données!$G$36*$H$10),((L50+M50)*$N$8*$H$10)-IF($K$8="Rente à titre onéreux imposable sur",(L50+M50)*$N$8*Données!$G$36*$H$10,(L50+M50)*$N$8*Données!$M$41*$H$10))</f>
        <v>0</v>
      </c>
      <c r="P50" s="478">
        <f t="shared" ca="1" si="3"/>
        <v>0</v>
      </c>
      <c r="Q50" s="478">
        <f t="shared" ca="1" si="20"/>
        <v>0</v>
      </c>
      <c r="S50" s="476"/>
      <c r="T50" s="477">
        <f t="shared" si="21"/>
        <v>30</v>
      </c>
      <c r="U50" s="478">
        <f t="shared" ca="1" si="22"/>
        <v>0</v>
      </c>
      <c r="V50" s="478">
        <f t="shared" ca="1" si="4"/>
        <v>0</v>
      </c>
      <c r="W50" s="493">
        <f t="shared" ca="1" si="23"/>
        <v>0</v>
      </c>
      <c r="X50" s="493">
        <f t="shared" ca="1" si="24"/>
        <v>0</v>
      </c>
      <c r="Y50" s="478">
        <f t="shared" ca="1" si="5"/>
        <v>0</v>
      </c>
      <c r="Z50" s="504">
        <f t="shared" ca="1" si="25"/>
        <v>0</v>
      </c>
      <c r="AA50" s="478">
        <f t="shared" ca="1" si="6"/>
        <v>0</v>
      </c>
      <c r="AB50" s="478">
        <f t="shared" ca="1" si="7"/>
        <v>0</v>
      </c>
      <c r="AC50" s="478">
        <f ca="1">AA50*Données!$F$36</f>
        <v>0</v>
      </c>
      <c r="AD50" s="478">
        <f ca="1">AA50*Données!$F$28</f>
        <v>0</v>
      </c>
      <c r="AE50" s="478">
        <f ca="1">IF(AB50=0,0,IF($E$7="C1",(AB50*$H$10),IF($E$7="C2",-AA50*Données!$G$36*$H$10,0)))</f>
        <v>0</v>
      </c>
      <c r="AF50" s="478">
        <f t="shared" ca="1" si="8"/>
        <v>0</v>
      </c>
      <c r="AG50" s="477">
        <f t="shared" si="26"/>
        <v>30</v>
      </c>
      <c r="AH50" s="478">
        <f t="shared" si="27"/>
        <v>0</v>
      </c>
      <c r="AI50" s="478">
        <f t="shared" si="28"/>
        <v>0</v>
      </c>
      <c r="AJ50" s="493">
        <f t="shared" si="29"/>
        <v>0</v>
      </c>
      <c r="AK50" s="493">
        <f t="shared" ca="1" si="30"/>
        <v>0</v>
      </c>
      <c r="AL50" s="478">
        <f t="shared" ca="1" si="9"/>
        <v>0</v>
      </c>
      <c r="AM50" s="478">
        <f t="shared" ca="1" si="10"/>
        <v>0</v>
      </c>
      <c r="AN50" s="478">
        <f t="shared" si="31"/>
        <v>0</v>
      </c>
      <c r="AO50" s="478">
        <f t="shared" ca="1" si="11"/>
        <v>0</v>
      </c>
      <c r="AP50" s="478">
        <f>AN50*Données!$F$36</f>
        <v>0</v>
      </c>
      <c r="AQ50" s="478">
        <f>AN50*Données!$F$28</f>
        <v>0</v>
      </c>
      <c r="AR50" s="478">
        <f ca="1">IF(AO50=0,0,IF($E$7="C1",(AO50*$H$10),IF($E$7="C2",-AN50*Données!$G$36*$H$10,0)))</f>
        <v>0</v>
      </c>
      <c r="AS50" s="478">
        <f t="shared" ca="1" si="12"/>
        <v>0</v>
      </c>
      <c r="AT50" s="477">
        <f t="shared" si="32"/>
        <v>30</v>
      </c>
      <c r="AU50" s="478">
        <f t="shared" si="33"/>
        <v>0</v>
      </c>
      <c r="AV50" s="478">
        <f t="shared" si="34"/>
        <v>0</v>
      </c>
      <c r="AW50" s="493">
        <f t="shared" si="35"/>
        <v>0</v>
      </c>
      <c r="AX50" s="493">
        <f t="shared" si="36"/>
        <v>0</v>
      </c>
      <c r="AY50" s="478">
        <f t="shared" si="13"/>
        <v>0</v>
      </c>
    </row>
    <row r="51" spans="1:51">
      <c r="A51" s="477">
        <f t="shared" ca="1" si="14"/>
        <v>2057</v>
      </c>
      <c r="B51" s="478">
        <f t="shared" ca="1" si="15"/>
        <v>0</v>
      </c>
      <c r="C51" s="478">
        <f ca="1">IF(OR($C$7=Données!$H$51,$C$7=Données!$H$54,$C$7=Données!$H$55,$C$7=Données!$H$57),0,B51*$C$10)</f>
        <v>0</v>
      </c>
      <c r="D51" s="478">
        <f ca="1">IFERROR(IF($H$5="",B51*'CT à Transf'!$K$28,B51*$H$5),B51*$H$5)</f>
        <v>0</v>
      </c>
      <c r="E51" s="478">
        <f t="shared" ca="1" si="16"/>
        <v>0</v>
      </c>
      <c r="F51" s="478">
        <f t="shared" ca="1" si="1"/>
        <v>0</v>
      </c>
      <c r="G51" s="478">
        <f t="shared" ca="1" si="17"/>
        <v>0</v>
      </c>
      <c r="H51" s="478">
        <f t="shared" ca="1" si="2"/>
        <v>0</v>
      </c>
      <c r="J51" s="476"/>
      <c r="K51" s="477">
        <f t="shared" si="18"/>
        <v>31</v>
      </c>
      <c r="L51" s="478">
        <f t="shared" ca="1" si="0"/>
        <v>0</v>
      </c>
      <c r="M51" s="478">
        <f t="shared" ca="1" si="19"/>
        <v>0</v>
      </c>
      <c r="N51" s="478">
        <f ca="1">IF(OR($C$7=Données!$H$52,$C$7=Données!$H$53),(L51*$N$9)+((M51*$Q$8)*$Q$9),(L51+M51)*$N$8*$N$9)</f>
        <v>0</v>
      </c>
      <c r="O51" s="478">
        <f ca="1">IF(OR($C$7=Données!$H$52,$C$7=Données!$H$53),(L51*$H$10)+(M51*$Q$8*$H$10)-(M51*$Q$8*Données!$G$36*$H$10),((L51+M51)*$N$8*$H$10)-IF($K$8="Rente à titre onéreux imposable sur",(L51+M51)*$N$8*Données!$G$36*$H$10,(L51+M51)*$N$8*Données!$M$41*$H$10))</f>
        <v>0</v>
      </c>
      <c r="P51" s="478">
        <f t="shared" ca="1" si="3"/>
        <v>0</v>
      </c>
      <c r="Q51" s="478">
        <f t="shared" ca="1" si="20"/>
        <v>0</v>
      </c>
      <c r="S51" s="476"/>
      <c r="T51" s="477">
        <f t="shared" si="21"/>
        <v>31</v>
      </c>
      <c r="U51" s="478">
        <f t="shared" ca="1" si="22"/>
        <v>0</v>
      </c>
      <c r="V51" s="478">
        <f t="shared" ca="1" si="4"/>
        <v>0</v>
      </c>
      <c r="W51" s="493">
        <f t="shared" ca="1" si="23"/>
        <v>0</v>
      </c>
      <c r="X51" s="493">
        <f t="shared" ca="1" si="24"/>
        <v>0</v>
      </c>
      <c r="Y51" s="478">
        <f t="shared" ca="1" si="5"/>
        <v>0</v>
      </c>
      <c r="Z51" s="504">
        <f t="shared" ca="1" si="25"/>
        <v>0</v>
      </c>
      <c r="AA51" s="478">
        <f t="shared" ca="1" si="6"/>
        <v>0</v>
      </c>
      <c r="AB51" s="478">
        <f t="shared" ca="1" si="7"/>
        <v>0</v>
      </c>
      <c r="AC51" s="478">
        <f ca="1">AA51*Données!$F$36</f>
        <v>0</v>
      </c>
      <c r="AD51" s="478">
        <f ca="1">AA51*Données!$F$28</f>
        <v>0</v>
      </c>
      <c r="AE51" s="478">
        <f ca="1">IF(AB51=0,0,IF($E$7="C1",(AB51*$H$10),IF($E$7="C2",-AA51*Données!$G$36*$H$10,0)))</f>
        <v>0</v>
      </c>
      <c r="AF51" s="478">
        <f t="shared" ca="1" si="8"/>
        <v>0</v>
      </c>
      <c r="AG51" s="477">
        <f t="shared" si="26"/>
        <v>31</v>
      </c>
      <c r="AH51" s="478">
        <f t="shared" si="27"/>
        <v>0</v>
      </c>
      <c r="AI51" s="478">
        <f t="shared" si="28"/>
        <v>0</v>
      </c>
      <c r="AJ51" s="493">
        <f t="shared" si="29"/>
        <v>0</v>
      </c>
      <c r="AK51" s="493">
        <f t="shared" ca="1" si="30"/>
        <v>0</v>
      </c>
      <c r="AL51" s="478">
        <f t="shared" ca="1" si="9"/>
        <v>0</v>
      </c>
      <c r="AM51" s="478">
        <f t="shared" ca="1" si="10"/>
        <v>0</v>
      </c>
      <c r="AN51" s="478">
        <f t="shared" si="31"/>
        <v>0</v>
      </c>
      <c r="AO51" s="478">
        <f t="shared" ca="1" si="11"/>
        <v>0</v>
      </c>
      <c r="AP51" s="478">
        <f>AN51*Données!$F$36</f>
        <v>0</v>
      </c>
      <c r="AQ51" s="478">
        <f>AN51*Données!$F$28</f>
        <v>0</v>
      </c>
      <c r="AR51" s="478">
        <f ca="1">IF(AO51=0,0,IF($E$7="C1",(AO51*$H$10),IF($E$7="C2",-AN51*Données!$G$36*$H$10,0)))</f>
        <v>0</v>
      </c>
      <c r="AS51" s="478">
        <f t="shared" ca="1" si="12"/>
        <v>0</v>
      </c>
      <c r="AT51" s="477">
        <f t="shared" si="32"/>
        <v>31</v>
      </c>
      <c r="AU51" s="478">
        <f t="shared" si="33"/>
        <v>0</v>
      </c>
      <c r="AV51" s="478">
        <f t="shared" si="34"/>
        <v>0</v>
      </c>
      <c r="AW51" s="493">
        <f t="shared" si="35"/>
        <v>0</v>
      </c>
      <c r="AX51" s="493">
        <f t="shared" si="36"/>
        <v>0</v>
      </c>
      <c r="AY51" s="478">
        <f t="shared" si="13"/>
        <v>0</v>
      </c>
    </row>
    <row r="52" spans="1:51">
      <c r="A52" s="477">
        <f t="shared" ca="1" si="14"/>
        <v>2058</v>
      </c>
      <c r="B52" s="478">
        <f t="shared" ca="1" si="15"/>
        <v>0</v>
      </c>
      <c r="C52" s="478">
        <f ca="1">IF(OR($C$7=Données!$H$51,$C$7=Données!$H$54,$C$7=Données!$H$55,$C$7=Données!$H$57),0,B52*$C$10)</f>
        <v>0</v>
      </c>
      <c r="D52" s="478">
        <f ca="1">IFERROR(IF($H$5="",B52*'CT à Transf'!$K$28,B52*$H$5),B52*$H$5)</f>
        <v>0</v>
      </c>
      <c r="E52" s="478">
        <f t="shared" ca="1" si="16"/>
        <v>0</v>
      </c>
      <c r="F52" s="478">
        <f t="shared" ca="1" si="1"/>
        <v>0</v>
      </c>
      <c r="G52" s="478">
        <f t="shared" ca="1" si="17"/>
        <v>0</v>
      </c>
      <c r="H52" s="478">
        <f t="shared" ca="1" si="2"/>
        <v>0</v>
      </c>
      <c r="J52" s="476"/>
      <c r="K52" s="477">
        <f t="shared" si="18"/>
        <v>32</v>
      </c>
      <c r="L52" s="478">
        <f t="shared" ref="L52:L83" ca="1" si="37">IFERROR($O$13*(($H$13-$H$14)/$H$13),0)</f>
        <v>0</v>
      </c>
      <c r="M52" s="478">
        <f t="shared" ca="1" si="19"/>
        <v>0</v>
      </c>
      <c r="N52" s="478">
        <f ca="1">IF(OR($C$7=Données!$H$52,$C$7=Données!$H$53),(L52*$N$9)+((M52*$Q$8)*$Q$9),(L52+M52)*$N$8*$N$9)</f>
        <v>0</v>
      </c>
      <c r="O52" s="478">
        <f ca="1">IF(OR($C$7=Données!$H$52,$C$7=Données!$H$53),(L52*$H$10)+(M52*$Q$8*$H$10)-(M52*$Q$8*Données!$G$36*$H$10),((L52+M52)*$N$8*$H$10)-IF($K$8="Rente à titre onéreux imposable sur",(L52+M52)*$N$8*Données!$G$36*$H$10,(L52+M52)*$N$8*Données!$M$41*$H$10))</f>
        <v>0</v>
      </c>
      <c r="P52" s="478">
        <f t="shared" ca="1" si="3"/>
        <v>0</v>
      </c>
      <c r="Q52" s="478">
        <f t="shared" ca="1" si="20"/>
        <v>0</v>
      </c>
      <c r="S52" s="476"/>
      <c r="T52" s="477">
        <f t="shared" si="21"/>
        <v>32</v>
      </c>
      <c r="U52" s="478">
        <f t="shared" ca="1" si="22"/>
        <v>0</v>
      </c>
      <c r="V52" s="478">
        <f t="shared" ca="1" si="4"/>
        <v>0</v>
      </c>
      <c r="W52" s="493">
        <f t="shared" ca="1" si="23"/>
        <v>0</v>
      </c>
      <c r="X52" s="493">
        <f t="shared" ca="1" si="24"/>
        <v>0</v>
      </c>
      <c r="Y52" s="478">
        <f t="shared" ca="1" si="5"/>
        <v>0</v>
      </c>
      <c r="Z52" s="504">
        <f t="shared" ca="1" si="25"/>
        <v>0</v>
      </c>
      <c r="AA52" s="478">
        <f t="shared" ca="1" si="6"/>
        <v>0</v>
      </c>
      <c r="AB52" s="478">
        <f t="shared" ca="1" si="7"/>
        <v>0</v>
      </c>
      <c r="AC52" s="478">
        <f ca="1">AA52*Données!$F$36</f>
        <v>0</v>
      </c>
      <c r="AD52" s="478">
        <f ca="1">AA52*Données!$F$28</f>
        <v>0</v>
      </c>
      <c r="AE52" s="478">
        <f ca="1">IF(AB52=0,0,IF($E$7="C1",(AB52*$H$10),IF($E$7="C2",-AA52*Données!$G$36*$H$10,0)))</f>
        <v>0</v>
      </c>
      <c r="AF52" s="478">
        <f t="shared" ca="1" si="8"/>
        <v>0</v>
      </c>
      <c r="AG52" s="477">
        <f t="shared" si="26"/>
        <v>32</v>
      </c>
      <c r="AH52" s="478">
        <f t="shared" si="27"/>
        <v>0</v>
      </c>
      <c r="AI52" s="478">
        <f t="shared" si="28"/>
        <v>0</v>
      </c>
      <c r="AJ52" s="493">
        <f t="shared" si="29"/>
        <v>0</v>
      </c>
      <c r="AK52" s="493">
        <f t="shared" ca="1" si="30"/>
        <v>0</v>
      </c>
      <c r="AL52" s="478">
        <f t="shared" ca="1" si="9"/>
        <v>0</v>
      </c>
      <c r="AM52" s="478">
        <f t="shared" ca="1" si="10"/>
        <v>0</v>
      </c>
      <c r="AN52" s="478">
        <f t="shared" si="31"/>
        <v>0</v>
      </c>
      <c r="AO52" s="478">
        <f t="shared" ca="1" si="11"/>
        <v>0</v>
      </c>
      <c r="AP52" s="478">
        <f>AN52*Données!$F$36</f>
        <v>0</v>
      </c>
      <c r="AQ52" s="478">
        <f>AN52*Données!$F$28</f>
        <v>0</v>
      </c>
      <c r="AR52" s="478">
        <f ca="1">IF(AO52=0,0,IF($E$7="C1",(AO52*$H$10),IF($E$7="C2",-AN52*Données!$G$36*$H$10,0)))</f>
        <v>0</v>
      </c>
      <c r="AS52" s="478">
        <f t="shared" ca="1" si="12"/>
        <v>0</v>
      </c>
      <c r="AT52" s="477">
        <f t="shared" si="32"/>
        <v>32</v>
      </c>
      <c r="AU52" s="478">
        <f t="shared" si="33"/>
        <v>0</v>
      </c>
      <c r="AV52" s="478">
        <f t="shared" si="34"/>
        <v>0</v>
      </c>
      <c r="AW52" s="493">
        <f t="shared" si="35"/>
        <v>0</v>
      </c>
      <c r="AX52" s="493">
        <f t="shared" si="36"/>
        <v>0</v>
      </c>
      <c r="AY52" s="478">
        <f t="shared" si="13"/>
        <v>0</v>
      </c>
    </row>
    <row r="53" spans="1:51">
      <c r="A53" s="477">
        <f t="shared" ca="1" si="14"/>
        <v>2059</v>
      </c>
      <c r="B53" s="478">
        <f t="shared" ca="1" si="15"/>
        <v>0</v>
      </c>
      <c r="C53" s="478">
        <f ca="1">IF(OR($C$7=Données!$H$51,$C$7=Données!$H$54,$C$7=Données!$H$55,$C$7=Données!$H$57),0,B53*$C$10)</f>
        <v>0</v>
      </c>
      <c r="D53" s="478">
        <f ca="1">IFERROR(IF($H$5="",B53*'CT à Transf'!$K$28,B53*$H$5),B53*$H$5)</f>
        <v>0</v>
      </c>
      <c r="E53" s="478">
        <f t="shared" ca="1" si="16"/>
        <v>0</v>
      </c>
      <c r="F53" s="478">
        <f t="shared" ca="1" si="1"/>
        <v>0</v>
      </c>
      <c r="G53" s="478">
        <f t="shared" ca="1" si="17"/>
        <v>0</v>
      </c>
      <c r="H53" s="478">
        <f t="shared" ca="1" si="2"/>
        <v>0</v>
      </c>
      <c r="J53" s="476"/>
      <c r="K53" s="477">
        <f t="shared" si="18"/>
        <v>33</v>
      </c>
      <c r="L53" s="478">
        <f t="shared" ca="1" si="37"/>
        <v>0</v>
      </c>
      <c r="M53" s="478">
        <f t="shared" ca="1" si="19"/>
        <v>0</v>
      </c>
      <c r="N53" s="478">
        <f ca="1">IF(OR($C$7=Données!$H$52,$C$7=Données!$H$53),(L53*$N$9)+((M53*$Q$8)*$Q$9),(L53+M53)*$N$8*$N$9)</f>
        <v>0</v>
      </c>
      <c r="O53" s="478">
        <f ca="1">IF(OR($C$7=Données!$H$52,$C$7=Données!$H$53),(L53*$H$10)+(M53*$Q$8*$H$10)-(M53*$Q$8*Données!$G$36*$H$10),((L53+M53)*$N$8*$H$10)-IF($K$8="Rente à titre onéreux imposable sur",(L53+M53)*$N$8*Données!$G$36*$H$10,(L53+M53)*$N$8*Données!$M$41*$H$10))</f>
        <v>0</v>
      </c>
      <c r="P53" s="478">
        <f t="shared" ca="1" si="3"/>
        <v>0</v>
      </c>
      <c r="Q53" s="478">
        <f t="shared" ca="1" si="20"/>
        <v>0</v>
      </c>
      <c r="S53" s="476"/>
      <c r="T53" s="477">
        <f t="shared" si="21"/>
        <v>33</v>
      </c>
      <c r="U53" s="478">
        <f t="shared" ca="1" si="22"/>
        <v>0</v>
      </c>
      <c r="V53" s="478">
        <f t="shared" ca="1" si="4"/>
        <v>0</v>
      </c>
      <c r="W53" s="493">
        <f t="shared" ca="1" si="23"/>
        <v>0</v>
      </c>
      <c r="X53" s="493">
        <f t="shared" ca="1" si="24"/>
        <v>0</v>
      </c>
      <c r="Y53" s="478">
        <f t="shared" ca="1" si="5"/>
        <v>0</v>
      </c>
      <c r="Z53" s="504">
        <f t="shared" ca="1" si="25"/>
        <v>0</v>
      </c>
      <c r="AA53" s="478">
        <f t="shared" ca="1" si="6"/>
        <v>0</v>
      </c>
      <c r="AB53" s="478">
        <f t="shared" ca="1" si="7"/>
        <v>0</v>
      </c>
      <c r="AC53" s="478">
        <f ca="1">AA53*Données!$F$36</f>
        <v>0</v>
      </c>
      <c r="AD53" s="478">
        <f ca="1">AA53*Données!$F$28</f>
        <v>0</v>
      </c>
      <c r="AE53" s="478">
        <f ca="1">IF(AB53=0,0,IF($E$7="C1",(AB53*$H$10),IF($E$7="C2",-AA53*Données!$G$36*$H$10,0)))</f>
        <v>0</v>
      </c>
      <c r="AF53" s="478">
        <f t="shared" ca="1" si="8"/>
        <v>0</v>
      </c>
      <c r="AG53" s="477">
        <f t="shared" si="26"/>
        <v>33</v>
      </c>
      <c r="AH53" s="478">
        <f t="shared" si="27"/>
        <v>0</v>
      </c>
      <c r="AI53" s="478">
        <f t="shared" si="28"/>
        <v>0</v>
      </c>
      <c r="AJ53" s="493">
        <f t="shared" si="29"/>
        <v>0</v>
      </c>
      <c r="AK53" s="493">
        <f t="shared" ca="1" si="30"/>
        <v>0</v>
      </c>
      <c r="AL53" s="478">
        <f t="shared" ca="1" si="9"/>
        <v>0</v>
      </c>
      <c r="AM53" s="478">
        <f t="shared" ca="1" si="10"/>
        <v>0</v>
      </c>
      <c r="AN53" s="478">
        <f t="shared" si="31"/>
        <v>0</v>
      </c>
      <c r="AO53" s="478">
        <f t="shared" ca="1" si="11"/>
        <v>0</v>
      </c>
      <c r="AP53" s="478">
        <f>AN53*Données!$F$36</f>
        <v>0</v>
      </c>
      <c r="AQ53" s="478">
        <f>AN53*Données!$F$28</f>
        <v>0</v>
      </c>
      <c r="AR53" s="478">
        <f ca="1">IF(AO53=0,0,IF($E$7="C1",(AO53*$H$10),IF($E$7="C2",-AN53*Données!$G$36*$H$10,0)))</f>
        <v>0</v>
      </c>
      <c r="AS53" s="478">
        <f t="shared" ca="1" si="12"/>
        <v>0</v>
      </c>
      <c r="AT53" s="477">
        <f t="shared" si="32"/>
        <v>33</v>
      </c>
      <c r="AU53" s="478">
        <f t="shared" si="33"/>
        <v>0</v>
      </c>
      <c r="AV53" s="478">
        <f t="shared" si="34"/>
        <v>0</v>
      </c>
      <c r="AW53" s="493">
        <f t="shared" si="35"/>
        <v>0</v>
      </c>
      <c r="AX53" s="493">
        <f t="shared" si="36"/>
        <v>0</v>
      </c>
      <c r="AY53" s="478">
        <f t="shared" si="13"/>
        <v>0</v>
      </c>
    </row>
    <row r="54" spans="1:51">
      <c r="A54" s="477">
        <f t="shared" ca="1" si="14"/>
        <v>2060</v>
      </c>
      <c r="B54" s="478">
        <f t="shared" ca="1" si="15"/>
        <v>0</v>
      </c>
      <c r="C54" s="478">
        <f ca="1">IF(OR($C$7=Données!$H$51,$C$7=Données!$H$54,$C$7=Données!$H$55,$C$7=Données!$H$57),0,B54*$C$10)</f>
        <v>0</v>
      </c>
      <c r="D54" s="478">
        <f ca="1">IFERROR(IF($H$5="",B54*'CT à Transf'!$K$28,B54*$H$5),B54*$H$5)</f>
        <v>0</v>
      </c>
      <c r="E54" s="478">
        <f t="shared" ca="1" si="16"/>
        <v>0</v>
      </c>
      <c r="F54" s="478">
        <f t="shared" ca="1" si="1"/>
        <v>0</v>
      </c>
      <c r="G54" s="478">
        <f t="shared" ca="1" si="17"/>
        <v>0</v>
      </c>
      <c r="H54" s="478">
        <f t="shared" ca="1" si="2"/>
        <v>0</v>
      </c>
      <c r="J54" s="476"/>
      <c r="K54" s="477">
        <f t="shared" si="18"/>
        <v>34</v>
      </c>
      <c r="L54" s="478">
        <f t="shared" ca="1" si="37"/>
        <v>0</v>
      </c>
      <c r="M54" s="478">
        <f t="shared" ca="1" si="19"/>
        <v>0</v>
      </c>
      <c r="N54" s="478">
        <f ca="1">IF(OR($C$7=Données!$H$52,$C$7=Données!$H$53),(L54*$N$9)+((M54*$Q$8)*$Q$9),(L54+M54)*$N$8*$N$9)</f>
        <v>0</v>
      </c>
      <c r="O54" s="478">
        <f ca="1">IF(OR($C$7=Données!$H$52,$C$7=Données!$H$53),(L54*$H$10)+(M54*$Q$8*$H$10)-(M54*$Q$8*Données!$G$36*$H$10),((L54+M54)*$N$8*$H$10)-IF($K$8="Rente à titre onéreux imposable sur",(L54+M54)*$N$8*Données!$G$36*$H$10,(L54+M54)*$N$8*Données!$M$41*$H$10))</f>
        <v>0</v>
      </c>
      <c r="P54" s="478">
        <f t="shared" ca="1" si="3"/>
        <v>0</v>
      </c>
      <c r="Q54" s="478">
        <f t="shared" ca="1" si="20"/>
        <v>0</v>
      </c>
      <c r="S54" s="476"/>
      <c r="T54" s="477">
        <f t="shared" si="21"/>
        <v>34</v>
      </c>
      <c r="U54" s="478">
        <f t="shared" ca="1" si="22"/>
        <v>0</v>
      </c>
      <c r="V54" s="478">
        <f t="shared" ca="1" si="4"/>
        <v>0</v>
      </c>
      <c r="W54" s="493">
        <f t="shared" ca="1" si="23"/>
        <v>0</v>
      </c>
      <c r="X54" s="493">
        <f t="shared" ca="1" si="24"/>
        <v>0</v>
      </c>
      <c r="Y54" s="478">
        <f t="shared" ca="1" si="5"/>
        <v>0</v>
      </c>
      <c r="Z54" s="504">
        <f t="shared" ca="1" si="25"/>
        <v>0</v>
      </c>
      <c r="AA54" s="478">
        <f t="shared" ca="1" si="6"/>
        <v>0</v>
      </c>
      <c r="AB54" s="478">
        <f t="shared" ca="1" si="7"/>
        <v>0</v>
      </c>
      <c r="AC54" s="478">
        <f ca="1">AA54*Données!$F$36</f>
        <v>0</v>
      </c>
      <c r="AD54" s="478">
        <f ca="1">AA54*Données!$F$28</f>
        <v>0</v>
      </c>
      <c r="AE54" s="478">
        <f ca="1">IF(AB54=0,0,IF($E$7="C1",(AB54*$H$10),IF($E$7="C2",-AA54*Données!$G$36*$H$10,0)))</f>
        <v>0</v>
      </c>
      <c r="AF54" s="478">
        <f t="shared" ca="1" si="8"/>
        <v>0</v>
      </c>
      <c r="AG54" s="477">
        <f t="shared" si="26"/>
        <v>34</v>
      </c>
      <c r="AH54" s="478">
        <f t="shared" si="27"/>
        <v>0</v>
      </c>
      <c r="AI54" s="478">
        <f t="shared" si="28"/>
        <v>0</v>
      </c>
      <c r="AJ54" s="493">
        <f t="shared" si="29"/>
        <v>0</v>
      </c>
      <c r="AK54" s="493">
        <f t="shared" ca="1" si="30"/>
        <v>0</v>
      </c>
      <c r="AL54" s="478">
        <f t="shared" ca="1" si="9"/>
        <v>0</v>
      </c>
      <c r="AM54" s="478">
        <f t="shared" ca="1" si="10"/>
        <v>0</v>
      </c>
      <c r="AN54" s="478">
        <f t="shared" si="31"/>
        <v>0</v>
      </c>
      <c r="AO54" s="478">
        <f t="shared" ca="1" si="11"/>
        <v>0</v>
      </c>
      <c r="AP54" s="478">
        <f>AN54*Données!$F$36</f>
        <v>0</v>
      </c>
      <c r="AQ54" s="478">
        <f>AN54*Données!$F$28</f>
        <v>0</v>
      </c>
      <c r="AR54" s="478">
        <f ca="1">IF(AO54=0,0,IF($E$7="C1",(AO54*$H$10),IF($E$7="C2",-AN54*Données!$G$36*$H$10,0)))</f>
        <v>0</v>
      </c>
      <c r="AS54" s="478">
        <f t="shared" ca="1" si="12"/>
        <v>0</v>
      </c>
      <c r="AT54" s="477">
        <f t="shared" si="32"/>
        <v>34</v>
      </c>
      <c r="AU54" s="478">
        <f t="shared" si="33"/>
        <v>0</v>
      </c>
      <c r="AV54" s="478">
        <f t="shared" si="34"/>
        <v>0</v>
      </c>
      <c r="AW54" s="493">
        <f t="shared" si="35"/>
        <v>0</v>
      </c>
      <c r="AX54" s="493">
        <f t="shared" si="36"/>
        <v>0</v>
      </c>
      <c r="AY54" s="478">
        <f t="shared" si="13"/>
        <v>0</v>
      </c>
    </row>
    <row r="55" spans="1:51">
      <c r="A55" s="477">
        <f t="shared" ca="1" si="14"/>
        <v>2061</v>
      </c>
      <c r="B55" s="478">
        <f t="shared" ca="1" si="15"/>
        <v>0</v>
      </c>
      <c r="C55" s="478">
        <f ca="1">IF(OR($C$7=Données!$H$51,$C$7=Données!$H$54,$C$7=Données!$H$55,$C$7=Données!$H$57),0,B55*$C$10)</f>
        <v>0</v>
      </c>
      <c r="D55" s="478">
        <f ca="1">IFERROR(IF($H$5="",B55*'CT à Transf'!$K$28,B55*$H$5),B55*$H$5)</f>
        <v>0</v>
      </c>
      <c r="E55" s="478">
        <f t="shared" ca="1" si="16"/>
        <v>0</v>
      </c>
      <c r="F55" s="478">
        <f t="shared" ca="1" si="1"/>
        <v>0</v>
      </c>
      <c r="G55" s="478">
        <f t="shared" ca="1" si="17"/>
        <v>0</v>
      </c>
      <c r="H55" s="478">
        <f t="shared" ca="1" si="2"/>
        <v>0</v>
      </c>
      <c r="J55" s="476"/>
      <c r="K55" s="477">
        <f t="shared" si="18"/>
        <v>35</v>
      </c>
      <c r="L55" s="478">
        <f t="shared" ca="1" si="37"/>
        <v>0</v>
      </c>
      <c r="M55" s="478">
        <f t="shared" ca="1" si="19"/>
        <v>0</v>
      </c>
      <c r="N55" s="478">
        <f ca="1">IF(OR($C$7=Données!$H$52,$C$7=Données!$H$53),(L55*$N$9)+((M55*$Q$8)*$Q$9),(L55+M55)*$N$8*$N$9)</f>
        <v>0</v>
      </c>
      <c r="O55" s="478">
        <f ca="1">IF(OR($C$7=Données!$H$52,$C$7=Données!$H$53),(L55*$H$10)+(M55*$Q$8*$H$10)-(M55*$Q$8*Données!$G$36*$H$10),((L55+M55)*$N$8*$H$10)-IF($K$8="Rente à titre onéreux imposable sur",(L55+M55)*$N$8*Données!$G$36*$H$10,(L55+M55)*$N$8*Données!$M$41*$H$10))</f>
        <v>0</v>
      </c>
      <c r="P55" s="478">
        <f t="shared" ca="1" si="3"/>
        <v>0</v>
      </c>
      <c r="Q55" s="478">
        <f t="shared" ca="1" si="20"/>
        <v>0</v>
      </c>
      <c r="S55" s="476"/>
      <c r="T55" s="477">
        <f t="shared" si="21"/>
        <v>35</v>
      </c>
      <c r="U55" s="478">
        <f t="shared" ca="1" si="22"/>
        <v>0</v>
      </c>
      <c r="V55" s="478">
        <f t="shared" ca="1" si="4"/>
        <v>0</v>
      </c>
      <c r="W55" s="493">
        <f t="shared" ca="1" si="23"/>
        <v>0</v>
      </c>
      <c r="X55" s="493">
        <f t="shared" ca="1" si="24"/>
        <v>0</v>
      </c>
      <c r="Y55" s="478">
        <f t="shared" ca="1" si="5"/>
        <v>0</v>
      </c>
      <c r="Z55" s="504">
        <f t="shared" ca="1" si="25"/>
        <v>0</v>
      </c>
      <c r="AA55" s="478">
        <f t="shared" ca="1" si="6"/>
        <v>0</v>
      </c>
      <c r="AB55" s="478">
        <f t="shared" ca="1" si="7"/>
        <v>0</v>
      </c>
      <c r="AC55" s="478">
        <f ca="1">AA55*Données!$F$36</f>
        <v>0</v>
      </c>
      <c r="AD55" s="478">
        <f ca="1">AA55*Données!$F$28</f>
        <v>0</v>
      </c>
      <c r="AE55" s="478">
        <f ca="1">IF(AB55=0,0,IF($E$7="C1",(AB55*$H$10),IF($E$7="C2",-AA55*Données!$G$36*$H$10,0)))</f>
        <v>0</v>
      </c>
      <c r="AF55" s="478">
        <f t="shared" ca="1" si="8"/>
        <v>0</v>
      </c>
      <c r="AG55" s="477">
        <f t="shared" si="26"/>
        <v>35</v>
      </c>
      <c r="AH55" s="478">
        <f t="shared" si="27"/>
        <v>0</v>
      </c>
      <c r="AI55" s="478">
        <f t="shared" si="28"/>
        <v>0</v>
      </c>
      <c r="AJ55" s="493">
        <f t="shared" si="29"/>
        <v>0</v>
      </c>
      <c r="AK55" s="493">
        <f t="shared" ca="1" si="30"/>
        <v>0</v>
      </c>
      <c r="AL55" s="478">
        <f t="shared" ca="1" si="9"/>
        <v>0</v>
      </c>
      <c r="AM55" s="478">
        <f t="shared" ca="1" si="10"/>
        <v>0</v>
      </c>
      <c r="AN55" s="478">
        <f t="shared" si="31"/>
        <v>0</v>
      </c>
      <c r="AO55" s="478">
        <f t="shared" ca="1" si="11"/>
        <v>0</v>
      </c>
      <c r="AP55" s="478">
        <f>AN55*Données!$F$36</f>
        <v>0</v>
      </c>
      <c r="AQ55" s="478">
        <f>AN55*Données!$F$28</f>
        <v>0</v>
      </c>
      <c r="AR55" s="478">
        <f ca="1">IF(AO55=0,0,IF($E$7="C1",(AO55*$H$10),IF($E$7="C2",-AN55*Données!$G$36*$H$10,0)))</f>
        <v>0</v>
      </c>
      <c r="AS55" s="478">
        <f t="shared" ca="1" si="12"/>
        <v>0</v>
      </c>
      <c r="AT55" s="477">
        <f t="shared" si="32"/>
        <v>35</v>
      </c>
      <c r="AU55" s="478">
        <f t="shared" si="33"/>
        <v>0</v>
      </c>
      <c r="AV55" s="478">
        <f t="shared" si="34"/>
        <v>0</v>
      </c>
      <c r="AW55" s="493">
        <f t="shared" si="35"/>
        <v>0</v>
      </c>
      <c r="AX55" s="493">
        <f t="shared" si="36"/>
        <v>0</v>
      </c>
      <c r="AY55" s="478">
        <f t="shared" si="13"/>
        <v>0</v>
      </c>
    </row>
    <row r="56" spans="1:51">
      <c r="A56" s="477">
        <f t="shared" ca="1" si="14"/>
        <v>2062</v>
      </c>
      <c r="B56" s="478">
        <f t="shared" ca="1" si="15"/>
        <v>0</v>
      </c>
      <c r="C56" s="478">
        <f ca="1">IF(OR($C$7=Données!$H$51,$C$7=Données!$H$54,$C$7=Données!$H$55,$C$7=Données!$H$57),0,B56*$C$10)</f>
        <v>0</v>
      </c>
      <c r="D56" s="478">
        <f ca="1">IFERROR(IF($H$5="",B56*'CT à Transf'!$K$28,B56*$H$5),B56*$H$5)</f>
        <v>0</v>
      </c>
      <c r="E56" s="478">
        <f t="shared" ca="1" si="16"/>
        <v>0</v>
      </c>
      <c r="F56" s="478">
        <f t="shared" ca="1" si="1"/>
        <v>0</v>
      </c>
      <c r="G56" s="478">
        <f t="shared" ca="1" si="17"/>
        <v>0</v>
      </c>
      <c r="H56" s="478">
        <f t="shared" ca="1" si="2"/>
        <v>0</v>
      </c>
      <c r="J56" s="476"/>
      <c r="K56" s="477">
        <f t="shared" si="18"/>
        <v>36</v>
      </c>
      <c r="L56" s="478">
        <f t="shared" ca="1" si="37"/>
        <v>0</v>
      </c>
      <c r="M56" s="478">
        <f t="shared" ca="1" si="19"/>
        <v>0</v>
      </c>
      <c r="N56" s="478">
        <f ca="1">IF(OR($C$7=Données!$H$52,$C$7=Données!$H$53),(L56*$N$9)+((M56*$Q$8)*$Q$9),(L56+M56)*$N$8*$N$9)</f>
        <v>0</v>
      </c>
      <c r="O56" s="478">
        <f ca="1">IF(OR($C$7=Données!$H$52,$C$7=Données!$H$53),(L56*$H$10)+(M56*$Q$8*$H$10)-(M56*$Q$8*Données!$G$36*$H$10),((L56+M56)*$N$8*$H$10)-IF($K$8="Rente à titre onéreux imposable sur",(L56+M56)*$N$8*Données!$G$36*$H$10,(L56+M56)*$N$8*Données!$M$41*$H$10))</f>
        <v>0</v>
      </c>
      <c r="P56" s="478">
        <f t="shared" ca="1" si="3"/>
        <v>0</v>
      </c>
      <c r="Q56" s="478">
        <f t="shared" ca="1" si="20"/>
        <v>0</v>
      </c>
      <c r="S56" s="476"/>
      <c r="T56" s="477">
        <f t="shared" si="21"/>
        <v>36</v>
      </c>
      <c r="U56" s="478">
        <f t="shared" ca="1" si="22"/>
        <v>0</v>
      </c>
      <c r="V56" s="478">
        <f t="shared" ca="1" si="4"/>
        <v>0</v>
      </c>
      <c r="W56" s="493">
        <f t="shared" ca="1" si="23"/>
        <v>0</v>
      </c>
      <c r="X56" s="493">
        <f t="shared" ca="1" si="24"/>
        <v>0</v>
      </c>
      <c r="Y56" s="478">
        <f t="shared" ca="1" si="5"/>
        <v>0</v>
      </c>
      <c r="Z56" s="504">
        <f t="shared" ca="1" si="25"/>
        <v>0</v>
      </c>
      <c r="AA56" s="478">
        <f t="shared" ca="1" si="6"/>
        <v>0</v>
      </c>
      <c r="AB56" s="478">
        <f t="shared" ca="1" si="7"/>
        <v>0</v>
      </c>
      <c r="AC56" s="478">
        <f ca="1">AA56*Données!$F$36</f>
        <v>0</v>
      </c>
      <c r="AD56" s="478">
        <f ca="1">AA56*Données!$F$28</f>
        <v>0</v>
      </c>
      <c r="AE56" s="478">
        <f ca="1">IF(AB56=0,0,IF($E$7="C1",(AB56*$H$10),IF($E$7="C2",-AA56*Données!$G$36*$H$10,0)))</f>
        <v>0</v>
      </c>
      <c r="AF56" s="478">
        <f t="shared" ca="1" si="8"/>
        <v>0</v>
      </c>
      <c r="AG56" s="477">
        <f t="shared" si="26"/>
        <v>36</v>
      </c>
      <c r="AH56" s="478">
        <f t="shared" si="27"/>
        <v>0</v>
      </c>
      <c r="AI56" s="478">
        <f t="shared" si="28"/>
        <v>0</v>
      </c>
      <c r="AJ56" s="493">
        <f t="shared" si="29"/>
        <v>0</v>
      </c>
      <c r="AK56" s="493">
        <f t="shared" ca="1" si="30"/>
        <v>0</v>
      </c>
      <c r="AL56" s="478">
        <f t="shared" ca="1" si="9"/>
        <v>0</v>
      </c>
      <c r="AM56" s="478">
        <f t="shared" ca="1" si="10"/>
        <v>0</v>
      </c>
      <c r="AN56" s="478">
        <f t="shared" si="31"/>
        <v>0</v>
      </c>
      <c r="AO56" s="478">
        <f t="shared" ca="1" si="11"/>
        <v>0</v>
      </c>
      <c r="AP56" s="478">
        <f>AN56*Données!$F$36</f>
        <v>0</v>
      </c>
      <c r="AQ56" s="478">
        <f>AN56*Données!$F$28</f>
        <v>0</v>
      </c>
      <c r="AR56" s="478">
        <f ca="1">IF(AO56=0,0,IF($E$7="C1",(AO56*$H$10),IF($E$7="C2",-AN56*Données!$G$36*$H$10,0)))</f>
        <v>0</v>
      </c>
      <c r="AS56" s="478">
        <f t="shared" ca="1" si="12"/>
        <v>0</v>
      </c>
      <c r="AT56" s="477">
        <f t="shared" si="32"/>
        <v>36</v>
      </c>
      <c r="AU56" s="478">
        <f t="shared" si="33"/>
        <v>0</v>
      </c>
      <c r="AV56" s="478">
        <f t="shared" si="34"/>
        <v>0</v>
      </c>
      <c r="AW56" s="493">
        <f t="shared" si="35"/>
        <v>0</v>
      </c>
      <c r="AX56" s="493">
        <f t="shared" si="36"/>
        <v>0</v>
      </c>
      <c r="AY56" s="478">
        <f t="shared" si="13"/>
        <v>0</v>
      </c>
    </row>
    <row r="57" spans="1:51">
      <c r="A57" s="477">
        <f t="shared" ca="1" si="14"/>
        <v>2063</v>
      </c>
      <c r="B57" s="478">
        <f t="shared" ca="1" si="15"/>
        <v>0</v>
      </c>
      <c r="C57" s="478">
        <f ca="1">IF(OR($C$7=Données!$H$51,$C$7=Données!$H$54,$C$7=Données!$H$55,$C$7=Données!$H$57),0,B57*$C$10)</f>
        <v>0</v>
      </c>
      <c r="D57" s="478">
        <f ca="1">IFERROR(IF($H$5="",B57*'CT à Transf'!$K$28,B57*$H$5),B57*$H$5)</f>
        <v>0</v>
      </c>
      <c r="E57" s="478">
        <f t="shared" ca="1" si="16"/>
        <v>0</v>
      </c>
      <c r="F57" s="478">
        <f t="shared" ca="1" si="1"/>
        <v>0</v>
      </c>
      <c r="G57" s="478">
        <f t="shared" ca="1" si="17"/>
        <v>0</v>
      </c>
      <c r="H57" s="478">
        <f t="shared" ca="1" si="2"/>
        <v>0</v>
      </c>
      <c r="J57" s="476"/>
      <c r="K57" s="477">
        <f t="shared" si="18"/>
        <v>37</v>
      </c>
      <c r="L57" s="478">
        <f t="shared" ca="1" si="37"/>
        <v>0</v>
      </c>
      <c r="M57" s="478">
        <f t="shared" ca="1" si="19"/>
        <v>0</v>
      </c>
      <c r="N57" s="478">
        <f ca="1">IF(OR($C$7=Données!$H$52,$C$7=Données!$H$53),(L57*$N$9)+((M57*$Q$8)*$Q$9),(L57+M57)*$N$8*$N$9)</f>
        <v>0</v>
      </c>
      <c r="O57" s="478">
        <f ca="1">IF(OR($C$7=Données!$H$52,$C$7=Données!$H$53),(L57*$H$10)+(M57*$Q$8*$H$10)-(M57*$Q$8*Données!$G$36*$H$10),((L57+M57)*$N$8*$H$10)-IF($K$8="Rente à titre onéreux imposable sur",(L57+M57)*$N$8*Données!$G$36*$H$10,(L57+M57)*$N$8*Données!$M$41*$H$10))</f>
        <v>0</v>
      </c>
      <c r="P57" s="478">
        <f t="shared" ca="1" si="3"/>
        <v>0</v>
      </c>
      <c r="Q57" s="478">
        <f t="shared" ca="1" si="20"/>
        <v>0</v>
      </c>
      <c r="S57" s="476"/>
      <c r="T57" s="477">
        <f t="shared" si="21"/>
        <v>37</v>
      </c>
      <c r="U57" s="478">
        <f t="shared" ca="1" si="22"/>
        <v>0</v>
      </c>
      <c r="V57" s="478">
        <f t="shared" ca="1" si="4"/>
        <v>0</v>
      </c>
      <c r="W57" s="493">
        <f t="shared" ca="1" si="23"/>
        <v>0</v>
      </c>
      <c r="X57" s="493">
        <f t="shared" ca="1" si="24"/>
        <v>0</v>
      </c>
      <c r="Y57" s="478">
        <f t="shared" ca="1" si="5"/>
        <v>0</v>
      </c>
      <c r="Z57" s="504">
        <f t="shared" ca="1" si="25"/>
        <v>0</v>
      </c>
      <c r="AA57" s="478">
        <f t="shared" ca="1" si="6"/>
        <v>0</v>
      </c>
      <c r="AB57" s="478">
        <f t="shared" ca="1" si="7"/>
        <v>0</v>
      </c>
      <c r="AC57" s="478">
        <f ca="1">AA57*Données!$F$36</f>
        <v>0</v>
      </c>
      <c r="AD57" s="478">
        <f ca="1">AA57*Données!$F$28</f>
        <v>0</v>
      </c>
      <c r="AE57" s="478">
        <f ca="1">IF(AB57=0,0,IF($E$7="C1",(AB57*$H$10),IF($E$7="C2",-AA57*Données!$G$36*$H$10,0)))</f>
        <v>0</v>
      </c>
      <c r="AF57" s="478">
        <f t="shared" ca="1" si="8"/>
        <v>0</v>
      </c>
      <c r="AG57" s="477">
        <f t="shared" si="26"/>
        <v>37</v>
      </c>
      <c r="AH57" s="478">
        <f t="shared" si="27"/>
        <v>0</v>
      </c>
      <c r="AI57" s="478">
        <f t="shared" si="28"/>
        <v>0</v>
      </c>
      <c r="AJ57" s="493">
        <f t="shared" si="29"/>
        <v>0</v>
      </c>
      <c r="AK57" s="493">
        <f t="shared" ca="1" si="30"/>
        <v>0</v>
      </c>
      <c r="AL57" s="478">
        <f t="shared" ca="1" si="9"/>
        <v>0</v>
      </c>
      <c r="AM57" s="478">
        <f t="shared" ca="1" si="10"/>
        <v>0</v>
      </c>
      <c r="AN57" s="478">
        <f t="shared" si="31"/>
        <v>0</v>
      </c>
      <c r="AO57" s="478">
        <f t="shared" ca="1" si="11"/>
        <v>0</v>
      </c>
      <c r="AP57" s="478">
        <f>AN57*Données!$F$36</f>
        <v>0</v>
      </c>
      <c r="AQ57" s="478">
        <f>AN57*Données!$F$28</f>
        <v>0</v>
      </c>
      <c r="AR57" s="478">
        <f ca="1">IF(AO57=0,0,IF($E$7="C1",(AO57*$H$10),IF($E$7="C2",-AN57*Données!$G$36*$H$10,0)))</f>
        <v>0</v>
      </c>
      <c r="AS57" s="478">
        <f t="shared" ca="1" si="12"/>
        <v>0</v>
      </c>
      <c r="AT57" s="477">
        <f t="shared" si="32"/>
        <v>37</v>
      </c>
      <c r="AU57" s="478">
        <f t="shared" si="33"/>
        <v>0</v>
      </c>
      <c r="AV57" s="478">
        <f t="shared" si="34"/>
        <v>0</v>
      </c>
      <c r="AW57" s="493">
        <f t="shared" si="35"/>
        <v>0</v>
      </c>
      <c r="AX57" s="493">
        <f t="shared" si="36"/>
        <v>0</v>
      </c>
      <c r="AY57" s="478">
        <f t="shared" si="13"/>
        <v>0</v>
      </c>
    </row>
    <row r="58" spans="1:51">
      <c r="A58" s="477">
        <f t="shared" ca="1" si="14"/>
        <v>2064</v>
      </c>
      <c r="B58" s="478">
        <f t="shared" ca="1" si="15"/>
        <v>0</v>
      </c>
      <c r="C58" s="478">
        <f ca="1">IF(OR($C$7=Données!$H$51,$C$7=Données!$H$54,$C$7=Données!$H$55,$C$7=Données!$H$57),0,B58*$C$10)</f>
        <v>0</v>
      </c>
      <c r="D58" s="478">
        <f ca="1">IFERROR(IF($H$5="",B58*'CT à Transf'!$K$28,B58*$H$5),B58*$H$5)</f>
        <v>0</v>
      </c>
      <c r="E58" s="478">
        <f t="shared" ca="1" si="16"/>
        <v>0</v>
      </c>
      <c r="F58" s="478">
        <f t="shared" ca="1" si="1"/>
        <v>0</v>
      </c>
      <c r="G58" s="478">
        <f t="shared" ca="1" si="17"/>
        <v>0</v>
      </c>
      <c r="H58" s="478">
        <f t="shared" ca="1" si="2"/>
        <v>0</v>
      </c>
      <c r="J58" s="476"/>
      <c r="K58" s="477">
        <f t="shared" si="18"/>
        <v>38</v>
      </c>
      <c r="L58" s="478">
        <f t="shared" ca="1" si="37"/>
        <v>0</v>
      </c>
      <c r="M58" s="478">
        <f t="shared" ca="1" si="19"/>
        <v>0</v>
      </c>
      <c r="N58" s="478">
        <f ca="1">IF(OR($C$7=Données!$H$52,$C$7=Données!$H$53),(L58*$N$9)+((M58*$Q$8)*$Q$9),(L58+M58)*$N$8*$N$9)</f>
        <v>0</v>
      </c>
      <c r="O58" s="478">
        <f ca="1">IF(OR($C$7=Données!$H$52,$C$7=Données!$H$53),(L58*$H$10)+(M58*$Q$8*$H$10)-(M58*$Q$8*Données!$G$36*$H$10),((L58+M58)*$N$8*$H$10)-IF($K$8="Rente à titre onéreux imposable sur",(L58+M58)*$N$8*Données!$G$36*$H$10,(L58+M58)*$N$8*Données!$M$41*$H$10))</f>
        <v>0</v>
      </c>
      <c r="P58" s="478">
        <f t="shared" ca="1" si="3"/>
        <v>0</v>
      </c>
      <c r="Q58" s="478">
        <f t="shared" ca="1" si="20"/>
        <v>0</v>
      </c>
      <c r="S58" s="476"/>
      <c r="T58" s="477">
        <f t="shared" si="21"/>
        <v>38</v>
      </c>
      <c r="U58" s="478">
        <f t="shared" ca="1" si="22"/>
        <v>0</v>
      </c>
      <c r="V58" s="478">
        <f t="shared" ca="1" si="4"/>
        <v>0</v>
      </c>
      <c r="W58" s="493">
        <f t="shared" ca="1" si="23"/>
        <v>0</v>
      </c>
      <c r="X58" s="493">
        <f t="shared" ca="1" si="24"/>
        <v>0</v>
      </c>
      <c r="Y58" s="478">
        <f t="shared" ca="1" si="5"/>
        <v>0</v>
      </c>
      <c r="Z58" s="504">
        <f t="shared" ca="1" si="25"/>
        <v>0</v>
      </c>
      <c r="AA58" s="478">
        <f t="shared" ca="1" si="6"/>
        <v>0</v>
      </c>
      <c r="AB58" s="478">
        <f t="shared" ca="1" si="7"/>
        <v>0</v>
      </c>
      <c r="AC58" s="478">
        <f ca="1">AA58*Données!$F$36</f>
        <v>0</v>
      </c>
      <c r="AD58" s="478">
        <f ca="1">AA58*Données!$F$28</f>
        <v>0</v>
      </c>
      <c r="AE58" s="478">
        <f ca="1">IF(AB58=0,0,IF($E$7="C1",(AB58*$H$10),IF($E$7="C2",-AA58*Données!$G$36*$H$10,0)))</f>
        <v>0</v>
      </c>
      <c r="AF58" s="478">
        <f t="shared" ca="1" si="8"/>
        <v>0</v>
      </c>
      <c r="AG58" s="477">
        <f t="shared" si="26"/>
        <v>38</v>
      </c>
      <c r="AH58" s="478">
        <f t="shared" si="27"/>
        <v>0</v>
      </c>
      <c r="AI58" s="478">
        <f t="shared" si="28"/>
        <v>0</v>
      </c>
      <c r="AJ58" s="493">
        <f t="shared" si="29"/>
        <v>0</v>
      </c>
      <c r="AK58" s="493">
        <f t="shared" ca="1" si="30"/>
        <v>0</v>
      </c>
      <c r="AL58" s="478">
        <f t="shared" ca="1" si="9"/>
        <v>0</v>
      </c>
      <c r="AM58" s="478">
        <f t="shared" ca="1" si="10"/>
        <v>0</v>
      </c>
      <c r="AN58" s="478">
        <f t="shared" si="31"/>
        <v>0</v>
      </c>
      <c r="AO58" s="478">
        <f t="shared" ca="1" si="11"/>
        <v>0</v>
      </c>
      <c r="AP58" s="478">
        <f>AN58*Données!$F$36</f>
        <v>0</v>
      </c>
      <c r="AQ58" s="478">
        <f>AN58*Données!$F$28</f>
        <v>0</v>
      </c>
      <c r="AR58" s="478">
        <f ca="1">IF(AO58=0,0,IF($E$7="C1",(AO58*$H$10),IF($E$7="C2",-AN58*Données!$G$36*$H$10,0)))</f>
        <v>0</v>
      </c>
      <c r="AS58" s="478">
        <f t="shared" ca="1" si="12"/>
        <v>0</v>
      </c>
      <c r="AT58" s="477">
        <f t="shared" si="32"/>
        <v>38</v>
      </c>
      <c r="AU58" s="478">
        <f t="shared" si="33"/>
        <v>0</v>
      </c>
      <c r="AV58" s="478">
        <f t="shared" si="34"/>
        <v>0</v>
      </c>
      <c r="AW58" s="493">
        <f t="shared" si="35"/>
        <v>0</v>
      </c>
      <c r="AX58" s="493">
        <f t="shared" si="36"/>
        <v>0</v>
      </c>
      <c r="AY58" s="478">
        <f t="shared" si="13"/>
        <v>0</v>
      </c>
    </row>
    <row r="59" spans="1:51">
      <c r="A59" s="477">
        <f t="shared" ca="1" si="14"/>
        <v>2065</v>
      </c>
      <c r="B59" s="478">
        <f t="shared" ca="1" si="15"/>
        <v>0</v>
      </c>
      <c r="C59" s="478">
        <f ca="1">IF(OR($C$7=Données!$H$51,$C$7=Données!$H$54,$C$7=Données!$H$55,$C$7=Données!$H$57),0,B59*$C$10)</f>
        <v>0</v>
      </c>
      <c r="D59" s="478">
        <f ca="1">IFERROR(IF($H$5="",B59*'CT à Transf'!$K$28,B59*$H$5),B59*$H$5)</f>
        <v>0</v>
      </c>
      <c r="E59" s="478">
        <f t="shared" ca="1" si="16"/>
        <v>0</v>
      </c>
      <c r="F59" s="478">
        <f t="shared" ca="1" si="1"/>
        <v>0</v>
      </c>
      <c r="G59" s="478">
        <f t="shared" ca="1" si="17"/>
        <v>0</v>
      </c>
      <c r="H59" s="478">
        <f t="shared" ca="1" si="2"/>
        <v>0</v>
      </c>
      <c r="J59" s="476"/>
      <c r="K59" s="477">
        <f t="shared" si="18"/>
        <v>39</v>
      </c>
      <c r="L59" s="478">
        <f t="shared" ca="1" si="37"/>
        <v>0</v>
      </c>
      <c r="M59" s="478">
        <f t="shared" ca="1" si="19"/>
        <v>0</v>
      </c>
      <c r="N59" s="478">
        <f ca="1">IF(OR($C$7=Données!$H$52,$C$7=Données!$H$53),(L59*$N$9)+((M59*$Q$8)*$Q$9),(L59+M59)*$N$8*$N$9)</f>
        <v>0</v>
      </c>
      <c r="O59" s="478">
        <f ca="1">IF(OR($C$7=Données!$H$52,$C$7=Données!$H$53),(L59*$H$10)+(M59*$Q$8*$H$10)-(M59*$Q$8*Données!$G$36*$H$10),((L59+M59)*$N$8*$H$10)-IF($K$8="Rente à titre onéreux imposable sur",(L59+M59)*$N$8*Données!$G$36*$H$10,(L59+M59)*$N$8*Données!$M$41*$H$10))</f>
        <v>0</v>
      </c>
      <c r="P59" s="478">
        <f t="shared" ca="1" si="3"/>
        <v>0</v>
      </c>
      <c r="Q59" s="478">
        <f t="shared" ca="1" si="20"/>
        <v>0</v>
      </c>
      <c r="S59" s="476"/>
      <c r="T59" s="477">
        <f t="shared" si="21"/>
        <v>39</v>
      </c>
      <c r="U59" s="478">
        <f t="shared" ca="1" si="22"/>
        <v>0</v>
      </c>
      <c r="V59" s="478">
        <f t="shared" ca="1" si="4"/>
        <v>0</v>
      </c>
      <c r="W59" s="493">
        <f t="shared" ca="1" si="23"/>
        <v>0</v>
      </c>
      <c r="X59" s="493">
        <f t="shared" ca="1" si="24"/>
        <v>0</v>
      </c>
      <c r="Y59" s="478">
        <f t="shared" ca="1" si="5"/>
        <v>0</v>
      </c>
      <c r="Z59" s="504">
        <f t="shared" ca="1" si="25"/>
        <v>0</v>
      </c>
      <c r="AA59" s="478">
        <f t="shared" ca="1" si="6"/>
        <v>0</v>
      </c>
      <c r="AB59" s="478">
        <f t="shared" ca="1" si="7"/>
        <v>0</v>
      </c>
      <c r="AC59" s="478">
        <f ca="1">AA59*Données!$F$36</f>
        <v>0</v>
      </c>
      <c r="AD59" s="478">
        <f ca="1">AA59*Données!$F$28</f>
        <v>0</v>
      </c>
      <c r="AE59" s="478">
        <f ca="1">IF(AB59=0,0,IF($E$7="C1",(AB59*$H$10),IF($E$7="C2",-AA59*Données!$G$36*$H$10,0)))</f>
        <v>0</v>
      </c>
      <c r="AF59" s="478">
        <f t="shared" ca="1" si="8"/>
        <v>0</v>
      </c>
      <c r="AG59" s="477">
        <f t="shared" si="26"/>
        <v>39</v>
      </c>
      <c r="AH59" s="478">
        <f t="shared" si="27"/>
        <v>0</v>
      </c>
      <c r="AI59" s="478">
        <f t="shared" si="28"/>
        <v>0</v>
      </c>
      <c r="AJ59" s="493">
        <f t="shared" si="29"/>
        <v>0</v>
      </c>
      <c r="AK59" s="493">
        <f t="shared" ca="1" si="30"/>
        <v>0</v>
      </c>
      <c r="AL59" s="478">
        <f t="shared" ca="1" si="9"/>
        <v>0</v>
      </c>
      <c r="AM59" s="478">
        <f t="shared" ca="1" si="10"/>
        <v>0</v>
      </c>
      <c r="AN59" s="478">
        <f t="shared" si="31"/>
        <v>0</v>
      </c>
      <c r="AO59" s="478">
        <f t="shared" ca="1" si="11"/>
        <v>0</v>
      </c>
      <c r="AP59" s="478">
        <f>AN59*Données!$F$36</f>
        <v>0</v>
      </c>
      <c r="AQ59" s="478">
        <f>AN59*Données!$F$28</f>
        <v>0</v>
      </c>
      <c r="AR59" s="478">
        <f ca="1">IF(AO59=0,0,IF($E$7="C1",(AO59*$H$10),IF($E$7="C2",-AN59*Données!$G$36*$H$10,0)))</f>
        <v>0</v>
      </c>
      <c r="AS59" s="478">
        <f t="shared" ca="1" si="12"/>
        <v>0</v>
      </c>
      <c r="AT59" s="477">
        <f t="shared" si="32"/>
        <v>39</v>
      </c>
      <c r="AU59" s="478">
        <f t="shared" si="33"/>
        <v>0</v>
      </c>
      <c r="AV59" s="478">
        <f t="shared" si="34"/>
        <v>0</v>
      </c>
      <c r="AW59" s="493">
        <f t="shared" si="35"/>
        <v>0</v>
      </c>
      <c r="AX59" s="493">
        <f t="shared" si="36"/>
        <v>0</v>
      </c>
      <c r="AY59" s="478">
        <f t="shared" si="13"/>
        <v>0</v>
      </c>
    </row>
    <row r="60" spans="1:51">
      <c r="A60" s="477">
        <f t="shared" ca="1" si="14"/>
        <v>2066</v>
      </c>
      <c r="B60" s="478">
        <f t="shared" ca="1" si="15"/>
        <v>0</v>
      </c>
      <c r="C60" s="478">
        <f ca="1">IF(OR($C$7=Données!$H$51,$C$7=Données!$H$54,$C$7=Données!$H$55,$C$7=Données!$H$57),0,B60*$C$10)</f>
        <v>0</v>
      </c>
      <c r="D60" s="478">
        <f ca="1">IFERROR(IF($H$5="",B60*'CT à Transf'!$K$28,B60*$H$5),B60*$H$5)</f>
        <v>0</v>
      </c>
      <c r="E60" s="478">
        <f t="shared" ca="1" si="16"/>
        <v>0</v>
      </c>
      <c r="F60" s="478">
        <f t="shared" ca="1" si="1"/>
        <v>0</v>
      </c>
      <c r="G60" s="478">
        <f t="shared" ca="1" si="17"/>
        <v>0</v>
      </c>
      <c r="H60" s="478">
        <f t="shared" ca="1" si="2"/>
        <v>0</v>
      </c>
      <c r="J60" s="476"/>
      <c r="K60" s="477">
        <f t="shared" si="18"/>
        <v>40</v>
      </c>
      <c r="L60" s="478">
        <f t="shared" ca="1" si="37"/>
        <v>0</v>
      </c>
      <c r="M60" s="478">
        <f t="shared" ca="1" si="19"/>
        <v>0</v>
      </c>
      <c r="N60" s="478">
        <f ca="1">IF(OR($C$7=Données!$H$52,$C$7=Données!$H$53),(L60*$N$9)+((M60*$Q$8)*$Q$9),(L60+M60)*$N$8*$N$9)</f>
        <v>0</v>
      </c>
      <c r="O60" s="478">
        <f ca="1">IF(OR($C$7=Données!$H$52,$C$7=Données!$H$53),(L60*$H$10)+(M60*$Q$8*$H$10)-(M60*$Q$8*Données!$G$36*$H$10),((L60+M60)*$N$8*$H$10)-IF($K$8="Rente à titre onéreux imposable sur",(L60+M60)*$N$8*Données!$G$36*$H$10,(L60+M60)*$N$8*Données!$M$41*$H$10))</f>
        <v>0</v>
      </c>
      <c r="P60" s="478">
        <f t="shared" ca="1" si="3"/>
        <v>0</v>
      </c>
      <c r="Q60" s="478">
        <f t="shared" ca="1" si="20"/>
        <v>0</v>
      </c>
      <c r="S60" s="476"/>
      <c r="T60" s="477">
        <f t="shared" si="21"/>
        <v>40</v>
      </c>
      <c r="U60" s="478">
        <f t="shared" ca="1" si="22"/>
        <v>0</v>
      </c>
      <c r="V60" s="478">
        <f t="shared" ca="1" si="4"/>
        <v>0</v>
      </c>
      <c r="W60" s="493">
        <f t="shared" ca="1" si="23"/>
        <v>0</v>
      </c>
      <c r="X60" s="493">
        <f t="shared" ca="1" si="24"/>
        <v>0</v>
      </c>
      <c r="Y60" s="478">
        <f t="shared" ca="1" si="5"/>
        <v>0</v>
      </c>
      <c r="Z60" s="504">
        <f t="shared" ca="1" si="25"/>
        <v>0</v>
      </c>
      <c r="AA60" s="478">
        <f t="shared" ca="1" si="6"/>
        <v>0</v>
      </c>
      <c r="AB60" s="478">
        <f t="shared" ca="1" si="7"/>
        <v>0</v>
      </c>
      <c r="AC60" s="478">
        <f ca="1">AA60*Données!$F$36</f>
        <v>0</v>
      </c>
      <c r="AD60" s="478">
        <f ca="1">AA60*Données!$F$28</f>
        <v>0</v>
      </c>
      <c r="AE60" s="478">
        <f ca="1">IF(AB60=0,0,IF($E$7="C1",(AB60*$H$10),IF($E$7="C2",-AA60*Données!$G$36*$H$10,0)))</f>
        <v>0</v>
      </c>
      <c r="AF60" s="478">
        <f t="shared" ca="1" si="8"/>
        <v>0</v>
      </c>
      <c r="AG60" s="477">
        <f t="shared" si="26"/>
        <v>40</v>
      </c>
      <c r="AH60" s="478">
        <f t="shared" si="27"/>
        <v>0</v>
      </c>
      <c r="AI60" s="478">
        <f t="shared" si="28"/>
        <v>0</v>
      </c>
      <c r="AJ60" s="493">
        <f t="shared" si="29"/>
        <v>0</v>
      </c>
      <c r="AK60" s="493">
        <f t="shared" ca="1" si="30"/>
        <v>0</v>
      </c>
      <c r="AL60" s="478">
        <f t="shared" ca="1" si="9"/>
        <v>0</v>
      </c>
      <c r="AM60" s="478">
        <f t="shared" ca="1" si="10"/>
        <v>0</v>
      </c>
      <c r="AN60" s="478">
        <f t="shared" si="31"/>
        <v>0</v>
      </c>
      <c r="AO60" s="478">
        <f t="shared" ca="1" si="11"/>
        <v>0</v>
      </c>
      <c r="AP60" s="478">
        <f>AN60*Données!$F$36</f>
        <v>0</v>
      </c>
      <c r="AQ60" s="478">
        <f>AN60*Données!$F$28</f>
        <v>0</v>
      </c>
      <c r="AR60" s="478">
        <f ca="1">IF(AO60=0,0,IF($E$7="C1",(AO60*$H$10),IF($E$7="C2",-AN60*Données!$G$36*$H$10,0)))</f>
        <v>0</v>
      </c>
      <c r="AS60" s="478">
        <f t="shared" ca="1" si="12"/>
        <v>0</v>
      </c>
      <c r="AT60" s="477">
        <f t="shared" si="32"/>
        <v>40</v>
      </c>
      <c r="AU60" s="478">
        <f t="shared" si="33"/>
        <v>0</v>
      </c>
      <c r="AV60" s="478">
        <f t="shared" si="34"/>
        <v>0</v>
      </c>
      <c r="AW60" s="493">
        <f t="shared" si="35"/>
        <v>0</v>
      </c>
      <c r="AX60" s="493">
        <f t="shared" si="36"/>
        <v>0</v>
      </c>
      <c r="AY60" s="478">
        <f t="shared" si="13"/>
        <v>0</v>
      </c>
    </row>
    <row r="61" spans="1:51">
      <c r="A61" s="477">
        <f t="shared" ca="1" si="14"/>
        <v>2067</v>
      </c>
      <c r="B61" s="478">
        <f t="shared" ca="1" si="15"/>
        <v>0</v>
      </c>
      <c r="C61" s="478">
        <f ca="1">IF(OR($C$7=Données!$H$51,$C$7=Données!$H$54,$C$7=Données!$H$55,$C$7=Données!$H$57),0,B61*$C$10)</f>
        <v>0</v>
      </c>
      <c r="D61" s="478">
        <f ca="1">IFERROR(IF($H$5="",B61*'CT à Transf'!$K$28,B61*$H$5),B61*$H$5)</f>
        <v>0</v>
      </c>
      <c r="E61" s="478">
        <f t="shared" ca="1" si="16"/>
        <v>0</v>
      </c>
      <c r="F61" s="478">
        <f t="shared" ca="1" si="1"/>
        <v>0</v>
      </c>
      <c r="G61" s="478">
        <f t="shared" ca="1" si="17"/>
        <v>0</v>
      </c>
      <c r="H61" s="478">
        <f t="shared" ca="1" si="2"/>
        <v>0</v>
      </c>
      <c r="J61" s="476"/>
      <c r="K61" s="477">
        <f t="shared" si="18"/>
        <v>41</v>
      </c>
      <c r="L61" s="478">
        <f t="shared" ca="1" si="37"/>
        <v>0</v>
      </c>
      <c r="M61" s="478">
        <f t="shared" ca="1" si="19"/>
        <v>0</v>
      </c>
      <c r="N61" s="478">
        <f ca="1">IF(OR($C$7=Données!$H$52,$C$7=Données!$H$53),(L61*$N$9)+((M61*$Q$8)*$Q$9),(L61+M61)*$N$8*$N$9)</f>
        <v>0</v>
      </c>
      <c r="O61" s="478">
        <f ca="1">IF(OR($C$7=Données!$H$52,$C$7=Données!$H$53),(L61*$H$10)+(M61*$Q$8*$H$10)-(M61*$Q$8*Données!$G$36*$H$10),((L61+M61)*$N$8*$H$10)-IF($K$8="Rente à titre onéreux imposable sur",(L61+M61)*$N$8*Données!$G$36*$H$10,(L61+M61)*$N$8*Données!$M$41*$H$10))</f>
        <v>0</v>
      </c>
      <c r="P61" s="478">
        <f t="shared" ca="1" si="3"/>
        <v>0</v>
      </c>
      <c r="Q61" s="478">
        <f t="shared" ca="1" si="20"/>
        <v>0</v>
      </c>
      <c r="S61" s="476"/>
      <c r="T61" s="477">
        <f t="shared" si="21"/>
        <v>41</v>
      </c>
      <c r="U61" s="478">
        <f t="shared" ca="1" si="22"/>
        <v>0</v>
      </c>
      <c r="V61" s="478">
        <f t="shared" ca="1" si="4"/>
        <v>0</v>
      </c>
      <c r="W61" s="493">
        <f t="shared" ca="1" si="23"/>
        <v>0</v>
      </c>
      <c r="X61" s="493">
        <f t="shared" ca="1" si="24"/>
        <v>0</v>
      </c>
      <c r="Y61" s="478">
        <f t="shared" ca="1" si="5"/>
        <v>0</v>
      </c>
      <c r="Z61" s="504">
        <f t="shared" ca="1" si="25"/>
        <v>0</v>
      </c>
      <c r="AA61" s="478">
        <f t="shared" ca="1" si="6"/>
        <v>0</v>
      </c>
      <c r="AB61" s="478">
        <f t="shared" ca="1" si="7"/>
        <v>0</v>
      </c>
      <c r="AC61" s="478">
        <f ca="1">AA61*Données!$F$36</f>
        <v>0</v>
      </c>
      <c r="AD61" s="478">
        <f ca="1">AA61*Données!$F$28</f>
        <v>0</v>
      </c>
      <c r="AE61" s="478">
        <f ca="1">IF(AB61=0,0,IF($E$7="C1",(AB61*$H$10),IF($E$7="C2",-AA61*Données!$G$36*$H$10,0)))</f>
        <v>0</v>
      </c>
      <c r="AF61" s="478">
        <f t="shared" ca="1" si="8"/>
        <v>0</v>
      </c>
      <c r="AG61" s="477">
        <f t="shared" si="26"/>
        <v>41</v>
      </c>
      <c r="AH61" s="478">
        <f t="shared" si="27"/>
        <v>0</v>
      </c>
      <c r="AI61" s="478">
        <f t="shared" si="28"/>
        <v>0</v>
      </c>
      <c r="AJ61" s="493">
        <f t="shared" si="29"/>
        <v>0</v>
      </c>
      <c r="AK61" s="493">
        <f t="shared" ca="1" si="30"/>
        <v>0</v>
      </c>
      <c r="AL61" s="478">
        <f t="shared" ca="1" si="9"/>
        <v>0</v>
      </c>
      <c r="AM61" s="478">
        <f t="shared" ca="1" si="10"/>
        <v>0</v>
      </c>
      <c r="AN61" s="478">
        <f t="shared" si="31"/>
        <v>0</v>
      </c>
      <c r="AO61" s="478">
        <f t="shared" ca="1" si="11"/>
        <v>0</v>
      </c>
      <c r="AP61" s="478">
        <f>AN61*Données!$F$36</f>
        <v>0</v>
      </c>
      <c r="AQ61" s="478">
        <f>AN61*Données!$F$28</f>
        <v>0</v>
      </c>
      <c r="AR61" s="478">
        <f ca="1">IF(AO61=0,0,IF($E$7="C1",(AO61*$H$10),IF($E$7="C2",-AN61*Données!$G$36*$H$10,0)))</f>
        <v>0</v>
      </c>
      <c r="AS61" s="478">
        <f t="shared" ca="1" si="12"/>
        <v>0</v>
      </c>
      <c r="AT61" s="477">
        <f t="shared" si="32"/>
        <v>41</v>
      </c>
      <c r="AU61" s="478">
        <f t="shared" si="33"/>
        <v>0</v>
      </c>
      <c r="AV61" s="478">
        <f t="shared" si="34"/>
        <v>0</v>
      </c>
      <c r="AW61" s="493">
        <f t="shared" si="35"/>
        <v>0</v>
      </c>
      <c r="AX61" s="493">
        <f t="shared" si="36"/>
        <v>0</v>
      </c>
      <c r="AY61" s="478">
        <f t="shared" si="13"/>
        <v>0</v>
      </c>
    </row>
    <row r="62" spans="1:51">
      <c r="A62" s="477">
        <f t="shared" ca="1" si="14"/>
        <v>2068</v>
      </c>
      <c r="B62" s="478">
        <f t="shared" ca="1" si="15"/>
        <v>0</v>
      </c>
      <c r="C62" s="478">
        <f ca="1">IF(OR($C$7=Données!$H$51,$C$7=Données!$H$54,$C$7=Données!$H$55,$C$7=Données!$H$57),0,B62*$C$10)</f>
        <v>0</v>
      </c>
      <c r="D62" s="478">
        <f ca="1">IFERROR(IF($H$5="",B62*'CT à Transf'!$K$28,B62*$H$5),B62*$H$5)</f>
        <v>0</v>
      </c>
      <c r="E62" s="478">
        <f t="shared" ca="1" si="16"/>
        <v>0</v>
      </c>
      <c r="F62" s="478">
        <f t="shared" ca="1" si="1"/>
        <v>0</v>
      </c>
      <c r="G62" s="478">
        <f t="shared" ca="1" si="17"/>
        <v>0</v>
      </c>
      <c r="H62" s="478">
        <f t="shared" ca="1" si="2"/>
        <v>0</v>
      </c>
      <c r="J62" s="476"/>
      <c r="K62" s="477">
        <f t="shared" si="18"/>
        <v>42</v>
      </c>
      <c r="L62" s="478">
        <f t="shared" ca="1" si="37"/>
        <v>0</v>
      </c>
      <c r="M62" s="478">
        <f t="shared" ca="1" si="19"/>
        <v>0</v>
      </c>
      <c r="N62" s="478">
        <f ca="1">IF(OR($C$7=Données!$H$52,$C$7=Données!$H$53),(L62*$N$9)+((M62*$Q$8)*$Q$9),(L62+M62)*$N$8*$N$9)</f>
        <v>0</v>
      </c>
      <c r="O62" s="478">
        <f ca="1">IF(OR($C$7=Données!$H$52,$C$7=Données!$H$53),(L62*$H$10)+(M62*$Q$8*$H$10)-(M62*$Q$8*Données!$G$36*$H$10),((L62+M62)*$N$8*$H$10)-IF($K$8="Rente à titre onéreux imposable sur",(L62+M62)*$N$8*Données!$G$36*$H$10,(L62+M62)*$N$8*Données!$M$41*$H$10))</f>
        <v>0</v>
      </c>
      <c r="P62" s="478">
        <f t="shared" ca="1" si="3"/>
        <v>0</v>
      </c>
      <c r="Q62" s="478">
        <f t="shared" ca="1" si="20"/>
        <v>0</v>
      </c>
      <c r="S62" s="476"/>
      <c r="T62" s="477">
        <f t="shared" si="21"/>
        <v>42</v>
      </c>
      <c r="U62" s="478">
        <f t="shared" ca="1" si="22"/>
        <v>0</v>
      </c>
      <c r="V62" s="478">
        <f t="shared" ca="1" si="4"/>
        <v>0</v>
      </c>
      <c r="W62" s="493">
        <f t="shared" ca="1" si="23"/>
        <v>0</v>
      </c>
      <c r="X62" s="493">
        <f t="shared" ca="1" si="24"/>
        <v>0</v>
      </c>
      <c r="Y62" s="478">
        <f t="shared" ca="1" si="5"/>
        <v>0</v>
      </c>
      <c r="Z62" s="504">
        <f t="shared" ca="1" si="25"/>
        <v>0</v>
      </c>
      <c r="AA62" s="478">
        <f t="shared" ca="1" si="6"/>
        <v>0</v>
      </c>
      <c r="AB62" s="478">
        <f t="shared" ca="1" si="7"/>
        <v>0</v>
      </c>
      <c r="AC62" s="478">
        <f ca="1">AA62*Données!$F$36</f>
        <v>0</v>
      </c>
      <c r="AD62" s="478">
        <f ca="1">AA62*Données!$F$28</f>
        <v>0</v>
      </c>
      <c r="AE62" s="478">
        <f ca="1">IF(AB62=0,0,IF($E$7="C1",(AB62*$H$10),IF($E$7="C2",-AA62*Données!$G$36*$H$10,0)))</f>
        <v>0</v>
      </c>
      <c r="AF62" s="478">
        <f t="shared" ca="1" si="8"/>
        <v>0</v>
      </c>
      <c r="AG62" s="477">
        <f t="shared" si="26"/>
        <v>42</v>
      </c>
      <c r="AH62" s="478">
        <f t="shared" si="27"/>
        <v>0</v>
      </c>
      <c r="AI62" s="478">
        <f t="shared" si="28"/>
        <v>0</v>
      </c>
      <c r="AJ62" s="493">
        <f t="shared" si="29"/>
        <v>0</v>
      </c>
      <c r="AK62" s="493">
        <f t="shared" ca="1" si="30"/>
        <v>0</v>
      </c>
      <c r="AL62" s="478">
        <f t="shared" ca="1" si="9"/>
        <v>0</v>
      </c>
      <c r="AM62" s="478">
        <f t="shared" ca="1" si="10"/>
        <v>0</v>
      </c>
      <c r="AN62" s="478">
        <f t="shared" si="31"/>
        <v>0</v>
      </c>
      <c r="AO62" s="478">
        <f t="shared" ca="1" si="11"/>
        <v>0</v>
      </c>
      <c r="AP62" s="478">
        <f>AN62*Données!$F$36</f>
        <v>0</v>
      </c>
      <c r="AQ62" s="478">
        <f>AN62*Données!$F$28</f>
        <v>0</v>
      </c>
      <c r="AR62" s="478">
        <f ca="1">IF(AO62=0,0,IF($E$7="C1",(AO62*$H$10),IF($E$7="C2",-AN62*Données!$G$36*$H$10,0)))</f>
        <v>0</v>
      </c>
      <c r="AS62" s="478">
        <f t="shared" ca="1" si="12"/>
        <v>0</v>
      </c>
      <c r="AT62" s="477">
        <f t="shared" si="32"/>
        <v>42</v>
      </c>
      <c r="AU62" s="478">
        <f t="shared" si="33"/>
        <v>0</v>
      </c>
      <c r="AV62" s="478">
        <f t="shared" si="34"/>
        <v>0</v>
      </c>
      <c r="AW62" s="493">
        <f t="shared" si="35"/>
        <v>0</v>
      </c>
      <c r="AX62" s="493">
        <f t="shared" si="36"/>
        <v>0</v>
      </c>
      <c r="AY62" s="478">
        <f t="shared" si="13"/>
        <v>0</v>
      </c>
    </row>
    <row r="63" spans="1:51">
      <c r="A63" s="477">
        <f t="shared" ca="1" si="14"/>
        <v>2069</v>
      </c>
      <c r="B63" s="478">
        <f t="shared" ca="1" si="15"/>
        <v>0</v>
      </c>
      <c r="C63" s="478">
        <f ca="1">IF(OR($C$7=Données!$H$51,$C$7=Données!$H$54,$C$7=Données!$H$55,$C$7=Données!$H$57),0,B63*$C$10)</f>
        <v>0</v>
      </c>
      <c r="D63" s="478">
        <f ca="1">IFERROR(IF($H$5="",B63*'CT à Transf'!$K$28,B63*$H$5),B63*$H$5)</f>
        <v>0</v>
      </c>
      <c r="E63" s="478">
        <f t="shared" ca="1" si="16"/>
        <v>0</v>
      </c>
      <c r="F63" s="478">
        <f t="shared" ca="1" si="1"/>
        <v>0</v>
      </c>
      <c r="G63" s="478">
        <f t="shared" ca="1" si="17"/>
        <v>0</v>
      </c>
      <c r="H63" s="478">
        <f t="shared" ca="1" si="2"/>
        <v>0</v>
      </c>
      <c r="J63" s="476"/>
      <c r="K63" s="477">
        <f t="shared" si="18"/>
        <v>43</v>
      </c>
      <c r="L63" s="478">
        <f t="shared" ca="1" si="37"/>
        <v>0</v>
      </c>
      <c r="M63" s="478">
        <f t="shared" ca="1" si="19"/>
        <v>0</v>
      </c>
      <c r="N63" s="478">
        <f ca="1">IF(OR($C$7=Données!$H$52,$C$7=Données!$H$53),(L63*$N$9)+((M63*$Q$8)*$Q$9),(L63+M63)*$N$8*$N$9)</f>
        <v>0</v>
      </c>
      <c r="O63" s="478">
        <f ca="1">IF(OR($C$7=Données!$H$52,$C$7=Données!$H$53),(L63*$H$10)+(M63*$Q$8*$H$10)-(M63*$Q$8*Données!$G$36*$H$10),((L63+M63)*$N$8*$H$10)-IF($K$8="Rente à titre onéreux imposable sur",(L63+M63)*$N$8*Données!$G$36*$H$10,(L63+M63)*$N$8*Données!$M$41*$H$10))</f>
        <v>0</v>
      </c>
      <c r="P63" s="478">
        <f t="shared" ca="1" si="3"/>
        <v>0</v>
      </c>
      <c r="Q63" s="478">
        <f t="shared" ca="1" si="20"/>
        <v>0</v>
      </c>
      <c r="S63" s="476"/>
      <c r="T63" s="477">
        <f t="shared" si="21"/>
        <v>43</v>
      </c>
      <c r="U63" s="478">
        <f t="shared" ca="1" si="22"/>
        <v>0</v>
      </c>
      <c r="V63" s="478">
        <f t="shared" ca="1" si="4"/>
        <v>0</v>
      </c>
      <c r="W63" s="493">
        <f t="shared" ca="1" si="23"/>
        <v>0</v>
      </c>
      <c r="X63" s="493">
        <f t="shared" ca="1" si="24"/>
        <v>0</v>
      </c>
      <c r="Y63" s="478">
        <f t="shared" ca="1" si="5"/>
        <v>0</v>
      </c>
      <c r="Z63" s="504">
        <f t="shared" ca="1" si="25"/>
        <v>0</v>
      </c>
      <c r="AA63" s="478">
        <f t="shared" ca="1" si="6"/>
        <v>0</v>
      </c>
      <c r="AB63" s="478">
        <f t="shared" ca="1" si="7"/>
        <v>0</v>
      </c>
      <c r="AC63" s="478">
        <f ca="1">AA63*Données!$F$36</f>
        <v>0</v>
      </c>
      <c r="AD63" s="478">
        <f ca="1">AA63*Données!$F$28</f>
        <v>0</v>
      </c>
      <c r="AE63" s="478">
        <f ca="1">IF(AB63=0,0,IF($E$7="C1",(AB63*$H$10),IF($E$7="C2",-AA63*Données!$G$36*$H$10,0)))</f>
        <v>0</v>
      </c>
      <c r="AF63" s="478">
        <f t="shared" ca="1" si="8"/>
        <v>0</v>
      </c>
      <c r="AG63" s="477">
        <f t="shared" si="26"/>
        <v>43</v>
      </c>
      <c r="AH63" s="478">
        <f t="shared" si="27"/>
        <v>0</v>
      </c>
      <c r="AI63" s="478">
        <f t="shared" si="28"/>
        <v>0</v>
      </c>
      <c r="AJ63" s="493">
        <f t="shared" si="29"/>
        <v>0</v>
      </c>
      <c r="AK63" s="493">
        <f t="shared" ca="1" si="30"/>
        <v>0</v>
      </c>
      <c r="AL63" s="478">
        <f t="shared" ca="1" si="9"/>
        <v>0</v>
      </c>
      <c r="AM63" s="478">
        <f t="shared" ca="1" si="10"/>
        <v>0</v>
      </c>
      <c r="AN63" s="478">
        <f t="shared" si="31"/>
        <v>0</v>
      </c>
      <c r="AO63" s="478">
        <f t="shared" ca="1" si="11"/>
        <v>0</v>
      </c>
      <c r="AP63" s="478">
        <f>AN63*Données!$F$36</f>
        <v>0</v>
      </c>
      <c r="AQ63" s="478">
        <f>AN63*Données!$F$28</f>
        <v>0</v>
      </c>
      <c r="AR63" s="478">
        <f ca="1">IF(AO63=0,0,IF($E$7="C1",(AO63*$H$10),IF($E$7="C2",-AN63*Données!$G$36*$H$10,0)))</f>
        <v>0</v>
      </c>
      <c r="AS63" s="478">
        <f t="shared" ca="1" si="12"/>
        <v>0</v>
      </c>
      <c r="AT63" s="477">
        <f t="shared" si="32"/>
        <v>43</v>
      </c>
      <c r="AU63" s="478">
        <f t="shared" si="33"/>
        <v>0</v>
      </c>
      <c r="AV63" s="478">
        <f t="shared" si="34"/>
        <v>0</v>
      </c>
      <c r="AW63" s="493">
        <f t="shared" si="35"/>
        <v>0</v>
      </c>
      <c r="AX63" s="493">
        <f t="shared" si="36"/>
        <v>0</v>
      </c>
      <c r="AY63" s="478">
        <f t="shared" si="13"/>
        <v>0</v>
      </c>
    </row>
    <row r="64" spans="1:51">
      <c r="A64" s="477">
        <f t="shared" ca="1" si="14"/>
        <v>2070</v>
      </c>
      <c r="B64" s="478">
        <f t="shared" ca="1" si="15"/>
        <v>0</v>
      </c>
      <c r="C64" s="478">
        <f ca="1">IF(OR($C$7=Données!$H$51,$C$7=Données!$H$54,$C$7=Données!$H$55,$C$7=Données!$H$57),0,B64*$C$10)</f>
        <v>0</v>
      </c>
      <c r="D64" s="478">
        <f ca="1">IFERROR(IF($H$5="",B64*'CT à Transf'!$K$28,B64*$H$5),B64*$H$5)</f>
        <v>0</v>
      </c>
      <c r="E64" s="478">
        <f t="shared" ca="1" si="16"/>
        <v>0</v>
      </c>
      <c r="F64" s="478">
        <f t="shared" ca="1" si="1"/>
        <v>0</v>
      </c>
      <c r="G64" s="478">
        <f t="shared" ca="1" si="17"/>
        <v>0</v>
      </c>
      <c r="H64" s="478">
        <f t="shared" ca="1" si="2"/>
        <v>0</v>
      </c>
      <c r="J64" s="476"/>
      <c r="K64" s="477">
        <f t="shared" si="18"/>
        <v>44</v>
      </c>
      <c r="L64" s="478">
        <f t="shared" ca="1" si="37"/>
        <v>0</v>
      </c>
      <c r="M64" s="478">
        <f t="shared" ca="1" si="19"/>
        <v>0</v>
      </c>
      <c r="N64" s="478">
        <f ca="1">IF(OR($C$7=Données!$H$52,$C$7=Données!$H$53),(L64*$N$9)+((M64*$Q$8)*$Q$9),(L64+M64)*$N$8*$N$9)</f>
        <v>0</v>
      </c>
      <c r="O64" s="478">
        <f ca="1">IF(OR($C$7=Données!$H$52,$C$7=Données!$H$53),(L64*$H$10)+(M64*$Q$8*$H$10)-(M64*$Q$8*Données!$G$36*$H$10),((L64+M64)*$N$8*$H$10)-IF($K$8="Rente à titre onéreux imposable sur",(L64+M64)*$N$8*Données!$G$36*$H$10,(L64+M64)*$N$8*Données!$M$41*$H$10))</f>
        <v>0</v>
      </c>
      <c r="P64" s="478">
        <f t="shared" ca="1" si="3"/>
        <v>0</v>
      </c>
      <c r="Q64" s="478">
        <f t="shared" ca="1" si="20"/>
        <v>0</v>
      </c>
      <c r="S64" s="476"/>
      <c r="T64" s="477">
        <f t="shared" si="21"/>
        <v>44</v>
      </c>
      <c r="U64" s="478">
        <f t="shared" ca="1" si="22"/>
        <v>0</v>
      </c>
      <c r="V64" s="478">
        <f t="shared" ca="1" si="4"/>
        <v>0</v>
      </c>
      <c r="W64" s="493">
        <f t="shared" ca="1" si="23"/>
        <v>0</v>
      </c>
      <c r="X64" s="493">
        <f t="shared" ca="1" si="24"/>
        <v>0</v>
      </c>
      <c r="Y64" s="478">
        <f t="shared" ca="1" si="5"/>
        <v>0</v>
      </c>
      <c r="Z64" s="504">
        <f t="shared" ca="1" si="25"/>
        <v>0</v>
      </c>
      <c r="AA64" s="478">
        <f t="shared" ca="1" si="6"/>
        <v>0</v>
      </c>
      <c r="AB64" s="478">
        <f t="shared" ca="1" si="7"/>
        <v>0</v>
      </c>
      <c r="AC64" s="478">
        <f ca="1">AA64*Données!$F$36</f>
        <v>0</v>
      </c>
      <c r="AD64" s="478">
        <f ca="1">AA64*Données!$F$28</f>
        <v>0</v>
      </c>
      <c r="AE64" s="478">
        <f ca="1">IF(AB64=0,0,IF($E$7="C1",(AB64*$H$10),IF($E$7="C2",-AA64*Données!$G$36*$H$10,0)))</f>
        <v>0</v>
      </c>
      <c r="AF64" s="478">
        <f t="shared" ca="1" si="8"/>
        <v>0</v>
      </c>
      <c r="AG64" s="477">
        <f t="shared" si="26"/>
        <v>44</v>
      </c>
      <c r="AH64" s="478">
        <f t="shared" si="27"/>
        <v>0</v>
      </c>
      <c r="AI64" s="478">
        <f t="shared" si="28"/>
        <v>0</v>
      </c>
      <c r="AJ64" s="493">
        <f t="shared" si="29"/>
        <v>0</v>
      </c>
      <c r="AK64" s="493">
        <f t="shared" ca="1" si="30"/>
        <v>0</v>
      </c>
      <c r="AL64" s="478">
        <f t="shared" ca="1" si="9"/>
        <v>0</v>
      </c>
      <c r="AM64" s="478">
        <f t="shared" ca="1" si="10"/>
        <v>0</v>
      </c>
      <c r="AN64" s="478">
        <f t="shared" si="31"/>
        <v>0</v>
      </c>
      <c r="AO64" s="478">
        <f t="shared" ca="1" si="11"/>
        <v>0</v>
      </c>
      <c r="AP64" s="478">
        <f>AN64*Données!$F$36</f>
        <v>0</v>
      </c>
      <c r="AQ64" s="478">
        <f>AN64*Données!$F$28</f>
        <v>0</v>
      </c>
      <c r="AR64" s="478">
        <f ca="1">IF(AO64=0,0,IF($E$7="C1",(AO64*$H$10),IF($E$7="C2",-AN64*Données!$G$36*$H$10,0)))</f>
        <v>0</v>
      </c>
      <c r="AS64" s="478">
        <f t="shared" ca="1" si="12"/>
        <v>0</v>
      </c>
      <c r="AT64" s="477">
        <f t="shared" si="32"/>
        <v>44</v>
      </c>
      <c r="AU64" s="478">
        <f t="shared" si="33"/>
        <v>0</v>
      </c>
      <c r="AV64" s="478">
        <f t="shared" si="34"/>
        <v>0</v>
      </c>
      <c r="AW64" s="493">
        <f t="shared" si="35"/>
        <v>0</v>
      </c>
      <c r="AX64" s="493">
        <f t="shared" si="36"/>
        <v>0</v>
      </c>
      <c r="AY64" s="478">
        <f t="shared" si="13"/>
        <v>0</v>
      </c>
    </row>
    <row r="65" spans="1:51">
      <c r="A65" s="477">
        <f t="shared" ca="1" si="14"/>
        <v>2071</v>
      </c>
      <c r="B65" s="478">
        <f t="shared" ca="1" si="15"/>
        <v>0</v>
      </c>
      <c r="C65" s="478">
        <f ca="1">IF(OR($C$7=Données!$H$51,$C$7=Données!$H$54,$C$7=Données!$H$55,$C$7=Données!$H$57),0,B65*$C$10)</f>
        <v>0</v>
      </c>
      <c r="D65" s="478">
        <f ca="1">IFERROR(IF($H$5="",B65*'CT à Transf'!$K$28,B65*$H$5),B65*$H$5)</f>
        <v>0</v>
      </c>
      <c r="E65" s="478">
        <f t="shared" ca="1" si="16"/>
        <v>0</v>
      </c>
      <c r="F65" s="478">
        <f t="shared" ca="1" si="1"/>
        <v>0</v>
      </c>
      <c r="G65" s="478">
        <f t="shared" ca="1" si="17"/>
        <v>0</v>
      </c>
      <c r="H65" s="478">
        <f t="shared" ca="1" si="2"/>
        <v>0</v>
      </c>
      <c r="J65" s="476"/>
      <c r="K65" s="477">
        <f t="shared" si="18"/>
        <v>45</v>
      </c>
      <c r="L65" s="478">
        <f t="shared" ca="1" si="37"/>
        <v>0</v>
      </c>
      <c r="M65" s="478">
        <f t="shared" ca="1" si="19"/>
        <v>0</v>
      </c>
      <c r="N65" s="478">
        <f ca="1">IF(OR($C$7=Données!$H$52,$C$7=Données!$H$53),(L65*$N$9)+((M65*$Q$8)*$Q$9),(L65+M65)*$N$8*$N$9)</f>
        <v>0</v>
      </c>
      <c r="O65" s="478">
        <f ca="1">IF(OR($C$7=Données!$H$52,$C$7=Données!$H$53),(L65*$H$10)+(M65*$Q$8*$H$10)-(M65*$Q$8*Données!$G$36*$H$10),((L65+M65)*$N$8*$H$10)-IF($K$8="Rente à titre onéreux imposable sur",(L65+M65)*$N$8*Données!$G$36*$H$10,(L65+M65)*$N$8*Données!$M$41*$H$10))</f>
        <v>0</v>
      </c>
      <c r="P65" s="478">
        <f t="shared" ca="1" si="3"/>
        <v>0</v>
      </c>
      <c r="Q65" s="478">
        <f t="shared" ca="1" si="20"/>
        <v>0</v>
      </c>
      <c r="S65" s="476"/>
      <c r="T65" s="477">
        <f t="shared" si="21"/>
        <v>45</v>
      </c>
      <c r="U65" s="478">
        <f t="shared" ca="1" si="22"/>
        <v>0</v>
      </c>
      <c r="V65" s="478">
        <f t="shared" ca="1" si="4"/>
        <v>0</v>
      </c>
      <c r="W65" s="493">
        <f t="shared" ca="1" si="23"/>
        <v>0</v>
      </c>
      <c r="X65" s="493">
        <f t="shared" ca="1" si="24"/>
        <v>0</v>
      </c>
      <c r="Y65" s="478">
        <f t="shared" ca="1" si="5"/>
        <v>0</v>
      </c>
      <c r="Z65" s="504">
        <f t="shared" ca="1" si="25"/>
        <v>0</v>
      </c>
      <c r="AA65" s="478">
        <f t="shared" ca="1" si="6"/>
        <v>0</v>
      </c>
      <c r="AB65" s="478">
        <f t="shared" ca="1" si="7"/>
        <v>0</v>
      </c>
      <c r="AC65" s="478">
        <f ca="1">AA65*Données!$F$36</f>
        <v>0</v>
      </c>
      <c r="AD65" s="478">
        <f ca="1">AA65*Données!$F$28</f>
        <v>0</v>
      </c>
      <c r="AE65" s="478">
        <f ca="1">IF(AB65=0,0,IF($E$7="C1",(AB65*$H$10),IF($E$7="C2",-AA65*Données!$G$36*$H$10,0)))</f>
        <v>0</v>
      </c>
      <c r="AF65" s="478">
        <f t="shared" ca="1" si="8"/>
        <v>0</v>
      </c>
      <c r="AG65" s="477">
        <f t="shared" si="26"/>
        <v>45</v>
      </c>
      <c r="AH65" s="478">
        <f t="shared" si="27"/>
        <v>0</v>
      </c>
      <c r="AI65" s="478">
        <f t="shared" si="28"/>
        <v>0</v>
      </c>
      <c r="AJ65" s="493">
        <f t="shared" si="29"/>
        <v>0</v>
      </c>
      <c r="AK65" s="493">
        <f t="shared" ca="1" si="30"/>
        <v>0</v>
      </c>
      <c r="AL65" s="478">
        <f t="shared" ca="1" si="9"/>
        <v>0</v>
      </c>
      <c r="AM65" s="478">
        <f t="shared" ca="1" si="10"/>
        <v>0</v>
      </c>
      <c r="AN65" s="478">
        <f t="shared" si="31"/>
        <v>0</v>
      </c>
      <c r="AO65" s="478">
        <f t="shared" ca="1" si="11"/>
        <v>0</v>
      </c>
      <c r="AP65" s="478">
        <f>AN65*Données!$F$36</f>
        <v>0</v>
      </c>
      <c r="AQ65" s="478">
        <f>AN65*Données!$F$28</f>
        <v>0</v>
      </c>
      <c r="AR65" s="478">
        <f ca="1">IF(AO65=0,0,IF($E$7="C1",(AO65*$H$10),IF($E$7="C2",-AN65*Données!$G$36*$H$10,0)))</f>
        <v>0</v>
      </c>
      <c r="AS65" s="478">
        <f t="shared" ca="1" si="12"/>
        <v>0</v>
      </c>
      <c r="AT65" s="477">
        <f t="shared" si="32"/>
        <v>45</v>
      </c>
      <c r="AU65" s="478">
        <f t="shared" si="33"/>
        <v>0</v>
      </c>
      <c r="AV65" s="478">
        <f t="shared" si="34"/>
        <v>0</v>
      </c>
      <c r="AW65" s="493">
        <f t="shared" si="35"/>
        <v>0</v>
      </c>
      <c r="AX65" s="493">
        <f t="shared" si="36"/>
        <v>0</v>
      </c>
      <c r="AY65" s="478">
        <f t="shared" si="13"/>
        <v>0</v>
      </c>
    </row>
    <row r="66" spans="1:51">
      <c r="A66" s="477">
        <f t="shared" ca="1" si="14"/>
        <v>2072</v>
      </c>
      <c r="B66" s="478">
        <f t="shared" ca="1" si="15"/>
        <v>0</v>
      </c>
      <c r="C66" s="478">
        <f ca="1">IF(OR($C$7=Données!$H$51,$C$7=Données!$H$54,$C$7=Données!$H$55,$C$7=Données!$H$57),0,B66*$C$10)</f>
        <v>0</v>
      </c>
      <c r="D66" s="478">
        <f ca="1">IFERROR(IF($H$5="",B66*'CT à Transf'!$K$28,B66*$H$5),B66*$H$5)</f>
        <v>0</v>
      </c>
      <c r="E66" s="478">
        <f t="shared" ca="1" si="16"/>
        <v>0</v>
      </c>
      <c r="F66" s="478">
        <f t="shared" ca="1" si="1"/>
        <v>0</v>
      </c>
      <c r="G66" s="478">
        <f t="shared" ca="1" si="17"/>
        <v>0</v>
      </c>
      <c r="H66" s="478">
        <f t="shared" ca="1" si="2"/>
        <v>0</v>
      </c>
      <c r="J66" s="476"/>
      <c r="K66" s="477">
        <f t="shared" si="18"/>
        <v>46</v>
      </c>
      <c r="L66" s="478">
        <f t="shared" ca="1" si="37"/>
        <v>0</v>
      </c>
      <c r="M66" s="478">
        <f t="shared" ca="1" si="19"/>
        <v>0</v>
      </c>
      <c r="N66" s="478">
        <f ca="1">IF(OR($C$7=Données!$H$52,$C$7=Données!$H$53),(L66*$N$9)+((M66*$Q$8)*$Q$9),(L66+M66)*$N$8*$N$9)</f>
        <v>0</v>
      </c>
      <c r="O66" s="478">
        <f ca="1">IF(OR($C$7=Données!$H$52,$C$7=Données!$H$53),(L66*$H$10)+(M66*$Q$8*$H$10)-(M66*$Q$8*Données!$G$36*$H$10),((L66+M66)*$N$8*$H$10)-IF($K$8="Rente à titre onéreux imposable sur",(L66+M66)*$N$8*Données!$G$36*$H$10,(L66+M66)*$N$8*Données!$M$41*$H$10))</f>
        <v>0</v>
      </c>
      <c r="P66" s="478">
        <f t="shared" ca="1" si="3"/>
        <v>0</v>
      </c>
      <c r="Q66" s="478">
        <f t="shared" ca="1" si="20"/>
        <v>0</v>
      </c>
      <c r="S66" s="476"/>
      <c r="T66" s="477">
        <f t="shared" si="21"/>
        <v>46</v>
      </c>
      <c r="U66" s="478">
        <f t="shared" ca="1" si="22"/>
        <v>0</v>
      </c>
      <c r="V66" s="478">
        <f t="shared" ca="1" si="4"/>
        <v>0</v>
      </c>
      <c r="W66" s="493">
        <f t="shared" ca="1" si="23"/>
        <v>0</v>
      </c>
      <c r="X66" s="493">
        <f t="shared" ca="1" si="24"/>
        <v>0</v>
      </c>
      <c r="Y66" s="478">
        <f t="shared" ca="1" si="5"/>
        <v>0</v>
      </c>
      <c r="Z66" s="504">
        <f t="shared" ca="1" si="25"/>
        <v>0</v>
      </c>
      <c r="AA66" s="478">
        <f t="shared" ca="1" si="6"/>
        <v>0</v>
      </c>
      <c r="AB66" s="478">
        <f t="shared" ca="1" si="7"/>
        <v>0</v>
      </c>
      <c r="AC66" s="478">
        <f ca="1">AA66*Données!$F$36</f>
        <v>0</v>
      </c>
      <c r="AD66" s="478">
        <f ca="1">AA66*Données!$F$28</f>
        <v>0</v>
      </c>
      <c r="AE66" s="478">
        <f ca="1">IF(AB66=0,0,IF($E$7="C1",(AB66*$H$10),IF($E$7="C2",-AA66*Données!$G$36*$H$10,0)))</f>
        <v>0</v>
      </c>
      <c r="AF66" s="478">
        <f t="shared" ca="1" si="8"/>
        <v>0</v>
      </c>
      <c r="AG66" s="477">
        <f t="shared" si="26"/>
        <v>46</v>
      </c>
      <c r="AH66" s="478">
        <f t="shared" si="27"/>
        <v>0</v>
      </c>
      <c r="AI66" s="478">
        <f t="shared" si="28"/>
        <v>0</v>
      </c>
      <c r="AJ66" s="493">
        <f t="shared" si="29"/>
        <v>0</v>
      </c>
      <c r="AK66" s="493">
        <f t="shared" ca="1" si="30"/>
        <v>0</v>
      </c>
      <c r="AL66" s="478">
        <f t="shared" ca="1" si="9"/>
        <v>0</v>
      </c>
      <c r="AM66" s="478">
        <f t="shared" ca="1" si="10"/>
        <v>0</v>
      </c>
      <c r="AN66" s="478">
        <f t="shared" si="31"/>
        <v>0</v>
      </c>
      <c r="AO66" s="478">
        <f t="shared" ca="1" si="11"/>
        <v>0</v>
      </c>
      <c r="AP66" s="478">
        <f>AN66*Données!$F$36</f>
        <v>0</v>
      </c>
      <c r="AQ66" s="478">
        <f>AN66*Données!$F$28</f>
        <v>0</v>
      </c>
      <c r="AR66" s="478">
        <f ca="1">IF(AO66=0,0,IF($E$7="C1",(AO66*$H$10),IF($E$7="C2",-AN66*Données!$G$36*$H$10,0)))</f>
        <v>0</v>
      </c>
      <c r="AS66" s="478">
        <f t="shared" ca="1" si="12"/>
        <v>0</v>
      </c>
      <c r="AT66" s="477">
        <f t="shared" si="32"/>
        <v>46</v>
      </c>
      <c r="AU66" s="478">
        <f t="shared" si="33"/>
        <v>0</v>
      </c>
      <c r="AV66" s="478">
        <f t="shared" si="34"/>
        <v>0</v>
      </c>
      <c r="AW66" s="493">
        <f t="shared" si="35"/>
        <v>0</v>
      </c>
      <c r="AX66" s="493">
        <f t="shared" si="36"/>
        <v>0</v>
      </c>
      <c r="AY66" s="478">
        <f t="shared" si="13"/>
        <v>0</v>
      </c>
    </row>
    <row r="67" spans="1:51">
      <c r="A67" s="477">
        <f t="shared" ca="1" si="14"/>
        <v>2073</v>
      </c>
      <c r="B67" s="478">
        <f t="shared" ca="1" si="15"/>
        <v>0</v>
      </c>
      <c r="C67" s="478">
        <f ca="1">IF(OR($C$7=Données!$H$51,$C$7=Données!$H$54,$C$7=Données!$H$55,$C$7=Données!$H$57),0,B67*$C$10)</f>
        <v>0</v>
      </c>
      <c r="D67" s="478">
        <f ca="1">IFERROR(IF($H$5="",B67*'CT à Transf'!$K$28,B67*$H$5),B67*$H$5)</f>
        <v>0</v>
      </c>
      <c r="E67" s="478">
        <f t="shared" ca="1" si="16"/>
        <v>0</v>
      </c>
      <c r="F67" s="478">
        <f t="shared" ca="1" si="1"/>
        <v>0</v>
      </c>
      <c r="G67" s="478">
        <f t="shared" ca="1" si="17"/>
        <v>0</v>
      </c>
      <c r="H67" s="478">
        <f t="shared" ca="1" si="2"/>
        <v>0</v>
      </c>
      <c r="J67" s="476"/>
      <c r="K67" s="477">
        <f t="shared" si="18"/>
        <v>47</v>
      </c>
      <c r="L67" s="478">
        <f t="shared" ca="1" si="37"/>
        <v>0</v>
      </c>
      <c r="M67" s="478">
        <f t="shared" ca="1" si="19"/>
        <v>0</v>
      </c>
      <c r="N67" s="478">
        <f ca="1">IF(OR($C$7=Données!$H$52,$C$7=Données!$H$53),(L67*$N$9)+((M67*$Q$8)*$Q$9),(L67+M67)*$N$8*$N$9)</f>
        <v>0</v>
      </c>
      <c r="O67" s="478">
        <f ca="1">IF(OR($C$7=Données!$H$52,$C$7=Données!$H$53),(L67*$H$10)+(M67*$Q$8*$H$10)-(M67*$Q$8*Données!$G$36*$H$10),((L67+M67)*$N$8*$H$10)-IF($K$8="Rente à titre onéreux imposable sur",(L67+M67)*$N$8*Données!$G$36*$H$10,(L67+M67)*$N$8*Données!$M$41*$H$10))</f>
        <v>0</v>
      </c>
      <c r="P67" s="478">
        <f t="shared" ca="1" si="3"/>
        <v>0</v>
      </c>
      <c r="Q67" s="478">
        <f t="shared" ca="1" si="20"/>
        <v>0</v>
      </c>
      <c r="S67" s="476"/>
      <c r="T67" s="477">
        <f t="shared" si="21"/>
        <v>47</v>
      </c>
      <c r="U67" s="478">
        <f t="shared" ca="1" si="22"/>
        <v>0</v>
      </c>
      <c r="V67" s="478">
        <f t="shared" ca="1" si="4"/>
        <v>0</v>
      </c>
      <c r="W67" s="493">
        <f t="shared" ca="1" si="23"/>
        <v>0</v>
      </c>
      <c r="X67" s="493">
        <f t="shared" ca="1" si="24"/>
        <v>0</v>
      </c>
      <c r="Y67" s="478">
        <f t="shared" ca="1" si="5"/>
        <v>0</v>
      </c>
      <c r="Z67" s="504">
        <f t="shared" ca="1" si="25"/>
        <v>0</v>
      </c>
      <c r="AA67" s="478">
        <f t="shared" ca="1" si="6"/>
        <v>0</v>
      </c>
      <c r="AB67" s="478">
        <f t="shared" ca="1" si="7"/>
        <v>0</v>
      </c>
      <c r="AC67" s="478">
        <f ca="1">AA67*Données!$F$36</f>
        <v>0</v>
      </c>
      <c r="AD67" s="478">
        <f ca="1">AA67*Données!$F$28</f>
        <v>0</v>
      </c>
      <c r="AE67" s="478">
        <f ca="1">IF(AB67=0,0,IF($E$7="C1",(AB67*$H$10),IF($E$7="C2",-AA67*Données!$G$36*$H$10,0)))</f>
        <v>0</v>
      </c>
      <c r="AF67" s="478">
        <f t="shared" ca="1" si="8"/>
        <v>0</v>
      </c>
      <c r="AG67" s="477">
        <f t="shared" si="26"/>
        <v>47</v>
      </c>
      <c r="AH67" s="478">
        <f t="shared" si="27"/>
        <v>0</v>
      </c>
      <c r="AI67" s="478">
        <f t="shared" si="28"/>
        <v>0</v>
      </c>
      <c r="AJ67" s="493">
        <f t="shared" si="29"/>
        <v>0</v>
      </c>
      <c r="AK67" s="493">
        <f t="shared" ca="1" si="30"/>
        <v>0</v>
      </c>
      <c r="AL67" s="478">
        <f t="shared" ca="1" si="9"/>
        <v>0</v>
      </c>
      <c r="AM67" s="478">
        <f t="shared" ca="1" si="10"/>
        <v>0</v>
      </c>
      <c r="AN67" s="478">
        <f t="shared" si="31"/>
        <v>0</v>
      </c>
      <c r="AO67" s="478">
        <f t="shared" ca="1" si="11"/>
        <v>0</v>
      </c>
      <c r="AP67" s="478">
        <f>AN67*Données!$F$36</f>
        <v>0</v>
      </c>
      <c r="AQ67" s="478">
        <f>AN67*Données!$F$28</f>
        <v>0</v>
      </c>
      <c r="AR67" s="478">
        <f ca="1">IF(AO67=0,0,IF($E$7="C1",(AO67*$H$10),IF($E$7="C2",-AN67*Données!$G$36*$H$10,0)))</f>
        <v>0</v>
      </c>
      <c r="AS67" s="478">
        <f t="shared" ca="1" si="12"/>
        <v>0</v>
      </c>
      <c r="AT67" s="477">
        <f t="shared" si="32"/>
        <v>47</v>
      </c>
      <c r="AU67" s="478">
        <f t="shared" si="33"/>
        <v>0</v>
      </c>
      <c r="AV67" s="478">
        <f t="shared" si="34"/>
        <v>0</v>
      </c>
      <c r="AW67" s="493">
        <f t="shared" si="35"/>
        <v>0</v>
      </c>
      <c r="AX67" s="493">
        <f t="shared" si="36"/>
        <v>0</v>
      </c>
      <c r="AY67" s="478">
        <f t="shared" si="13"/>
        <v>0</v>
      </c>
    </row>
    <row r="68" spans="1:51">
      <c r="A68" s="477">
        <f t="shared" ca="1" si="14"/>
        <v>2074</v>
      </c>
      <c r="B68" s="478">
        <f t="shared" ca="1" si="15"/>
        <v>0</v>
      </c>
      <c r="C68" s="478">
        <f ca="1">IF(OR($C$7=Données!$H$51,$C$7=Données!$H$54,$C$7=Données!$H$55,$C$7=Données!$H$57),0,B68*$C$10)</f>
        <v>0</v>
      </c>
      <c r="D68" s="478">
        <f ca="1">IFERROR(IF($H$5="",B68*'CT à Transf'!$K$28,B68*$H$5),B68*$H$5)</f>
        <v>0</v>
      </c>
      <c r="E68" s="478">
        <f t="shared" ca="1" si="16"/>
        <v>0</v>
      </c>
      <c r="F68" s="478">
        <f t="shared" ca="1" si="1"/>
        <v>0</v>
      </c>
      <c r="G68" s="478">
        <f t="shared" ca="1" si="17"/>
        <v>0</v>
      </c>
      <c r="H68" s="478">
        <f t="shared" ca="1" si="2"/>
        <v>0</v>
      </c>
      <c r="J68" s="476"/>
      <c r="K68" s="477">
        <f t="shared" si="18"/>
        <v>48</v>
      </c>
      <c r="L68" s="478">
        <f t="shared" ca="1" si="37"/>
        <v>0</v>
      </c>
      <c r="M68" s="478">
        <f t="shared" ca="1" si="19"/>
        <v>0</v>
      </c>
      <c r="N68" s="478">
        <f ca="1">IF(OR($C$7=Données!$H$52,$C$7=Données!$H$53),(L68*$N$9)+((M68*$Q$8)*$Q$9),(L68+M68)*$N$8*$N$9)</f>
        <v>0</v>
      </c>
      <c r="O68" s="478">
        <f ca="1">IF(OR($C$7=Données!$H$52,$C$7=Données!$H$53),(L68*$H$10)+(M68*$Q$8*$H$10)-(M68*$Q$8*Données!$G$36*$H$10),((L68+M68)*$N$8*$H$10)-IF($K$8="Rente à titre onéreux imposable sur",(L68+M68)*$N$8*Données!$G$36*$H$10,(L68+M68)*$N$8*Données!$M$41*$H$10))</f>
        <v>0</v>
      </c>
      <c r="P68" s="478">
        <f t="shared" ca="1" si="3"/>
        <v>0</v>
      </c>
      <c r="Q68" s="478">
        <f t="shared" ca="1" si="20"/>
        <v>0</v>
      </c>
      <c r="S68" s="476"/>
      <c r="T68" s="477">
        <f t="shared" si="21"/>
        <v>48</v>
      </c>
      <c r="U68" s="478">
        <f t="shared" ca="1" si="22"/>
        <v>0</v>
      </c>
      <c r="V68" s="478">
        <f t="shared" ca="1" si="4"/>
        <v>0</v>
      </c>
      <c r="W68" s="493">
        <f t="shared" ca="1" si="23"/>
        <v>0</v>
      </c>
      <c r="X68" s="493">
        <f t="shared" ca="1" si="24"/>
        <v>0</v>
      </c>
      <c r="Y68" s="478">
        <f t="shared" ca="1" si="5"/>
        <v>0</v>
      </c>
      <c r="Z68" s="504">
        <f t="shared" ca="1" si="25"/>
        <v>0</v>
      </c>
      <c r="AA68" s="478">
        <f t="shared" ca="1" si="6"/>
        <v>0</v>
      </c>
      <c r="AB68" s="478">
        <f t="shared" ca="1" si="7"/>
        <v>0</v>
      </c>
      <c r="AC68" s="478">
        <f ca="1">AA68*Données!$F$36</f>
        <v>0</v>
      </c>
      <c r="AD68" s="478">
        <f ca="1">AA68*Données!$F$28</f>
        <v>0</v>
      </c>
      <c r="AE68" s="478">
        <f ca="1">IF(AB68=0,0,IF($E$7="C1",(AB68*$H$10),IF($E$7="C2",-AA68*Données!$G$36*$H$10,0)))</f>
        <v>0</v>
      </c>
      <c r="AF68" s="478">
        <f t="shared" ca="1" si="8"/>
        <v>0</v>
      </c>
      <c r="AG68" s="477">
        <f t="shared" si="26"/>
        <v>48</v>
      </c>
      <c r="AH68" s="478">
        <f t="shared" si="27"/>
        <v>0</v>
      </c>
      <c r="AI68" s="478">
        <f t="shared" si="28"/>
        <v>0</v>
      </c>
      <c r="AJ68" s="493">
        <f t="shared" si="29"/>
        <v>0</v>
      </c>
      <c r="AK68" s="493">
        <f t="shared" ca="1" si="30"/>
        <v>0</v>
      </c>
      <c r="AL68" s="478">
        <f t="shared" ca="1" si="9"/>
        <v>0</v>
      </c>
      <c r="AM68" s="478">
        <f t="shared" ca="1" si="10"/>
        <v>0</v>
      </c>
      <c r="AN68" s="478">
        <f t="shared" si="31"/>
        <v>0</v>
      </c>
      <c r="AO68" s="478">
        <f t="shared" ca="1" si="11"/>
        <v>0</v>
      </c>
      <c r="AP68" s="478">
        <f>AN68*Données!$F$36</f>
        <v>0</v>
      </c>
      <c r="AQ68" s="478">
        <f>AN68*Données!$F$28</f>
        <v>0</v>
      </c>
      <c r="AR68" s="478">
        <f ca="1">IF(AO68=0,0,IF($E$7="C1",(AO68*$H$10),IF($E$7="C2",-AN68*Données!$G$36*$H$10,0)))</f>
        <v>0</v>
      </c>
      <c r="AS68" s="478">
        <f t="shared" ca="1" si="12"/>
        <v>0</v>
      </c>
      <c r="AT68" s="477">
        <f t="shared" si="32"/>
        <v>48</v>
      </c>
      <c r="AU68" s="478">
        <f t="shared" si="33"/>
        <v>0</v>
      </c>
      <c r="AV68" s="478">
        <f t="shared" si="34"/>
        <v>0</v>
      </c>
      <c r="AW68" s="493">
        <f t="shared" si="35"/>
        <v>0</v>
      </c>
      <c r="AX68" s="493">
        <f t="shared" si="36"/>
        <v>0</v>
      </c>
      <c r="AY68" s="478">
        <f t="shared" si="13"/>
        <v>0</v>
      </c>
    </row>
    <row r="69" spans="1:51">
      <c r="A69" s="477">
        <f t="shared" ca="1" si="14"/>
        <v>2075</v>
      </c>
      <c r="B69" s="478">
        <f t="shared" ca="1" si="15"/>
        <v>0</v>
      </c>
      <c r="C69" s="478">
        <f ca="1">IF(OR($C$7=Données!$H$51,$C$7=Données!$H$54,$C$7=Données!$H$55,$C$7=Données!$H$57),0,B69*$C$10)</f>
        <v>0</v>
      </c>
      <c r="D69" s="478">
        <f ca="1">IFERROR(IF($H$5="",B69*'CT à Transf'!$K$28,B69*$H$5),B69*$H$5)</f>
        <v>0</v>
      </c>
      <c r="E69" s="478">
        <f t="shared" ca="1" si="16"/>
        <v>0</v>
      </c>
      <c r="F69" s="478">
        <f t="shared" ca="1" si="1"/>
        <v>0</v>
      </c>
      <c r="G69" s="478">
        <f t="shared" ca="1" si="17"/>
        <v>0</v>
      </c>
      <c r="H69" s="478">
        <f t="shared" ca="1" si="2"/>
        <v>0</v>
      </c>
      <c r="J69" s="476"/>
      <c r="K69" s="477">
        <f t="shared" si="18"/>
        <v>49</v>
      </c>
      <c r="L69" s="478">
        <f t="shared" ca="1" si="37"/>
        <v>0</v>
      </c>
      <c r="M69" s="478">
        <f t="shared" ca="1" si="19"/>
        <v>0</v>
      </c>
      <c r="N69" s="478">
        <f ca="1">IF(OR($C$7=Données!$H$52,$C$7=Données!$H$53),(L69*$N$9)+((M69*$Q$8)*$Q$9),(L69+M69)*$N$8*$N$9)</f>
        <v>0</v>
      </c>
      <c r="O69" s="478">
        <f ca="1">IF(OR($C$7=Données!$H$52,$C$7=Données!$H$53),(L69*$H$10)+(M69*$Q$8*$H$10)-(M69*$Q$8*Données!$G$36*$H$10),((L69+M69)*$N$8*$H$10)-IF($K$8="Rente à titre onéreux imposable sur",(L69+M69)*$N$8*Données!$G$36*$H$10,(L69+M69)*$N$8*Données!$M$41*$H$10))</f>
        <v>0</v>
      </c>
      <c r="P69" s="478">
        <f t="shared" ca="1" si="3"/>
        <v>0</v>
      </c>
      <c r="Q69" s="478">
        <f t="shared" ca="1" si="20"/>
        <v>0</v>
      </c>
      <c r="S69" s="476"/>
      <c r="T69" s="477">
        <f t="shared" si="21"/>
        <v>49</v>
      </c>
      <c r="U69" s="478">
        <f t="shared" ca="1" si="22"/>
        <v>0</v>
      </c>
      <c r="V69" s="478">
        <f t="shared" ca="1" si="4"/>
        <v>0</v>
      </c>
      <c r="W69" s="493">
        <f t="shared" ca="1" si="23"/>
        <v>0</v>
      </c>
      <c r="X69" s="493">
        <f t="shared" ca="1" si="24"/>
        <v>0</v>
      </c>
      <c r="Y69" s="478">
        <f t="shared" ca="1" si="5"/>
        <v>0</v>
      </c>
      <c r="Z69" s="504">
        <f t="shared" ca="1" si="25"/>
        <v>0</v>
      </c>
      <c r="AA69" s="478">
        <f t="shared" ca="1" si="6"/>
        <v>0</v>
      </c>
      <c r="AB69" s="478">
        <f t="shared" ca="1" si="7"/>
        <v>0</v>
      </c>
      <c r="AC69" s="478">
        <f ca="1">AA69*Données!$F$36</f>
        <v>0</v>
      </c>
      <c r="AD69" s="478">
        <f ca="1">AA69*Données!$F$28</f>
        <v>0</v>
      </c>
      <c r="AE69" s="478">
        <f ca="1">IF(AB69=0,0,IF($E$7="C1",(AB69*$H$10),IF($E$7="C2",-AA69*Données!$G$36*$H$10,0)))</f>
        <v>0</v>
      </c>
      <c r="AF69" s="478">
        <f t="shared" ca="1" si="8"/>
        <v>0</v>
      </c>
      <c r="AG69" s="477">
        <f t="shared" si="26"/>
        <v>49</v>
      </c>
      <c r="AH69" s="478">
        <f t="shared" si="27"/>
        <v>0</v>
      </c>
      <c r="AI69" s="478">
        <f t="shared" si="28"/>
        <v>0</v>
      </c>
      <c r="AJ69" s="493">
        <f t="shared" si="29"/>
        <v>0</v>
      </c>
      <c r="AK69" s="493">
        <f t="shared" ca="1" si="30"/>
        <v>0</v>
      </c>
      <c r="AL69" s="478">
        <f t="shared" ca="1" si="9"/>
        <v>0</v>
      </c>
      <c r="AM69" s="478">
        <f t="shared" ca="1" si="10"/>
        <v>0</v>
      </c>
      <c r="AN69" s="478">
        <f t="shared" si="31"/>
        <v>0</v>
      </c>
      <c r="AO69" s="478">
        <f t="shared" ca="1" si="11"/>
        <v>0</v>
      </c>
      <c r="AP69" s="478">
        <f>AN69*Données!$F$36</f>
        <v>0</v>
      </c>
      <c r="AQ69" s="478">
        <f>AN69*Données!$F$28</f>
        <v>0</v>
      </c>
      <c r="AR69" s="478">
        <f ca="1">IF(AO69=0,0,IF($E$7="C1",(AO69*$H$10),IF($E$7="C2",-AN69*Données!$G$36*$H$10,0)))</f>
        <v>0</v>
      </c>
      <c r="AS69" s="478">
        <f t="shared" ca="1" si="12"/>
        <v>0</v>
      </c>
      <c r="AT69" s="477">
        <f t="shared" si="32"/>
        <v>49</v>
      </c>
      <c r="AU69" s="478">
        <f t="shared" si="33"/>
        <v>0</v>
      </c>
      <c r="AV69" s="478">
        <f t="shared" si="34"/>
        <v>0</v>
      </c>
      <c r="AW69" s="493">
        <f t="shared" si="35"/>
        <v>0</v>
      </c>
      <c r="AX69" s="493">
        <f t="shared" si="36"/>
        <v>0</v>
      </c>
      <c r="AY69" s="478">
        <f t="shared" si="13"/>
        <v>0</v>
      </c>
    </row>
    <row r="70" spans="1:51">
      <c r="A70" s="477">
        <f t="shared" ca="1" si="14"/>
        <v>2076</v>
      </c>
      <c r="B70" s="478">
        <f t="shared" ca="1" si="15"/>
        <v>0</v>
      </c>
      <c r="C70" s="478">
        <f ca="1">IF(OR($C$7=Données!$H$51,$C$7=Données!$H$54,$C$7=Données!$H$55,$C$7=Données!$H$57),0,B70*$C$10)</f>
        <v>0</v>
      </c>
      <c r="D70" s="478">
        <f ca="1">IFERROR(IF($H$5="",B70*'CT à Transf'!$K$28,B70*$H$5),B70*$H$5)</f>
        <v>0</v>
      </c>
      <c r="E70" s="478">
        <f t="shared" ca="1" si="16"/>
        <v>0</v>
      </c>
      <c r="F70" s="478">
        <f t="shared" ca="1" si="1"/>
        <v>0</v>
      </c>
      <c r="G70" s="478">
        <f t="shared" ca="1" si="17"/>
        <v>0</v>
      </c>
      <c r="H70" s="478">
        <f t="shared" ca="1" si="2"/>
        <v>0</v>
      </c>
      <c r="J70" s="476"/>
      <c r="K70" s="477">
        <f t="shared" si="18"/>
        <v>50</v>
      </c>
      <c r="L70" s="478">
        <f t="shared" ca="1" si="37"/>
        <v>0</v>
      </c>
      <c r="M70" s="478">
        <f t="shared" ca="1" si="19"/>
        <v>0</v>
      </c>
      <c r="N70" s="478">
        <f ca="1">IF(OR($C$7=Données!$H$52,$C$7=Données!$H$53),(L70*$N$9)+((M70*$Q$8)*$Q$9),(L70+M70)*$N$8*$N$9)</f>
        <v>0</v>
      </c>
      <c r="O70" s="478">
        <f ca="1">IF(OR($C$7=Données!$H$52,$C$7=Données!$H$53),(L70*$H$10)+(M70*$Q$8*$H$10)-(M70*$Q$8*Données!$G$36*$H$10),((L70+M70)*$N$8*$H$10)-IF($K$8="Rente à titre onéreux imposable sur",(L70+M70)*$N$8*Données!$G$36*$H$10,(L70+M70)*$N$8*Données!$M$41*$H$10))</f>
        <v>0</v>
      </c>
      <c r="P70" s="478">
        <f t="shared" ca="1" si="3"/>
        <v>0</v>
      </c>
      <c r="Q70" s="478">
        <f t="shared" ca="1" si="20"/>
        <v>0</v>
      </c>
      <c r="S70" s="476"/>
      <c r="T70" s="477">
        <f t="shared" si="21"/>
        <v>50</v>
      </c>
      <c r="U70" s="478">
        <f t="shared" ca="1" si="22"/>
        <v>0</v>
      </c>
      <c r="V70" s="478">
        <f t="shared" ca="1" si="4"/>
        <v>0</v>
      </c>
      <c r="W70" s="493">
        <f t="shared" ca="1" si="23"/>
        <v>0</v>
      </c>
      <c r="X70" s="493">
        <f t="shared" ca="1" si="24"/>
        <v>0</v>
      </c>
      <c r="Y70" s="478">
        <f t="shared" ca="1" si="5"/>
        <v>0</v>
      </c>
      <c r="Z70" s="504">
        <f t="shared" ca="1" si="25"/>
        <v>0</v>
      </c>
      <c r="AA70" s="478">
        <f t="shared" ca="1" si="6"/>
        <v>0</v>
      </c>
      <c r="AB70" s="478">
        <f t="shared" ca="1" si="7"/>
        <v>0</v>
      </c>
      <c r="AC70" s="478">
        <f ca="1">AA70*Données!$F$36</f>
        <v>0</v>
      </c>
      <c r="AD70" s="478">
        <f ca="1">AA70*Données!$F$28</f>
        <v>0</v>
      </c>
      <c r="AE70" s="478">
        <f ca="1">IF(AB70=0,0,IF($E$7="C1",(AB70*$H$10),IF($E$7="C2",-AA70*Données!$G$36*$H$10,0)))</f>
        <v>0</v>
      </c>
      <c r="AF70" s="478">
        <f t="shared" ca="1" si="8"/>
        <v>0</v>
      </c>
      <c r="AG70" s="477">
        <f t="shared" si="26"/>
        <v>50</v>
      </c>
      <c r="AH70" s="478">
        <f t="shared" si="27"/>
        <v>0</v>
      </c>
      <c r="AI70" s="478">
        <f t="shared" si="28"/>
        <v>0</v>
      </c>
      <c r="AJ70" s="493">
        <f t="shared" si="29"/>
        <v>0</v>
      </c>
      <c r="AK70" s="493">
        <f t="shared" ca="1" si="30"/>
        <v>0</v>
      </c>
      <c r="AL70" s="478">
        <f t="shared" ca="1" si="9"/>
        <v>0</v>
      </c>
      <c r="AM70" s="478">
        <f t="shared" ca="1" si="10"/>
        <v>0</v>
      </c>
      <c r="AN70" s="478">
        <f t="shared" si="31"/>
        <v>0</v>
      </c>
      <c r="AO70" s="478">
        <f t="shared" ca="1" si="11"/>
        <v>0</v>
      </c>
      <c r="AP70" s="478">
        <f>AN70*Données!$F$36</f>
        <v>0</v>
      </c>
      <c r="AQ70" s="478">
        <f>AN70*Données!$F$28</f>
        <v>0</v>
      </c>
      <c r="AR70" s="478">
        <f ca="1">IF(AO70=0,0,IF($E$7="C1",(AO70*$H$10),IF($E$7="C2",-AN70*Données!$G$36*$H$10,0)))</f>
        <v>0</v>
      </c>
      <c r="AS70" s="478">
        <f t="shared" ca="1" si="12"/>
        <v>0</v>
      </c>
      <c r="AT70" s="477">
        <f t="shared" si="32"/>
        <v>50</v>
      </c>
      <c r="AU70" s="478">
        <f t="shared" si="33"/>
        <v>0</v>
      </c>
      <c r="AV70" s="478">
        <f t="shared" si="34"/>
        <v>0</v>
      </c>
      <c r="AW70" s="493">
        <f t="shared" si="35"/>
        <v>0</v>
      </c>
      <c r="AX70" s="493">
        <f t="shared" si="36"/>
        <v>0</v>
      </c>
      <c r="AY70" s="478">
        <f t="shared" si="13"/>
        <v>0</v>
      </c>
    </row>
    <row r="71" spans="1:51">
      <c r="A71" s="477">
        <f t="shared" ca="1" si="14"/>
        <v>2077</v>
      </c>
      <c r="B71" s="478">
        <f t="shared" ca="1" si="15"/>
        <v>0</v>
      </c>
      <c r="C71" s="478">
        <f ca="1">IF(OR($C$7=Données!$H$51,$C$7=Données!$H$54,$C$7=Données!$H$55,$C$7=Données!$H$57),0,B71*$C$10)</f>
        <v>0</v>
      </c>
      <c r="D71" s="478">
        <f ca="1">IFERROR(IF($H$5="",B71*'CT à Transf'!$K$28,B71*$H$5),B71*$H$5)</f>
        <v>0</v>
      </c>
      <c r="E71" s="478">
        <f t="shared" ca="1" si="16"/>
        <v>0</v>
      </c>
      <c r="F71" s="478">
        <f t="shared" ca="1" si="1"/>
        <v>0</v>
      </c>
      <c r="G71" s="478">
        <f t="shared" ca="1" si="17"/>
        <v>0</v>
      </c>
      <c r="H71" s="478">
        <f t="shared" ca="1" si="2"/>
        <v>0</v>
      </c>
      <c r="J71" s="476"/>
      <c r="K71" s="477">
        <f t="shared" si="18"/>
        <v>51</v>
      </c>
      <c r="L71" s="478">
        <f t="shared" ca="1" si="37"/>
        <v>0</v>
      </c>
      <c r="M71" s="478">
        <f t="shared" ca="1" si="19"/>
        <v>0</v>
      </c>
      <c r="N71" s="478">
        <f ca="1">IF(OR($C$7=Données!$H$52,$C$7=Données!$H$53),(L71*$N$9)+((M71*$Q$8)*$Q$9),(L71+M71)*$N$8*$N$9)</f>
        <v>0</v>
      </c>
      <c r="O71" s="478">
        <f ca="1">IF(OR($C$7=Données!$H$52,$C$7=Données!$H$53),(L71*$H$10)+(M71*$Q$8*$H$10)-(M71*$Q$8*Données!$G$36*$H$10),((L71+M71)*$N$8*$H$10)-IF($K$8="Rente à titre onéreux imposable sur",(L71+M71)*$N$8*Données!$G$36*$H$10,(L71+M71)*$N$8*Données!$M$41*$H$10))</f>
        <v>0</v>
      </c>
      <c r="P71" s="478">
        <f t="shared" ca="1" si="3"/>
        <v>0</v>
      </c>
      <c r="Q71" s="478">
        <f t="shared" ca="1" si="20"/>
        <v>0</v>
      </c>
      <c r="S71" s="476"/>
      <c r="T71" s="477">
        <f t="shared" si="21"/>
        <v>51</v>
      </c>
      <c r="U71" s="478">
        <f t="shared" ca="1" si="22"/>
        <v>0</v>
      </c>
      <c r="V71" s="478">
        <f t="shared" ca="1" si="4"/>
        <v>0</v>
      </c>
      <c r="W71" s="493">
        <f t="shared" ca="1" si="23"/>
        <v>0</v>
      </c>
      <c r="X71" s="493">
        <f t="shared" ca="1" si="24"/>
        <v>0</v>
      </c>
      <c r="Y71" s="478">
        <f t="shared" ca="1" si="5"/>
        <v>0</v>
      </c>
      <c r="Z71" s="504">
        <f t="shared" ca="1" si="25"/>
        <v>0</v>
      </c>
      <c r="AA71" s="478">
        <f t="shared" ca="1" si="6"/>
        <v>0</v>
      </c>
      <c r="AB71" s="478">
        <f t="shared" ca="1" si="7"/>
        <v>0</v>
      </c>
      <c r="AC71" s="478">
        <f ca="1">AA71*Données!$F$36</f>
        <v>0</v>
      </c>
      <c r="AD71" s="478">
        <f ca="1">AA71*Données!$F$28</f>
        <v>0</v>
      </c>
      <c r="AE71" s="478">
        <f ca="1">IF(AB71=0,0,IF($E$7="C1",(AB71*$H$10),IF($E$7="C2",-AA71*Données!$G$36*$H$10,0)))</f>
        <v>0</v>
      </c>
      <c r="AF71" s="478">
        <f t="shared" ca="1" si="8"/>
        <v>0</v>
      </c>
      <c r="AG71" s="477">
        <f t="shared" si="26"/>
        <v>51</v>
      </c>
      <c r="AH71" s="478">
        <f t="shared" si="27"/>
        <v>0</v>
      </c>
      <c r="AI71" s="478">
        <f t="shared" si="28"/>
        <v>0</v>
      </c>
      <c r="AJ71" s="493">
        <f t="shared" si="29"/>
        <v>0</v>
      </c>
      <c r="AK71" s="493">
        <f t="shared" ca="1" si="30"/>
        <v>0</v>
      </c>
      <c r="AL71" s="478">
        <f t="shared" ca="1" si="9"/>
        <v>0</v>
      </c>
      <c r="AM71" s="478">
        <f t="shared" ca="1" si="10"/>
        <v>0</v>
      </c>
      <c r="AN71" s="478">
        <f t="shared" si="31"/>
        <v>0</v>
      </c>
      <c r="AO71" s="478">
        <f t="shared" ca="1" si="11"/>
        <v>0</v>
      </c>
      <c r="AP71" s="478">
        <f>AN71*Données!$F$36</f>
        <v>0</v>
      </c>
      <c r="AQ71" s="478">
        <f>AN71*Données!$F$28</f>
        <v>0</v>
      </c>
      <c r="AR71" s="478">
        <f ca="1">IF(AO71=0,0,IF($E$7="C1",(AO71*$H$10),IF($E$7="C2",-AN71*Données!$G$36*$H$10,0)))</f>
        <v>0</v>
      </c>
      <c r="AS71" s="478">
        <f t="shared" ca="1" si="12"/>
        <v>0</v>
      </c>
      <c r="AT71" s="477">
        <f t="shared" si="32"/>
        <v>51</v>
      </c>
      <c r="AU71" s="478">
        <f t="shared" si="33"/>
        <v>0</v>
      </c>
      <c r="AV71" s="478">
        <f t="shared" si="34"/>
        <v>0</v>
      </c>
      <c r="AW71" s="493">
        <f t="shared" si="35"/>
        <v>0</v>
      </c>
      <c r="AX71" s="493">
        <f t="shared" si="36"/>
        <v>0</v>
      </c>
      <c r="AY71" s="478">
        <f t="shared" si="13"/>
        <v>0</v>
      </c>
    </row>
    <row r="72" spans="1:51">
      <c r="A72" s="477">
        <f t="shared" ca="1" si="14"/>
        <v>2078</v>
      </c>
      <c r="B72" s="478">
        <f t="shared" ca="1" si="15"/>
        <v>0</v>
      </c>
      <c r="C72" s="478">
        <f ca="1">IF(OR($C$7=Données!$H$51,$C$7=Données!$H$54,$C$7=Données!$H$55,$C$7=Données!$H$57),0,B72*$C$10)</f>
        <v>0</v>
      </c>
      <c r="D72" s="478">
        <f ca="1">IFERROR(IF($H$5="",B72*'CT à Transf'!$K$28,B72*$H$5),B72*$H$5)</f>
        <v>0</v>
      </c>
      <c r="E72" s="478">
        <f t="shared" ca="1" si="16"/>
        <v>0</v>
      </c>
      <c r="F72" s="478">
        <f t="shared" ca="1" si="1"/>
        <v>0</v>
      </c>
      <c r="G72" s="478">
        <f t="shared" ca="1" si="17"/>
        <v>0</v>
      </c>
      <c r="H72" s="478">
        <f t="shared" ca="1" si="2"/>
        <v>0</v>
      </c>
      <c r="J72" s="476"/>
      <c r="K72" s="477">
        <f t="shared" si="18"/>
        <v>52</v>
      </c>
      <c r="L72" s="478">
        <f t="shared" ca="1" si="37"/>
        <v>0</v>
      </c>
      <c r="M72" s="478">
        <f t="shared" ca="1" si="19"/>
        <v>0</v>
      </c>
      <c r="N72" s="478">
        <f ca="1">IF(OR($C$7=Données!$H$52,$C$7=Données!$H$53),(L72*$N$9)+((M72*$Q$8)*$Q$9),(L72+M72)*$N$8*$N$9)</f>
        <v>0</v>
      </c>
      <c r="O72" s="478">
        <f ca="1">IF(OR($C$7=Données!$H$52,$C$7=Données!$H$53),(L72*$H$10)+(M72*$Q$8*$H$10)-(M72*$Q$8*Données!$G$36*$H$10),((L72+M72)*$N$8*$H$10)-IF($K$8="Rente à titre onéreux imposable sur",(L72+M72)*$N$8*Données!$G$36*$H$10,(L72+M72)*$N$8*Données!$M$41*$H$10))</f>
        <v>0</v>
      </c>
      <c r="P72" s="478">
        <f t="shared" ca="1" si="3"/>
        <v>0</v>
      </c>
      <c r="Q72" s="478">
        <f t="shared" ca="1" si="20"/>
        <v>0</v>
      </c>
      <c r="S72" s="476"/>
      <c r="T72" s="477">
        <f t="shared" si="21"/>
        <v>52</v>
      </c>
      <c r="U72" s="478">
        <f t="shared" ca="1" si="22"/>
        <v>0</v>
      </c>
      <c r="V72" s="478">
        <f t="shared" ca="1" si="4"/>
        <v>0</v>
      </c>
      <c r="W72" s="493">
        <f t="shared" ca="1" si="23"/>
        <v>0</v>
      </c>
      <c r="X72" s="493">
        <f t="shared" ca="1" si="24"/>
        <v>0</v>
      </c>
      <c r="Y72" s="478">
        <f t="shared" ca="1" si="5"/>
        <v>0</v>
      </c>
      <c r="Z72" s="504">
        <f t="shared" ca="1" si="25"/>
        <v>0</v>
      </c>
      <c r="AA72" s="478">
        <f t="shared" ca="1" si="6"/>
        <v>0</v>
      </c>
      <c r="AB72" s="478">
        <f t="shared" ca="1" si="7"/>
        <v>0</v>
      </c>
      <c r="AC72" s="478">
        <f ca="1">AA72*Données!$F$36</f>
        <v>0</v>
      </c>
      <c r="AD72" s="478">
        <f ca="1">AA72*Données!$F$28</f>
        <v>0</v>
      </c>
      <c r="AE72" s="478">
        <f ca="1">IF(AB72=0,0,IF($E$7="C1",(AB72*$H$10),IF($E$7="C2",-AA72*Données!$G$36*$H$10,0)))</f>
        <v>0</v>
      </c>
      <c r="AF72" s="478">
        <f t="shared" ca="1" si="8"/>
        <v>0</v>
      </c>
      <c r="AG72" s="477">
        <f t="shared" si="26"/>
        <v>52</v>
      </c>
      <c r="AH72" s="478">
        <f t="shared" si="27"/>
        <v>0</v>
      </c>
      <c r="AI72" s="478">
        <f t="shared" si="28"/>
        <v>0</v>
      </c>
      <c r="AJ72" s="493">
        <f t="shared" si="29"/>
        <v>0</v>
      </c>
      <c r="AK72" s="493">
        <f t="shared" ca="1" si="30"/>
        <v>0</v>
      </c>
      <c r="AL72" s="478">
        <f t="shared" ca="1" si="9"/>
        <v>0</v>
      </c>
      <c r="AM72" s="478">
        <f t="shared" ca="1" si="10"/>
        <v>0</v>
      </c>
      <c r="AN72" s="478">
        <f t="shared" si="31"/>
        <v>0</v>
      </c>
      <c r="AO72" s="478">
        <f t="shared" ca="1" si="11"/>
        <v>0</v>
      </c>
      <c r="AP72" s="478">
        <f>AN72*Données!$F$36</f>
        <v>0</v>
      </c>
      <c r="AQ72" s="478">
        <f>AN72*Données!$F$28</f>
        <v>0</v>
      </c>
      <c r="AR72" s="478">
        <f ca="1">IF(AO72=0,0,IF($E$7="C1",(AO72*$H$10),IF($E$7="C2",-AN72*Données!$G$36*$H$10,0)))</f>
        <v>0</v>
      </c>
      <c r="AS72" s="478">
        <f t="shared" ca="1" si="12"/>
        <v>0</v>
      </c>
      <c r="AT72" s="477">
        <f t="shared" si="32"/>
        <v>52</v>
      </c>
      <c r="AU72" s="478">
        <f t="shared" si="33"/>
        <v>0</v>
      </c>
      <c r="AV72" s="478">
        <f t="shared" si="34"/>
        <v>0</v>
      </c>
      <c r="AW72" s="493">
        <f t="shared" si="35"/>
        <v>0</v>
      </c>
      <c r="AX72" s="493">
        <f t="shared" si="36"/>
        <v>0</v>
      </c>
      <c r="AY72" s="478">
        <f t="shared" si="13"/>
        <v>0</v>
      </c>
    </row>
    <row r="73" spans="1:51">
      <c r="A73" s="477">
        <f t="shared" ca="1" si="14"/>
        <v>2079</v>
      </c>
      <c r="B73" s="478">
        <f t="shared" ca="1" si="15"/>
        <v>0</v>
      </c>
      <c r="C73" s="478">
        <f ca="1">IF(OR($C$7=Données!$H$51,$C$7=Données!$H$54,$C$7=Données!$H$55,$C$7=Données!$H$57),0,B73*$C$10)</f>
        <v>0</v>
      </c>
      <c r="D73" s="478">
        <f ca="1">IFERROR(IF($H$5="",B73*'CT à Transf'!$K$28,B73*$H$5),B73*$H$5)</f>
        <v>0</v>
      </c>
      <c r="E73" s="478">
        <f t="shared" ca="1" si="16"/>
        <v>0</v>
      </c>
      <c r="F73" s="478">
        <f t="shared" ca="1" si="1"/>
        <v>0</v>
      </c>
      <c r="G73" s="478">
        <f t="shared" ca="1" si="17"/>
        <v>0</v>
      </c>
      <c r="H73" s="478">
        <f t="shared" ca="1" si="2"/>
        <v>0</v>
      </c>
      <c r="J73" s="476"/>
      <c r="K73" s="477">
        <f t="shared" si="18"/>
        <v>53</v>
      </c>
      <c r="L73" s="478">
        <f t="shared" ca="1" si="37"/>
        <v>0</v>
      </c>
      <c r="M73" s="478">
        <f t="shared" ca="1" si="19"/>
        <v>0</v>
      </c>
      <c r="N73" s="478">
        <f ca="1">IF(OR($C$7=Données!$H$52,$C$7=Données!$H$53),(L73*$N$9)+((M73*$Q$8)*$Q$9),(L73+M73)*$N$8*$N$9)</f>
        <v>0</v>
      </c>
      <c r="O73" s="478">
        <f ca="1">IF(OR($C$7=Données!$H$52,$C$7=Données!$H$53),(L73*$H$10)+(M73*$Q$8*$H$10)-(M73*$Q$8*Données!$G$36*$H$10),((L73+M73)*$N$8*$H$10)-IF($K$8="Rente à titre onéreux imposable sur",(L73+M73)*$N$8*Données!$G$36*$H$10,(L73+M73)*$N$8*Données!$M$41*$H$10))</f>
        <v>0</v>
      </c>
      <c r="P73" s="478">
        <f t="shared" ca="1" si="3"/>
        <v>0</v>
      </c>
      <c r="Q73" s="478">
        <f t="shared" ca="1" si="20"/>
        <v>0</v>
      </c>
      <c r="S73" s="476"/>
      <c r="T73" s="477">
        <f t="shared" si="21"/>
        <v>53</v>
      </c>
      <c r="U73" s="478">
        <f t="shared" ca="1" si="22"/>
        <v>0</v>
      </c>
      <c r="V73" s="478">
        <f t="shared" ca="1" si="4"/>
        <v>0</v>
      </c>
      <c r="W73" s="493">
        <f t="shared" ca="1" si="23"/>
        <v>0</v>
      </c>
      <c r="X73" s="493">
        <f t="shared" ca="1" si="24"/>
        <v>0</v>
      </c>
      <c r="Y73" s="478">
        <f t="shared" ca="1" si="5"/>
        <v>0</v>
      </c>
      <c r="Z73" s="504">
        <f t="shared" ca="1" si="25"/>
        <v>0</v>
      </c>
      <c r="AA73" s="478">
        <f t="shared" ca="1" si="6"/>
        <v>0</v>
      </c>
      <c r="AB73" s="478">
        <f t="shared" ca="1" si="7"/>
        <v>0</v>
      </c>
      <c r="AC73" s="478">
        <f ca="1">AA73*Données!$F$36</f>
        <v>0</v>
      </c>
      <c r="AD73" s="478">
        <f ca="1">AA73*Données!$F$28</f>
        <v>0</v>
      </c>
      <c r="AE73" s="478">
        <f ca="1">IF(AB73=0,0,IF($E$7="C1",(AB73*$H$10),IF($E$7="C2",-AA73*Données!$G$36*$H$10,0)))</f>
        <v>0</v>
      </c>
      <c r="AF73" s="478">
        <f t="shared" ca="1" si="8"/>
        <v>0</v>
      </c>
      <c r="AG73" s="477">
        <f t="shared" si="26"/>
        <v>53</v>
      </c>
      <c r="AH73" s="478">
        <f t="shared" si="27"/>
        <v>0</v>
      </c>
      <c r="AI73" s="478">
        <f t="shared" si="28"/>
        <v>0</v>
      </c>
      <c r="AJ73" s="493">
        <f t="shared" si="29"/>
        <v>0</v>
      </c>
      <c r="AK73" s="493">
        <f t="shared" ca="1" si="30"/>
        <v>0</v>
      </c>
      <c r="AL73" s="478">
        <f t="shared" ca="1" si="9"/>
        <v>0</v>
      </c>
      <c r="AM73" s="478">
        <f t="shared" ca="1" si="10"/>
        <v>0</v>
      </c>
      <c r="AN73" s="478">
        <f t="shared" si="31"/>
        <v>0</v>
      </c>
      <c r="AO73" s="478">
        <f t="shared" ca="1" si="11"/>
        <v>0</v>
      </c>
      <c r="AP73" s="478">
        <f>AN73*Données!$F$36</f>
        <v>0</v>
      </c>
      <c r="AQ73" s="478">
        <f>AN73*Données!$F$28</f>
        <v>0</v>
      </c>
      <c r="AR73" s="478">
        <f ca="1">IF(AO73=0,0,IF($E$7="C1",(AO73*$H$10),IF($E$7="C2",-AN73*Données!$G$36*$H$10,0)))</f>
        <v>0</v>
      </c>
      <c r="AS73" s="478">
        <f t="shared" ca="1" si="12"/>
        <v>0</v>
      </c>
      <c r="AT73" s="477">
        <f t="shared" si="32"/>
        <v>53</v>
      </c>
      <c r="AU73" s="478">
        <f t="shared" si="33"/>
        <v>0</v>
      </c>
      <c r="AV73" s="478">
        <f t="shared" si="34"/>
        <v>0</v>
      </c>
      <c r="AW73" s="493">
        <f t="shared" si="35"/>
        <v>0</v>
      </c>
      <c r="AX73" s="493">
        <f t="shared" si="36"/>
        <v>0</v>
      </c>
      <c r="AY73" s="478">
        <f t="shared" si="13"/>
        <v>0</v>
      </c>
    </row>
    <row r="74" spans="1:51">
      <c r="A74" s="477">
        <f t="shared" ca="1" si="14"/>
        <v>2080</v>
      </c>
      <c r="B74" s="478">
        <f t="shared" ca="1" si="15"/>
        <v>0</v>
      </c>
      <c r="C74" s="478">
        <f ca="1">IF(OR($C$7=Données!$H$51,$C$7=Données!$H$54,$C$7=Données!$H$55,$C$7=Données!$H$57),0,B74*$C$10)</f>
        <v>0</v>
      </c>
      <c r="D74" s="478">
        <f ca="1">IFERROR(IF($H$5="",B74*'CT à Transf'!$K$28,B74*$H$5),B74*$H$5)</f>
        <v>0</v>
      </c>
      <c r="E74" s="478">
        <f t="shared" ca="1" si="16"/>
        <v>0</v>
      </c>
      <c r="F74" s="478">
        <f t="shared" ca="1" si="1"/>
        <v>0</v>
      </c>
      <c r="G74" s="478">
        <f t="shared" ca="1" si="17"/>
        <v>0</v>
      </c>
      <c r="H74" s="478">
        <f t="shared" ca="1" si="2"/>
        <v>0</v>
      </c>
      <c r="J74" s="476"/>
      <c r="K74" s="477">
        <f t="shared" si="18"/>
        <v>54</v>
      </c>
      <c r="L74" s="478">
        <f t="shared" ca="1" si="37"/>
        <v>0</v>
      </c>
      <c r="M74" s="478">
        <f t="shared" ca="1" si="19"/>
        <v>0</v>
      </c>
      <c r="N74" s="478">
        <f ca="1">IF(OR($C$7=Données!$H$52,$C$7=Données!$H$53),(L74*$N$9)+((M74*$Q$8)*$Q$9),(L74+M74)*$N$8*$N$9)</f>
        <v>0</v>
      </c>
      <c r="O74" s="478">
        <f ca="1">IF(OR($C$7=Données!$H$52,$C$7=Données!$H$53),(L74*$H$10)+(M74*$Q$8*$H$10)-(M74*$Q$8*Données!$G$36*$H$10),((L74+M74)*$N$8*$H$10)-IF($K$8="Rente à titre onéreux imposable sur",(L74+M74)*$N$8*Données!$G$36*$H$10,(L74+M74)*$N$8*Données!$M$41*$H$10))</f>
        <v>0</v>
      </c>
      <c r="P74" s="478">
        <f t="shared" ca="1" si="3"/>
        <v>0</v>
      </c>
      <c r="Q74" s="478">
        <f t="shared" ca="1" si="20"/>
        <v>0</v>
      </c>
      <c r="S74" s="476"/>
      <c r="T74" s="477">
        <f t="shared" si="21"/>
        <v>54</v>
      </c>
      <c r="U74" s="478">
        <f t="shared" ca="1" si="22"/>
        <v>0</v>
      </c>
      <c r="V74" s="478">
        <f t="shared" ca="1" si="4"/>
        <v>0</v>
      </c>
      <c r="W74" s="493">
        <f t="shared" ca="1" si="23"/>
        <v>0</v>
      </c>
      <c r="X74" s="493">
        <f t="shared" ca="1" si="24"/>
        <v>0</v>
      </c>
      <c r="Y74" s="478">
        <f t="shared" ca="1" si="5"/>
        <v>0</v>
      </c>
      <c r="Z74" s="504">
        <f t="shared" ca="1" si="25"/>
        <v>0</v>
      </c>
      <c r="AA74" s="478">
        <f t="shared" ca="1" si="6"/>
        <v>0</v>
      </c>
      <c r="AB74" s="478">
        <f t="shared" ca="1" si="7"/>
        <v>0</v>
      </c>
      <c r="AC74" s="478">
        <f ca="1">AA74*Données!$F$36</f>
        <v>0</v>
      </c>
      <c r="AD74" s="478">
        <f ca="1">AA74*Données!$F$28</f>
        <v>0</v>
      </c>
      <c r="AE74" s="478">
        <f ca="1">IF(AB74=0,0,IF($E$7="C1",(AB74*$H$10),IF($E$7="C2",-AA74*Données!$G$36*$H$10,0)))</f>
        <v>0</v>
      </c>
      <c r="AF74" s="478">
        <f t="shared" ca="1" si="8"/>
        <v>0</v>
      </c>
      <c r="AG74" s="477">
        <f t="shared" si="26"/>
        <v>54</v>
      </c>
      <c r="AH74" s="478">
        <f t="shared" si="27"/>
        <v>0</v>
      </c>
      <c r="AI74" s="478">
        <f t="shared" si="28"/>
        <v>0</v>
      </c>
      <c r="AJ74" s="493">
        <f t="shared" si="29"/>
        <v>0</v>
      </c>
      <c r="AK74" s="493">
        <f t="shared" ca="1" si="30"/>
        <v>0</v>
      </c>
      <c r="AL74" s="478">
        <f t="shared" ca="1" si="9"/>
        <v>0</v>
      </c>
      <c r="AM74" s="478">
        <f t="shared" ca="1" si="10"/>
        <v>0</v>
      </c>
      <c r="AN74" s="478">
        <f t="shared" si="31"/>
        <v>0</v>
      </c>
      <c r="AO74" s="478">
        <f t="shared" ca="1" si="11"/>
        <v>0</v>
      </c>
      <c r="AP74" s="478">
        <f>AN74*Données!$F$36</f>
        <v>0</v>
      </c>
      <c r="AQ74" s="478">
        <f>AN74*Données!$F$28</f>
        <v>0</v>
      </c>
      <c r="AR74" s="478">
        <f ca="1">IF(AO74=0,0,IF($E$7="C1",(AO74*$H$10),IF($E$7="C2",-AN74*Données!$G$36*$H$10,0)))</f>
        <v>0</v>
      </c>
      <c r="AS74" s="478">
        <f t="shared" ca="1" si="12"/>
        <v>0</v>
      </c>
      <c r="AT74" s="477">
        <f t="shared" si="32"/>
        <v>54</v>
      </c>
      <c r="AU74" s="478">
        <f t="shared" si="33"/>
        <v>0</v>
      </c>
      <c r="AV74" s="478">
        <f t="shared" si="34"/>
        <v>0</v>
      </c>
      <c r="AW74" s="493">
        <f t="shared" si="35"/>
        <v>0</v>
      </c>
      <c r="AX74" s="493">
        <f t="shared" si="36"/>
        <v>0</v>
      </c>
      <c r="AY74" s="478">
        <f t="shared" si="13"/>
        <v>0</v>
      </c>
    </row>
    <row r="75" spans="1:51">
      <c r="A75" s="477">
        <f t="shared" ca="1" si="14"/>
        <v>2081</v>
      </c>
      <c r="B75" s="478">
        <f t="shared" ca="1" si="15"/>
        <v>0</v>
      </c>
      <c r="C75" s="478">
        <f ca="1">IF(OR($C$7=Données!$H$51,$C$7=Données!$H$54,$C$7=Données!$H$55,$C$7=Données!$H$57),0,B75*$C$10)</f>
        <v>0</v>
      </c>
      <c r="D75" s="478">
        <f ca="1">IFERROR(IF($H$5="",B75*'CT à Transf'!$K$28,B75*$H$5),B75*$H$5)</f>
        <v>0</v>
      </c>
      <c r="E75" s="478">
        <f t="shared" ca="1" si="16"/>
        <v>0</v>
      </c>
      <c r="F75" s="478">
        <f t="shared" ca="1" si="1"/>
        <v>0</v>
      </c>
      <c r="G75" s="478">
        <f t="shared" ca="1" si="17"/>
        <v>0</v>
      </c>
      <c r="H75" s="478">
        <f t="shared" ca="1" si="2"/>
        <v>0</v>
      </c>
      <c r="J75" s="476"/>
      <c r="K75" s="477">
        <f t="shared" si="18"/>
        <v>55</v>
      </c>
      <c r="L75" s="478">
        <f t="shared" ca="1" si="37"/>
        <v>0</v>
      </c>
      <c r="M75" s="478">
        <f t="shared" ca="1" si="19"/>
        <v>0</v>
      </c>
      <c r="N75" s="478">
        <f ca="1">IF(OR($C$7=Données!$H$52,$C$7=Données!$H$53),(L75*$N$9)+((M75*$Q$8)*$Q$9),(L75+M75)*$N$8*$N$9)</f>
        <v>0</v>
      </c>
      <c r="O75" s="478">
        <f ca="1">IF(OR($C$7=Données!$H$52,$C$7=Données!$H$53),(L75*$H$10)+(M75*$Q$8*$H$10)-(M75*$Q$8*Données!$G$36*$H$10),((L75+M75)*$N$8*$H$10)-IF($K$8="Rente à titre onéreux imposable sur",(L75+M75)*$N$8*Données!$G$36*$H$10,(L75+M75)*$N$8*Données!$M$41*$H$10))</f>
        <v>0</v>
      </c>
      <c r="P75" s="478">
        <f t="shared" ca="1" si="3"/>
        <v>0</v>
      </c>
      <c r="Q75" s="478">
        <f t="shared" ca="1" si="20"/>
        <v>0</v>
      </c>
      <c r="S75" s="476"/>
      <c r="T75" s="477">
        <f t="shared" si="21"/>
        <v>55</v>
      </c>
      <c r="U75" s="478">
        <f t="shared" ca="1" si="22"/>
        <v>0</v>
      </c>
      <c r="V75" s="478">
        <f t="shared" ca="1" si="4"/>
        <v>0</v>
      </c>
      <c r="W75" s="493">
        <f t="shared" ca="1" si="23"/>
        <v>0</v>
      </c>
      <c r="X75" s="493">
        <f t="shared" ca="1" si="24"/>
        <v>0</v>
      </c>
      <c r="Y75" s="478">
        <f t="shared" ca="1" si="5"/>
        <v>0</v>
      </c>
      <c r="Z75" s="504">
        <f t="shared" ca="1" si="25"/>
        <v>0</v>
      </c>
      <c r="AA75" s="478">
        <f t="shared" ca="1" si="6"/>
        <v>0</v>
      </c>
      <c r="AB75" s="478">
        <f t="shared" ca="1" si="7"/>
        <v>0</v>
      </c>
      <c r="AC75" s="478">
        <f ca="1">AA75*Données!$F$36</f>
        <v>0</v>
      </c>
      <c r="AD75" s="478">
        <f ca="1">AA75*Données!$F$28</f>
        <v>0</v>
      </c>
      <c r="AE75" s="478">
        <f ca="1">IF(AB75=0,0,IF($E$7="C1",(AB75*$H$10),IF($E$7="C2",-AA75*Données!$G$36*$H$10,0)))</f>
        <v>0</v>
      </c>
      <c r="AF75" s="478">
        <f t="shared" ca="1" si="8"/>
        <v>0</v>
      </c>
      <c r="AG75" s="477">
        <f t="shared" si="26"/>
        <v>55</v>
      </c>
      <c r="AH75" s="478">
        <f t="shared" si="27"/>
        <v>0</v>
      </c>
      <c r="AI75" s="478">
        <f t="shared" si="28"/>
        <v>0</v>
      </c>
      <c r="AJ75" s="493">
        <f t="shared" si="29"/>
        <v>0</v>
      </c>
      <c r="AK75" s="493">
        <f t="shared" ca="1" si="30"/>
        <v>0</v>
      </c>
      <c r="AL75" s="478">
        <f t="shared" ca="1" si="9"/>
        <v>0</v>
      </c>
      <c r="AM75" s="478">
        <f t="shared" ca="1" si="10"/>
        <v>0</v>
      </c>
      <c r="AN75" s="478">
        <f t="shared" si="31"/>
        <v>0</v>
      </c>
      <c r="AO75" s="478">
        <f t="shared" ca="1" si="11"/>
        <v>0</v>
      </c>
      <c r="AP75" s="478">
        <f>AN75*Données!$F$36</f>
        <v>0</v>
      </c>
      <c r="AQ75" s="478">
        <f>AN75*Données!$F$28</f>
        <v>0</v>
      </c>
      <c r="AR75" s="478">
        <f ca="1">IF(AO75=0,0,IF($E$7="C1",(AO75*$H$10),IF($E$7="C2",-AN75*Données!$G$36*$H$10,0)))</f>
        <v>0</v>
      </c>
      <c r="AS75" s="478">
        <f t="shared" ca="1" si="12"/>
        <v>0</v>
      </c>
      <c r="AT75" s="477">
        <f t="shared" si="32"/>
        <v>55</v>
      </c>
      <c r="AU75" s="478">
        <f t="shared" si="33"/>
        <v>0</v>
      </c>
      <c r="AV75" s="478">
        <f t="shared" si="34"/>
        <v>0</v>
      </c>
      <c r="AW75" s="493">
        <f t="shared" si="35"/>
        <v>0</v>
      </c>
      <c r="AX75" s="493">
        <f t="shared" si="36"/>
        <v>0</v>
      </c>
      <c r="AY75" s="478">
        <f t="shared" si="13"/>
        <v>0</v>
      </c>
    </row>
    <row r="76" spans="1:51">
      <c r="A76" s="477">
        <f t="shared" ca="1" si="14"/>
        <v>2082</v>
      </c>
      <c r="B76" s="478">
        <f t="shared" ca="1" si="15"/>
        <v>0</v>
      </c>
      <c r="C76" s="478">
        <f ca="1">IF(OR($C$7=Données!$H$51,$C$7=Données!$H$54,$C$7=Données!$H$55,$C$7=Données!$H$57),0,B76*$C$10)</f>
        <v>0</v>
      </c>
      <c r="D76" s="478">
        <f ca="1">IFERROR(IF($H$5="",B76*'CT à Transf'!$K$28,B76*$H$5),B76*$H$5)</f>
        <v>0</v>
      </c>
      <c r="E76" s="478">
        <f t="shared" ca="1" si="16"/>
        <v>0</v>
      </c>
      <c r="F76" s="478">
        <f t="shared" ca="1" si="1"/>
        <v>0</v>
      </c>
      <c r="G76" s="478">
        <f t="shared" ca="1" si="17"/>
        <v>0</v>
      </c>
      <c r="H76" s="478">
        <f t="shared" ca="1" si="2"/>
        <v>0</v>
      </c>
      <c r="J76" s="476"/>
      <c r="K76" s="477">
        <f t="shared" si="18"/>
        <v>56</v>
      </c>
      <c r="L76" s="478">
        <f t="shared" ca="1" si="37"/>
        <v>0</v>
      </c>
      <c r="M76" s="478">
        <f t="shared" ca="1" si="19"/>
        <v>0</v>
      </c>
      <c r="N76" s="478">
        <f ca="1">IF(OR($C$7=Données!$H$52,$C$7=Données!$H$53),(L76*$N$9)+((M76*$Q$8)*$Q$9),(L76+M76)*$N$8*$N$9)</f>
        <v>0</v>
      </c>
      <c r="O76" s="478">
        <f ca="1">IF(OR($C$7=Données!$H$52,$C$7=Données!$H$53),(L76*$H$10)+(M76*$Q$8*$H$10)-(M76*$Q$8*Données!$G$36*$H$10),((L76+M76)*$N$8*$H$10)-IF($K$8="Rente à titre onéreux imposable sur",(L76+M76)*$N$8*Données!$G$36*$H$10,(L76+M76)*$N$8*Données!$M$41*$H$10))</f>
        <v>0</v>
      </c>
      <c r="P76" s="478">
        <f t="shared" ca="1" si="3"/>
        <v>0</v>
      </c>
      <c r="Q76" s="478">
        <f t="shared" ca="1" si="20"/>
        <v>0</v>
      </c>
      <c r="S76" s="476"/>
      <c r="T76" s="477">
        <f t="shared" si="21"/>
        <v>56</v>
      </c>
      <c r="U76" s="478">
        <f t="shared" ca="1" si="22"/>
        <v>0</v>
      </c>
      <c r="V76" s="478">
        <f t="shared" ca="1" si="4"/>
        <v>0</v>
      </c>
      <c r="W76" s="493">
        <f t="shared" ca="1" si="23"/>
        <v>0</v>
      </c>
      <c r="X76" s="493">
        <f t="shared" ca="1" si="24"/>
        <v>0</v>
      </c>
      <c r="Y76" s="478">
        <f t="shared" ca="1" si="5"/>
        <v>0</v>
      </c>
      <c r="Z76" s="504">
        <f t="shared" ca="1" si="25"/>
        <v>0</v>
      </c>
      <c r="AA76" s="478">
        <f t="shared" ca="1" si="6"/>
        <v>0</v>
      </c>
      <c r="AB76" s="478">
        <f t="shared" ca="1" si="7"/>
        <v>0</v>
      </c>
      <c r="AC76" s="478">
        <f ca="1">AA76*Données!$F$36</f>
        <v>0</v>
      </c>
      <c r="AD76" s="478">
        <f ca="1">AA76*Données!$F$28</f>
        <v>0</v>
      </c>
      <c r="AE76" s="478">
        <f ca="1">IF(AB76=0,0,IF($E$7="C1",(AB76*$H$10),IF($E$7="C2",-AA76*Données!$G$36*$H$10,0)))</f>
        <v>0</v>
      </c>
      <c r="AF76" s="478">
        <f t="shared" ca="1" si="8"/>
        <v>0</v>
      </c>
      <c r="AG76" s="477">
        <f t="shared" si="26"/>
        <v>56</v>
      </c>
      <c r="AH76" s="478">
        <f t="shared" si="27"/>
        <v>0</v>
      </c>
      <c r="AI76" s="478">
        <f t="shared" si="28"/>
        <v>0</v>
      </c>
      <c r="AJ76" s="493">
        <f t="shared" si="29"/>
        <v>0</v>
      </c>
      <c r="AK76" s="493">
        <f t="shared" ca="1" si="30"/>
        <v>0</v>
      </c>
      <c r="AL76" s="478">
        <f t="shared" ca="1" si="9"/>
        <v>0</v>
      </c>
      <c r="AM76" s="478">
        <f t="shared" ca="1" si="10"/>
        <v>0</v>
      </c>
      <c r="AN76" s="478">
        <f t="shared" si="31"/>
        <v>0</v>
      </c>
      <c r="AO76" s="478">
        <f t="shared" ca="1" si="11"/>
        <v>0</v>
      </c>
      <c r="AP76" s="478">
        <f>AN76*Données!$F$36</f>
        <v>0</v>
      </c>
      <c r="AQ76" s="478">
        <f>AN76*Données!$F$28</f>
        <v>0</v>
      </c>
      <c r="AR76" s="478">
        <f ca="1">IF(AO76=0,0,IF($E$7="C1",(AO76*$H$10),IF($E$7="C2",-AN76*Données!$G$36*$H$10,0)))</f>
        <v>0</v>
      </c>
      <c r="AS76" s="478">
        <f t="shared" ca="1" si="12"/>
        <v>0</v>
      </c>
      <c r="AT76" s="477">
        <f t="shared" si="32"/>
        <v>56</v>
      </c>
      <c r="AU76" s="478">
        <f t="shared" si="33"/>
        <v>0</v>
      </c>
      <c r="AV76" s="478">
        <f t="shared" si="34"/>
        <v>0</v>
      </c>
      <c r="AW76" s="493">
        <f t="shared" si="35"/>
        <v>0</v>
      </c>
      <c r="AX76" s="493">
        <f t="shared" si="36"/>
        <v>0</v>
      </c>
      <c r="AY76" s="478">
        <f t="shared" si="13"/>
        <v>0</v>
      </c>
    </row>
    <row r="77" spans="1:51">
      <c r="A77" s="477">
        <f t="shared" ca="1" si="14"/>
        <v>2083</v>
      </c>
      <c r="B77" s="478">
        <f t="shared" ca="1" si="15"/>
        <v>0</v>
      </c>
      <c r="C77" s="478">
        <f ca="1">IF(OR($C$7=Données!$H$51,$C$7=Données!$H$54,$C$7=Données!$H$55,$C$7=Données!$H$57),0,B77*$C$10)</f>
        <v>0</v>
      </c>
      <c r="D77" s="478">
        <f ca="1">IFERROR(IF($H$5="",B77*'CT à Transf'!$K$28,B77*$H$5),B77*$H$5)</f>
        <v>0</v>
      </c>
      <c r="E77" s="478">
        <f t="shared" ca="1" si="16"/>
        <v>0</v>
      </c>
      <c r="F77" s="478">
        <f t="shared" ca="1" si="1"/>
        <v>0</v>
      </c>
      <c r="G77" s="478">
        <f t="shared" ca="1" si="17"/>
        <v>0</v>
      </c>
      <c r="H77" s="478">
        <f t="shared" ca="1" si="2"/>
        <v>0</v>
      </c>
      <c r="J77" s="476"/>
      <c r="K77" s="477">
        <f t="shared" si="18"/>
        <v>57</v>
      </c>
      <c r="L77" s="478">
        <f t="shared" ca="1" si="37"/>
        <v>0</v>
      </c>
      <c r="M77" s="478">
        <f t="shared" ca="1" si="19"/>
        <v>0</v>
      </c>
      <c r="N77" s="478">
        <f ca="1">IF(OR($C$7=Données!$H$52,$C$7=Données!$H$53),(L77*$N$9)+((M77*$Q$8)*$Q$9),(L77+M77)*$N$8*$N$9)</f>
        <v>0</v>
      </c>
      <c r="O77" s="478">
        <f ca="1">IF(OR($C$7=Données!$H$52,$C$7=Données!$H$53),(L77*$H$10)+(M77*$Q$8*$H$10)-(M77*$Q$8*Données!$G$36*$H$10),((L77+M77)*$N$8*$H$10)-IF($K$8="Rente à titre onéreux imposable sur",(L77+M77)*$N$8*Données!$G$36*$H$10,(L77+M77)*$N$8*Données!$M$41*$H$10))</f>
        <v>0</v>
      </c>
      <c r="P77" s="478">
        <f t="shared" ca="1" si="3"/>
        <v>0</v>
      </c>
      <c r="Q77" s="478">
        <f t="shared" ca="1" si="20"/>
        <v>0</v>
      </c>
      <c r="S77" s="476"/>
      <c r="T77" s="477">
        <f t="shared" si="21"/>
        <v>57</v>
      </c>
      <c r="U77" s="478">
        <f t="shared" ca="1" si="22"/>
        <v>0</v>
      </c>
      <c r="V77" s="478">
        <f t="shared" ca="1" si="4"/>
        <v>0</v>
      </c>
      <c r="W77" s="493">
        <f t="shared" ca="1" si="23"/>
        <v>0</v>
      </c>
      <c r="X77" s="493">
        <f t="shared" ca="1" si="24"/>
        <v>0</v>
      </c>
      <c r="Y77" s="478">
        <f t="shared" ca="1" si="5"/>
        <v>0</v>
      </c>
      <c r="Z77" s="504">
        <f t="shared" ca="1" si="25"/>
        <v>0</v>
      </c>
      <c r="AA77" s="478">
        <f t="shared" ca="1" si="6"/>
        <v>0</v>
      </c>
      <c r="AB77" s="478">
        <f t="shared" ca="1" si="7"/>
        <v>0</v>
      </c>
      <c r="AC77" s="478">
        <f ca="1">AA77*Données!$F$36</f>
        <v>0</v>
      </c>
      <c r="AD77" s="478">
        <f ca="1">AA77*Données!$F$28</f>
        <v>0</v>
      </c>
      <c r="AE77" s="478">
        <f ca="1">IF(AB77=0,0,IF($E$7="C1",(AB77*$H$10),IF($E$7="C2",-AA77*Données!$G$36*$H$10,0)))</f>
        <v>0</v>
      </c>
      <c r="AF77" s="478">
        <f t="shared" ca="1" si="8"/>
        <v>0</v>
      </c>
      <c r="AG77" s="477">
        <f t="shared" si="26"/>
        <v>57</v>
      </c>
      <c r="AH77" s="478">
        <f t="shared" si="27"/>
        <v>0</v>
      </c>
      <c r="AI77" s="478">
        <f t="shared" si="28"/>
        <v>0</v>
      </c>
      <c r="AJ77" s="493">
        <f t="shared" si="29"/>
        <v>0</v>
      </c>
      <c r="AK77" s="493">
        <f t="shared" ca="1" si="30"/>
        <v>0</v>
      </c>
      <c r="AL77" s="478">
        <f t="shared" ca="1" si="9"/>
        <v>0</v>
      </c>
      <c r="AM77" s="478">
        <f t="shared" ca="1" si="10"/>
        <v>0</v>
      </c>
      <c r="AN77" s="478">
        <f t="shared" si="31"/>
        <v>0</v>
      </c>
      <c r="AO77" s="478">
        <f t="shared" ca="1" si="11"/>
        <v>0</v>
      </c>
      <c r="AP77" s="478">
        <f>AN77*Données!$F$36</f>
        <v>0</v>
      </c>
      <c r="AQ77" s="478">
        <f>AN77*Données!$F$28</f>
        <v>0</v>
      </c>
      <c r="AR77" s="478">
        <f ca="1">IF(AO77=0,0,IF($E$7="C1",(AO77*$H$10),IF($E$7="C2",-AN77*Données!$G$36*$H$10,0)))</f>
        <v>0</v>
      </c>
      <c r="AS77" s="478">
        <f t="shared" ca="1" si="12"/>
        <v>0</v>
      </c>
      <c r="AT77" s="477">
        <f t="shared" si="32"/>
        <v>57</v>
      </c>
      <c r="AU77" s="478">
        <f t="shared" si="33"/>
        <v>0</v>
      </c>
      <c r="AV77" s="478">
        <f t="shared" si="34"/>
        <v>0</v>
      </c>
      <c r="AW77" s="493">
        <f t="shared" si="35"/>
        <v>0</v>
      </c>
      <c r="AX77" s="493">
        <f t="shared" si="36"/>
        <v>0</v>
      </c>
      <c r="AY77" s="478">
        <f t="shared" si="13"/>
        <v>0</v>
      </c>
    </row>
    <row r="78" spans="1:51">
      <c r="A78" s="477">
        <f t="shared" ca="1" si="14"/>
        <v>2084</v>
      </c>
      <c r="B78" s="478">
        <f t="shared" ca="1" si="15"/>
        <v>0</v>
      </c>
      <c r="C78" s="478">
        <f ca="1">IF(OR($C$7=Données!$H$51,$C$7=Données!$H$54,$C$7=Données!$H$55,$C$7=Données!$H$57),0,B78*$C$10)</f>
        <v>0</v>
      </c>
      <c r="D78" s="478">
        <f ca="1">IFERROR(IF($H$5="",B78*'CT à Transf'!$K$28,B78*$H$5),B78*$H$5)</f>
        <v>0</v>
      </c>
      <c r="E78" s="478">
        <f t="shared" ca="1" si="16"/>
        <v>0</v>
      </c>
      <c r="F78" s="478">
        <f t="shared" ca="1" si="1"/>
        <v>0</v>
      </c>
      <c r="G78" s="478">
        <f t="shared" ca="1" si="17"/>
        <v>0</v>
      </c>
      <c r="H78" s="478">
        <f t="shared" ca="1" si="2"/>
        <v>0</v>
      </c>
      <c r="J78" s="476"/>
      <c r="K78" s="477">
        <f t="shared" si="18"/>
        <v>58</v>
      </c>
      <c r="L78" s="478">
        <f t="shared" ca="1" si="37"/>
        <v>0</v>
      </c>
      <c r="M78" s="478">
        <f t="shared" ca="1" si="19"/>
        <v>0</v>
      </c>
      <c r="N78" s="478">
        <f ca="1">IF(OR($C$7=Données!$H$52,$C$7=Données!$H$53),(L78*$N$9)+((M78*$Q$8)*$Q$9),(L78+M78)*$N$8*$N$9)</f>
        <v>0</v>
      </c>
      <c r="O78" s="478">
        <f ca="1">IF(OR($C$7=Données!$H$52,$C$7=Données!$H$53),(L78*$H$10)+(M78*$Q$8*$H$10)-(M78*$Q$8*Données!$G$36*$H$10),((L78+M78)*$N$8*$H$10)-IF($K$8="Rente à titre onéreux imposable sur",(L78+M78)*$N$8*Données!$G$36*$H$10,(L78+M78)*$N$8*Données!$M$41*$H$10))</f>
        <v>0</v>
      </c>
      <c r="P78" s="478">
        <f t="shared" ca="1" si="3"/>
        <v>0</v>
      </c>
      <c r="Q78" s="478">
        <f t="shared" ca="1" si="20"/>
        <v>0</v>
      </c>
      <c r="S78" s="476"/>
      <c r="T78" s="477">
        <f t="shared" si="21"/>
        <v>58</v>
      </c>
      <c r="U78" s="478">
        <f t="shared" ca="1" si="22"/>
        <v>0</v>
      </c>
      <c r="V78" s="478">
        <f t="shared" ca="1" si="4"/>
        <v>0</v>
      </c>
      <c r="W78" s="493">
        <f t="shared" ca="1" si="23"/>
        <v>0</v>
      </c>
      <c r="X78" s="493">
        <f t="shared" ca="1" si="24"/>
        <v>0</v>
      </c>
      <c r="Y78" s="478">
        <f t="shared" ca="1" si="5"/>
        <v>0</v>
      </c>
      <c r="Z78" s="504">
        <f t="shared" ca="1" si="25"/>
        <v>0</v>
      </c>
      <c r="AA78" s="478">
        <f t="shared" ca="1" si="6"/>
        <v>0</v>
      </c>
      <c r="AB78" s="478">
        <f t="shared" ca="1" si="7"/>
        <v>0</v>
      </c>
      <c r="AC78" s="478">
        <f ca="1">AA78*Données!$F$36</f>
        <v>0</v>
      </c>
      <c r="AD78" s="478">
        <f ca="1">AA78*Données!$F$28</f>
        <v>0</v>
      </c>
      <c r="AE78" s="478">
        <f ca="1">IF(AB78=0,0,IF($E$7="C1",(AB78*$H$10),IF($E$7="C2",-AA78*Données!$G$36*$H$10,0)))</f>
        <v>0</v>
      </c>
      <c r="AF78" s="478">
        <f t="shared" ca="1" si="8"/>
        <v>0</v>
      </c>
      <c r="AG78" s="477">
        <f t="shared" si="26"/>
        <v>58</v>
      </c>
      <c r="AH78" s="478">
        <f t="shared" si="27"/>
        <v>0</v>
      </c>
      <c r="AI78" s="478">
        <f t="shared" si="28"/>
        <v>0</v>
      </c>
      <c r="AJ78" s="493">
        <f t="shared" si="29"/>
        <v>0</v>
      </c>
      <c r="AK78" s="493">
        <f t="shared" ca="1" si="30"/>
        <v>0</v>
      </c>
      <c r="AL78" s="478">
        <f t="shared" ca="1" si="9"/>
        <v>0</v>
      </c>
      <c r="AM78" s="478">
        <f t="shared" ca="1" si="10"/>
        <v>0</v>
      </c>
      <c r="AN78" s="478">
        <f t="shared" si="31"/>
        <v>0</v>
      </c>
      <c r="AO78" s="478">
        <f t="shared" ca="1" si="11"/>
        <v>0</v>
      </c>
      <c r="AP78" s="478">
        <f>AN78*Données!$F$36</f>
        <v>0</v>
      </c>
      <c r="AQ78" s="478">
        <f>AN78*Données!$F$28</f>
        <v>0</v>
      </c>
      <c r="AR78" s="478">
        <f ca="1">IF(AO78=0,0,IF($E$7="C1",(AO78*$H$10),IF($E$7="C2",-AN78*Données!$G$36*$H$10,0)))</f>
        <v>0</v>
      </c>
      <c r="AS78" s="478">
        <f t="shared" ca="1" si="12"/>
        <v>0</v>
      </c>
      <c r="AT78" s="477">
        <f t="shared" si="32"/>
        <v>58</v>
      </c>
      <c r="AU78" s="478">
        <f t="shared" si="33"/>
        <v>0</v>
      </c>
      <c r="AV78" s="478">
        <f t="shared" si="34"/>
        <v>0</v>
      </c>
      <c r="AW78" s="493">
        <f t="shared" si="35"/>
        <v>0</v>
      </c>
      <c r="AX78" s="493">
        <f t="shared" si="36"/>
        <v>0</v>
      </c>
      <c r="AY78" s="478">
        <f t="shared" si="13"/>
        <v>0</v>
      </c>
    </row>
    <row r="79" spans="1:51">
      <c r="A79" s="477">
        <f t="shared" ca="1" si="14"/>
        <v>2085</v>
      </c>
      <c r="B79" s="478">
        <f t="shared" ca="1" si="15"/>
        <v>0</v>
      </c>
      <c r="C79" s="478">
        <f ca="1">IF(OR($C$7=Données!$H$51,$C$7=Données!$H$54,$C$7=Données!$H$55,$C$7=Données!$H$57),0,B79*$C$10)</f>
        <v>0</v>
      </c>
      <c r="D79" s="478">
        <f ca="1">IFERROR(IF($H$5="",B79*'CT à Transf'!$K$28,B79*$H$5),B79*$H$5)</f>
        <v>0</v>
      </c>
      <c r="E79" s="478">
        <f t="shared" ca="1" si="16"/>
        <v>0</v>
      </c>
      <c r="F79" s="478">
        <f t="shared" ca="1" si="1"/>
        <v>0</v>
      </c>
      <c r="G79" s="478">
        <f t="shared" ca="1" si="17"/>
        <v>0</v>
      </c>
      <c r="H79" s="478">
        <f t="shared" ca="1" si="2"/>
        <v>0</v>
      </c>
      <c r="J79" s="476"/>
      <c r="K79" s="477">
        <f t="shared" si="18"/>
        <v>59</v>
      </c>
      <c r="L79" s="478">
        <f t="shared" ca="1" si="37"/>
        <v>0</v>
      </c>
      <c r="M79" s="478">
        <f t="shared" ca="1" si="19"/>
        <v>0</v>
      </c>
      <c r="N79" s="478">
        <f ca="1">IF(OR($C$7=Données!$H$52,$C$7=Données!$H$53),(L79*$N$9)+((M79*$Q$8)*$Q$9),(L79+M79)*$N$8*$N$9)</f>
        <v>0</v>
      </c>
      <c r="O79" s="478">
        <f ca="1">IF(OR($C$7=Données!$H$52,$C$7=Données!$H$53),(L79*$H$10)+(M79*$Q$8*$H$10)-(M79*$Q$8*Données!$G$36*$H$10),((L79+M79)*$N$8*$H$10)-IF($K$8="Rente à titre onéreux imposable sur",(L79+M79)*$N$8*Données!$G$36*$H$10,(L79+M79)*$N$8*Données!$M$41*$H$10))</f>
        <v>0</v>
      </c>
      <c r="P79" s="478">
        <f t="shared" ca="1" si="3"/>
        <v>0</v>
      </c>
      <c r="Q79" s="478">
        <f t="shared" ca="1" si="20"/>
        <v>0</v>
      </c>
      <c r="S79" s="476"/>
      <c r="T79" s="477">
        <f t="shared" si="21"/>
        <v>59</v>
      </c>
      <c r="U79" s="478">
        <f t="shared" ca="1" si="22"/>
        <v>0</v>
      </c>
      <c r="V79" s="478">
        <f t="shared" ca="1" si="4"/>
        <v>0</v>
      </c>
      <c r="W79" s="493">
        <f t="shared" ca="1" si="23"/>
        <v>0</v>
      </c>
      <c r="X79" s="493">
        <f t="shared" ca="1" si="24"/>
        <v>0</v>
      </c>
      <c r="Y79" s="478">
        <f t="shared" ca="1" si="5"/>
        <v>0</v>
      </c>
      <c r="Z79" s="504">
        <f t="shared" ca="1" si="25"/>
        <v>0</v>
      </c>
      <c r="AA79" s="478">
        <f t="shared" ca="1" si="6"/>
        <v>0</v>
      </c>
      <c r="AB79" s="478">
        <f t="shared" ca="1" si="7"/>
        <v>0</v>
      </c>
      <c r="AC79" s="478">
        <f ca="1">AA79*Données!$F$36</f>
        <v>0</v>
      </c>
      <c r="AD79" s="478">
        <f ca="1">AA79*Données!$F$28</f>
        <v>0</v>
      </c>
      <c r="AE79" s="478">
        <f ca="1">IF(AB79=0,0,IF($E$7="C1",(AB79*$H$10),IF($E$7="C2",-AA79*Données!$G$36*$H$10,0)))</f>
        <v>0</v>
      </c>
      <c r="AF79" s="478">
        <f t="shared" ca="1" si="8"/>
        <v>0</v>
      </c>
      <c r="AG79" s="477">
        <f t="shared" si="26"/>
        <v>59</v>
      </c>
      <c r="AH79" s="478">
        <f t="shared" si="27"/>
        <v>0</v>
      </c>
      <c r="AI79" s="478">
        <f t="shared" si="28"/>
        <v>0</v>
      </c>
      <c r="AJ79" s="493">
        <f t="shared" si="29"/>
        <v>0</v>
      </c>
      <c r="AK79" s="493">
        <f t="shared" ca="1" si="30"/>
        <v>0</v>
      </c>
      <c r="AL79" s="478">
        <f t="shared" ca="1" si="9"/>
        <v>0</v>
      </c>
      <c r="AM79" s="478">
        <f t="shared" ca="1" si="10"/>
        <v>0</v>
      </c>
      <c r="AN79" s="478">
        <f t="shared" si="31"/>
        <v>0</v>
      </c>
      <c r="AO79" s="478">
        <f t="shared" ca="1" si="11"/>
        <v>0</v>
      </c>
      <c r="AP79" s="478">
        <f>AN79*Données!$F$36</f>
        <v>0</v>
      </c>
      <c r="AQ79" s="478">
        <f>AN79*Données!$F$28</f>
        <v>0</v>
      </c>
      <c r="AR79" s="478">
        <f ca="1">IF(AO79=0,0,IF($E$7="C1",(AO79*$H$10),IF($E$7="C2",-AN79*Données!$G$36*$H$10,0)))</f>
        <v>0</v>
      </c>
      <c r="AS79" s="478">
        <f t="shared" ca="1" si="12"/>
        <v>0</v>
      </c>
      <c r="AT79" s="477">
        <f t="shared" si="32"/>
        <v>59</v>
      </c>
      <c r="AU79" s="478">
        <f t="shared" si="33"/>
        <v>0</v>
      </c>
      <c r="AV79" s="478">
        <f t="shared" si="34"/>
        <v>0</v>
      </c>
      <c r="AW79" s="493">
        <f t="shared" si="35"/>
        <v>0</v>
      </c>
      <c r="AX79" s="493">
        <f t="shared" si="36"/>
        <v>0</v>
      </c>
      <c r="AY79" s="478">
        <f t="shared" si="13"/>
        <v>0</v>
      </c>
    </row>
    <row r="80" spans="1:51">
      <c r="A80" s="477">
        <f t="shared" ca="1" si="14"/>
        <v>2086</v>
      </c>
      <c r="B80" s="478">
        <f t="shared" ca="1" si="15"/>
        <v>0</v>
      </c>
      <c r="C80" s="478">
        <f ca="1">IF(OR($C$7=Données!$H$51,$C$7=Données!$H$54,$C$7=Données!$H$55,$C$7=Données!$H$57),0,B80*$C$10)</f>
        <v>0</v>
      </c>
      <c r="D80" s="478">
        <f ca="1">IFERROR(IF($H$5="",B80*'CT à Transf'!$K$28,B80*$H$5),B80*$H$5)</f>
        <v>0</v>
      </c>
      <c r="E80" s="478">
        <f t="shared" ca="1" si="16"/>
        <v>0</v>
      </c>
      <c r="F80" s="478">
        <f t="shared" ca="1" si="1"/>
        <v>0</v>
      </c>
      <c r="G80" s="478">
        <f t="shared" ca="1" si="17"/>
        <v>0</v>
      </c>
      <c r="H80" s="478">
        <f t="shared" ca="1" si="2"/>
        <v>0</v>
      </c>
      <c r="J80" s="476"/>
      <c r="K80" s="477">
        <f t="shared" si="18"/>
        <v>60</v>
      </c>
      <c r="L80" s="478">
        <f t="shared" ca="1" si="37"/>
        <v>0</v>
      </c>
      <c r="M80" s="478">
        <f t="shared" ca="1" si="19"/>
        <v>0</v>
      </c>
      <c r="N80" s="478">
        <f ca="1">IF(OR($C$7=Données!$H$52,$C$7=Données!$H$53),(L80*$N$9)+((M80*$Q$8)*$Q$9),(L80+M80)*$N$8*$N$9)</f>
        <v>0</v>
      </c>
      <c r="O80" s="478">
        <f ca="1">IF(OR($C$7=Données!$H$52,$C$7=Données!$H$53),(L80*$H$10)+(M80*$Q$8*$H$10)-(M80*$Q$8*Données!$G$36*$H$10),((L80+M80)*$N$8*$H$10)-IF($K$8="Rente à titre onéreux imposable sur",(L80+M80)*$N$8*Données!$G$36*$H$10,(L80+M80)*$N$8*Données!$M$41*$H$10))</f>
        <v>0</v>
      </c>
      <c r="P80" s="478">
        <f t="shared" ca="1" si="3"/>
        <v>0</v>
      </c>
      <c r="Q80" s="478">
        <f t="shared" ca="1" si="20"/>
        <v>0</v>
      </c>
      <c r="S80" s="476"/>
      <c r="T80" s="477">
        <f t="shared" si="21"/>
        <v>60</v>
      </c>
      <c r="U80" s="478">
        <f t="shared" ca="1" si="22"/>
        <v>0</v>
      </c>
      <c r="V80" s="478">
        <f t="shared" ca="1" si="4"/>
        <v>0</v>
      </c>
      <c r="W80" s="493">
        <f t="shared" ca="1" si="23"/>
        <v>0</v>
      </c>
      <c r="X80" s="493">
        <f t="shared" ca="1" si="24"/>
        <v>0</v>
      </c>
      <c r="Y80" s="478">
        <f t="shared" ca="1" si="5"/>
        <v>0</v>
      </c>
      <c r="Z80" s="504">
        <f t="shared" ca="1" si="25"/>
        <v>0</v>
      </c>
      <c r="AA80" s="478">
        <f t="shared" ca="1" si="6"/>
        <v>0</v>
      </c>
      <c r="AB80" s="478">
        <f t="shared" ca="1" si="7"/>
        <v>0</v>
      </c>
      <c r="AC80" s="478">
        <f ca="1">AA80*Données!$F$36</f>
        <v>0</v>
      </c>
      <c r="AD80" s="478">
        <f ca="1">AA80*Données!$F$28</f>
        <v>0</v>
      </c>
      <c r="AE80" s="478">
        <f ca="1">IF(AB80=0,0,IF($E$7="C1",(AB80*$H$10),IF($E$7="C2",-AA80*Données!$G$36*$H$10,0)))</f>
        <v>0</v>
      </c>
      <c r="AF80" s="478">
        <f t="shared" ca="1" si="8"/>
        <v>0</v>
      </c>
      <c r="AG80" s="477">
        <f t="shared" si="26"/>
        <v>60</v>
      </c>
      <c r="AH80" s="478">
        <f t="shared" si="27"/>
        <v>0</v>
      </c>
      <c r="AI80" s="478">
        <f t="shared" si="28"/>
        <v>0</v>
      </c>
      <c r="AJ80" s="493">
        <f t="shared" si="29"/>
        <v>0</v>
      </c>
      <c r="AK80" s="493">
        <f t="shared" ca="1" si="30"/>
        <v>0</v>
      </c>
      <c r="AL80" s="478">
        <f t="shared" ca="1" si="9"/>
        <v>0</v>
      </c>
      <c r="AM80" s="478">
        <f t="shared" ca="1" si="10"/>
        <v>0</v>
      </c>
      <c r="AN80" s="478">
        <f t="shared" si="31"/>
        <v>0</v>
      </c>
      <c r="AO80" s="478">
        <f t="shared" ca="1" si="11"/>
        <v>0</v>
      </c>
      <c r="AP80" s="478">
        <f>AN80*Données!$F$36</f>
        <v>0</v>
      </c>
      <c r="AQ80" s="478">
        <f>AN80*Données!$F$28</f>
        <v>0</v>
      </c>
      <c r="AR80" s="478">
        <f ca="1">IF(AO80=0,0,IF($E$7="C1",(AO80*$H$10),IF($E$7="C2",-AN80*Données!$G$36*$H$10,0)))</f>
        <v>0</v>
      </c>
      <c r="AS80" s="478">
        <f t="shared" ca="1" si="12"/>
        <v>0</v>
      </c>
      <c r="AT80" s="477">
        <f t="shared" si="32"/>
        <v>60</v>
      </c>
      <c r="AU80" s="478">
        <f t="shared" si="33"/>
        <v>0</v>
      </c>
      <c r="AV80" s="478">
        <f t="shared" si="34"/>
        <v>0</v>
      </c>
      <c r="AW80" s="493">
        <f t="shared" si="35"/>
        <v>0</v>
      </c>
      <c r="AX80" s="493">
        <f t="shared" si="36"/>
        <v>0</v>
      </c>
      <c r="AY80" s="478">
        <f t="shared" si="13"/>
        <v>0</v>
      </c>
    </row>
    <row r="81" spans="1:51">
      <c r="A81" s="477">
        <f t="shared" ca="1" si="14"/>
        <v>2087</v>
      </c>
      <c r="B81" s="478">
        <f t="shared" ca="1" si="15"/>
        <v>0</v>
      </c>
      <c r="C81" s="478">
        <f ca="1">IF(OR($C$7=Données!$H$51,$C$7=Données!$H$54,$C$7=Données!$H$55,$C$7=Données!$H$57),0,B81*$C$10)</f>
        <v>0</v>
      </c>
      <c r="D81" s="478">
        <f ca="1">IFERROR(IF($H$5="",B81*'CT à Transf'!$K$28,B81*$H$5),B81*$H$5)</f>
        <v>0</v>
      </c>
      <c r="E81" s="478">
        <f t="shared" ca="1" si="16"/>
        <v>0</v>
      </c>
      <c r="F81" s="478">
        <f t="shared" ca="1" si="1"/>
        <v>0</v>
      </c>
      <c r="G81" s="478">
        <f t="shared" ca="1" si="17"/>
        <v>0</v>
      </c>
      <c r="H81" s="478">
        <f t="shared" ca="1" si="2"/>
        <v>0</v>
      </c>
      <c r="J81" s="476"/>
      <c r="K81" s="477">
        <f t="shared" si="18"/>
        <v>61</v>
      </c>
      <c r="L81" s="478">
        <f t="shared" ca="1" si="37"/>
        <v>0</v>
      </c>
      <c r="M81" s="478">
        <f t="shared" ca="1" si="19"/>
        <v>0</v>
      </c>
      <c r="N81" s="478">
        <f ca="1">IF(OR($C$7=Données!$H$52,$C$7=Données!$H$53),(L81*$N$9)+((M81*$Q$8)*$Q$9),(L81+M81)*$N$8*$N$9)</f>
        <v>0</v>
      </c>
      <c r="O81" s="478">
        <f ca="1">IF(OR($C$7=Données!$H$52,$C$7=Données!$H$53),(L81*$H$10)+(M81*$Q$8*$H$10)-(M81*$Q$8*Données!$G$36*$H$10),((L81+M81)*$N$8*$H$10)-IF($K$8="Rente à titre onéreux imposable sur",(L81+M81)*$N$8*Données!$G$36*$H$10,(L81+M81)*$N$8*Données!$M$41*$H$10))</f>
        <v>0</v>
      </c>
      <c r="P81" s="478">
        <f t="shared" ca="1" si="3"/>
        <v>0</v>
      </c>
      <c r="Q81" s="478">
        <f t="shared" ca="1" si="20"/>
        <v>0</v>
      </c>
      <c r="S81" s="476"/>
      <c r="T81" s="477">
        <f t="shared" si="21"/>
        <v>61</v>
      </c>
      <c r="U81" s="478">
        <f t="shared" ca="1" si="22"/>
        <v>0</v>
      </c>
      <c r="V81" s="478">
        <f t="shared" ca="1" si="4"/>
        <v>0</v>
      </c>
      <c r="W81" s="493">
        <f t="shared" ca="1" si="23"/>
        <v>0</v>
      </c>
      <c r="X81" s="493">
        <f t="shared" ca="1" si="24"/>
        <v>0</v>
      </c>
      <c r="Y81" s="478">
        <f t="shared" ca="1" si="5"/>
        <v>0</v>
      </c>
      <c r="Z81" s="504">
        <f t="shared" ca="1" si="25"/>
        <v>0</v>
      </c>
      <c r="AA81" s="478">
        <f t="shared" ca="1" si="6"/>
        <v>0</v>
      </c>
      <c r="AB81" s="478">
        <f t="shared" ca="1" si="7"/>
        <v>0</v>
      </c>
      <c r="AC81" s="478">
        <f ca="1">AA81*Données!$F$36</f>
        <v>0</v>
      </c>
      <c r="AD81" s="478">
        <f ca="1">AA81*Données!$F$28</f>
        <v>0</v>
      </c>
      <c r="AE81" s="478">
        <f ca="1">IF(AB81=0,0,IF($E$7="C1",(AB81*$H$10),IF($E$7="C2",-AA81*Données!$G$36*$H$10,0)))</f>
        <v>0</v>
      </c>
      <c r="AF81" s="478">
        <f t="shared" ca="1" si="8"/>
        <v>0</v>
      </c>
      <c r="AG81" s="477">
        <f t="shared" si="26"/>
        <v>61</v>
      </c>
      <c r="AH81" s="478">
        <f t="shared" si="27"/>
        <v>0</v>
      </c>
      <c r="AI81" s="478">
        <f t="shared" si="28"/>
        <v>0</v>
      </c>
      <c r="AJ81" s="493">
        <f t="shared" si="29"/>
        <v>0</v>
      </c>
      <c r="AK81" s="493">
        <f t="shared" ca="1" si="30"/>
        <v>0</v>
      </c>
      <c r="AL81" s="478">
        <f t="shared" ca="1" si="9"/>
        <v>0</v>
      </c>
      <c r="AM81" s="478">
        <f t="shared" ca="1" si="10"/>
        <v>0</v>
      </c>
      <c r="AN81" s="478">
        <f t="shared" si="31"/>
        <v>0</v>
      </c>
      <c r="AO81" s="478">
        <f t="shared" ca="1" si="11"/>
        <v>0</v>
      </c>
      <c r="AP81" s="478">
        <f>AN81*Données!$F$36</f>
        <v>0</v>
      </c>
      <c r="AQ81" s="478">
        <f>AN81*Données!$F$28</f>
        <v>0</v>
      </c>
      <c r="AR81" s="478">
        <f ca="1">IF(AO81=0,0,IF($E$7="C1",(AO81*$H$10),IF($E$7="C2",-AN81*Données!$G$36*$H$10,0)))</f>
        <v>0</v>
      </c>
      <c r="AS81" s="478">
        <f t="shared" ca="1" si="12"/>
        <v>0</v>
      </c>
      <c r="AT81" s="477">
        <f t="shared" si="32"/>
        <v>61</v>
      </c>
      <c r="AU81" s="478">
        <f t="shared" si="33"/>
        <v>0</v>
      </c>
      <c r="AV81" s="478">
        <f t="shared" si="34"/>
        <v>0</v>
      </c>
      <c r="AW81" s="493">
        <f t="shared" si="35"/>
        <v>0</v>
      </c>
      <c r="AX81" s="493">
        <f t="shared" si="36"/>
        <v>0</v>
      </c>
      <c r="AY81" s="478">
        <f t="shared" si="13"/>
        <v>0</v>
      </c>
    </row>
    <row r="82" spans="1:51">
      <c r="A82" s="477">
        <f t="shared" ca="1" si="14"/>
        <v>2088</v>
      </c>
      <c r="B82" s="478">
        <f t="shared" ca="1" si="15"/>
        <v>0</v>
      </c>
      <c r="C82" s="478">
        <f ca="1">IF(OR($C$7=Données!$H$51,$C$7=Données!$H$54,$C$7=Données!$H$55,$C$7=Données!$H$57),0,B82*$C$10)</f>
        <v>0</v>
      </c>
      <c r="D82" s="478">
        <f ca="1">IFERROR(IF($H$5="",B82*'CT à Transf'!$K$28,B82*$H$5),B82*$H$5)</f>
        <v>0</v>
      </c>
      <c r="E82" s="478">
        <f t="shared" ca="1" si="16"/>
        <v>0</v>
      </c>
      <c r="F82" s="478">
        <f t="shared" ca="1" si="1"/>
        <v>0</v>
      </c>
      <c r="G82" s="478">
        <f t="shared" ca="1" si="17"/>
        <v>0</v>
      </c>
      <c r="H82" s="478">
        <f t="shared" ca="1" si="2"/>
        <v>0</v>
      </c>
      <c r="J82" s="476"/>
      <c r="K82" s="477">
        <f t="shared" si="18"/>
        <v>62</v>
      </c>
      <c r="L82" s="478">
        <f t="shared" ca="1" si="37"/>
        <v>0</v>
      </c>
      <c r="M82" s="478">
        <f t="shared" ca="1" si="19"/>
        <v>0</v>
      </c>
      <c r="N82" s="478">
        <f ca="1">IF(OR($C$7=Données!$H$52,$C$7=Données!$H$53),(L82*$N$9)+((M82*$Q$8)*$Q$9),(L82+M82)*$N$8*$N$9)</f>
        <v>0</v>
      </c>
      <c r="O82" s="478">
        <f ca="1">IF(OR($C$7=Données!$H$52,$C$7=Données!$H$53),(L82*$H$10)+(M82*$Q$8*$H$10)-(M82*$Q$8*Données!$G$36*$H$10),((L82+M82)*$N$8*$H$10)-IF($K$8="Rente à titre onéreux imposable sur",(L82+M82)*$N$8*Données!$G$36*$H$10,(L82+M82)*$N$8*Données!$M$41*$H$10))</f>
        <v>0</v>
      </c>
      <c r="P82" s="478">
        <f t="shared" ca="1" si="3"/>
        <v>0</v>
      </c>
      <c r="Q82" s="478">
        <f t="shared" ca="1" si="20"/>
        <v>0</v>
      </c>
      <c r="S82" s="476"/>
      <c r="T82" s="477">
        <f t="shared" si="21"/>
        <v>62</v>
      </c>
      <c r="U82" s="478">
        <f t="shared" ca="1" si="22"/>
        <v>0</v>
      </c>
      <c r="V82" s="478">
        <f t="shared" ca="1" si="4"/>
        <v>0</v>
      </c>
      <c r="W82" s="493">
        <f t="shared" ca="1" si="23"/>
        <v>0</v>
      </c>
      <c r="X82" s="493">
        <f t="shared" ca="1" si="24"/>
        <v>0</v>
      </c>
      <c r="Y82" s="478">
        <f t="shared" ca="1" si="5"/>
        <v>0</v>
      </c>
      <c r="Z82" s="504">
        <f t="shared" ca="1" si="25"/>
        <v>0</v>
      </c>
      <c r="AA82" s="478">
        <f t="shared" ca="1" si="6"/>
        <v>0</v>
      </c>
      <c r="AB82" s="478">
        <f t="shared" ca="1" si="7"/>
        <v>0</v>
      </c>
      <c r="AC82" s="478">
        <f ca="1">AA82*Données!$F$36</f>
        <v>0</v>
      </c>
      <c r="AD82" s="478">
        <f ca="1">AA82*Données!$F$28</f>
        <v>0</v>
      </c>
      <c r="AE82" s="478">
        <f ca="1">IF(AB82=0,0,IF($E$7="C1",(AB82*$H$10),IF($E$7="C2",-AA82*Données!$G$36*$H$10,0)))</f>
        <v>0</v>
      </c>
      <c r="AF82" s="478">
        <f t="shared" ca="1" si="8"/>
        <v>0</v>
      </c>
      <c r="AG82" s="477">
        <f t="shared" si="26"/>
        <v>62</v>
      </c>
      <c r="AH82" s="478">
        <f t="shared" si="27"/>
        <v>0</v>
      </c>
      <c r="AI82" s="478">
        <f t="shared" si="28"/>
        <v>0</v>
      </c>
      <c r="AJ82" s="493">
        <f t="shared" si="29"/>
        <v>0</v>
      </c>
      <c r="AK82" s="493">
        <f t="shared" ca="1" si="30"/>
        <v>0</v>
      </c>
      <c r="AL82" s="478">
        <f t="shared" ca="1" si="9"/>
        <v>0</v>
      </c>
      <c r="AM82" s="478">
        <f t="shared" ca="1" si="10"/>
        <v>0</v>
      </c>
      <c r="AN82" s="478">
        <f t="shared" si="31"/>
        <v>0</v>
      </c>
      <c r="AO82" s="478">
        <f t="shared" ca="1" si="11"/>
        <v>0</v>
      </c>
      <c r="AP82" s="478">
        <f>AN82*Données!$F$36</f>
        <v>0</v>
      </c>
      <c r="AQ82" s="478">
        <f>AN82*Données!$F$28</f>
        <v>0</v>
      </c>
      <c r="AR82" s="478">
        <f ca="1">IF(AO82=0,0,IF($E$7="C1",(AO82*$H$10),IF($E$7="C2",-AN82*Données!$G$36*$H$10,0)))</f>
        <v>0</v>
      </c>
      <c r="AS82" s="478">
        <f t="shared" ca="1" si="12"/>
        <v>0</v>
      </c>
      <c r="AT82" s="477">
        <f t="shared" si="32"/>
        <v>62</v>
      </c>
      <c r="AU82" s="478">
        <f t="shared" si="33"/>
        <v>0</v>
      </c>
      <c r="AV82" s="478">
        <f t="shared" si="34"/>
        <v>0</v>
      </c>
      <c r="AW82" s="493">
        <f t="shared" si="35"/>
        <v>0</v>
      </c>
      <c r="AX82" s="493">
        <f t="shared" si="36"/>
        <v>0</v>
      </c>
      <c r="AY82" s="478">
        <f t="shared" si="13"/>
        <v>0</v>
      </c>
    </row>
    <row r="83" spans="1:51">
      <c r="A83" s="477">
        <f t="shared" ca="1" si="14"/>
        <v>2089</v>
      </c>
      <c r="B83" s="478">
        <f t="shared" ca="1" si="15"/>
        <v>0</v>
      </c>
      <c r="C83" s="478">
        <f ca="1">IF(OR($C$7=Données!$H$51,$C$7=Données!$H$54,$C$7=Données!$H$55,$C$7=Données!$H$57),0,B83*$C$10)</f>
        <v>0</v>
      </c>
      <c r="D83" s="478">
        <f ca="1">IFERROR(IF($H$5="",B83*'CT à Transf'!$K$28,B83*$H$5),B83*$H$5)</f>
        <v>0</v>
      </c>
      <c r="E83" s="478">
        <f t="shared" ca="1" si="16"/>
        <v>0</v>
      </c>
      <c r="F83" s="478">
        <f t="shared" ca="1" si="1"/>
        <v>0</v>
      </c>
      <c r="G83" s="478">
        <f t="shared" ca="1" si="17"/>
        <v>0</v>
      </c>
      <c r="H83" s="478">
        <f t="shared" ca="1" si="2"/>
        <v>0</v>
      </c>
      <c r="J83" s="476"/>
      <c r="K83" s="477">
        <f t="shared" si="18"/>
        <v>63</v>
      </c>
      <c r="L83" s="478">
        <f t="shared" ca="1" si="37"/>
        <v>0</v>
      </c>
      <c r="M83" s="478">
        <f t="shared" ca="1" si="19"/>
        <v>0</v>
      </c>
      <c r="N83" s="478">
        <f ca="1">IF(OR($C$7=Données!$H$52,$C$7=Données!$H$53),(L83*$N$9)+((M83*$Q$8)*$Q$9),(L83+M83)*$N$8*$N$9)</f>
        <v>0</v>
      </c>
      <c r="O83" s="478">
        <f ca="1">IF(OR($C$7=Données!$H$52,$C$7=Données!$H$53),(L83*$H$10)+(M83*$Q$8*$H$10)-(M83*$Q$8*Données!$G$36*$H$10),((L83+M83)*$N$8*$H$10)-IF($K$8="Rente à titre onéreux imposable sur",(L83+M83)*$N$8*Données!$G$36*$H$10,(L83+M83)*$N$8*Données!$M$41*$H$10))</f>
        <v>0</v>
      </c>
      <c r="P83" s="478">
        <f t="shared" ca="1" si="3"/>
        <v>0</v>
      </c>
      <c r="Q83" s="478">
        <f t="shared" ca="1" si="20"/>
        <v>0</v>
      </c>
      <c r="S83" s="476"/>
      <c r="T83" s="477">
        <f t="shared" si="21"/>
        <v>63</v>
      </c>
      <c r="U83" s="478">
        <f t="shared" ca="1" si="22"/>
        <v>0</v>
      </c>
      <c r="V83" s="478">
        <f t="shared" ca="1" si="4"/>
        <v>0</v>
      </c>
      <c r="W83" s="493">
        <f t="shared" ca="1" si="23"/>
        <v>0</v>
      </c>
      <c r="X83" s="493">
        <f t="shared" ca="1" si="24"/>
        <v>0</v>
      </c>
      <c r="Y83" s="478">
        <f t="shared" ca="1" si="5"/>
        <v>0</v>
      </c>
      <c r="Z83" s="504">
        <f t="shared" ca="1" si="25"/>
        <v>0</v>
      </c>
      <c r="AA83" s="478">
        <f t="shared" ca="1" si="6"/>
        <v>0</v>
      </c>
      <c r="AB83" s="478">
        <f t="shared" ca="1" si="7"/>
        <v>0</v>
      </c>
      <c r="AC83" s="478">
        <f ca="1">AA83*Données!$F$36</f>
        <v>0</v>
      </c>
      <c r="AD83" s="478">
        <f ca="1">AA83*Données!$F$28</f>
        <v>0</v>
      </c>
      <c r="AE83" s="478">
        <f ca="1">IF(AB83=0,0,IF($E$7="C1",(AB83*$H$10),IF($E$7="C2",-AA83*Données!$G$36*$H$10,0)))</f>
        <v>0</v>
      </c>
      <c r="AF83" s="478">
        <f t="shared" ca="1" si="8"/>
        <v>0</v>
      </c>
      <c r="AG83" s="477">
        <f t="shared" si="26"/>
        <v>63</v>
      </c>
      <c r="AH83" s="478">
        <f t="shared" si="27"/>
        <v>0</v>
      </c>
      <c r="AI83" s="478">
        <f t="shared" si="28"/>
        <v>0</v>
      </c>
      <c r="AJ83" s="493">
        <f t="shared" si="29"/>
        <v>0</v>
      </c>
      <c r="AK83" s="493">
        <f t="shared" ca="1" si="30"/>
        <v>0</v>
      </c>
      <c r="AL83" s="478">
        <f t="shared" ca="1" si="9"/>
        <v>0</v>
      </c>
      <c r="AM83" s="478">
        <f t="shared" ca="1" si="10"/>
        <v>0</v>
      </c>
      <c r="AN83" s="478">
        <f t="shared" si="31"/>
        <v>0</v>
      </c>
      <c r="AO83" s="478">
        <f t="shared" ca="1" si="11"/>
        <v>0</v>
      </c>
      <c r="AP83" s="478">
        <f>AN83*Données!$F$36</f>
        <v>0</v>
      </c>
      <c r="AQ83" s="478">
        <f>AN83*Données!$F$28</f>
        <v>0</v>
      </c>
      <c r="AR83" s="478">
        <f ca="1">IF(AO83=0,0,IF($E$7="C1",(AO83*$H$10),IF($E$7="C2",-AN83*Données!$G$36*$H$10,0)))</f>
        <v>0</v>
      </c>
      <c r="AS83" s="478">
        <f t="shared" ca="1" si="12"/>
        <v>0</v>
      </c>
      <c r="AT83" s="477">
        <f t="shared" si="32"/>
        <v>63</v>
      </c>
      <c r="AU83" s="478">
        <f t="shared" si="33"/>
        <v>0</v>
      </c>
      <c r="AV83" s="478">
        <f t="shared" si="34"/>
        <v>0</v>
      </c>
      <c r="AW83" s="493">
        <f t="shared" si="35"/>
        <v>0</v>
      </c>
      <c r="AX83" s="493">
        <f t="shared" si="36"/>
        <v>0</v>
      </c>
      <c r="AY83" s="478">
        <f t="shared" si="13"/>
        <v>0</v>
      </c>
    </row>
    <row r="84" spans="1:51">
      <c r="A84" s="477">
        <f t="shared" ca="1" si="14"/>
        <v>2090</v>
      </c>
      <c r="B84" s="478">
        <f t="shared" ca="1" si="15"/>
        <v>0</v>
      </c>
      <c r="C84" s="478">
        <f ca="1">IF(OR($C$7=Données!$H$51,$C$7=Données!$H$54,$C$7=Données!$H$55,$C$7=Données!$H$57),0,B84*$C$10)</f>
        <v>0</v>
      </c>
      <c r="D84" s="478">
        <f ca="1">IFERROR(IF($H$5="",B84*'CT à Transf'!$K$28,B84*$H$5),B84*$H$5)</f>
        <v>0</v>
      </c>
      <c r="E84" s="478">
        <f t="shared" ca="1" si="16"/>
        <v>0</v>
      </c>
      <c r="F84" s="478">
        <f t="shared" ref="F84:F108" ca="1" si="38">E84*$H$6</f>
        <v>0</v>
      </c>
      <c r="G84" s="478">
        <f t="shared" ca="1" si="17"/>
        <v>0</v>
      </c>
      <c r="H84" s="478">
        <f t="shared" ca="1" si="2"/>
        <v>0</v>
      </c>
      <c r="J84" s="476"/>
      <c r="K84" s="477">
        <f t="shared" si="18"/>
        <v>64</v>
      </c>
      <c r="L84" s="478">
        <f t="shared" ref="L84:L108" ca="1" si="39">IFERROR($O$13*(($H$13-$H$14)/$H$13),0)</f>
        <v>0</v>
      </c>
      <c r="M84" s="478">
        <f t="shared" ca="1" si="19"/>
        <v>0</v>
      </c>
      <c r="N84" s="478">
        <f ca="1">IF(OR($C$7=Données!$H$52,$C$7=Données!$H$53),(L84*$N$9)+((M84*$Q$8)*$Q$9),(L84+M84)*$N$8*$N$9)</f>
        <v>0</v>
      </c>
      <c r="O84" s="478">
        <f ca="1">IF(OR($C$7=Données!$H$52,$C$7=Données!$H$53),(L84*$H$10)+(M84*$Q$8*$H$10)-(M84*$Q$8*Données!$G$36*$H$10),((L84+M84)*$N$8*$H$10)-IF($K$8="Rente à titre onéreux imposable sur",(L84+M84)*$N$8*Données!$G$36*$H$10,(L84+M84)*$N$8*Données!$M$41*$H$10))</f>
        <v>0</v>
      </c>
      <c r="P84" s="478">
        <f t="shared" ca="1" si="3"/>
        <v>0</v>
      </c>
      <c r="Q84" s="478">
        <f t="shared" ca="1" si="20"/>
        <v>0</v>
      </c>
      <c r="S84" s="476"/>
      <c r="T84" s="477">
        <f t="shared" si="21"/>
        <v>64</v>
      </c>
      <c r="U84" s="478">
        <f t="shared" ca="1" si="22"/>
        <v>0</v>
      </c>
      <c r="V84" s="478">
        <f t="shared" ca="1" si="4"/>
        <v>0</v>
      </c>
      <c r="W84" s="493">
        <f t="shared" ca="1" si="23"/>
        <v>0</v>
      </c>
      <c r="X84" s="493">
        <f t="shared" ca="1" si="24"/>
        <v>0</v>
      </c>
      <c r="Y84" s="478">
        <f t="shared" ca="1" si="5"/>
        <v>0</v>
      </c>
      <c r="Z84" s="504">
        <f t="shared" ca="1" si="25"/>
        <v>0</v>
      </c>
      <c r="AA84" s="478">
        <f t="shared" ca="1" si="6"/>
        <v>0</v>
      </c>
      <c r="AB84" s="478">
        <f t="shared" ca="1" si="7"/>
        <v>0</v>
      </c>
      <c r="AC84" s="478">
        <f ca="1">AA84*Données!$F$36</f>
        <v>0</v>
      </c>
      <c r="AD84" s="478">
        <f ca="1">AA84*Données!$F$28</f>
        <v>0</v>
      </c>
      <c r="AE84" s="478">
        <f ca="1">IF(AB84=0,0,IF($E$7="C1",(AB84*$H$10),IF($E$7="C2",-AA84*Données!$G$36*$H$10,0)))</f>
        <v>0</v>
      </c>
      <c r="AF84" s="478">
        <f t="shared" ca="1" si="8"/>
        <v>0</v>
      </c>
      <c r="AG84" s="477">
        <f t="shared" si="26"/>
        <v>64</v>
      </c>
      <c r="AH84" s="478">
        <f t="shared" si="27"/>
        <v>0</v>
      </c>
      <c r="AI84" s="478">
        <f t="shared" si="28"/>
        <v>0</v>
      </c>
      <c r="AJ84" s="493">
        <f t="shared" si="29"/>
        <v>0</v>
      </c>
      <c r="AK84" s="493">
        <f t="shared" ca="1" si="30"/>
        <v>0</v>
      </c>
      <c r="AL84" s="478">
        <f t="shared" ca="1" si="9"/>
        <v>0</v>
      </c>
      <c r="AM84" s="478">
        <f t="shared" ca="1" si="10"/>
        <v>0</v>
      </c>
      <c r="AN84" s="478">
        <f t="shared" si="31"/>
        <v>0</v>
      </c>
      <c r="AO84" s="478">
        <f t="shared" ca="1" si="11"/>
        <v>0</v>
      </c>
      <c r="AP84" s="478">
        <f>AN84*Données!$F$36</f>
        <v>0</v>
      </c>
      <c r="AQ84" s="478">
        <f>AN84*Données!$F$28</f>
        <v>0</v>
      </c>
      <c r="AR84" s="478">
        <f ca="1">IF(AO84=0,0,IF($E$7="C1",(AO84*$H$10),IF($E$7="C2",-AN84*Données!$G$36*$H$10,0)))</f>
        <v>0</v>
      </c>
      <c r="AS84" s="478">
        <f t="shared" ca="1" si="12"/>
        <v>0</v>
      </c>
      <c r="AT84" s="477">
        <f t="shared" si="32"/>
        <v>64</v>
      </c>
      <c r="AU84" s="478">
        <f t="shared" si="33"/>
        <v>0</v>
      </c>
      <c r="AV84" s="478">
        <f t="shared" si="34"/>
        <v>0</v>
      </c>
      <c r="AW84" s="493">
        <f t="shared" si="35"/>
        <v>0</v>
      </c>
      <c r="AX84" s="493">
        <f t="shared" si="36"/>
        <v>0</v>
      </c>
      <c r="AY84" s="478">
        <f t="shared" si="13"/>
        <v>0</v>
      </c>
    </row>
    <row r="85" spans="1:51">
      <c r="A85" s="477">
        <f t="shared" ca="1" si="14"/>
        <v>2091</v>
      </c>
      <c r="B85" s="478">
        <f t="shared" ca="1" si="15"/>
        <v>0</v>
      </c>
      <c r="C85" s="478">
        <f ca="1">IF(OR($C$7=Données!$H$51,$C$7=Données!$H$54,$C$7=Données!$H$55,$C$7=Données!$H$57),0,B85*$C$10)</f>
        <v>0</v>
      </c>
      <c r="D85" s="478">
        <f ca="1">IFERROR(IF($H$5="",B85*'CT à Transf'!$K$28,B85*$H$5),B85*$H$5)</f>
        <v>0</v>
      </c>
      <c r="E85" s="478">
        <f t="shared" ca="1" si="16"/>
        <v>0</v>
      </c>
      <c r="F85" s="478">
        <f t="shared" ca="1" si="38"/>
        <v>0</v>
      </c>
      <c r="G85" s="478">
        <f t="shared" ref="G85:G108" ca="1" si="40">IF(A85&lt;$C$6,(G84*(1+$H$6))+(E85+F85),0)</f>
        <v>0</v>
      </c>
      <c r="H85" s="478">
        <f t="shared" ref="H85:H108" ca="1" si="41">IF(G86&gt;0,0,G85)</f>
        <v>0</v>
      </c>
      <c r="J85" s="476"/>
      <c r="K85" s="477">
        <f t="shared" si="18"/>
        <v>65</v>
      </c>
      <c r="L85" s="478">
        <f t="shared" ca="1" si="39"/>
        <v>0</v>
      </c>
      <c r="M85" s="478">
        <f t="shared" ca="1" si="19"/>
        <v>0</v>
      </c>
      <c r="N85" s="478">
        <f ca="1">IF(OR($C$7=Données!$H$52,$C$7=Données!$H$53),(L85*$N$9)+((M85*$Q$8)*$Q$9),(L85+M85)*$N$8*$N$9)</f>
        <v>0</v>
      </c>
      <c r="O85" s="478">
        <f ca="1">IF(OR($C$7=Données!$H$52,$C$7=Données!$H$53),(L85*$H$10)+(M85*$Q$8*$H$10)-(M85*$Q$8*Données!$G$36*$H$10),((L85+M85)*$N$8*$H$10)-IF($K$8="Rente à titre onéreux imposable sur",(L85+M85)*$N$8*Données!$G$36*$H$10,(L85+M85)*$N$8*Données!$M$41*$H$10))</f>
        <v>0</v>
      </c>
      <c r="P85" s="478">
        <f t="shared" ref="P85:P108" ca="1" si="42">L85+M85-N85-O85</f>
        <v>0</v>
      </c>
      <c r="Q85" s="478">
        <f t="shared" ca="1" si="20"/>
        <v>0</v>
      </c>
      <c r="S85" s="476"/>
      <c r="T85" s="477">
        <f t="shared" si="21"/>
        <v>65</v>
      </c>
      <c r="U85" s="478">
        <f t="shared" ca="1" si="22"/>
        <v>0</v>
      </c>
      <c r="V85" s="478">
        <f t="shared" ref="V85:V108" ca="1" si="43">U85*$X$5</f>
        <v>0</v>
      </c>
      <c r="W85" s="493">
        <f t="shared" ca="1" si="23"/>
        <v>0</v>
      </c>
      <c r="X85" s="493">
        <f t="shared" ca="1" si="24"/>
        <v>0</v>
      </c>
      <c r="Y85" s="478">
        <f t="shared" ref="Y85:Y108" ca="1" si="44">W85+X85</f>
        <v>0</v>
      </c>
      <c r="Z85" s="504">
        <f t="shared" ca="1" si="25"/>
        <v>0</v>
      </c>
      <c r="AA85" s="478">
        <f t="shared" ref="AA85:AA108" ca="1" si="45">IF(U85=ROUND(0,1),0,IF((W85+V85)&lt;(Z85-(X85*Z85/(X85+W85))),(W85+V85),Z85-(X85*Z85/(X85+W85))))</f>
        <v>0</v>
      </c>
      <c r="AB85" s="478">
        <f t="shared" ref="AB85:AB108" ca="1" si="46">IF((Z85-AA85)&gt;X85,X85,Z85-AA85)</f>
        <v>0</v>
      </c>
      <c r="AC85" s="478">
        <f ca="1">AA85*Données!$F$36</f>
        <v>0</v>
      </c>
      <c r="AD85" s="478">
        <f ca="1">AA85*Données!$F$28</f>
        <v>0</v>
      </c>
      <c r="AE85" s="478">
        <f ca="1">IF(AB85=0,0,IF($E$7="C1",(AB85*$H$10),IF($E$7="C2",-AA85*Données!$G$36*$H$10,0)))</f>
        <v>0</v>
      </c>
      <c r="AF85" s="478">
        <f t="shared" ref="AF85:AF108" ca="1" si="47">IF(Z85&gt;0,Z85-AC85-AD85-AE85,0)</f>
        <v>0</v>
      </c>
      <c r="AG85" s="477">
        <f t="shared" si="26"/>
        <v>65</v>
      </c>
      <c r="AH85" s="478">
        <f t="shared" si="27"/>
        <v>0</v>
      </c>
      <c r="AI85" s="478">
        <f t="shared" si="28"/>
        <v>0</v>
      </c>
      <c r="AJ85" s="493">
        <f t="shared" si="29"/>
        <v>0</v>
      </c>
      <c r="AK85" s="493">
        <f t="shared" ca="1" si="30"/>
        <v>0</v>
      </c>
      <c r="AL85" s="478">
        <f t="shared" ref="AL85:AL108" ca="1" si="48">AJ85+AK85</f>
        <v>0</v>
      </c>
      <c r="AM85" s="478">
        <f t="shared" ref="AM85:AM108" ca="1" si="49">IF(AG85=($C$6+($AJ$14-$C$6)-1),AL85,IF(AL85&lt;IF(($AJ$14-$C$6)=0,0,-PMT($X$5,($AJ$14-$C$6),$H$13)),AL85,IF(($AJ$14-$C$6)=0,0,-PMT($X$5,($AJ$14-$C$6),$H$13))))</f>
        <v>0</v>
      </c>
      <c r="AN85" s="478">
        <f t="shared" si="31"/>
        <v>0</v>
      </c>
      <c r="AO85" s="478">
        <f t="shared" ref="AO85:AO108" ca="1" si="50">IF((AM85-AN85)&gt;AK85,AK85,AM85-AN85)</f>
        <v>0</v>
      </c>
      <c r="AP85" s="478">
        <f>AN85*Données!$F$36</f>
        <v>0</v>
      </c>
      <c r="AQ85" s="478">
        <f>AN85*Données!$F$28</f>
        <v>0</v>
      </c>
      <c r="AR85" s="478">
        <f ca="1">IF(AO85=0,0,IF($E$7="C1",(AO85*$H$10),IF($E$7="C2",-AN85*Données!$G$36*$H$10,0)))</f>
        <v>0</v>
      </c>
      <c r="AS85" s="478">
        <f t="shared" ref="AS85:AS108" ca="1" si="51">IF(AM85&gt;0,AM85-AP85-AQ85-AR85,0)</f>
        <v>0</v>
      </c>
      <c r="AT85" s="477">
        <f t="shared" si="32"/>
        <v>65</v>
      </c>
      <c r="AU85" s="478">
        <f t="shared" si="33"/>
        <v>0</v>
      </c>
      <c r="AV85" s="478">
        <f t="shared" si="34"/>
        <v>0</v>
      </c>
      <c r="AW85" s="493">
        <f t="shared" si="35"/>
        <v>0</v>
      </c>
      <c r="AX85" s="493">
        <f t="shared" si="36"/>
        <v>0</v>
      </c>
      <c r="AY85" s="478">
        <f t="shared" ref="AY85:AY108" si="52">AW85+AX85</f>
        <v>0</v>
      </c>
    </row>
    <row r="86" spans="1:51">
      <c r="A86" s="477">
        <f t="shared" ref="A86:A108" ca="1" si="53">A85+1</f>
        <v>2092</v>
      </c>
      <c r="B86" s="478">
        <f t="shared" ref="B86:B108" ca="1" si="54">IF(A86=$C$6,0,IF(A86&lt;$C$6,$C$9,0))</f>
        <v>0</v>
      </c>
      <c r="C86" s="478">
        <f ca="1">IF(OR($C$7=Données!$H$51,$C$7=Données!$H$54,$C$7=Données!$H$55,$C$7=Données!$H$57),0,B86*$C$10)</f>
        <v>0</v>
      </c>
      <c r="D86" s="478">
        <f ca="1">IFERROR(IF($H$5="",B86*'CT à Transf'!$K$28,B86*$H$5),B86*$H$5)</f>
        <v>0</v>
      </c>
      <c r="E86" s="478">
        <f t="shared" ref="E86:E108" ca="1" si="55">B86-D86</f>
        <v>0</v>
      </c>
      <c r="F86" s="478">
        <f t="shared" ca="1" si="38"/>
        <v>0</v>
      </c>
      <c r="G86" s="478">
        <f t="shared" ca="1" si="40"/>
        <v>0</v>
      </c>
      <c r="H86" s="478">
        <f t="shared" ca="1" si="41"/>
        <v>0</v>
      </c>
      <c r="J86" s="476"/>
      <c r="K86" s="477">
        <f t="shared" ref="K86:K108" si="56">K85+1</f>
        <v>66</v>
      </c>
      <c r="L86" s="478">
        <f t="shared" ca="1" si="39"/>
        <v>0</v>
      </c>
      <c r="M86" s="478">
        <f t="shared" ref="M86:M108" ca="1" si="57">M85+((L85+M85)*$N$6)</f>
        <v>0</v>
      </c>
      <c r="N86" s="478">
        <f ca="1">IF(OR($C$7=Données!$H$52,$C$7=Données!$H$53),(L86*$N$9)+((M86*$Q$8)*$Q$9),(L86+M86)*$N$8*$N$9)</f>
        <v>0</v>
      </c>
      <c r="O86" s="478">
        <f ca="1">IF(OR($C$7=Données!$H$52,$C$7=Données!$H$53),(L86*$H$10)+(M86*$Q$8*$H$10)-(M86*$Q$8*Données!$G$36*$H$10),((L86+M86)*$N$8*$H$10)-IF($K$8="Rente à titre onéreux imposable sur",(L86+M86)*$N$8*Données!$G$36*$H$10,(L86+M86)*$N$8*Données!$M$41*$H$10))</f>
        <v>0</v>
      </c>
      <c r="P86" s="478">
        <f t="shared" ca="1" si="42"/>
        <v>0</v>
      </c>
      <c r="Q86" s="478">
        <f t="shared" ref="Q86:Q108" ca="1" si="58">Q85+P86</f>
        <v>0</v>
      </c>
      <c r="S86" s="476"/>
      <c r="T86" s="477">
        <f t="shared" ref="T86:T108" si="59">T85+1</f>
        <v>66</v>
      </c>
      <c r="U86" s="478">
        <f t="shared" ref="U86:U108" ca="1" si="60">IF((U85+V85)&lt;=IF(($X$7-$C$6)=0,0,-PMT($X$5,($X$7-$C$6),$H$13))+1,0,U85+V85-Z85)</f>
        <v>0</v>
      </c>
      <c r="V86" s="478">
        <f t="shared" ca="1" si="43"/>
        <v>0</v>
      </c>
      <c r="W86" s="493">
        <f t="shared" ref="W86:W108" ca="1" si="61">IF((W85-AA85+V86)&lt;1,0,W85-AA85+V86)</f>
        <v>0</v>
      </c>
      <c r="X86" s="493">
        <f t="shared" ref="X86:X108" ca="1" si="62">IF((X85-AB85)&lt;1,0,X85-AB85)</f>
        <v>0</v>
      </c>
      <c r="Y86" s="478">
        <f t="shared" ca="1" si="44"/>
        <v>0</v>
      </c>
      <c r="Z86" s="504">
        <f t="shared" ref="Z86:Z108" ca="1" si="63">IF(T86=($C$6+($X$7-$C$6)-1),Y86,IF(Y86&lt;IF(($X$7-$C$6)=0,0,-PMT($X$5,($X$7-$C$6),$H$13)),Y86,IF(($X$7-$C$6)=0,0,-PMT($X$5,($X$7-$C$6),$H$13))))</f>
        <v>0</v>
      </c>
      <c r="AA86" s="478">
        <f t="shared" ca="1" si="45"/>
        <v>0</v>
      </c>
      <c r="AB86" s="478">
        <f t="shared" ca="1" si="46"/>
        <v>0</v>
      </c>
      <c r="AC86" s="478">
        <f ca="1">AA86*Données!$F$36</f>
        <v>0</v>
      </c>
      <c r="AD86" s="478">
        <f ca="1">AA86*Données!$F$28</f>
        <v>0</v>
      </c>
      <c r="AE86" s="478">
        <f ca="1">IF(AB86=0,0,IF($E$7="C1",(AB86*$H$10),IF($E$7="C2",-AA86*Données!$G$36*$H$10,0)))</f>
        <v>0</v>
      </c>
      <c r="AF86" s="478">
        <f t="shared" ca="1" si="47"/>
        <v>0</v>
      </c>
      <c r="AG86" s="477">
        <f t="shared" ref="AG86:AG108" si="64">AG85+1</f>
        <v>66</v>
      </c>
      <c r="AH86" s="478">
        <f t="shared" ref="AH86:AH108" si="65">IF(OR($E$7="C1",$E$7="C1 bis",$E$7="C2"),IF((AH85+AI85)&lt;=IF(($AJ$14-$C$6)=0,0,-PMT($X$5,($AJ$14-$C$6),$H$13))+1,0,AH85+AI85-AM85),0)</f>
        <v>0</v>
      </c>
      <c r="AI86" s="478">
        <f t="shared" ref="AI86:AI108" si="66">AH86*$X$5</f>
        <v>0</v>
      </c>
      <c r="AJ86" s="493">
        <f t="shared" ref="AJ86:AJ108" si="67">IF((AJ85-AN85+AI86)&lt;1,0,AJ85-AN85+AI86)</f>
        <v>0</v>
      </c>
      <c r="AK86" s="493">
        <f t="shared" ref="AK86:AK108" ca="1" si="68">IF((AK85-AO85)&lt;1,0,AK85-AO85)</f>
        <v>0</v>
      </c>
      <c r="AL86" s="478">
        <f t="shared" ca="1" si="48"/>
        <v>0</v>
      </c>
      <c r="AM86" s="478">
        <f t="shared" ca="1" si="49"/>
        <v>0</v>
      </c>
      <c r="AN86" s="478">
        <f t="shared" ref="AN86:AN108" si="69">IF(AH86=ROUND(0,1),0,IF((AJ86+AI86)&lt;(AM86-(AK86*AM86/(AK86+AJ86))),(AJ86+AI86),AM86-(AK86*AM86/(AK86+AJ86))))</f>
        <v>0</v>
      </c>
      <c r="AO86" s="478">
        <f t="shared" ca="1" si="50"/>
        <v>0</v>
      </c>
      <c r="AP86" s="478">
        <f>AN86*Données!$F$36</f>
        <v>0</v>
      </c>
      <c r="AQ86" s="478">
        <f>AN86*Données!$F$28</f>
        <v>0</v>
      </c>
      <c r="AR86" s="478">
        <f ca="1">IF(AO86=0,0,IF($E$7="C1",(AO86*$H$10),IF($E$7="C2",-AN86*Données!$G$36*$H$10,0)))</f>
        <v>0</v>
      </c>
      <c r="AS86" s="478">
        <f t="shared" ca="1" si="51"/>
        <v>0</v>
      </c>
      <c r="AT86" s="477">
        <f t="shared" ref="AT86:AT108" si="70">AT85+1</f>
        <v>66</v>
      </c>
      <c r="AU86" s="478">
        <f t="shared" ref="AU86:AU108" si="71">IF(OR($E$7="C1",$E$7="C1 bis",$E$7="C2"),IF((AU85+AV85)&lt;=IF(($AJ$14-$C$6)=0,0,-PMT($X$5,($AJ$14-$C$6),$H$13))+1,0,AU85+AV85),0)</f>
        <v>0</v>
      </c>
      <c r="AV86" s="478">
        <f t="shared" ref="AV86:AV108" si="72">AU86*$X$5</f>
        <v>0</v>
      </c>
      <c r="AW86" s="493">
        <f t="shared" ref="AW86:AW108" si="73">AW85+AV86</f>
        <v>0</v>
      </c>
      <c r="AX86" s="493">
        <f t="shared" ref="AX86:AX108" si="74">AX85</f>
        <v>0</v>
      </c>
      <c r="AY86" s="478">
        <f t="shared" si="52"/>
        <v>0</v>
      </c>
    </row>
    <row r="87" spans="1:51">
      <c r="A87" s="477">
        <f t="shared" ca="1" si="53"/>
        <v>2093</v>
      </c>
      <c r="B87" s="478">
        <f t="shared" ca="1" si="54"/>
        <v>0</v>
      </c>
      <c r="C87" s="478">
        <f ca="1">IF(OR($C$7=Données!$H$51,$C$7=Données!$H$54,$C$7=Données!$H$55,$C$7=Données!$H$57),0,B87*$C$10)</f>
        <v>0</v>
      </c>
      <c r="D87" s="478">
        <f ca="1">IFERROR(IF($H$5="",B87*'CT à Transf'!$K$28,B87*$H$5),B87*$H$5)</f>
        <v>0</v>
      </c>
      <c r="E87" s="478">
        <f t="shared" ca="1" si="55"/>
        <v>0</v>
      </c>
      <c r="F87" s="478">
        <f t="shared" ca="1" si="38"/>
        <v>0</v>
      </c>
      <c r="G87" s="478">
        <f t="shared" ca="1" si="40"/>
        <v>0</v>
      </c>
      <c r="H87" s="478">
        <f t="shared" ca="1" si="41"/>
        <v>0</v>
      </c>
      <c r="J87" s="476"/>
      <c r="K87" s="477">
        <f t="shared" si="56"/>
        <v>67</v>
      </c>
      <c r="L87" s="478">
        <f t="shared" ca="1" si="39"/>
        <v>0</v>
      </c>
      <c r="M87" s="478">
        <f t="shared" ca="1" si="57"/>
        <v>0</v>
      </c>
      <c r="N87" s="478">
        <f ca="1">IF(OR($C$7=Données!$H$52,$C$7=Données!$H$53),(L87*$N$9)+((M87*$Q$8)*$Q$9),(L87+M87)*$N$8*$N$9)</f>
        <v>0</v>
      </c>
      <c r="O87" s="478">
        <f ca="1">IF(OR($C$7=Données!$H$52,$C$7=Données!$H$53),(L87*$H$10)+(M87*$Q$8*$H$10)-(M87*$Q$8*Données!$G$36*$H$10),((L87+M87)*$N$8*$H$10)-IF($K$8="Rente à titre onéreux imposable sur",(L87+M87)*$N$8*Données!$G$36*$H$10,(L87+M87)*$N$8*Données!$M$41*$H$10))</f>
        <v>0</v>
      </c>
      <c r="P87" s="478">
        <f t="shared" ca="1" si="42"/>
        <v>0</v>
      </c>
      <c r="Q87" s="478">
        <f t="shared" ca="1" si="58"/>
        <v>0</v>
      </c>
      <c r="S87" s="476"/>
      <c r="T87" s="477">
        <f t="shared" si="59"/>
        <v>67</v>
      </c>
      <c r="U87" s="478">
        <f t="shared" ca="1" si="60"/>
        <v>0</v>
      </c>
      <c r="V87" s="478">
        <f t="shared" ca="1" si="43"/>
        <v>0</v>
      </c>
      <c r="W87" s="493">
        <f t="shared" ca="1" si="61"/>
        <v>0</v>
      </c>
      <c r="X87" s="493">
        <f t="shared" ca="1" si="62"/>
        <v>0</v>
      </c>
      <c r="Y87" s="478">
        <f t="shared" ca="1" si="44"/>
        <v>0</v>
      </c>
      <c r="Z87" s="504">
        <f t="shared" ca="1" si="63"/>
        <v>0</v>
      </c>
      <c r="AA87" s="478">
        <f t="shared" ca="1" si="45"/>
        <v>0</v>
      </c>
      <c r="AB87" s="478">
        <f t="shared" ca="1" si="46"/>
        <v>0</v>
      </c>
      <c r="AC87" s="478">
        <f ca="1">AA87*Données!$F$36</f>
        <v>0</v>
      </c>
      <c r="AD87" s="478">
        <f ca="1">AA87*Données!$F$28</f>
        <v>0</v>
      </c>
      <c r="AE87" s="478">
        <f ca="1">IF(AB87=0,0,IF($E$7="C1",(AB87*$H$10),IF($E$7="C2",-AA87*Données!$G$36*$H$10,0)))</f>
        <v>0</v>
      </c>
      <c r="AF87" s="478">
        <f t="shared" ca="1" si="47"/>
        <v>0</v>
      </c>
      <c r="AG87" s="477">
        <f t="shared" si="64"/>
        <v>67</v>
      </c>
      <c r="AH87" s="478">
        <f t="shared" si="65"/>
        <v>0</v>
      </c>
      <c r="AI87" s="478">
        <f t="shared" si="66"/>
        <v>0</v>
      </c>
      <c r="AJ87" s="493">
        <f t="shared" si="67"/>
        <v>0</v>
      </c>
      <c r="AK87" s="493">
        <f t="shared" ca="1" si="68"/>
        <v>0</v>
      </c>
      <c r="AL87" s="478">
        <f t="shared" ca="1" si="48"/>
        <v>0</v>
      </c>
      <c r="AM87" s="478">
        <f t="shared" ca="1" si="49"/>
        <v>0</v>
      </c>
      <c r="AN87" s="478">
        <f t="shared" si="69"/>
        <v>0</v>
      </c>
      <c r="AO87" s="478">
        <f t="shared" ca="1" si="50"/>
        <v>0</v>
      </c>
      <c r="AP87" s="478">
        <f>AN87*Données!$F$36</f>
        <v>0</v>
      </c>
      <c r="AQ87" s="478">
        <f>AN87*Données!$F$28</f>
        <v>0</v>
      </c>
      <c r="AR87" s="478">
        <f ca="1">IF(AO87=0,0,IF($E$7="C1",(AO87*$H$10),IF($E$7="C2",-AN87*Données!$G$36*$H$10,0)))</f>
        <v>0</v>
      </c>
      <c r="AS87" s="478">
        <f t="shared" ca="1" si="51"/>
        <v>0</v>
      </c>
      <c r="AT87" s="477">
        <f t="shared" si="70"/>
        <v>67</v>
      </c>
      <c r="AU87" s="478">
        <f t="shared" si="71"/>
        <v>0</v>
      </c>
      <c r="AV87" s="478">
        <f t="shared" si="72"/>
        <v>0</v>
      </c>
      <c r="AW87" s="493">
        <f t="shared" si="73"/>
        <v>0</v>
      </c>
      <c r="AX87" s="493">
        <f t="shared" si="74"/>
        <v>0</v>
      </c>
      <c r="AY87" s="478">
        <f t="shared" si="52"/>
        <v>0</v>
      </c>
    </row>
    <row r="88" spans="1:51">
      <c r="A88" s="477">
        <f t="shared" ca="1" si="53"/>
        <v>2094</v>
      </c>
      <c r="B88" s="478">
        <f t="shared" ca="1" si="54"/>
        <v>0</v>
      </c>
      <c r="C88" s="478">
        <f ca="1">IF(OR($C$7=Données!$H$51,$C$7=Données!$H$54,$C$7=Données!$H$55,$C$7=Données!$H$57),0,B88*$C$10)</f>
        <v>0</v>
      </c>
      <c r="D88" s="478">
        <f ca="1">IFERROR(IF($H$5="",B88*'CT à Transf'!$K$28,B88*$H$5),B88*$H$5)</f>
        <v>0</v>
      </c>
      <c r="E88" s="478">
        <f t="shared" ca="1" si="55"/>
        <v>0</v>
      </c>
      <c r="F88" s="478">
        <f t="shared" ca="1" si="38"/>
        <v>0</v>
      </c>
      <c r="G88" s="478">
        <f t="shared" ca="1" si="40"/>
        <v>0</v>
      </c>
      <c r="H88" s="478">
        <f t="shared" ca="1" si="41"/>
        <v>0</v>
      </c>
      <c r="J88" s="476"/>
      <c r="K88" s="477">
        <f t="shared" si="56"/>
        <v>68</v>
      </c>
      <c r="L88" s="478">
        <f t="shared" ca="1" si="39"/>
        <v>0</v>
      </c>
      <c r="M88" s="478">
        <f t="shared" ca="1" si="57"/>
        <v>0</v>
      </c>
      <c r="N88" s="478">
        <f ca="1">IF(OR($C$7=Données!$H$52,$C$7=Données!$H$53),(L88*$N$9)+((M88*$Q$8)*$Q$9),(L88+M88)*$N$8*$N$9)</f>
        <v>0</v>
      </c>
      <c r="O88" s="478">
        <f ca="1">IF(OR($C$7=Données!$H$52,$C$7=Données!$H$53),(L88*$H$10)+(M88*$Q$8*$H$10)-(M88*$Q$8*Données!$G$36*$H$10),((L88+M88)*$N$8*$H$10)-IF($K$8="Rente à titre onéreux imposable sur",(L88+M88)*$N$8*Données!$G$36*$H$10,(L88+M88)*$N$8*Données!$M$41*$H$10))</f>
        <v>0</v>
      </c>
      <c r="P88" s="478">
        <f t="shared" ca="1" si="42"/>
        <v>0</v>
      </c>
      <c r="Q88" s="478">
        <f t="shared" ca="1" si="58"/>
        <v>0</v>
      </c>
      <c r="S88" s="476"/>
      <c r="T88" s="477">
        <f t="shared" si="59"/>
        <v>68</v>
      </c>
      <c r="U88" s="478">
        <f t="shared" ca="1" si="60"/>
        <v>0</v>
      </c>
      <c r="V88" s="478">
        <f t="shared" ca="1" si="43"/>
        <v>0</v>
      </c>
      <c r="W88" s="493">
        <f t="shared" ca="1" si="61"/>
        <v>0</v>
      </c>
      <c r="X88" s="493">
        <f t="shared" ca="1" si="62"/>
        <v>0</v>
      </c>
      <c r="Y88" s="478">
        <f t="shared" ca="1" si="44"/>
        <v>0</v>
      </c>
      <c r="Z88" s="504">
        <f t="shared" ca="1" si="63"/>
        <v>0</v>
      </c>
      <c r="AA88" s="478">
        <f t="shared" ca="1" si="45"/>
        <v>0</v>
      </c>
      <c r="AB88" s="478">
        <f t="shared" ca="1" si="46"/>
        <v>0</v>
      </c>
      <c r="AC88" s="478">
        <f ca="1">AA88*Données!$F$36</f>
        <v>0</v>
      </c>
      <c r="AD88" s="478">
        <f ca="1">AA88*Données!$F$28</f>
        <v>0</v>
      </c>
      <c r="AE88" s="478">
        <f ca="1">IF(AB88=0,0,IF($E$7="C1",(AB88*$H$10),IF($E$7="C2",-AA88*Données!$G$36*$H$10,0)))</f>
        <v>0</v>
      </c>
      <c r="AF88" s="478">
        <f t="shared" ca="1" si="47"/>
        <v>0</v>
      </c>
      <c r="AG88" s="477">
        <f t="shared" si="64"/>
        <v>68</v>
      </c>
      <c r="AH88" s="478">
        <f t="shared" si="65"/>
        <v>0</v>
      </c>
      <c r="AI88" s="478">
        <f t="shared" si="66"/>
        <v>0</v>
      </c>
      <c r="AJ88" s="493">
        <f t="shared" si="67"/>
        <v>0</v>
      </c>
      <c r="AK88" s="493">
        <f t="shared" ca="1" si="68"/>
        <v>0</v>
      </c>
      <c r="AL88" s="478">
        <f t="shared" ca="1" si="48"/>
        <v>0</v>
      </c>
      <c r="AM88" s="478">
        <f t="shared" ca="1" si="49"/>
        <v>0</v>
      </c>
      <c r="AN88" s="478">
        <f t="shared" si="69"/>
        <v>0</v>
      </c>
      <c r="AO88" s="478">
        <f t="shared" ca="1" si="50"/>
        <v>0</v>
      </c>
      <c r="AP88" s="478">
        <f>AN88*Données!$F$36</f>
        <v>0</v>
      </c>
      <c r="AQ88" s="478">
        <f>AN88*Données!$F$28</f>
        <v>0</v>
      </c>
      <c r="AR88" s="478">
        <f ca="1">IF(AO88=0,0,IF($E$7="C1",(AO88*$H$10),IF($E$7="C2",-AN88*Données!$G$36*$H$10,0)))</f>
        <v>0</v>
      </c>
      <c r="AS88" s="478">
        <f t="shared" ca="1" si="51"/>
        <v>0</v>
      </c>
      <c r="AT88" s="477">
        <f t="shared" si="70"/>
        <v>68</v>
      </c>
      <c r="AU88" s="478">
        <f t="shared" si="71"/>
        <v>0</v>
      </c>
      <c r="AV88" s="478">
        <f t="shared" si="72"/>
        <v>0</v>
      </c>
      <c r="AW88" s="493">
        <f t="shared" si="73"/>
        <v>0</v>
      </c>
      <c r="AX88" s="493">
        <f t="shared" si="74"/>
        <v>0</v>
      </c>
      <c r="AY88" s="478">
        <f t="shared" si="52"/>
        <v>0</v>
      </c>
    </row>
    <row r="89" spans="1:51">
      <c r="A89" s="477">
        <f t="shared" ca="1" si="53"/>
        <v>2095</v>
      </c>
      <c r="B89" s="478">
        <f t="shared" ca="1" si="54"/>
        <v>0</v>
      </c>
      <c r="C89" s="478">
        <f ca="1">IF(OR($C$7=Données!$H$51,$C$7=Données!$H$54,$C$7=Données!$H$55,$C$7=Données!$H$57),0,B89*$C$10)</f>
        <v>0</v>
      </c>
      <c r="D89" s="478">
        <f ca="1">IFERROR(IF($H$5="",B89*'CT à Transf'!$K$28,B89*$H$5),B89*$H$5)</f>
        <v>0</v>
      </c>
      <c r="E89" s="478">
        <f t="shared" ca="1" si="55"/>
        <v>0</v>
      </c>
      <c r="F89" s="478">
        <f t="shared" ca="1" si="38"/>
        <v>0</v>
      </c>
      <c r="G89" s="478">
        <f t="shared" ca="1" si="40"/>
        <v>0</v>
      </c>
      <c r="H89" s="478">
        <f t="shared" ca="1" si="41"/>
        <v>0</v>
      </c>
      <c r="J89" s="476"/>
      <c r="K89" s="477">
        <f t="shared" si="56"/>
        <v>69</v>
      </c>
      <c r="L89" s="478">
        <f t="shared" ca="1" si="39"/>
        <v>0</v>
      </c>
      <c r="M89" s="478">
        <f t="shared" ca="1" si="57"/>
        <v>0</v>
      </c>
      <c r="N89" s="478">
        <f ca="1">IF(OR($C$7=Données!$H$52,$C$7=Données!$H$53),(L89*$N$9)+((M89*$Q$8)*$Q$9),(L89+M89)*$N$8*$N$9)</f>
        <v>0</v>
      </c>
      <c r="O89" s="478">
        <f ca="1">IF(OR($C$7=Données!$H$52,$C$7=Données!$H$53),(L89*$H$10)+(M89*$Q$8*$H$10)-(M89*$Q$8*Données!$G$36*$H$10),((L89+M89)*$N$8*$H$10)-IF($K$8="Rente à titre onéreux imposable sur",(L89+M89)*$N$8*Données!$G$36*$H$10,(L89+M89)*$N$8*Données!$M$41*$H$10))</f>
        <v>0</v>
      </c>
      <c r="P89" s="478">
        <f t="shared" ca="1" si="42"/>
        <v>0</v>
      </c>
      <c r="Q89" s="478">
        <f t="shared" ca="1" si="58"/>
        <v>0</v>
      </c>
      <c r="S89" s="476"/>
      <c r="T89" s="477">
        <f t="shared" si="59"/>
        <v>69</v>
      </c>
      <c r="U89" s="478">
        <f t="shared" ca="1" si="60"/>
        <v>0</v>
      </c>
      <c r="V89" s="478">
        <f t="shared" ca="1" si="43"/>
        <v>0</v>
      </c>
      <c r="W89" s="493">
        <f t="shared" ca="1" si="61"/>
        <v>0</v>
      </c>
      <c r="X89" s="493">
        <f t="shared" ca="1" si="62"/>
        <v>0</v>
      </c>
      <c r="Y89" s="478">
        <f t="shared" ca="1" si="44"/>
        <v>0</v>
      </c>
      <c r="Z89" s="504">
        <f t="shared" ca="1" si="63"/>
        <v>0</v>
      </c>
      <c r="AA89" s="478">
        <f t="shared" ca="1" si="45"/>
        <v>0</v>
      </c>
      <c r="AB89" s="478">
        <f t="shared" ca="1" si="46"/>
        <v>0</v>
      </c>
      <c r="AC89" s="478">
        <f ca="1">AA89*Données!$F$36</f>
        <v>0</v>
      </c>
      <c r="AD89" s="478">
        <f ca="1">AA89*Données!$F$28</f>
        <v>0</v>
      </c>
      <c r="AE89" s="478">
        <f ca="1">IF(AB89=0,0,IF($E$7="C1",(AB89*$H$10),IF($E$7="C2",-AA89*Données!$G$36*$H$10,0)))</f>
        <v>0</v>
      </c>
      <c r="AF89" s="478">
        <f t="shared" ca="1" si="47"/>
        <v>0</v>
      </c>
      <c r="AG89" s="477">
        <f t="shared" si="64"/>
        <v>69</v>
      </c>
      <c r="AH89" s="478">
        <f t="shared" si="65"/>
        <v>0</v>
      </c>
      <c r="AI89" s="478">
        <f t="shared" si="66"/>
        <v>0</v>
      </c>
      <c r="AJ89" s="493">
        <f t="shared" si="67"/>
        <v>0</v>
      </c>
      <c r="AK89" s="493">
        <f t="shared" ca="1" si="68"/>
        <v>0</v>
      </c>
      <c r="AL89" s="478">
        <f t="shared" ca="1" si="48"/>
        <v>0</v>
      </c>
      <c r="AM89" s="478">
        <f t="shared" ca="1" si="49"/>
        <v>0</v>
      </c>
      <c r="AN89" s="478">
        <f t="shared" si="69"/>
        <v>0</v>
      </c>
      <c r="AO89" s="478">
        <f t="shared" ca="1" si="50"/>
        <v>0</v>
      </c>
      <c r="AP89" s="478">
        <f>AN89*Données!$F$36</f>
        <v>0</v>
      </c>
      <c r="AQ89" s="478">
        <f>AN89*Données!$F$28</f>
        <v>0</v>
      </c>
      <c r="AR89" s="478">
        <f ca="1">IF(AO89=0,0,IF($E$7="C1",(AO89*$H$10),IF($E$7="C2",-AN89*Données!$G$36*$H$10,0)))</f>
        <v>0</v>
      </c>
      <c r="AS89" s="478">
        <f t="shared" ca="1" si="51"/>
        <v>0</v>
      </c>
      <c r="AT89" s="477">
        <f t="shared" si="70"/>
        <v>69</v>
      </c>
      <c r="AU89" s="478">
        <f t="shared" si="71"/>
        <v>0</v>
      </c>
      <c r="AV89" s="478">
        <f t="shared" si="72"/>
        <v>0</v>
      </c>
      <c r="AW89" s="493">
        <f t="shared" si="73"/>
        <v>0</v>
      </c>
      <c r="AX89" s="493">
        <f t="shared" si="74"/>
        <v>0</v>
      </c>
      <c r="AY89" s="478">
        <f t="shared" si="52"/>
        <v>0</v>
      </c>
    </row>
    <row r="90" spans="1:51">
      <c r="A90" s="477">
        <f t="shared" ca="1" si="53"/>
        <v>2096</v>
      </c>
      <c r="B90" s="478">
        <f t="shared" ca="1" si="54"/>
        <v>0</v>
      </c>
      <c r="C90" s="478">
        <f ca="1">IF(OR($C$7=Données!$H$51,$C$7=Données!$H$54,$C$7=Données!$H$55,$C$7=Données!$H$57),0,B90*$C$10)</f>
        <v>0</v>
      </c>
      <c r="D90" s="478">
        <f ca="1">IFERROR(IF($H$5="",B90*'CT à Transf'!$K$28,B90*$H$5),B90*$H$5)</f>
        <v>0</v>
      </c>
      <c r="E90" s="478">
        <f t="shared" ca="1" si="55"/>
        <v>0</v>
      </c>
      <c r="F90" s="478">
        <f t="shared" ca="1" si="38"/>
        <v>0</v>
      </c>
      <c r="G90" s="478">
        <f t="shared" ca="1" si="40"/>
        <v>0</v>
      </c>
      <c r="H90" s="478">
        <f t="shared" ca="1" si="41"/>
        <v>0</v>
      </c>
      <c r="J90" s="476"/>
      <c r="K90" s="477">
        <f t="shared" si="56"/>
        <v>70</v>
      </c>
      <c r="L90" s="478">
        <f t="shared" ca="1" si="39"/>
        <v>0</v>
      </c>
      <c r="M90" s="478">
        <f t="shared" ca="1" si="57"/>
        <v>0</v>
      </c>
      <c r="N90" s="478">
        <f ca="1">IF(OR($C$7=Données!$H$52,$C$7=Données!$H$53),(L90*$N$9)+((M90*$Q$8)*$Q$9),(L90+M90)*$N$8*$N$9)</f>
        <v>0</v>
      </c>
      <c r="O90" s="478">
        <f ca="1">IF(OR($C$7=Données!$H$52,$C$7=Données!$H$53),(L90*$H$10)+(M90*$Q$8*$H$10)-(M90*$Q$8*Données!$G$36*$H$10),((L90+M90)*$N$8*$H$10)-IF($K$8="Rente à titre onéreux imposable sur",(L90+M90)*$N$8*Données!$G$36*$H$10,(L90+M90)*$N$8*Données!$M$41*$H$10))</f>
        <v>0</v>
      </c>
      <c r="P90" s="478">
        <f t="shared" ca="1" si="42"/>
        <v>0</v>
      </c>
      <c r="Q90" s="478">
        <f t="shared" ca="1" si="58"/>
        <v>0</v>
      </c>
      <c r="S90" s="476"/>
      <c r="T90" s="477">
        <f t="shared" si="59"/>
        <v>70</v>
      </c>
      <c r="U90" s="478">
        <f t="shared" ca="1" si="60"/>
        <v>0</v>
      </c>
      <c r="V90" s="478">
        <f t="shared" ca="1" si="43"/>
        <v>0</v>
      </c>
      <c r="W90" s="493">
        <f t="shared" ca="1" si="61"/>
        <v>0</v>
      </c>
      <c r="X90" s="493">
        <f t="shared" ca="1" si="62"/>
        <v>0</v>
      </c>
      <c r="Y90" s="478">
        <f t="shared" ca="1" si="44"/>
        <v>0</v>
      </c>
      <c r="Z90" s="504">
        <f t="shared" ca="1" si="63"/>
        <v>0</v>
      </c>
      <c r="AA90" s="478">
        <f t="shared" ca="1" si="45"/>
        <v>0</v>
      </c>
      <c r="AB90" s="478">
        <f t="shared" ca="1" si="46"/>
        <v>0</v>
      </c>
      <c r="AC90" s="478">
        <f ca="1">AA90*Données!$F$36</f>
        <v>0</v>
      </c>
      <c r="AD90" s="478">
        <f ca="1">AA90*Données!$F$28</f>
        <v>0</v>
      </c>
      <c r="AE90" s="478">
        <f ca="1">IF(AB90=0,0,IF($E$7="C1",(AB90*$H$10),IF($E$7="C2",-AA90*Données!$G$36*$H$10,0)))</f>
        <v>0</v>
      </c>
      <c r="AF90" s="478">
        <f t="shared" ca="1" si="47"/>
        <v>0</v>
      </c>
      <c r="AG90" s="477">
        <f t="shared" si="64"/>
        <v>70</v>
      </c>
      <c r="AH90" s="478">
        <f t="shared" si="65"/>
        <v>0</v>
      </c>
      <c r="AI90" s="478">
        <f t="shared" si="66"/>
        <v>0</v>
      </c>
      <c r="AJ90" s="493">
        <f t="shared" si="67"/>
        <v>0</v>
      </c>
      <c r="AK90" s="493">
        <f t="shared" ca="1" si="68"/>
        <v>0</v>
      </c>
      <c r="AL90" s="478">
        <f t="shared" ca="1" si="48"/>
        <v>0</v>
      </c>
      <c r="AM90" s="478">
        <f t="shared" ca="1" si="49"/>
        <v>0</v>
      </c>
      <c r="AN90" s="478">
        <f t="shared" si="69"/>
        <v>0</v>
      </c>
      <c r="AO90" s="478">
        <f t="shared" ca="1" si="50"/>
        <v>0</v>
      </c>
      <c r="AP90" s="478">
        <f>AN90*Données!$F$36</f>
        <v>0</v>
      </c>
      <c r="AQ90" s="478">
        <f>AN90*Données!$F$28</f>
        <v>0</v>
      </c>
      <c r="AR90" s="478">
        <f ca="1">IF(AO90=0,0,IF($E$7="C1",(AO90*$H$10),IF($E$7="C2",-AN90*Données!$G$36*$H$10,0)))</f>
        <v>0</v>
      </c>
      <c r="AS90" s="478">
        <f t="shared" ca="1" si="51"/>
        <v>0</v>
      </c>
      <c r="AT90" s="477">
        <f t="shared" si="70"/>
        <v>70</v>
      </c>
      <c r="AU90" s="478">
        <f t="shared" si="71"/>
        <v>0</v>
      </c>
      <c r="AV90" s="478">
        <f t="shared" si="72"/>
        <v>0</v>
      </c>
      <c r="AW90" s="493">
        <f t="shared" si="73"/>
        <v>0</v>
      </c>
      <c r="AX90" s="493">
        <f t="shared" si="74"/>
        <v>0</v>
      </c>
      <c r="AY90" s="478">
        <f t="shared" si="52"/>
        <v>0</v>
      </c>
    </row>
    <row r="91" spans="1:51">
      <c r="A91" s="477">
        <f t="shared" ca="1" si="53"/>
        <v>2097</v>
      </c>
      <c r="B91" s="478">
        <f t="shared" ca="1" si="54"/>
        <v>0</v>
      </c>
      <c r="C91" s="478">
        <f ca="1">IF(OR($C$7=Données!$H$51,$C$7=Données!$H$54,$C$7=Données!$H$55,$C$7=Données!$H$57),0,B91*$C$10)</f>
        <v>0</v>
      </c>
      <c r="D91" s="478">
        <f ca="1">IFERROR(IF($H$5="",B91*'CT à Transf'!$K$28,B91*$H$5),B91*$H$5)</f>
        <v>0</v>
      </c>
      <c r="E91" s="478">
        <f t="shared" ca="1" si="55"/>
        <v>0</v>
      </c>
      <c r="F91" s="478">
        <f t="shared" ca="1" si="38"/>
        <v>0</v>
      </c>
      <c r="G91" s="478">
        <f t="shared" ca="1" si="40"/>
        <v>0</v>
      </c>
      <c r="H91" s="478">
        <f t="shared" ca="1" si="41"/>
        <v>0</v>
      </c>
      <c r="J91" s="476"/>
      <c r="K91" s="477">
        <f t="shared" si="56"/>
        <v>71</v>
      </c>
      <c r="L91" s="478">
        <f t="shared" ca="1" si="39"/>
        <v>0</v>
      </c>
      <c r="M91" s="478">
        <f t="shared" ca="1" si="57"/>
        <v>0</v>
      </c>
      <c r="N91" s="478">
        <f ca="1">IF(OR($C$7=Données!$H$52,$C$7=Données!$H$53),(L91*$N$9)+((M91*$Q$8)*$Q$9),(L91+M91)*$N$8*$N$9)</f>
        <v>0</v>
      </c>
      <c r="O91" s="478">
        <f ca="1">IF(OR($C$7=Données!$H$52,$C$7=Données!$H$53),(L91*$H$10)+(M91*$Q$8*$H$10)-(M91*$Q$8*Données!$G$36*$H$10),((L91+M91)*$N$8*$H$10)-IF($K$8="Rente à titre onéreux imposable sur",(L91+M91)*$N$8*Données!$G$36*$H$10,(L91+M91)*$N$8*Données!$M$41*$H$10))</f>
        <v>0</v>
      </c>
      <c r="P91" s="478">
        <f t="shared" ca="1" si="42"/>
        <v>0</v>
      </c>
      <c r="Q91" s="478">
        <f t="shared" ca="1" si="58"/>
        <v>0</v>
      </c>
      <c r="S91" s="476"/>
      <c r="T91" s="477">
        <f t="shared" si="59"/>
        <v>71</v>
      </c>
      <c r="U91" s="478">
        <f t="shared" ca="1" si="60"/>
        <v>0</v>
      </c>
      <c r="V91" s="478">
        <f t="shared" ca="1" si="43"/>
        <v>0</v>
      </c>
      <c r="W91" s="493">
        <f t="shared" ca="1" si="61"/>
        <v>0</v>
      </c>
      <c r="X91" s="493">
        <f t="shared" ca="1" si="62"/>
        <v>0</v>
      </c>
      <c r="Y91" s="478">
        <f t="shared" ca="1" si="44"/>
        <v>0</v>
      </c>
      <c r="Z91" s="504">
        <f t="shared" ca="1" si="63"/>
        <v>0</v>
      </c>
      <c r="AA91" s="478">
        <f t="shared" ca="1" si="45"/>
        <v>0</v>
      </c>
      <c r="AB91" s="478">
        <f t="shared" ca="1" si="46"/>
        <v>0</v>
      </c>
      <c r="AC91" s="478">
        <f ca="1">AA91*Données!$F$36</f>
        <v>0</v>
      </c>
      <c r="AD91" s="478">
        <f ca="1">AA91*Données!$F$28</f>
        <v>0</v>
      </c>
      <c r="AE91" s="478">
        <f ca="1">IF(AB91=0,0,IF($E$7="C1",(AB91*$H$10),IF($E$7="C2",-AA91*Données!$G$36*$H$10,0)))</f>
        <v>0</v>
      </c>
      <c r="AF91" s="478">
        <f t="shared" ca="1" si="47"/>
        <v>0</v>
      </c>
      <c r="AG91" s="477">
        <f t="shared" si="64"/>
        <v>71</v>
      </c>
      <c r="AH91" s="478">
        <f t="shared" si="65"/>
        <v>0</v>
      </c>
      <c r="AI91" s="478">
        <f t="shared" si="66"/>
        <v>0</v>
      </c>
      <c r="AJ91" s="493">
        <f t="shared" si="67"/>
        <v>0</v>
      </c>
      <c r="AK91" s="493">
        <f t="shared" ca="1" si="68"/>
        <v>0</v>
      </c>
      <c r="AL91" s="478">
        <f t="shared" ca="1" si="48"/>
        <v>0</v>
      </c>
      <c r="AM91" s="478">
        <f t="shared" ca="1" si="49"/>
        <v>0</v>
      </c>
      <c r="AN91" s="478">
        <f t="shared" si="69"/>
        <v>0</v>
      </c>
      <c r="AO91" s="478">
        <f t="shared" ca="1" si="50"/>
        <v>0</v>
      </c>
      <c r="AP91" s="478">
        <f>AN91*Données!$F$36</f>
        <v>0</v>
      </c>
      <c r="AQ91" s="478">
        <f>AN91*Données!$F$28</f>
        <v>0</v>
      </c>
      <c r="AR91" s="478">
        <f ca="1">IF(AO91=0,0,IF($E$7="C1",(AO91*$H$10),IF($E$7="C2",-AN91*Données!$G$36*$H$10,0)))</f>
        <v>0</v>
      </c>
      <c r="AS91" s="478">
        <f t="shared" ca="1" si="51"/>
        <v>0</v>
      </c>
      <c r="AT91" s="477">
        <f t="shared" si="70"/>
        <v>71</v>
      </c>
      <c r="AU91" s="478">
        <f t="shared" si="71"/>
        <v>0</v>
      </c>
      <c r="AV91" s="478">
        <f t="shared" si="72"/>
        <v>0</v>
      </c>
      <c r="AW91" s="493">
        <f t="shared" si="73"/>
        <v>0</v>
      </c>
      <c r="AX91" s="493">
        <f t="shared" si="74"/>
        <v>0</v>
      </c>
      <c r="AY91" s="478">
        <f t="shared" si="52"/>
        <v>0</v>
      </c>
    </row>
    <row r="92" spans="1:51">
      <c r="A92" s="477">
        <f t="shared" ca="1" si="53"/>
        <v>2098</v>
      </c>
      <c r="B92" s="478">
        <f t="shared" ca="1" si="54"/>
        <v>0</v>
      </c>
      <c r="C92" s="478">
        <f ca="1">IF(OR($C$7=Données!$H$51,$C$7=Données!$H$54,$C$7=Données!$H$55,$C$7=Données!$H$57),0,B92*$C$10)</f>
        <v>0</v>
      </c>
      <c r="D92" s="478">
        <f ca="1">IFERROR(IF($H$5="",B92*'CT à Transf'!$K$28,B92*$H$5),B92*$H$5)</f>
        <v>0</v>
      </c>
      <c r="E92" s="478">
        <f t="shared" ca="1" si="55"/>
        <v>0</v>
      </c>
      <c r="F92" s="478">
        <f t="shared" ca="1" si="38"/>
        <v>0</v>
      </c>
      <c r="G92" s="478">
        <f t="shared" ca="1" si="40"/>
        <v>0</v>
      </c>
      <c r="H92" s="478">
        <f t="shared" ca="1" si="41"/>
        <v>0</v>
      </c>
      <c r="J92" s="476"/>
      <c r="K92" s="477">
        <f t="shared" si="56"/>
        <v>72</v>
      </c>
      <c r="L92" s="478">
        <f t="shared" ca="1" si="39"/>
        <v>0</v>
      </c>
      <c r="M92" s="478">
        <f t="shared" ca="1" si="57"/>
        <v>0</v>
      </c>
      <c r="N92" s="478">
        <f ca="1">IF(OR($C$7=Données!$H$52,$C$7=Données!$H$53),(L92*$N$9)+((M92*$Q$8)*$Q$9),(L92+M92)*$N$8*$N$9)</f>
        <v>0</v>
      </c>
      <c r="O92" s="478">
        <f ca="1">IF(OR($C$7=Données!$H$52,$C$7=Données!$H$53),(L92*$H$10)+(M92*$Q$8*$H$10)-(M92*$Q$8*Données!$G$36*$H$10),((L92+M92)*$N$8*$H$10)-IF($K$8="Rente à titre onéreux imposable sur",(L92+M92)*$N$8*Données!$G$36*$H$10,(L92+M92)*$N$8*Données!$M$41*$H$10))</f>
        <v>0</v>
      </c>
      <c r="P92" s="478">
        <f t="shared" ca="1" si="42"/>
        <v>0</v>
      </c>
      <c r="Q92" s="478">
        <f t="shared" ca="1" si="58"/>
        <v>0</v>
      </c>
      <c r="S92" s="476"/>
      <c r="T92" s="477">
        <f t="shared" si="59"/>
        <v>72</v>
      </c>
      <c r="U92" s="478">
        <f t="shared" ca="1" si="60"/>
        <v>0</v>
      </c>
      <c r="V92" s="478">
        <f t="shared" ca="1" si="43"/>
        <v>0</v>
      </c>
      <c r="W92" s="493">
        <f t="shared" ca="1" si="61"/>
        <v>0</v>
      </c>
      <c r="X92" s="493">
        <f t="shared" ca="1" si="62"/>
        <v>0</v>
      </c>
      <c r="Y92" s="478">
        <f t="shared" ca="1" si="44"/>
        <v>0</v>
      </c>
      <c r="Z92" s="504">
        <f t="shared" ca="1" si="63"/>
        <v>0</v>
      </c>
      <c r="AA92" s="478">
        <f t="shared" ca="1" si="45"/>
        <v>0</v>
      </c>
      <c r="AB92" s="478">
        <f t="shared" ca="1" si="46"/>
        <v>0</v>
      </c>
      <c r="AC92" s="478">
        <f ca="1">AA92*Données!$F$36</f>
        <v>0</v>
      </c>
      <c r="AD92" s="478">
        <f ca="1">AA92*Données!$F$28</f>
        <v>0</v>
      </c>
      <c r="AE92" s="478">
        <f ca="1">IF(AB92=0,0,IF($E$7="C1",(AB92*$H$10),IF($E$7="C2",-AA92*Données!$G$36*$H$10,0)))</f>
        <v>0</v>
      </c>
      <c r="AF92" s="478">
        <f t="shared" ca="1" si="47"/>
        <v>0</v>
      </c>
      <c r="AG92" s="477">
        <f t="shared" si="64"/>
        <v>72</v>
      </c>
      <c r="AH92" s="478">
        <f t="shared" si="65"/>
        <v>0</v>
      </c>
      <c r="AI92" s="478">
        <f t="shared" si="66"/>
        <v>0</v>
      </c>
      <c r="AJ92" s="493">
        <f t="shared" si="67"/>
        <v>0</v>
      </c>
      <c r="AK92" s="493">
        <f t="shared" ca="1" si="68"/>
        <v>0</v>
      </c>
      <c r="AL92" s="478">
        <f t="shared" ca="1" si="48"/>
        <v>0</v>
      </c>
      <c r="AM92" s="478">
        <f t="shared" ca="1" si="49"/>
        <v>0</v>
      </c>
      <c r="AN92" s="478">
        <f t="shared" si="69"/>
        <v>0</v>
      </c>
      <c r="AO92" s="478">
        <f t="shared" ca="1" si="50"/>
        <v>0</v>
      </c>
      <c r="AP92" s="478">
        <f>AN92*Données!$F$36</f>
        <v>0</v>
      </c>
      <c r="AQ92" s="478">
        <f>AN92*Données!$F$28</f>
        <v>0</v>
      </c>
      <c r="AR92" s="478">
        <f ca="1">IF(AO92=0,0,IF($E$7="C1",(AO92*$H$10),IF($E$7="C2",-AN92*Données!$G$36*$H$10,0)))</f>
        <v>0</v>
      </c>
      <c r="AS92" s="478">
        <f t="shared" ca="1" si="51"/>
        <v>0</v>
      </c>
      <c r="AT92" s="477">
        <f t="shared" si="70"/>
        <v>72</v>
      </c>
      <c r="AU92" s="478">
        <f t="shared" si="71"/>
        <v>0</v>
      </c>
      <c r="AV92" s="478">
        <f t="shared" si="72"/>
        <v>0</v>
      </c>
      <c r="AW92" s="493">
        <f t="shared" si="73"/>
        <v>0</v>
      </c>
      <c r="AX92" s="493">
        <f t="shared" si="74"/>
        <v>0</v>
      </c>
      <c r="AY92" s="478">
        <f t="shared" si="52"/>
        <v>0</v>
      </c>
    </row>
    <row r="93" spans="1:51">
      <c r="A93" s="477">
        <f t="shared" ca="1" si="53"/>
        <v>2099</v>
      </c>
      <c r="B93" s="478">
        <f t="shared" ca="1" si="54"/>
        <v>0</v>
      </c>
      <c r="C93" s="478">
        <f ca="1">IF(OR($C$7=Données!$H$51,$C$7=Données!$H$54,$C$7=Données!$H$55,$C$7=Données!$H$57),0,B93*$C$10)</f>
        <v>0</v>
      </c>
      <c r="D93" s="478">
        <f ca="1">IFERROR(IF($H$5="",B93*'CT à Transf'!$K$28,B93*$H$5),B93*$H$5)</f>
        <v>0</v>
      </c>
      <c r="E93" s="478">
        <f t="shared" ca="1" si="55"/>
        <v>0</v>
      </c>
      <c r="F93" s="478">
        <f t="shared" ca="1" si="38"/>
        <v>0</v>
      </c>
      <c r="G93" s="478">
        <f t="shared" ca="1" si="40"/>
        <v>0</v>
      </c>
      <c r="H93" s="478">
        <f t="shared" ca="1" si="41"/>
        <v>0</v>
      </c>
      <c r="J93" s="476"/>
      <c r="K93" s="477">
        <f t="shared" si="56"/>
        <v>73</v>
      </c>
      <c r="L93" s="478">
        <f t="shared" ca="1" si="39"/>
        <v>0</v>
      </c>
      <c r="M93" s="478">
        <f t="shared" ca="1" si="57"/>
        <v>0</v>
      </c>
      <c r="N93" s="478">
        <f ca="1">IF(OR($C$7=Données!$H$52,$C$7=Données!$H$53),(L93*$N$9)+((M93*$Q$8)*$Q$9),(L93+M93)*$N$8*$N$9)</f>
        <v>0</v>
      </c>
      <c r="O93" s="478">
        <f ca="1">IF(OR($C$7=Données!$H$52,$C$7=Données!$H$53),(L93*$H$10)+(M93*$Q$8*$H$10)-(M93*$Q$8*Données!$G$36*$H$10),((L93+M93)*$N$8*$H$10)-IF($K$8="Rente à titre onéreux imposable sur",(L93+M93)*$N$8*Données!$G$36*$H$10,(L93+M93)*$N$8*Données!$M$41*$H$10))</f>
        <v>0</v>
      </c>
      <c r="P93" s="478">
        <f t="shared" ca="1" si="42"/>
        <v>0</v>
      </c>
      <c r="Q93" s="478">
        <f t="shared" ca="1" si="58"/>
        <v>0</v>
      </c>
      <c r="S93" s="476"/>
      <c r="T93" s="477">
        <f t="shared" si="59"/>
        <v>73</v>
      </c>
      <c r="U93" s="478">
        <f t="shared" ca="1" si="60"/>
        <v>0</v>
      </c>
      <c r="V93" s="478">
        <f t="shared" ca="1" si="43"/>
        <v>0</v>
      </c>
      <c r="W93" s="493">
        <f t="shared" ca="1" si="61"/>
        <v>0</v>
      </c>
      <c r="X93" s="493">
        <f t="shared" ca="1" si="62"/>
        <v>0</v>
      </c>
      <c r="Y93" s="478">
        <f t="shared" ca="1" si="44"/>
        <v>0</v>
      </c>
      <c r="Z93" s="504">
        <f t="shared" ca="1" si="63"/>
        <v>0</v>
      </c>
      <c r="AA93" s="478">
        <f t="shared" ca="1" si="45"/>
        <v>0</v>
      </c>
      <c r="AB93" s="478">
        <f t="shared" ca="1" si="46"/>
        <v>0</v>
      </c>
      <c r="AC93" s="478">
        <f ca="1">AA93*Données!$F$36</f>
        <v>0</v>
      </c>
      <c r="AD93" s="478">
        <f ca="1">AA93*Données!$F$28</f>
        <v>0</v>
      </c>
      <c r="AE93" s="478">
        <f ca="1">IF(AB93=0,0,IF($E$7="C1",(AB93*$H$10),IF($E$7="C2",-AA93*Données!$G$36*$H$10,0)))</f>
        <v>0</v>
      </c>
      <c r="AF93" s="478">
        <f t="shared" ca="1" si="47"/>
        <v>0</v>
      </c>
      <c r="AG93" s="477">
        <f t="shared" si="64"/>
        <v>73</v>
      </c>
      <c r="AH93" s="478">
        <f t="shared" si="65"/>
        <v>0</v>
      </c>
      <c r="AI93" s="478">
        <f t="shared" si="66"/>
        <v>0</v>
      </c>
      <c r="AJ93" s="493">
        <f t="shared" si="67"/>
        <v>0</v>
      </c>
      <c r="AK93" s="493">
        <f t="shared" ca="1" si="68"/>
        <v>0</v>
      </c>
      <c r="AL93" s="478">
        <f t="shared" ca="1" si="48"/>
        <v>0</v>
      </c>
      <c r="AM93" s="478">
        <f t="shared" ca="1" si="49"/>
        <v>0</v>
      </c>
      <c r="AN93" s="478">
        <f t="shared" si="69"/>
        <v>0</v>
      </c>
      <c r="AO93" s="478">
        <f t="shared" ca="1" si="50"/>
        <v>0</v>
      </c>
      <c r="AP93" s="478">
        <f>AN93*Données!$F$36</f>
        <v>0</v>
      </c>
      <c r="AQ93" s="478">
        <f>AN93*Données!$F$28</f>
        <v>0</v>
      </c>
      <c r="AR93" s="478">
        <f ca="1">IF(AO93=0,0,IF($E$7="C1",(AO93*$H$10),IF($E$7="C2",-AN93*Données!$G$36*$H$10,0)))</f>
        <v>0</v>
      </c>
      <c r="AS93" s="478">
        <f t="shared" ca="1" si="51"/>
        <v>0</v>
      </c>
      <c r="AT93" s="477">
        <f t="shared" si="70"/>
        <v>73</v>
      </c>
      <c r="AU93" s="478">
        <f t="shared" si="71"/>
        <v>0</v>
      </c>
      <c r="AV93" s="478">
        <f t="shared" si="72"/>
        <v>0</v>
      </c>
      <c r="AW93" s="493">
        <f t="shared" si="73"/>
        <v>0</v>
      </c>
      <c r="AX93" s="493">
        <f t="shared" si="74"/>
        <v>0</v>
      </c>
      <c r="AY93" s="478">
        <f t="shared" si="52"/>
        <v>0</v>
      </c>
    </row>
    <row r="94" spans="1:51">
      <c r="A94" s="477">
        <f t="shared" ca="1" si="53"/>
        <v>2100</v>
      </c>
      <c r="B94" s="478">
        <f t="shared" ca="1" si="54"/>
        <v>0</v>
      </c>
      <c r="C94" s="478">
        <f ca="1">IF(OR($C$7=Données!$H$51,$C$7=Données!$H$54,$C$7=Données!$H$55,$C$7=Données!$H$57),0,B94*$C$10)</f>
        <v>0</v>
      </c>
      <c r="D94" s="478">
        <f ca="1">IFERROR(IF($H$5="",B94*'CT à Transf'!$K$28,B94*$H$5),B94*$H$5)</f>
        <v>0</v>
      </c>
      <c r="E94" s="478">
        <f t="shared" ca="1" si="55"/>
        <v>0</v>
      </c>
      <c r="F94" s="478">
        <f t="shared" ca="1" si="38"/>
        <v>0</v>
      </c>
      <c r="G94" s="478">
        <f t="shared" ca="1" si="40"/>
        <v>0</v>
      </c>
      <c r="H94" s="478">
        <f t="shared" ca="1" si="41"/>
        <v>0</v>
      </c>
      <c r="J94" s="476"/>
      <c r="K94" s="477">
        <f t="shared" si="56"/>
        <v>74</v>
      </c>
      <c r="L94" s="478">
        <f t="shared" ca="1" si="39"/>
        <v>0</v>
      </c>
      <c r="M94" s="478">
        <f t="shared" ca="1" si="57"/>
        <v>0</v>
      </c>
      <c r="N94" s="478">
        <f ca="1">IF(OR($C$7=Données!$H$52,$C$7=Données!$H$53),(L94*$N$9)+((M94*$Q$8)*$Q$9),(L94+M94)*$N$8*$N$9)</f>
        <v>0</v>
      </c>
      <c r="O94" s="478">
        <f ca="1">IF(OR($C$7=Données!$H$52,$C$7=Données!$H$53),(L94*$H$10)+(M94*$Q$8*$H$10)-(M94*$Q$8*Données!$G$36*$H$10),((L94+M94)*$N$8*$H$10)-IF($K$8="Rente à titre onéreux imposable sur",(L94+M94)*$N$8*Données!$G$36*$H$10,(L94+M94)*$N$8*Données!$M$41*$H$10))</f>
        <v>0</v>
      </c>
      <c r="P94" s="478">
        <f t="shared" ca="1" si="42"/>
        <v>0</v>
      </c>
      <c r="Q94" s="478">
        <f t="shared" ca="1" si="58"/>
        <v>0</v>
      </c>
      <c r="S94" s="476"/>
      <c r="T94" s="477">
        <f t="shared" si="59"/>
        <v>74</v>
      </c>
      <c r="U94" s="478">
        <f t="shared" ca="1" si="60"/>
        <v>0</v>
      </c>
      <c r="V94" s="478">
        <f t="shared" ca="1" si="43"/>
        <v>0</v>
      </c>
      <c r="W94" s="493">
        <f t="shared" ca="1" si="61"/>
        <v>0</v>
      </c>
      <c r="X94" s="493">
        <f t="shared" ca="1" si="62"/>
        <v>0</v>
      </c>
      <c r="Y94" s="478">
        <f t="shared" ca="1" si="44"/>
        <v>0</v>
      </c>
      <c r="Z94" s="504">
        <f t="shared" ca="1" si="63"/>
        <v>0</v>
      </c>
      <c r="AA94" s="478">
        <f t="shared" ca="1" si="45"/>
        <v>0</v>
      </c>
      <c r="AB94" s="478">
        <f t="shared" ca="1" si="46"/>
        <v>0</v>
      </c>
      <c r="AC94" s="478">
        <f ca="1">AA94*Données!$F$36</f>
        <v>0</v>
      </c>
      <c r="AD94" s="478">
        <f ca="1">AA94*Données!$F$28</f>
        <v>0</v>
      </c>
      <c r="AE94" s="478">
        <f ca="1">IF(AB94=0,0,IF($E$7="C1",(AB94*$H$10),IF($E$7="C2",-AA94*Données!$G$36*$H$10,0)))</f>
        <v>0</v>
      </c>
      <c r="AF94" s="478">
        <f t="shared" ca="1" si="47"/>
        <v>0</v>
      </c>
      <c r="AG94" s="477">
        <f t="shared" si="64"/>
        <v>74</v>
      </c>
      <c r="AH94" s="478">
        <f t="shared" si="65"/>
        <v>0</v>
      </c>
      <c r="AI94" s="478">
        <f t="shared" si="66"/>
        <v>0</v>
      </c>
      <c r="AJ94" s="493">
        <f t="shared" si="67"/>
        <v>0</v>
      </c>
      <c r="AK94" s="493">
        <f t="shared" ca="1" si="68"/>
        <v>0</v>
      </c>
      <c r="AL94" s="478">
        <f t="shared" ca="1" si="48"/>
        <v>0</v>
      </c>
      <c r="AM94" s="478">
        <f t="shared" ca="1" si="49"/>
        <v>0</v>
      </c>
      <c r="AN94" s="478">
        <f t="shared" si="69"/>
        <v>0</v>
      </c>
      <c r="AO94" s="478">
        <f t="shared" ca="1" si="50"/>
        <v>0</v>
      </c>
      <c r="AP94" s="478">
        <f>AN94*Données!$F$36</f>
        <v>0</v>
      </c>
      <c r="AQ94" s="478">
        <f>AN94*Données!$F$28</f>
        <v>0</v>
      </c>
      <c r="AR94" s="478">
        <f ca="1">IF(AO94=0,0,IF($E$7="C1",(AO94*$H$10),IF($E$7="C2",-AN94*Données!$G$36*$H$10,0)))</f>
        <v>0</v>
      </c>
      <c r="AS94" s="478">
        <f t="shared" ca="1" si="51"/>
        <v>0</v>
      </c>
      <c r="AT94" s="477">
        <f t="shared" si="70"/>
        <v>74</v>
      </c>
      <c r="AU94" s="478">
        <f t="shared" si="71"/>
        <v>0</v>
      </c>
      <c r="AV94" s="478">
        <f t="shared" si="72"/>
        <v>0</v>
      </c>
      <c r="AW94" s="493">
        <f t="shared" si="73"/>
        <v>0</v>
      </c>
      <c r="AX94" s="493">
        <f t="shared" si="74"/>
        <v>0</v>
      </c>
      <c r="AY94" s="478">
        <f t="shared" si="52"/>
        <v>0</v>
      </c>
    </row>
    <row r="95" spans="1:51">
      <c r="A95" s="477">
        <f t="shared" ca="1" si="53"/>
        <v>2101</v>
      </c>
      <c r="B95" s="478">
        <f t="shared" ca="1" si="54"/>
        <v>0</v>
      </c>
      <c r="C95" s="478">
        <f ca="1">IF(OR($C$7=Données!$H$51,$C$7=Données!$H$54,$C$7=Données!$H$55,$C$7=Données!$H$57),0,B95*$C$10)</f>
        <v>0</v>
      </c>
      <c r="D95" s="478">
        <f ca="1">IFERROR(IF($H$5="",B95*'CT à Transf'!$K$28,B95*$H$5),B95*$H$5)</f>
        <v>0</v>
      </c>
      <c r="E95" s="478">
        <f t="shared" ca="1" si="55"/>
        <v>0</v>
      </c>
      <c r="F95" s="478">
        <f t="shared" ca="1" si="38"/>
        <v>0</v>
      </c>
      <c r="G95" s="478">
        <f t="shared" ca="1" si="40"/>
        <v>0</v>
      </c>
      <c r="H95" s="478">
        <f t="shared" ca="1" si="41"/>
        <v>0</v>
      </c>
      <c r="J95" s="476"/>
      <c r="K95" s="477">
        <f t="shared" si="56"/>
        <v>75</v>
      </c>
      <c r="L95" s="478">
        <f t="shared" ca="1" si="39"/>
        <v>0</v>
      </c>
      <c r="M95" s="478">
        <f t="shared" ca="1" si="57"/>
        <v>0</v>
      </c>
      <c r="N95" s="478">
        <f ca="1">IF(OR($C$7=Données!$H$52,$C$7=Données!$H$53),(L95*$N$9)+((M95*$Q$8)*$Q$9),(L95+M95)*$N$8*$N$9)</f>
        <v>0</v>
      </c>
      <c r="O95" s="478">
        <f ca="1">IF(OR($C$7=Données!$H$52,$C$7=Données!$H$53),(L95*$H$10)+(M95*$Q$8*$H$10)-(M95*$Q$8*Données!$G$36*$H$10),((L95+M95)*$N$8*$H$10)-IF($K$8="Rente à titre onéreux imposable sur",(L95+M95)*$N$8*Données!$G$36*$H$10,(L95+M95)*$N$8*Données!$M$41*$H$10))</f>
        <v>0</v>
      </c>
      <c r="P95" s="478">
        <f t="shared" ca="1" si="42"/>
        <v>0</v>
      </c>
      <c r="Q95" s="478">
        <f t="shared" ca="1" si="58"/>
        <v>0</v>
      </c>
      <c r="S95" s="476"/>
      <c r="T95" s="477">
        <f t="shared" si="59"/>
        <v>75</v>
      </c>
      <c r="U95" s="478">
        <f t="shared" ca="1" si="60"/>
        <v>0</v>
      </c>
      <c r="V95" s="478">
        <f t="shared" ca="1" si="43"/>
        <v>0</v>
      </c>
      <c r="W95" s="493">
        <f t="shared" ca="1" si="61"/>
        <v>0</v>
      </c>
      <c r="X95" s="493">
        <f t="shared" ca="1" si="62"/>
        <v>0</v>
      </c>
      <c r="Y95" s="478">
        <f t="shared" ca="1" si="44"/>
        <v>0</v>
      </c>
      <c r="Z95" s="504">
        <f t="shared" ca="1" si="63"/>
        <v>0</v>
      </c>
      <c r="AA95" s="478">
        <f t="shared" ca="1" si="45"/>
        <v>0</v>
      </c>
      <c r="AB95" s="478">
        <f t="shared" ca="1" si="46"/>
        <v>0</v>
      </c>
      <c r="AC95" s="478">
        <f ca="1">AA95*Données!$F$36</f>
        <v>0</v>
      </c>
      <c r="AD95" s="478">
        <f ca="1">AA95*Données!$F$28</f>
        <v>0</v>
      </c>
      <c r="AE95" s="478">
        <f ca="1">IF(AB95=0,0,IF($E$7="C1",(AB95*$H$10),IF($E$7="C2",-AA95*Données!$G$36*$H$10,0)))</f>
        <v>0</v>
      </c>
      <c r="AF95" s="478">
        <f t="shared" ca="1" si="47"/>
        <v>0</v>
      </c>
      <c r="AG95" s="477">
        <f t="shared" si="64"/>
        <v>75</v>
      </c>
      <c r="AH95" s="478">
        <f t="shared" si="65"/>
        <v>0</v>
      </c>
      <c r="AI95" s="478">
        <f t="shared" si="66"/>
        <v>0</v>
      </c>
      <c r="AJ95" s="493">
        <f t="shared" si="67"/>
        <v>0</v>
      </c>
      <c r="AK95" s="493">
        <f t="shared" ca="1" si="68"/>
        <v>0</v>
      </c>
      <c r="AL95" s="478">
        <f t="shared" ca="1" si="48"/>
        <v>0</v>
      </c>
      <c r="AM95" s="478">
        <f t="shared" ca="1" si="49"/>
        <v>0</v>
      </c>
      <c r="AN95" s="478">
        <f t="shared" si="69"/>
        <v>0</v>
      </c>
      <c r="AO95" s="478">
        <f t="shared" ca="1" si="50"/>
        <v>0</v>
      </c>
      <c r="AP95" s="478">
        <f>AN95*Données!$F$36</f>
        <v>0</v>
      </c>
      <c r="AQ95" s="478">
        <f>AN95*Données!$F$28</f>
        <v>0</v>
      </c>
      <c r="AR95" s="478">
        <f ca="1">IF(AO95=0,0,IF($E$7="C1",(AO95*$H$10),IF($E$7="C2",-AN95*Données!$G$36*$H$10,0)))</f>
        <v>0</v>
      </c>
      <c r="AS95" s="478">
        <f t="shared" ca="1" si="51"/>
        <v>0</v>
      </c>
      <c r="AT95" s="477">
        <f t="shared" si="70"/>
        <v>75</v>
      </c>
      <c r="AU95" s="478">
        <f t="shared" si="71"/>
        <v>0</v>
      </c>
      <c r="AV95" s="478">
        <f t="shared" si="72"/>
        <v>0</v>
      </c>
      <c r="AW95" s="493">
        <f t="shared" si="73"/>
        <v>0</v>
      </c>
      <c r="AX95" s="493">
        <f t="shared" si="74"/>
        <v>0</v>
      </c>
      <c r="AY95" s="478">
        <f t="shared" si="52"/>
        <v>0</v>
      </c>
    </row>
    <row r="96" spans="1:51">
      <c r="A96" s="477">
        <f t="shared" ca="1" si="53"/>
        <v>2102</v>
      </c>
      <c r="B96" s="478">
        <f t="shared" ca="1" si="54"/>
        <v>0</v>
      </c>
      <c r="C96" s="478">
        <f ca="1">IF(OR($C$7=Données!$H$51,$C$7=Données!$H$54,$C$7=Données!$H$55,$C$7=Données!$H$57),0,B96*$C$10)</f>
        <v>0</v>
      </c>
      <c r="D96" s="478">
        <f ca="1">IFERROR(IF($H$5="",B96*'CT à Transf'!$K$28,B96*$H$5),B96*$H$5)</f>
        <v>0</v>
      </c>
      <c r="E96" s="478">
        <f t="shared" ca="1" si="55"/>
        <v>0</v>
      </c>
      <c r="F96" s="478">
        <f t="shared" ca="1" si="38"/>
        <v>0</v>
      </c>
      <c r="G96" s="478">
        <f t="shared" ca="1" si="40"/>
        <v>0</v>
      </c>
      <c r="H96" s="478">
        <f t="shared" ca="1" si="41"/>
        <v>0</v>
      </c>
      <c r="J96" s="476"/>
      <c r="K96" s="477">
        <f t="shared" si="56"/>
        <v>76</v>
      </c>
      <c r="L96" s="478">
        <f t="shared" ca="1" si="39"/>
        <v>0</v>
      </c>
      <c r="M96" s="478">
        <f t="shared" ca="1" si="57"/>
        <v>0</v>
      </c>
      <c r="N96" s="478">
        <f ca="1">IF(OR($C$7=Données!$H$52,$C$7=Données!$H$53),(L96*$N$9)+((M96*$Q$8)*$Q$9),(L96+M96)*$N$8*$N$9)</f>
        <v>0</v>
      </c>
      <c r="O96" s="478">
        <f ca="1">IF(OR($C$7=Données!$H$52,$C$7=Données!$H$53),(L96*$H$10)+(M96*$Q$8*$H$10)-(M96*$Q$8*Données!$G$36*$H$10),((L96+M96)*$N$8*$H$10)-IF($K$8="Rente à titre onéreux imposable sur",(L96+M96)*$N$8*Données!$G$36*$H$10,(L96+M96)*$N$8*Données!$M$41*$H$10))</f>
        <v>0</v>
      </c>
      <c r="P96" s="478">
        <f t="shared" ca="1" si="42"/>
        <v>0</v>
      </c>
      <c r="Q96" s="478">
        <f t="shared" ca="1" si="58"/>
        <v>0</v>
      </c>
      <c r="S96" s="476"/>
      <c r="T96" s="477">
        <f t="shared" si="59"/>
        <v>76</v>
      </c>
      <c r="U96" s="478">
        <f t="shared" ca="1" si="60"/>
        <v>0</v>
      </c>
      <c r="V96" s="478">
        <f t="shared" ca="1" si="43"/>
        <v>0</v>
      </c>
      <c r="W96" s="493">
        <f t="shared" ca="1" si="61"/>
        <v>0</v>
      </c>
      <c r="X96" s="493">
        <f t="shared" ca="1" si="62"/>
        <v>0</v>
      </c>
      <c r="Y96" s="478">
        <f t="shared" ca="1" si="44"/>
        <v>0</v>
      </c>
      <c r="Z96" s="504">
        <f t="shared" ca="1" si="63"/>
        <v>0</v>
      </c>
      <c r="AA96" s="478">
        <f t="shared" ca="1" si="45"/>
        <v>0</v>
      </c>
      <c r="AB96" s="478">
        <f t="shared" ca="1" si="46"/>
        <v>0</v>
      </c>
      <c r="AC96" s="478">
        <f ca="1">AA96*Données!$F$36</f>
        <v>0</v>
      </c>
      <c r="AD96" s="478">
        <f ca="1">AA96*Données!$F$28</f>
        <v>0</v>
      </c>
      <c r="AE96" s="478">
        <f ca="1">IF(AB96=0,0,IF($E$7="C1",(AB96*$H$10),IF($E$7="C2",-AA96*Données!$G$36*$H$10,0)))</f>
        <v>0</v>
      </c>
      <c r="AF96" s="478">
        <f t="shared" ca="1" si="47"/>
        <v>0</v>
      </c>
      <c r="AG96" s="477">
        <f t="shared" si="64"/>
        <v>76</v>
      </c>
      <c r="AH96" s="478">
        <f t="shared" si="65"/>
        <v>0</v>
      </c>
      <c r="AI96" s="478">
        <f t="shared" si="66"/>
        <v>0</v>
      </c>
      <c r="AJ96" s="493">
        <f t="shared" si="67"/>
        <v>0</v>
      </c>
      <c r="AK96" s="493">
        <f t="shared" ca="1" si="68"/>
        <v>0</v>
      </c>
      <c r="AL96" s="478">
        <f t="shared" ca="1" si="48"/>
        <v>0</v>
      </c>
      <c r="AM96" s="478">
        <f t="shared" ca="1" si="49"/>
        <v>0</v>
      </c>
      <c r="AN96" s="478">
        <f t="shared" si="69"/>
        <v>0</v>
      </c>
      <c r="AO96" s="478">
        <f t="shared" ca="1" si="50"/>
        <v>0</v>
      </c>
      <c r="AP96" s="478">
        <f>AN96*Données!$F$36</f>
        <v>0</v>
      </c>
      <c r="AQ96" s="478">
        <f>AN96*Données!$F$28</f>
        <v>0</v>
      </c>
      <c r="AR96" s="478">
        <f ca="1">IF(AO96=0,0,IF($E$7="C1",(AO96*$H$10),IF($E$7="C2",-AN96*Données!$G$36*$H$10,0)))</f>
        <v>0</v>
      </c>
      <c r="AS96" s="478">
        <f t="shared" ca="1" si="51"/>
        <v>0</v>
      </c>
      <c r="AT96" s="477">
        <f t="shared" si="70"/>
        <v>76</v>
      </c>
      <c r="AU96" s="478">
        <f t="shared" si="71"/>
        <v>0</v>
      </c>
      <c r="AV96" s="478">
        <f t="shared" si="72"/>
        <v>0</v>
      </c>
      <c r="AW96" s="493">
        <f t="shared" si="73"/>
        <v>0</v>
      </c>
      <c r="AX96" s="493">
        <f t="shared" si="74"/>
        <v>0</v>
      </c>
      <c r="AY96" s="478">
        <f t="shared" si="52"/>
        <v>0</v>
      </c>
    </row>
    <row r="97" spans="1:51">
      <c r="A97" s="477">
        <f t="shared" ca="1" si="53"/>
        <v>2103</v>
      </c>
      <c r="B97" s="478">
        <f t="shared" ca="1" si="54"/>
        <v>0</v>
      </c>
      <c r="C97" s="478">
        <f ca="1">IF(OR($C$7=Données!$H$51,$C$7=Données!$H$54,$C$7=Données!$H$55,$C$7=Données!$H$57),0,B97*$C$10)</f>
        <v>0</v>
      </c>
      <c r="D97" s="478">
        <f ca="1">IFERROR(IF($H$5="",B97*'CT à Transf'!$K$28,B97*$H$5),B97*$H$5)</f>
        <v>0</v>
      </c>
      <c r="E97" s="478">
        <f t="shared" ca="1" si="55"/>
        <v>0</v>
      </c>
      <c r="F97" s="478">
        <f t="shared" ca="1" si="38"/>
        <v>0</v>
      </c>
      <c r="G97" s="478">
        <f t="shared" ca="1" si="40"/>
        <v>0</v>
      </c>
      <c r="H97" s="478">
        <f t="shared" ca="1" si="41"/>
        <v>0</v>
      </c>
      <c r="J97" s="476"/>
      <c r="K97" s="477">
        <f t="shared" si="56"/>
        <v>77</v>
      </c>
      <c r="L97" s="478">
        <f t="shared" ca="1" si="39"/>
        <v>0</v>
      </c>
      <c r="M97" s="478">
        <f t="shared" ca="1" si="57"/>
        <v>0</v>
      </c>
      <c r="N97" s="478">
        <f ca="1">IF(OR($C$7=Données!$H$52,$C$7=Données!$H$53),(L97*$N$9)+((M97*$Q$8)*$Q$9),(L97+M97)*$N$8*$N$9)</f>
        <v>0</v>
      </c>
      <c r="O97" s="478">
        <f ca="1">IF(OR($C$7=Données!$H$52,$C$7=Données!$H$53),(L97*$H$10)+(M97*$Q$8*$H$10)-(M97*$Q$8*Données!$G$36*$H$10),((L97+M97)*$N$8*$H$10)-IF($K$8="Rente à titre onéreux imposable sur",(L97+M97)*$N$8*Données!$G$36*$H$10,(L97+M97)*$N$8*Données!$M$41*$H$10))</f>
        <v>0</v>
      </c>
      <c r="P97" s="478">
        <f t="shared" ca="1" si="42"/>
        <v>0</v>
      </c>
      <c r="Q97" s="478">
        <f t="shared" ca="1" si="58"/>
        <v>0</v>
      </c>
      <c r="S97" s="476"/>
      <c r="T97" s="477">
        <f t="shared" si="59"/>
        <v>77</v>
      </c>
      <c r="U97" s="478">
        <f t="shared" ca="1" si="60"/>
        <v>0</v>
      </c>
      <c r="V97" s="478">
        <f t="shared" ca="1" si="43"/>
        <v>0</v>
      </c>
      <c r="W97" s="493">
        <f t="shared" ca="1" si="61"/>
        <v>0</v>
      </c>
      <c r="X97" s="493">
        <f t="shared" ca="1" si="62"/>
        <v>0</v>
      </c>
      <c r="Y97" s="478">
        <f t="shared" ca="1" si="44"/>
        <v>0</v>
      </c>
      <c r="Z97" s="504">
        <f t="shared" ca="1" si="63"/>
        <v>0</v>
      </c>
      <c r="AA97" s="478">
        <f t="shared" ca="1" si="45"/>
        <v>0</v>
      </c>
      <c r="AB97" s="478">
        <f t="shared" ca="1" si="46"/>
        <v>0</v>
      </c>
      <c r="AC97" s="478">
        <f ca="1">AA97*Données!$F$36</f>
        <v>0</v>
      </c>
      <c r="AD97" s="478">
        <f ca="1">AA97*Données!$F$28</f>
        <v>0</v>
      </c>
      <c r="AE97" s="478">
        <f ca="1">IF(AB97=0,0,IF($E$7="C1",(AB97*$H$10),IF($E$7="C2",-AA97*Données!$G$36*$H$10,0)))</f>
        <v>0</v>
      </c>
      <c r="AF97" s="478">
        <f t="shared" ca="1" si="47"/>
        <v>0</v>
      </c>
      <c r="AG97" s="477">
        <f t="shared" si="64"/>
        <v>77</v>
      </c>
      <c r="AH97" s="478">
        <f t="shared" si="65"/>
        <v>0</v>
      </c>
      <c r="AI97" s="478">
        <f t="shared" si="66"/>
        <v>0</v>
      </c>
      <c r="AJ97" s="493">
        <f t="shared" si="67"/>
        <v>0</v>
      </c>
      <c r="AK97" s="493">
        <f t="shared" ca="1" si="68"/>
        <v>0</v>
      </c>
      <c r="AL97" s="478">
        <f t="shared" ca="1" si="48"/>
        <v>0</v>
      </c>
      <c r="AM97" s="478">
        <f t="shared" ca="1" si="49"/>
        <v>0</v>
      </c>
      <c r="AN97" s="478">
        <f t="shared" si="69"/>
        <v>0</v>
      </c>
      <c r="AO97" s="478">
        <f t="shared" ca="1" si="50"/>
        <v>0</v>
      </c>
      <c r="AP97" s="478">
        <f>AN97*Données!$F$36</f>
        <v>0</v>
      </c>
      <c r="AQ97" s="478">
        <f>AN97*Données!$F$28</f>
        <v>0</v>
      </c>
      <c r="AR97" s="478">
        <f ca="1">IF(AO97=0,0,IF($E$7="C1",(AO97*$H$10),IF($E$7="C2",-AN97*Données!$G$36*$H$10,0)))</f>
        <v>0</v>
      </c>
      <c r="AS97" s="478">
        <f t="shared" ca="1" si="51"/>
        <v>0</v>
      </c>
      <c r="AT97" s="477">
        <f t="shared" si="70"/>
        <v>77</v>
      </c>
      <c r="AU97" s="478">
        <f t="shared" si="71"/>
        <v>0</v>
      </c>
      <c r="AV97" s="478">
        <f t="shared" si="72"/>
        <v>0</v>
      </c>
      <c r="AW97" s="493">
        <f t="shared" si="73"/>
        <v>0</v>
      </c>
      <c r="AX97" s="493">
        <f t="shared" si="74"/>
        <v>0</v>
      </c>
      <c r="AY97" s="478">
        <f t="shared" si="52"/>
        <v>0</v>
      </c>
    </row>
    <row r="98" spans="1:51">
      <c r="A98" s="477">
        <f t="shared" ca="1" si="53"/>
        <v>2104</v>
      </c>
      <c r="B98" s="478">
        <f t="shared" ca="1" si="54"/>
        <v>0</v>
      </c>
      <c r="C98" s="478">
        <f ca="1">IF(OR($C$7=Données!$H$51,$C$7=Données!$H$54,$C$7=Données!$H$55,$C$7=Données!$H$57),0,B98*$C$10)</f>
        <v>0</v>
      </c>
      <c r="D98" s="478">
        <f ca="1">IFERROR(IF($H$5="",B98*'CT à Transf'!$K$28,B98*$H$5),B98*$H$5)</f>
        <v>0</v>
      </c>
      <c r="E98" s="478">
        <f t="shared" ca="1" si="55"/>
        <v>0</v>
      </c>
      <c r="F98" s="478">
        <f t="shared" ca="1" si="38"/>
        <v>0</v>
      </c>
      <c r="G98" s="478">
        <f t="shared" ca="1" si="40"/>
        <v>0</v>
      </c>
      <c r="H98" s="478">
        <f t="shared" ca="1" si="41"/>
        <v>0</v>
      </c>
      <c r="J98" s="476"/>
      <c r="K98" s="477">
        <f t="shared" si="56"/>
        <v>78</v>
      </c>
      <c r="L98" s="478">
        <f t="shared" ca="1" si="39"/>
        <v>0</v>
      </c>
      <c r="M98" s="478">
        <f t="shared" ca="1" si="57"/>
        <v>0</v>
      </c>
      <c r="N98" s="478">
        <f ca="1">IF(OR($C$7=Données!$H$52,$C$7=Données!$H$53),(L98*$N$9)+((M98*$Q$8)*$Q$9),(L98+M98)*$N$8*$N$9)</f>
        <v>0</v>
      </c>
      <c r="O98" s="478">
        <f ca="1">IF(OR($C$7=Données!$H$52,$C$7=Données!$H$53),(L98*$H$10)+(M98*$Q$8*$H$10)-(M98*$Q$8*Données!$G$36*$H$10),((L98+M98)*$N$8*$H$10)-IF($K$8="Rente à titre onéreux imposable sur",(L98+M98)*$N$8*Données!$G$36*$H$10,(L98+M98)*$N$8*Données!$M$41*$H$10))</f>
        <v>0</v>
      </c>
      <c r="P98" s="478">
        <f t="shared" ca="1" si="42"/>
        <v>0</v>
      </c>
      <c r="Q98" s="478">
        <f t="shared" ca="1" si="58"/>
        <v>0</v>
      </c>
      <c r="S98" s="476"/>
      <c r="T98" s="477">
        <f t="shared" si="59"/>
        <v>78</v>
      </c>
      <c r="U98" s="478">
        <f t="shared" ca="1" si="60"/>
        <v>0</v>
      </c>
      <c r="V98" s="478">
        <f t="shared" ca="1" si="43"/>
        <v>0</v>
      </c>
      <c r="W98" s="493">
        <f t="shared" ca="1" si="61"/>
        <v>0</v>
      </c>
      <c r="X98" s="493">
        <f t="shared" ca="1" si="62"/>
        <v>0</v>
      </c>
      <c r="Y98" s="478">
        <f t="shared" ca="1" si="44"/>
        <v>0</v>
      </c>
      <c r="Z98" s="504">
        <f t="shared" ca="1" si="63"/>
        <v>0</v>
      </c>
      <c r="AA98" s="478">
        <f t="shared" ca="1" si="45"/>
        <v>0</v>
      </c>
      <c r="AB98" s="478">
        <f t="shared" ca="1" si="46"/>
        <v>0</v>
      </c>
      <c r="AC98" s="478">
        <f ca="1">AA98*Données!$F$36</f>
        <v>0</v>
      </c>
      <c r="AD98" s="478">
        <f ca="1">AA98*Données!$F$28</f>
        <v>0</v>
      </c>
      <c r="AE98" s="478">
        <f ca="1">IF(AB98=0,0,IF($E$7="C1",(AB98*$H$10),IF($E$7="C2",-AA98*Données!$G$36*$H$10,0)))</f>
        <v>0</v>
      </c>
      <c r="AF98" s="478">
        <f t="shared" ca="1" si="47"/>
        <v>0</v>
      </c>
      <c r="AG98" s="477">
        <f t="shared" si="64"/>
        <v>78</v>
      </c>
      <c r="AH98" s="478">
        <f t="shared" si="65"/>
        <v>0</v>
      </c>
      <c r="AI98" s="478">
        <f t="shared" si="66"/>
        <v>0</v>
      </c>
      <c r="AJ98" s="493">
        <f t="shared" si="67"/>
        <v>0</v>
      </c>
      <c r="AK98" s="493">
        <f t="shared" ca="1" si="68"/>
        <v>0</v>
      </c>
      <c r="AL98" s="478">
        <f t="shared" ca="1" si="48"/>
        <v>0</v>
      </c>
      <c r="AM98" s="478">
        <f t="shared" ca="1" si="49"/>
        <v>0</v>
      </c>
      <c r="AN98" s="478">
        <f t="shared" si="69"/>
        <v>0</v>
      </c>
      <c r="AO98" s="478">
        <f t="shared" ca="1" si="50"/>
        <v>0</v>
      </c>
      <c r="AP98" s="478">
        <f>AN98*Données!$F$36</f>
        <v>0</v>
      </c>
      <c r="AQ98" s="478">
        <f>AN98*Données!$F$28</f>
        <v>0</v>
      </c>
      <c r="AR98" s="478">
        <f ca="1">IF(AO98=0,0,IF($E$7="C1",(AO98*$H$10),IF($E$7="C2",-AN98*Données!$G$36*$H$10,0)))</f>
        <v>0</v>
      </c>
      <c r="AS98" s="478">
        <f t="shared" ca="1" si="51"/>
        <v>0</v>
      </c>
      <c r="AT98" s="477">
        <f t="shared" si="70"/>
        <v>78</v>
      </c>
      <c r="AU98" s="478">
        <f t="shared" si="71"/>
        <v>0</v>
      </c>
      <c r="AV98" s="478">
        <f t="shared" si="72"/>
        <v>0</v>
      </c>
      <c r="AW98" s="493">
        <f t="shared" si="73"/>
        <v>0</v>
      </c>
      <c r="AX98" s="493">
        <f t="shared" si="74"/>
        <v>0</v>
      </c>
      <c r="AY98" s="478">
        <f t="shared" si="52"/>
        <v>0</v>
      </c>
    </row>
    <row r="99" spans="1:51">
      <c r="A99" s="477">
        <f t="shared" ca="1" si="53"/>
        <v>2105</v>
      </c>
      <c r="B99" s="478">
        <f t="shared" ca="1" si="54"/>
        <v>0</v>
      </c>
      <c r="C99" s="478">
        <f ca="1">IF(OR($C$7=Données!$H$51,$C$7=Données!$H$54,$C$7=Données!$H$55,$C$7=Données!$H$57),0,B99*$C$10)</f>
        <v>0</v>
      </c>
      <c r="D99" s="478">
        <f ca="1">IFERROR(IF($H$5="",B99*'CT à Transf'!$K$28,B99*$H$5),B99*$H$5)</f>
        <v>0</v>
      </c>
      <c r="E99" s="478">
        <f t="shared" ca="1" si="55"/>
        <v>0</v>
      </c>
      <c r="F99" s="478">
        <f t="shared" ca="1" si="38"/>
        <v>0</v>
      </c>
      <c r="G99" s="478">
        <f t="shared" ca="1" si="40"/>
        <v>0</v>
      </c>
      <c r="H99" s="478">
        <f t="shared" ca="1" si="41"/>
        <v>0</v>
      </c>
      <c r="J99" s="476"/>
      <c r="K99" s="477">
        <f t="shared" si="56"/>
        <v>79</v>
      </c>
      <c r="L99" s="478">
        <f t="shared" ca="1" si="39"/>
        <v>0</v>
      </c>
      <c r="M99" s="478">
        <f t="shared" ca="1" si="57"/>
        <v>0</v>
      </c>
      <c r="N99" s="478">
        <f ca="1">IF(OR($C$7=Données!$H$52,$C$7=Données!$H$53),(L99*$N$9)+((M99*$Q$8)*$Q$9),(L99+M99)*$N$8*$N$9)</f>
        <v>0</v>
      </c>
      <c r="O99" s="478">
        <f ca="1">IF(OR($C$7=Données!$H$52,$C$7=Données!$H$53),(L99*$H$10)+(M99*$Q$8*$H$10)-(M99*$Q$8*Données!$G$36*$H$10),((L99+M99)*$N$8*$H$10)-IF($K$8="Rente à titre onéreux imposable sur",(L99+M99)*$N$8*Données!$G$36*$H$10,(L99+M99)*$N$8*Données!$M$41*$H$10))</f>
        <v>0</v>
      </c>
      <c r="P99" s="478">
        <f t="shared" ca="1" si="42"/>
        <v>0</v>
      </c>
      <c r="Q99" s="478">
        <f t="shared" ca="1" si="58"/>
        <v>0</v>
      </c>
      <c r="S99" s="476"/>
      <c r="T99" s="477">
        <f t="shared" si="59"/>
        <v>79</v>
      </c>
      <c r="U99" s="478">
        <f t="shared" ca="1" si="60"/>
        <v>0</v>
      </c>
      <c r="V99" s="478">
        <f t="shared" ca="1" si="43"/>
        <v>0</v>
      </c>
      <c r="W99" s="493">
        <f t="shared" ca="1" si="61"/>
        <v>0</v>
      </c>
      <c r="X99" s="493">
        <f t="shared" ca="1" si="62"/>
        <v>0</v>
      </c>
      <c r="Y99" s="478">
        <f t="shared" ca="1" si="44"/>
        <v>0</v>
      </c>
      <c r="Z99" s="504">
        <f t="shared" ca="1" si="63"/>
        <v>0</v>
      </c>
      <c r="AA99" s="478">
        <f t="shared" ca="1" si="45"/>
        <v>0</v>
      </c>
      <c r="AB99" s="478">
        <f t="shared" ca="1" si="46"/>
        <v>0</v>
      </c>
      <c r="AC99" s="478">
        <f ca="1">AA99*Données!$F$36</f>
        <v>0</v>
      </c>
      <c r="AD99" s="478">
        <f ca="1">AA99*Données!$F$28</f>
        <v>0</v>
      </c>
      <c r="AE99" s="478">
        <f ca="1">IF(AB99=0,0,IF($E$7="C1",(AB99*$H$10),IF($E$7="C2",-AA99*Données!$G$36*$H$10,0)))</f>
        <v>0</v>
      </c>
      <c r="AF99" s="478">
        <f t="shared" ca="1" si="47"/>
        <v>0</v>
      </c>
      <c r="AG99" s="477">
        <f t="shared" si="64"/>
        <v>79</v>
      </c>
      <c r="AH99" s="478">
        <f t="shared" si="65"/>
        <v>0</v>
      </c>
      <c r="AI99" s="478">
        <f t="shared" si="66"/>
        <v>0</v>
      </c>
      <c r="AJ99" s="493">
        <f t="shared" si="67"/>
        <v>0</v>
      </c>
      <c r="AK99" s="493">
        <f t="shared" ca="1" si="68"/>
        <v>0</v>
      </c>
      <c r="AL99" s="478">
        <f t="shared" ca="1" si="48"/>
        <v>0</v>
      </c>
      <c r="AM99" s="478">
        <f t="shared" ca="1" si="49"/>
        <v>0</v>
      </c>
      <c r="AN99" s="478">
        <f t="shared" si="69"/>
        <v>0</v>
      </c>
      <c r="AO99" s="478">
        <f t="shared" ca="1" si="50"/>
        <v>0</v>
      </c>
      <c r="AP99" s="478">
        <f>AN99*Données!$F$36</f>
        <v>0</v>
      </c>
      <c r="AQ99" s="478">
        <f>AN99*Données!$F$28</f>
        <v>0</v>
      </c>
      <c r="AR99" s="478">
        <f ca="1">IF(AO99=0,0,IF($E$7="C1",(AO99*$H$10),IF($E$7="C2",-AN99*Données!$G$36*$H$10,0)))</f>
        <v>0</v>
      </c>
      <c r="AS99" s="478">
        <f t="shared" ca="1" si="51"/>
        <v>0</v>
      </c>
      <c r="AT99" s="477">
        <f t="shared" si="70"/>
        <v>79</v>
      </c>
      <c r="AU99" s="478">
        <f t="shared" si="71"/>
        <v>0</v>
      </c>
      <c r="AV99" s="478">
        <f t="shared" si="72"/>
        <v>0</v>
      </c>
      <c r="AW99" s="493">
        <f t="shared" si="73"/>
        <v>0</v>
      </c>
      <c r="AX99" s="493">
        <f t="shared" si="74"/>
        <v>0</v>
      </c>
      <c r="AY99" s="478">
        <f t="shared" si="52"/>
        <v>0</v>
      </c>
    </row>
    <row r="100" spans="1:51">
      <c r="A100" s="477">
        <f t="shared" ca="1" si="53"/>
        <v>2106</v>
      </c>
      <c r="B100" s="478">
        <f t="shared" ca="1" si="54"/>
        <v>0</v>
      </c>
      <c r="C100" s="478">
        <f ca="1">IF(OR($C$7=Données!$H$51,$C$7=Données!$H$54,$C$7=Données!$H$55,$C$7=Données!$H$57),0,B100*$C$10)</f>
        <v>0</v>
      </c>
      <c r="D100" s="478">
        <f ca="1">IFERROR(IF($H$5="",B100*'CT à Transf'!$K$28,B100*$H$5),B100*$H$5)</f>
        <v>0</v>
      </c>
      <c r="E100" s="478">
        <f t="shared" ca="1" si="55"/>
        <v>0</v>
      </c>
      <c r="F100" s="478">
        <f t="shared" ca="1" si="38"/>
        <v>0</v>
      </c>
      <c r="G100" s="478">
        <f t="shared" ca="1" si="40"/>
        <v>0</v>
      </c>
      <c r="H100" s="478">
        <f t="shared" ca="1" si="41"/>
        <v>0</v>
      </c>
      <c r="J100" s="476"/>
      <c r="K100" s="477">
        <f t="shared" si="56"/>
        <v>80</v>
      </c>
      <c r="L100" s="478">
        <f t="shared" ca="1" si="39"/>
        <v>0</v>
      </c>
      <c r="M100" s="478">
        <f t="shared" ca="1" si="57"/>
        <v>0</v>
      </c>
      <c r="N100" s="478">
        <f ca="1">IF(OR($C$7=Données!$H$52,$C$7=Données!$H$53),(L100*$N$9)+((M100*$Q$8)*$Q$9),(L100+M100)*$N$8*$N$9)</f>
        <v>0</v>
      </c>
      <c r="O100" s="478">
        <f ca="1">IF(OR($C$7=Données!$H$52,$C$7=Données!$H$53),(L100*$H$10)+(M100*$Q$8*$H$10)-(M100*$Q$8*Données!$G$36*$H$10),((L100+M100)*$N$8*$H$10)-IF($K$8="Rente à titre onéreux imposable sur",(L100+M100)*$N$8*Données!$G$36*$H$10,(L100+M100)*$N$8*Données!$M$41*$H$10))</f>
        <v>0</v>
      </c>
      <c r="P100" s="478">
        <f t="shared" ca="1" si="42"/>
        <v>0</v>
      </c>
      <c r="Q100" s="478">
        <f t="shared" ca="1" si="58"/>
        <v>0</v>
      </c>
      <c r="S100" s="476"/>
      <c r="T100" s="477">
        <f t="shared" si="59"/>
        <v>80</v>
      </c>
      <c r="U100" s="478">
        <f t="shared" ca="1" si="60"/>
        <v>0</v>
      </c>
      <c r="V100" s="478">
        <f t="shared" ca="1" si="43"/>
        <v>0</v>
      </c>
      <c r="W100" s="493">
        <f t="shared" ca="1" si="61"/>
        <v>0</v>
      </c>
      <c r="X100" s="493">
        <f t="shared" ca="1" si="62"/>
        <v>0</v>
      </c>
      <c r="Y100" s="478">
        <f t="shared" ca="1" si="44"/>
        <v>0</v>
      </c>
      <c r="Z100" s="504">
        <f t="shared" ca="1" si="63"/>
        <v>0</v>
      </c>
      <c r="AA100" s="478">
        <f t="shared" ca="1" si="45"/>
        <v>0</v>
      </c>
      <c r="AB100" s="478">
        <f t="shared" ca="1" si="46"/>
        <v>0</v>
      </c>
      <c r="AC100" s="478">
        <f ca="1">AA100*Données!$F$36</f>
        <v>0</v>
      </c>
      <c r="AD100" s="478">
        <f ca="1">AA100*Données!$F$28</f>
        <v>0</v>
      </c>
      <c r="AE100" s="478">
        <f ca="1">IF(AB100=0,0,IF($E$7="C1",(AB100*$H$10),IF($E$7="C2",-AA100*Données!$G$36*$H$10,0)))</f>
        <v>0</v>
      </c>
      <c r="AF100" s="478">
        <f t="shared" ca="1" si="47"/>
        <v>0</v>
      </c>
      <c r="AG100" s="477">
        <f t="shared" si="64"/>
        <v>80</v>
      </c>
      <c r="AH100" s="478">
        <f t="shared" si="65"/>
        <v>0</v>
      </c>
      <c r="AI100" s="478">
        <f t="shared" si="66"/>
        <v>0</v>
      </c>
      <c r="AJ100" s="493">
        <f t="shared" si="67"/>
        <v>0</v>
      </c>
      <c r="AK100" s="493">
        <f t="shared" ca="1" si="68"/>
        <v>0</v>
      </c>
      <c r="AL100" s="478">
        <f t="shared" ca="1" si="48"/>
        <v>0</v>
      </c>
      <c r="AM100" s="478">
        <f t="shared" ca="1" si="49"/>
        <v>0</v>
      </c>
      <c r="AN100" s="478">
        <f t="shared" si="69"/>
        <v>0</v>
      </c>
      <c r="AO100" s="478">
        <f t="shared" ca="1" si="50"/>
        <v>0</v>
      </c>
      <c r="AP100" s="478">
        <f>AN100*Données!$F$36</f>
        <v>0</v>
      </c>
      <c r="AQ100" s="478">
        <f>AN100*Données!$F$28</f>
        <v>0</v>
      </c>
      <c r="AR100" s="478">
        <f ca="1">IF(AO100=0,0,IF($E$7="C1",(AO100*$H$10),IF($E$7="C2",-AN100*Données!$G$36*$H$10,0)))</f>
        <v>0</v>
      </c>
      <c r="AS100" s="478">
        <f t="shared" ca="1" si="51"/>
        <v>0</v>
      </c>
      <c r="AT100" s="477">
        <f t="shared" si="70"/>
        <v>80</v>
      </c>
      <c r="AU100" s="478">
        <f t="shared" si="71"/>
        <v>0</v>
      </c>
      <c r="AV100" s="478">
        <f t="shared" si="72"/>
        <v>0</v>
      </c>
      <c r="AW100" s="493">
        <f t="shared" si="73"/>
        <v>0</v>
      </c>
      <c r="AX100" s="493">
        <f t="shared" si="74"/>
        <v>0</v>
      </c>
      <c r="AY100" s="478">
        <f t="shared" si="52"/>
        <v>0</v>
      </c>
    </row>
    <row r="101" spans="1:51">
      <c r="A101" s="477">
        <f t="shared" ca="1" si="53"/>
        <v>2107</v>
      </c>
      <c r="B101" s="478">
        <f t="shared" ca="1" si="54"/>
        <v>0</v>
      </c>
      <c r="C101" s="478">
        <f ca="1">IF(OR($C$7=Données!$H$51,$C$7=Données!$H$54,$C$7=Données!$H$55,$C$7=Données!$H$57),0,B101*$C$10)</f>
        <v>0</v>
      </c>
      <c r="D101" s="478">
        <f ca="1">IFERROR(IF($H$5="",B101*'CT à Transf'!$K$28,B101*$H$5),B101*$H$5)</f>
        <v>0</v>
      </c>
      <c r="E101" s="478">
        <f t="shared" ca="1" si="55"/>
        <v>0</v>
      </c>
      <c r="F101" s="478">
        <f t="shared" ca="1" si="38"/>
        <v>0</v>
      </c>
      <c r="G101" s="478">
        <f t="shared" ca="1" si="40"/>
        <v>0</v>
      </c>
      <c r="H101" s="478">
        <f t="shared" ca="1" si="41"/>
        <v>0</v>
      </c>
      <c r="J101" s="476"/>
      <c r="K101" s="477">
        <f t="shared" si="56"/>
        <v>81</v>
      </c>
      <c r="L101" s="478">
        <f t="shared" ca="1" si="39"/>
        <v>0</v>
      </c>
      <c r="M101" s="478">
        <f t="shared" ca="1" si="57"/>
        <v>0</v>
      </c>
      <c r="N101" s="478">
        <f ca="1">IF(OR($C$7=Données!$H$52,$C$7=Données!$H$53),(L101*$N$9)+((M101*$Q$8)*$Q$9),(L101+M101)*$N$8*$N$9)</f>
        <v>0</v>
      </c>
      <c r="O101" s="478">
        <f ca="1">IF(OR($C$7=Données!$H$52,$C$7=Données!$H$53),(L101*$H$10)+(M101*$Q$8*$H$10)-(M101*$Q$8*Données!$G$36*$H$10),((L101+M101)*$N$8*$H$10)-IF($K$8="Rente à titre onéreux imposable sur",(L101+M101)*$N$8*Données!$G$36*$H$10,(L101+M101)*$N$8*Données!$M$41*$H$10))</f>
        <v>0</v>
      </c>
      <c r="P101" s="478">
        <f t="shared" ca="1" si="42"/>
        <v>0</v>
      </c>
      <c r="Q101" s="478">
        <f t="shared" ca="1" si="58"/>
        <v>0</v>
      </c>
      <c r="S101" s="476"/>
      <c r="T101" s="477">
        <f t="shared" si="59"/>
        <v>81</v>
      </c>
      <c r="U101" s="478">
        <f t="shared" ca="1" si="60"/>
        <v>0</v>
      </c>
      <c r="V101" s="478">
        <f t="shared" ca="1" si="43"/>
        <v>0</v>
      </c>
      <c r="W101" s="493">
        <f t="shared" ca="1" si="61"/>
        <v>0</v>
      </c>
      <c r="X101" s="493">
        <f t="shared" ca="1" si="62"/>
        <v>0</v>
      </c>
      <c r="Y101" s="478">
        <f t="shared" ca="1" si="44"/>
        <v>0</v>
      </c>
      <c r="Z101" s="504">
        <f t="shared" ca="1" si="63"/>
        <v>0</v>
      </c>
      <c r="AA101" s="478">
        <f t="shared" ca="1" si="45"/>
        <v>0</v>
      </c>
      <c r="AB101" s="478">
        <f t="shared" ca="1" si="46"/>
        <v>0</v>
      </c>
      <c r="AC101" s="478">
        <f ca="1">AA101*Données!$F$36</f>
        <v>0</v>
      </c>
      <c r="AD101" s="478">
        <f ca="1">AA101*Données!$F$28</f>
        <v>0</v>
      </c>
      <c r="AE101" s="478">
        <f ca="1">IF(AB101=0,0,IF($E$7="C1",(AB101*$H$10),IF($E$7="C2",-AA101*Données!$G$36*$H$10,0)))</f>
        <v>0</v>
      </c>
      <c r="AF101" s="478">
        <f t="shared" ca="1" si="47"/>
        <v>0</v>
      </c>
      <c r="AG101" s="477">
        <f t="shared" si="64"/>
        <v>81</v>
      </c>
      <c r="AH101" s="478">
        <f t="shared" si="65"/>
        <v>0</v>
      </c>
      <c r="AI101" s="478">
        <f t="shared" si="66"/>
        <v>0</v>
      </c>
      <c r="AJ101" s="493">
        <f t="shared" si="67"/>
        <v>0</v>
      </c>
      <c r="AK101" s="493">
        <f t="shared" ca="1" si="68"/>
        <v>0</v>
      </c>
      <c r="AL101" s="478">
        <f t="shared" ca="1" si="48"/>
        <v>0</v>
      </c>
      <c r="AM101" s="478">
        <f t="shared" ca="1" si="49"/>
        <v>0</v>
      </c>
      <c r="AN101" s="478">
        <f t="shared" si="69"/>
        <v>0</v>
      </c>
      <c r="AO101" s="478">
        <f t="shared" ca="1" si="50"/>
        <v>0</v>
      </c>
      <c r="AP101" s="478">
        <f>AN101*Données!$F$36</f>
        <v>0</v>
      </c>
      <c r="AQ101" s="478">
        <f>AN101*Données!$F$28</f>
        <v>0</v>
      </c>
      <c r="AR101" s="478">
        <f ca="1">IF(AO101=0,0,IF($E$7="C1",(AO101*$H$10),IF($E$7="C2",-AN101*Données!$G$36*$H$10,0)))</f>
        <v>0</v>
      </c>
      <c r="AS101" s="478">
        <f t="shared" ca="1" si="51"/>
        <v>0</v>
      </c>
      <c r="AT101" s="477">
        <f t="shared" si="70"/>
        <v>81</v>
      </c>
      <c r="AU101" s="478">
        <f t="shared" si="71"/>
        <v>0</v>
      </c>
      <c r="AV101" s="478">
        <f t="shared" si="72"/>
        <v>0</v>
      </c>
      <c r="AW101" s="493">
        <f t="shared" si="73"/>
        <v>0</v>
      </c>
      <c r="AX101" s="493">
        <f t="shared" si="74"/>
        <v>0</v>
      </c>
      <c r="AY101" s="478">
        <f t="shared" si="52"/>
        <v>0</v>
      </c>
    </row>
    <row r="102" spans="1:51">
      <c r="A102" s="477">
        <f t="shared" ca="1" si="53"/>
        <v>2108</v>
      </c>
      <c r="B102" s="478">
        <f t="shared" ca="1" si="54"/>
        <v>0</v>
      </c>
      <c r="C102" s="478">
        <f ca="1">IF(OR($C$7=Données!$H$51,$C$7=Données!$H$54,$C$7=Données!$H$55,$C$7=Données!$H$57),0,B102*$C$10)</f>
        <v>0</v>
      </c>
      <c r="D102" s="478">
        <f ca="1">IFERROR(IF($H$5="",B102*'CT à Transf'!$K$28,B102*$H$5),B102*$H$5)</f>
        <v>0</v>
      </c>
      <c r="E102" s="478">
        <f t="shared" ca="1" si="55"/>
        <v>0</v>
      </c>
      <c r="F102" s="478">
        <f t="shared" ca="1" si="38"/>
        <v>0</v>
      </c>
      <c r="G102" s="478">
        <f t="shared" ca="1" si="40"/>
        <v>0</v>
      </c>
      <c r="H102" s="478">
        <f t="shared" ca="1" si="41"/>
        <v>0</v>
      </c>
      <c r="J102" s="476"/>
      <c r="K102" s="477">
        <f t="shared" si="56"/>
        <v>82</v>
      </c>
      <c r="L102" s="478">
        <f t="shared" ca="1" si="39"/>
        <v>0</v>
      </c>
      <c r="M102" s="478">
        <f t="shared" ca="1" si="57"/>
        <v>0</v>
      </c>
      <c r="N102" s="478">
        <f ca="1">IF(OR($C$7=Données!$H$52,$C$7=Données!$H$53),(L102*$N$9)+((M102*$Q$8)*$Q$9),(L102+M102)*$N$8*$N$9)</f>
        <v>0</v>
      </c>
      <c r="O102" s="478">
        <f ca="1">IF(OR($C$7=Données!$H$52,$C$7=Données!$H$53),(L102*$H$10)+(M102*$Q$8*$H$10)-(M102*$Q$8*Données!$G$36*$H$10),((L102+M102)*$N$8*$H$10)-IF($K$8="Rente à titre onéreux imposable sur",(L102+M102)*$N$8*Données!$G$36*$H$10,(L102+M102)*$N$8*Données!$M$41*$H$10))</f>
        <v>0</v>
      </c>
      <c r="P102" s="478">
        <f t="shared" ca="1" si="42"/>
        <v>0</v>
      </c>
      <c r="Q102" s="478">
        <f t="shared" ca="1" si="58"/>
        <v>0</v>
      </c>
      <c r="S102" s="476"/>
      <c r="T102" s="477">
        <f t="shared" si="59"/>
        <v>82</v>
      </c>
      <c r="U102" s="478">
        <f t="shared" ca="1" si="60"/>
        <v>0</v>
      </c>
      <c r="V102" s="478">
        <f t="shared" ca="1" si="43"/>
        <v>0</v>
      </c>
      <c r="W102" s="493">
        <f t="shared" ca="1" si="61"/>
        <v>0</v>
      </c>
      <c r="X102" s="493">
        <f t="shared" ca="1" si="62"/>
        <v>0</v>
      </c>
      <c r="Y102" s="478">
        <f t="shared" ca="1" si="44"/>
        <v>0</v>
      </c>
      <c r="Z102" s="504">
        <f t="shared" ca="1" si="63"/>
        <v>0</v>
      </c>
      <c r="AA102" s="478">
        <f t="shared" ca="1" si="45"/>
        <v>0</v>
      </c>
      <c r="AB102" s="478">
        <f t="shared" ca="1" si="46"/>
        <v>0</v>
      </c>
      <c r="AC102" s="478">
        <f ca="1">AA102*Données!$F$36</f>
        <v>0</v>
      </c>
      <c r="AD102" s="478">
        <f ca="1">AA102*Données!$F$28</f>
        <v>0</v>
      </c>
      <c r="AE102" s="478">
        <f ca="1">IF(AB102=0,0,IF($E$7="C1",(AB102*$H$10),IF($E$7="C2",-AA102*Données!$G$36*$H$10,0)))</f>
        <v>0</v>
      </c>
      <c r="AF102" s="478">
        <f t="shared" ca="1" si="47"/>
        <v>0</v>
      </c>
      <c r="AG102" s="477">
        <f t="shared" si="64"/>
        <v>82</v>
      </c>
      <c r="AH102" s="478">
        <f t="shared" si="65"/>
        <v>0</v>
      </c>
      <c r="AI102" s="478">
        <f t="shared" si="66"/>
        <v>0</v>
      </c>
      <c r="AJ102" s="493">
        <f t="shared" si="67"/>
        <v>0</v>
      </c>
      <c r="AK102" s="493">
        <f t="shared" ca="1" si="68"/>
        <v>0</v>
      </c>
      <c r="AL102" s="478">
        <f t="shared" ca="1" si="48"/>
        <v>0</v>
      </c>
      <c r="AM102" s="478">
        <f t="shared" ca="1" si="49"/>
        <v>0</v>
      </c>
      <c r="AN102" s="478">
        <f t="shared" si="69"/>
        <v>0</v>
      </c>
      <c r="AO102" s="478">
        <f t="shared" ca="1" si="50"/>
        <v>0</v>
      </c>
      <c r="AP102" s="478">
        <f>AN102*Données!$F$36</f>
        <v>0</v>
      </c>
      <c r="AQ102" s="478">
        <f>AN102*Données!$F$28</f>
        <v>0</v>
      </c>
      <c r="AR102" s="478">
        <f ca="1">IF(AO102=0,0,IF($E$7="C1",(AO102*$H$10),IF($E$7="C2",-AN102*Données!$G$36*$H$10,0)))</f>
        <v>0</v>
      </c>
      <c r="AS102" s="478">
        <f t="shared" ca="1" si="51"/>
        <v>0</v>
      </c>
      <c r="AT102" s="477">
        <f t="shared" si="70"/>
        <v>82</v>
      </c>
      <c r="AU102" s="478">
        <f t="shared" si="71"/>
        <v>0</v>
      </c>
      <c r="AV102" s="478">
        <f t="shared" si="72"/>
        <v>0</v>
      </c>
      <c r="AW102" s="493">
        <f t="shared" si="73"/>
        <v>0</v>
      </c>
      <c r="AX102" s="493">
        <f t="shared" si="74"/>
        <v>0</v>
      </c>
      <c r="AY102" s="478">
        <f t="shared" si="52"/>
        <v>0</v>
      </c>
    </row>
    <row r="103" spans="1:51">
      <c r="A103" s="477">
        <f t="shared" ca="1" si="53"/>
        <v>2109</v>
      </c>
      <c r="B103" s="478">
        <f t="shared" ca="1" si="54"/>
        <v>0</v>
      </c>
      <c r="C103" s="478">
        <f ca="1">IF(OR($C$7=Données!$H$51,$C$7=Données!$H$54,$C$7=Données!$H$55,$C$7=Données!$H$57),0,B103*$C$10)</f>
        <v>0</v>
      </c>
      <c r="D103" s="478">
        <f ca="1">IFERROR(IF($H$5="",B103*'CT à Transf'!$K$28,B103*$H$5),B103*$H$5)</f>
        <v>0</v>
      </c>
      <c r="E103" s="478">
        <f t="shared" ca="1" si="55"/>
        <v>0</v>
      </c>
      <c r="F103" s="478">
        <f t="shared" ca="1" si="38"/>
        <v>0</v>
      </c>
      <c r="G103" s="478">
        <f t="shared" ca="1" si="40"/>
        <v>0</v>
      </c>
      <c r="H103" s="478">
        <f t="shared" ca="1" si="41"/>
        <v>0</v>
      </c>
      <c r="J103" s="476"/>
      <c r="K103" s="477">
        <f t="shared" si="56"/>
        <v>83</v>
      </c>
      <c r="L103" s="478">
        <f t="shared" ca="1" si="39"/>
        <v>0</v>
      </c>
      <c r="M103" s="478">
        <f t="shared" ca="1" si="57"/>
        <v>0</v>
      </c>
      <c r="N103" s="478">
        <f ca="1">IF(OR($C$7=Données!$H$52,$C$7=Données!$H$53),(L103*$N$9)+((M103*$Q$8)*$Q$9),(L103+M103)*$N$8*$N$9)</f>
        <v>0</v>
      </c>
      <c r="O103" s="478">
        <f ca="1">IF(OR($C$7=Données!$H$52,$C$7=Données!$H$53),(L103*$H$10)+(M103*$Q$8*$H$10)-(M103*$Q$8*Données!$G$36*$H$10),((L103+M103)*$N$8*$H$10)-IF($K$8="Rente à titre onéreux imposable sur",(L103+M103)*$N$8*Données!$G$36*$H$10,(L103+M103)*$N$8*Données!$M$41*$H$10))</f>
        <v>0</v>
      </c>
      <c r="P103" s="478">
        <f t="shared" ca="1" si="42"/>
        <v>0</v>
      </c>
      <c r="Q103" s="478">
        <f t="shared" ca="1" si="58"/>
        <v>0</v>
      </c>
      <c r="S103" s="476"/>
      <c r="T103" s="477">
        <f t="shared" si="59"/>
        <v>83</v>
      </c>
      <c r="U103" s="478">
        <f t="shared" ca="1" si="60"/>
        <v>0</v>
      </c>
      <c r="V103" s="478">
        <f t="shared" ca="1" si="43"/>
        <v>0</v>
      </c>
      <c r="W103" s="493">
        <f t="shared" ca="1" si="61"/>
        <v>0</v>
      </c>
      <c r="X103" s="493">
        <f t="shared" ca="1" si="62"/>
        <v>0</v>
      </c>
      <c r="Y103" s="478">
        <f t="shared" ca="1" si="44"/>
        <v>0</v>
      </c>
      <c r="Z103" s="504">
        <f t="shared" ca="1" si="63"/>
        <v>0</v>
      </c>
      <c r="AA103" s="478">
        <f t="shared" ca="1" si="45"/>
        <v>0</v>
      </c>
      <c r="AB103" s="478">
        <f t="shared" ca="1" si="46"/>
        <v>0</v>
      </c>
      <c r="AC103" s="478">
        <f ca="1">AA103*Données!$F$36</f>
        <v>0</v>
      </c>
      <c r="AD103" s="478">
        <f ca="1">AA103*Données!$F$28</f>
        <v>0</v>
      </c>
      <c r="AE103" s="478">
        <f ca="1">IF(AB103=0,0,IF($E$7="C1",(AB103*$H$10),IF($E$7="C2",-AA103*Données!$G$36*$H$10,0)))</f>
        <v>0</v>
      </c>
      <c r="AF103" s="478">
        <f t="shared" ca="1" si="47"/>
        <v>0</v>
      </c>
      <c r="AG103" s="477">
        <f t="shared" si="64"/>
        <v>83</v>
      </c>
      <c r="AH103" s="478">
        <f t="shared" si="65"/>
        <v>0</v>
      </c>
      <c r="AI103" s="478">
        <f t="shared" si="66"/>
        <v>0</v>
      </c>
      <c r="AJ103" s="493">
        <f t="shared" si="67"/>
        <v>0</v>
      </c>
      <c r="AK103" s="493">
        <f t="shared" ca="1" si="68"/>
        <v>0</v>
      </c>
      <c r="AL103" s="478">
        <f t="shared" ca="1" si="48"/>
        <v>0</v>
      </c>
      <c r="AM103" s="478">
        <f t="shared" ca="1" si="49"/>
        <v>0</v>
      </c>
      <c r="AN103" s="478">
        <f t="shared" si="69"/>
        <v>0</v>
      </c>
      <c r="AO103" s="478">
        <f t="shared" ca="1" si="50"/>
        <v>0</v>
      </c>
      <c r="AP103" s="478">
        <f>AN103*Données!$F$36</f>
        <v>0</v>
      </c>
      <c r="AQ103" s="478">
        <f>AN103*Données!$F$28</f>
        <v>0</v>
      </c>
      <c r="AR103" s="478">
        <f ca="1">IF(AO103=0,0,IF($E$7="C1",(AO103*$H$10),IF($E$7="C2",-AN103*Données!$G$36*$H$10,0)))</f>
        <v>0</v>
      </c>
      <c r="AS103" s="478">
        <f t="shared" ca="1" si="51"/>
        <v>0</v>
      </c>
      <c r="AT103" s="477">
        <f t="shared" si="70"/>
        <v>83</v>
      </c>
      <c r="AU103" s="478">
        <f t="shared" si="71"/>
        <v>0</v>
      </c>
      <c r="AV103" s="478">
        <f t="shared" si="72"/>
        <v>0</v>
      </c>
      <c r="AW103" s="493">
        <f t="shared" si="73"/>
        <v>0</v>
      </c>
      <c r="AX103" s="493">
        <f t="shared" si="74"/>
        <v>0</v>
      </c>
      <c r="AY103" s="478">
        <f t="shared" si="52"/>
        <v>0</v>
      </c>
    </row>
    <row r="104" spans="1:51">
      <c r="A104" s="477">
        <f t="shared" ca="1" si="53"/>
        <v>2110</v>
      </c>
      <c r="B104" s="478">
        <f t="shared" ca="1" si="54"/>
        <v>0</v>
      </c>
      <c r="C104" s="478">
        <f ca="1">IF(OR($C$7=Données!$H$51,$C$7=Données!$H$54,$C$7=Données!$H$55,$C$7=Données!$H$57),0,B104*$C$10)</f>
        <v>0</v>
      </c>
      <c r="D104" s="478">
        <f ca="1">IFERROR(IF($H$5="",B104*'CT à Transf'!$K$28,B104*$H$5),B104*$H$5)</f>
        <v>0</v>
      </c>
      <c r="E104" s="478">
        <f t="shared" ca="1" si="55"/>
        <v>0</v>
      </c>
      <c r="F104" s="478">
        <f t="shared" ca="1" si="38"/>
        <v>0</v>
      </c>
      <c r="G104" s="478">
        <f t="shared" ca="1" si="40"/>
        <v>0</v>
      </c>
      <c r="H104" s="478">
        <f t="shared" ca="1" si="41"/>
        <v>0</v>
      </c>
      <c r="J104" s="476"/>
      <c r="K104" s="477">
        <f t="shared" si="56"/>
        <v>84</v>
      </c>
      <c r="L104" s="478">
        <f t="shared" ca="1" si="39"/>
        <v>0</v>
      </c>
      <c r="M104" s="478">
        <f t="shared" ca="1" si="57"/>
        <v>0</v>
      </c>
      <c r="N104" s="478">
        <f ca="1">IF(OR($C$7=Données!$H$52,$C$7=Données!$H$53),(L104*$N$9)+((M104*$Q$8)*$Q$9),(L104+M104)*$N$8*$N$9)</f>
        <v>0</v>
      </c>
      <c r="O104" s="478">
        <f ca="1">IF(OR($C$7=Données!$H$52,$C$7=Données!$H$53),(L104*$H$10)+(M104*$Q$8*$H$10)-(M104*$Q$8*Données!$G$36*$H$10),((L104+M104)*$N$8*$H$10)-IF($K$8="Rente à titre onéreux imposable sur",(L104+M104)*$N$8*Données!$G$36*$H$10,(L104+M104)*$N$8*Données!$M$41*$H$10))</f>
        <v>0</v>
      </c>
      <c r="P104" s="478">
        <f t="shared" ca="1" si="42"/>
        <v>0</v>
      </c>
      <c r="Q104" s="478">
        <f t="shared" ca="1" si="58"/>
        <v>0</v>
      </c>
      <c r="S104" s="476"/>
      <c r="T104" s="477">
        <f t="shared" si="59"/>
        <v>84</v>
      </c>
      <c r="U104" s="478">
        <f t="shared" ca="1" si="60"/>
        <v>0</v>
      </c>
      <c r="V104" s="478">
        <f t="shared" ca="1" si="43"/>
        <v>0</v>
      </c>
      <c r="W104" s="493">
        <f t="shared" ca="1" si="61"/>
        <v>0</v>
      </c>
      <c r="X104" s="493">
        <f t="shared" ca="1" si="62"/>
        <v>0</v>
      </c>
      <c r="Y104" s="478">
        <f t="shared" ca="1" si="44"/>
        <v>0</v>
      </c>
      <c r="Z104" s="504">
        <f t="shared" ca="1" si="63"/>
        <v>0</v>
      </c>
      <c r="AA104" s="478">
        <f t="shared" ca="1" si="45"/>
        <v>0</v>
      </c>
      <c r="AB104" s="478">
        <f t="shared" ca="1" si="46"/>
        <v>0</v>
      </c>
      <c r="AC104" s="478">
        <f ca="1">AA104*Données!$F$36</f>
        <v>0</v>
      </c>
      <c r="AD104" s="478">
        <f ca="1">AA104*Données!$F$28</f>
        <v>0</v>
      </c>
      <c r="AE104" s="478">
        <f ca="1">IF(AB104=0,0,IF($E$7="C1",(AB104*$H$10),IF($E$7="C2",-AA104*Données!$G$36*$H$10,0)))</f>
        <v>0</v>
      </c>
      <c r="AF104" s="478">
        <f t="shared" ca="1" si="47"/>
        <v>0</v>
      </c>
      <c r="AG104" s="477">
        <f t="shared" si="64"/>
        <v>84</v>
      </c>
      <c r="AH104" s="478">
        <f t="shared" si="65"/>
        <v>0</v>
      </c>
      <c r="AI104" s="478">
        <f t="shared" si="66"/>
        <v>0</v>
      </c>
      <c r="AJ104" s="493">
        <f t="shared" si="67"/>
        <v>0</v>
      </c>
      <c r="AK104" s="493">
        <f t="shared" ca="1" si="68"/>
        <v>0</v>
      </c>
      <c r="AL104" s="478">
        <f t="shared" ca="1" si="48"/>
        <v>0</v>
      </c>
      <c r="AM104" s="478">
        <f t="shared" ca="1" si="49"/>
        <v>0</v>
      </c>
      <c r="AN104" s="478">
        <f t="shared" si="69"/>
        <v>0</v>
      </c>
      <c r="AO104" s="478">
        <f t="shared" ca="1" si="50"/>
        <v>0</v>
      </c>
      <c r="AP104" s="478">
        <f>AN104*Données!$F$36</f>
        <v>0</v>
      </c>
      <c r="AQ104" s="478">
        <f>AN104*Données!$F$28</f>
        <v>0</v>
      </c>
      <c r="AR104" s="478">
        <f ca="1">IF(AO104=0,0,IF($E$7="C1",(AO104*$H$10),IF($E$7="C2",-AN104*Données!$G$36*$H$10,0)))</f>
        <v>0</v>
      </c>
      <c r="AS104" s="478">
        <f t="shared" ca="1" si="51"/>
        <v>0</v>
      </c>
      <c r="AT104" s="477">
        <f t="shared" si="70"/>
        <v>84</v>
      </c>
      <c r="AU104" s="478">
        <f t="shared" si="71"/>
        <v>0</v>
      </c>
      <c r="AV104" s="478">
        <f t="shared" si="72"/>
        <v>0</v>
      </c>
      <c r="AW104" s="493">
        <f t="shared" si="73"/>
        <v>0</v>
      </c>
      <c r="AX104" s="493">
        <f t="shared" si="74"/>
        <v>0</v>
      </c>
      <c r="AY104" s="478">
        <f t="shared" si="52"/>
        <v>0</v>
      </c>
    </row>
    <row r="105" spans="1:51">
      <c r="A105" s="477">
        <f t="shared" ca="1" si="53"/>
        <v>2111</v>
      </c>
      <c r="B105" s="478">
        <f t="shared" ca="1" si="54"/>
        <v>0</v>
      </c>
      <c r="C105" s="478">
        <f ca="1">IF(OR($C$7=Données!$H$51,$C$7=Données!$H$54,$C$7=Données!$H$55,$C$7=Données!$H$57),0,B105*$C$10)</f>
        <v>0</v>
      </c>
      <c r="D105" s="478">
        <f ca="1">IFERROR(IF($H$5="",B105*'CT à Transf'!$K$28,B105*$H$5),B105*$H$5)</f>
        <v>0</v>
      </c>
      <c r="E105" s="478">
        <f t="shared" ca="1" si="55"/>
        <v>0</v>
      </c>
      <c r="F105" s="478">
        <f t="shared" ca="1" si="38"/>
        <v>0</v>
      </c>
      <c r="G105" s="478">
        <f t="shared" ca="1" si="40"/>
        <v>0</v>
      </c>
      <c r="H105" s="478">
        <f t="shared" ca="1" si="41"/>
        <v>0</v>
      </c>
      <c r="J105" s="476"/>
      <c r="K105" s="477">
        <f t="shared" si="56"/>
        <v>85</v>
      </c>
      <c r="L105" s="478">
        <f t="shared" ca="1" si="39"/>
        <v>0</v>
      </c>
      <c r="M105" s="478">
        <f t="shared" ca="1" si="57"/>
        <v>0</v>
      </c>
      <c r="N105" s="478">
        <f ca="1">IF(OR($C$7=Données!$H$52,$C$7=Données!$H$53),(L105*$N$9)+((M105*$Q$8)*$Q$9),(L105+M105)*$N$8*$N$9)</f>
        <v>0</v>
      </c>
      <c r="O105" s="478">
        <f ca="1">IF(OR($C$7=Données!$H$52,$C$7=Données!$H$53),(L105*$H$10)+(M105*$Q$8*$H$10)-(M105*$Q$8*Données!$G$36*$H$10),((L105+M105)*$N$8*$H$10)-IF($K$8="Rente à titre onéreux imposable sur",(L105+M105)*$N$8*Données!$G$36*$H$10,(L105+M105)*$N$8*Données!$M$41*$H$10))</f>
        <v>0</v>
      </c>
      <c r="P105" s="478">
        <f t="shared" ca="1" si="42"/>
        <v>0</v>
      </c>
      <c r="Q105" s="478">
        <f t="shared" ca="1" si="58"/>
        <v>0</v>
      </c>
      <c r="S105" s="476"/>
      <c r="T105" s="477">
        <f t="shared" si="59"/>
        <v>85</v>
      </c>
      <c r="U105" s="478">
        <f t="shared" ca="1" si="60"/>
        <v>0</v>
      </c>
      <c r="V105" s="478">
        <f t="shared" ca="1" si="43"/>
        <v>0</v>
      </c>
      <c r="W105" s="493">
        <f t="shared" ca="1" si="61"/>
        <v>0</v>
      </c>
      <c r="X105" s="493">
        <f t="shared" ca="1" si="62"/>
        <v>0</v>
      </c>
      <c r="Y105" s="478">
        <f t="shared" ca="1" si="44"/>
        <v>0</v>
      </c>
      <c r="Z105" s="504">
        <f t="shared" ca="1" si="63"/>
        <v>0</v>
      </c>
      <c r="AA105" s="478">
        <f t="shared" ca="1" si="45"/>
        <v>0</v>
      </c>
      <c r="AB105" s="478">
        <f t="shared" ca="1" si="46"/>
        <v>0</v>
      </c>
      <c r="AC105" s="478">
        <f ca="1">AA105*Données!$F$36</f>
        <v>0</v>
      </c>
      <c r="AD105" s="478">
        <f ca="1">AA105*Données!$F$28</f>
        <v>0</v>
      </c>
      <c r="AE105" s="478">
        <f ca="1">IF(AB105=0,0,IF($E$7="C1",(AB105*$H$10),IF($E$7="C2",-AA105*Données!$G$36*$H$10,0)))</f>
        <v>0</v>
      </c>
      <c r="AF105" s="478">
        <f t="shared" ca="1" si="47"/>
        <v>0</v>
      </c>
      <c r="AG105" s="477">
        <f t="shared" si="64"/>
        <v>85</v>
      </c>
      <c r="AH105" s="478">
        <f t="shared" si="65"/>
        <v>0</v>
      </c>
      <c r="AI105" s="478">
        <f t="shared" si="66"/>
        <v>0</v>
      </c>
      <c r="AJ105" s="493">
        <f t="shared" si="67"/>
        <v>0</v>
      </c>
      <c r="AK105" s="493">
        <f t="shared" ca="1" si="68"/>
        <v>0</v>
      </c>
      <c r="AL105" s="478">
        <f t="shared" ca="1" si="48"/>
        <v>0</v>
      </c>
      <c r="AM105" s="478">
        <f t="shared" ca="1" si="49"/>
        <v>0</v>
      </c>
      <c r="AN105" s="478">
        <f t="shared" si="69"/>
        <v>0</v>
      </c>
      <c r="AO105" s="478">
        <f t="shared" ca="1" si="50"/>
        <v>0</v>
      </c>
      <c r="AP105" s="478">
        <f>AN105*Données!$F$36</f>
        <v>0</v>
      </c>
      <c r="AQ105" s="478">
        <f>AN105*Données!$F$28</f>
        <v>0</v>
      </c>
      <c r="AR105" s="478">
        <f ca="1">IF(AO105=0,0,IF($E$7="C1",(AO105*$H$10),IF($E$7="C2",-AN105*Données!$G$36*$H$10,0)))</f>
        <v>0</v>
      </c>
      <c r="AS105" s="478">
        <f t="shared" ca="1" si="51"/>
        <v>0</v>
      </c>
      <c r="AT105" s="477">
        <f t="shared" si="70"/>
        <v>85</v>
      </c>
      <c r="AU105" s="478">
        <f t="shared" si="71"/>
        <v>0</v>
      </c>
      <c r="AV105" s="478">
        <f t="shared" si="72"/>
        <v>0</v>
      </c>
      <c r="AW105" s="493">
        <f t="shared" si="73"/>
        <v>0</v>
      </c>
      <c r="AX105" s="493">
        <f t="shared" si="74"/>
        <v>0</v>
      </c>
      <c r="AY105" s="478">
        <f t="shared" si="52"/>
        <v>0</v>
      </c>
    </row>
    <row r="106" spans="1:51">
      <c r="A106" s="477">
        <f t="shared" ca="1" si="53"/>
        <v>2112</v>
      </c>
      <c r="B106" s="478">
        <f t="shared" ca="1" si="54"/>
        <v>0</v>
      </c>
      <c r="C106" s="478">
        <f ca="1">IF(OR($C$7=Données!$H$51,$C$7=Données!$H$54,$C$7=Données!$H$55,$C$7=Données!$H$57),0,B106*$C$10)</f>
        <v>0</v>
      </c>
      <c r="D106" s="478">
        <f ca="1">IFERROR(IF($H$5="",B106*'CT à Transf'!$K$28,B106*$H$5),B106*$H$5)</f>
        <v>0</v>
      </c>
      <c r="E106" s="478">
        <f t="shared" ca="1" si="55"/>
        <v>0</v>
      </c>
      <c r="F106" s="478">
        <f t="shared" ca="1" si="38"/>
        <v>0</v>
      </c>
      <c r="G106" s="478">
        <f t="shared" ca="1" si="40"/>
        <v>0</v>
      </c>
      <c r="H106" s="478">
        <f t="shared" ca="1" si="41"/>
        <v>0</v>
      </c>
      <c r="J106" s="476"/>
      <c r="K106" s="477">
        <f t="shared" si="56"/>
        <v>86</v>
      </c>
      <c r="L106" s="478">
        <f t="shared" ca="1" si="39"/>
        <v>0</v>
      </c>
      <c r="M106" s="478">
        <f t="shared" ca="1" si="57"/>
        <v>0</v>
      </c>
      <c r="N106" s="478">
        <f ca="1">IF(OR($C$7=Données!$H$52,$C$7=Données!$H$53),(L106*$N$9)+((M106*$Q$8)*$Q$9),(L106+M106)*$N$8*$N$9)</f>
        <v>0</v>
      </c>
      <c r="O106" s="478">
        <f ca="1">IF(OR($C$7=Données!$H$52,$C$7=Données!$H$53),(L106*$H$10)+(M106*$Q$8*$H$10)-(M106*$Q$8*Données!$G$36*$H$10),((L106+M106)*$N$8*$H$10)-IF($K$8="Rente à titre onéreux imposable sur",(L106+M106)*$N$8*Données!$G$36*$H$10,(L106+M106)*$N$8*Données!$M$41*$H$10))</f>
        <v>0</v>
      </c>
      <c r="P106" s="478">
        <f t="shared" ca="1" si="42"/>
        <v>0</v>
      </c>
      <c r="Q106" s="478">
        <f t="shared" ca="1" si="58"/>
        <v>0</v>
      </c>
      <c r="S106" s="476"/>
      <c r="T106" s="477">
        <f t="shared" si="59"/>
        <v>86</v>
      </c>
      <c r="U106" s="478">
        <f t="shared" ca="1" si="60"/>
        <v>0</v>
      </c>
      <c r="V106" s="478">
        <f t="shared" ca="1" si="43"/>
        <v>0</v>
      </c>
      <c r="W106" s="493">
        <f t="shared" ca="1" si="61"/>
        <v>0</v>
      </c>
      <c r="X106" s="493">
        <f t="shared" ca="1" si="62"/>
        <v>0</v>
      </c>
      <c r="Y106" s="478">
        <f t="shared" ca="1" si="44"/>
        <v>0</v>
      </c>
      <c r="Z106" s="504">
        <f t="shared" ca="1" si="63"/>
        <v>0</v>
      </c>
      <c r="AA106" s="478">
        <f t="shared" ca="1" si="45"/>
        <v>0</v>
      </c>
      <c r="AB106" s="478">
        <f t="shared" ca="1" si="46"/>
        <v>0</v>
      </c>
      <c r="AC106" s="478">
        <f ca="1">AA106*Données!$F$36</f>
        <v>0</v>
      </c>
      <c r="AD106" s="478">
        <f ca="1">AA106*Données!$F$28</f>
        <v>0</v>
      </c>
      <c r="AE106" s="478">
        <f ca="1">IF(AB106=0,0,IF($E$7="C1",(AB106*$H$10),IF($E$7="C2",-AA106*Données!$G$36*$H$10,0)))</f>
        <v>0</v>
      </c>
      <c r="AF106" s="478">
        <f t="shared" ca="1" si="47"/>
        <v>0</v>
      </c>
      <c r="AG106" s="477">
        <f t="shared" si="64"/>
        <v>86</v>
      </c>
      <c r="AH106" s="478">
        <f t="shared" si="65"/>
        <v>0</v>
      </c>
      <c r="AI106" s="478">
        <f t="shared" si="66"/>
        <v>0</v>
      </c>
      <c r="AJ106" s="493">
        <f t="shared" si="67"/>
        <v>0</v>
      </c>
      <c r="AK106" s="493">
        <f t="shared" ca="1" si="68"/>
        <v>0</v>
      </c>
      <c r="AL106" s="478">
        <f t="shared" ca="1" si="48"/>
        <v>0</v>
      </c>
      <c r="AM106" s="478">
        <f t="shared" ca="1" si="49"/>
        <v>0</v>
      </c>
      <c r="AN106" s="478">
        <f t="shared" si="69"/>
        <v>0</v>
      </c>
      <c r="AO106" s="478">
        <f t="shared" ca="1" si="50"/>
        <v>0</v>
      </c>
      <c r="AP106" s="478">
        <f>AN106*Données!$F$36</f>
        <v>0</v>
      </c>
      <c r="AQ106" s="478">
        <f>AN106*Données!$F$28</f>
        <v>0</v>
      </c>
      <c r="AR106" s="478">
        <f ca="1">IF(AO106=0,0,IF($E$7="C1",(AO106*$H$10),IF($E$7="C2",-AN106*Données!$G$36*$H$10,0)))</f>
        <v>0</v>
      </c>
      <c r="AS106" s="478">
        <f t="shared" ca="1" si="51"/>
        <v>0</v>
      </c>
      <c r="AT106" s="477">
        <f t="shared" si="70"/>
        <v>86</v>
      </c>
      <c r="AU106" s="478">
        <f t="shared" si="71"/>
        <v>0</v>
      </c>
      <c r="AV106" s="478">
        <f t="shared" si="72"/>
        <v>0</v>
      </c>
      <c r="AW106" s="493">
        <f t="shared" si="73"/>
        <v>0</v>
      </c>
      <c r="AX106" s="493">
        <f t="shared" si="74"/>
        <v>0</v>
      </c>
      <c r="AY106" s="478">
        <f t="shared" si="52"/>
        <v>0</v>
      </c>
    </row>
    <row r="107" spans="1:51">
      <c r="A107" s="477">
        <f t="shared" ca="1" si="53"/>
        <v>2113</v>
      </c>
      <c r="B107" s="478">
        <f t="shared" ca="1" si="54"/>
        <v>0</v>
      </c>
      <c r="C107" s="478">
        <f ca="1">IF(OR($C$7=Données!$H$51,$C$7=Données!$H$54,$C$7=Données!$H$55,$C$7=Données!$H$57),0,B107*$C$10)</f>
        <v>0</v>
      </c>
      <c r="D107" s="478">
        <f ca="1">IFERROR(IF($H$5="",B107*'CT à Transf'!$K$28,B107*$H$5),B107*$H$5)</f>
        <v>0</v>
      </c>
      <c r="E107" s="478">
        <f t="shared" ca="1" si="55"/>
        <v>0</v>
      </c>
      <c r="F107" s="478">
        <f t="shared" ca="1" si="38"/>
        <v>0</v>
      </c>
      <c r="G107" s="478">
        <f t="shared" ca="1" si="40"/>
        <v>0</v>
      </c>
      <c r="H107" s="478">
        <f t="shared" ca="1" si="41"/>
        <v>0</v>
      </c>
      <c r="J107" s="476"/>
      <c r="K107" s="477">
        <f t="shared" si="56"/>
        <v>87</v>
      </c>
      <c r="L107" s="478">
        <f t="shared" ca="1" si="39"/>
        <v>0</v>
      </c>
      <c r="M107" s="478">
        <f t="shared" ca="1" si="57"/>
        <v>0</v>
      </c>
      <c r="N107" s="478">
        <f ca="1">IF(OR($C$7=Données!$H$52,$C$7=Données!$H$53),(L107*$N$9)+((M107*$Q$8)*$Q$9),(L107+M107)*$N$8*$N$9)</f>
        <v>0</v>
      </c>
      <c r="O107" s="478">
        <f ca="1">IF(OR($C$7=Données!$H$52,$C$7=Données!$H$53),(L107*$H$10)+(M107*$Q$8*$H$10)-(M107*$Q$8*Données!$G$36*$H$10),((L107+M107)*$N$8*$H$10)-IF($K$8="Rente à titre onéreux imposable sur",(L107+M107)*$N$8*Données!$G$36*$H$10,(L107+M107)*$N$8*Données!$M$41*$H$10))</f>
        <v>0</v>
      </c>
      <c r="P107" s="478">
        <f t="shared" ca="1" si="42"/>
        <v>0</v>
      </c>
      <c r="Q107" s="478">
        <f t="shared" ca="1" si="58"/>
        <v>0</v>
      </c>
      <c r="S107" s="476"/>
      <c r="T107" s="477">
        <f t="shared" si="59"/>
        <v>87</v>
      </c>
      <c r="U107" s="478">
        <f t="shared" ca="1" si="60"/>
        <v>0</v>
      </c>
      <c r="V107" s="478">
        <f t="shared" ca="1" si="43"/>
        <v>0</v>
      </c>
      <c r="W107" s="493">
        <f t="shared" ca="1" si="61"/>
        <v>0</v>
      </c>
      <c r="X107" s="493">
        <f t="shared" ca="1" si="62"/>
        <v>0</v>
      </c>
      <c r="Y107" s="478">
        <f t="shared" ca="1" si="44"/>
        <v>0</v>
      </c>
      <c r="Z107" s="504">
        <f t="shared" ca="1" si="63"/>
        <v>0</v>
      </c>
      <c r="AA107" s="478">
        <f t="shared" ca="1" si="45"/>
        <v>0</v>
      </c>
      <c r="AB107" s="478">
        <f t="shared" ca="1" si="46"/>
        <v>0</v>
      </c>
      <c r="AC107" s="478">
        <f ca="1">AA107*Données!$F$36</f>
        <v>0</v>
      </c>
      <c r="AD107" s="478">
        <f ca="1">AA107*Données!$F$28</f>
        <v>0</v>
      </c>
      <c r="AE107" s="478">
        <f ca="1">IF(AB107=0,0,IF($E$7="C1",(AB107*$H$10),IF($E$7="C2",-AA107*Données!$G$36*$H$10,0)))</f>
        <v>0</v>
      </c>
      <c r="AF107" s="478">
        <f t="shared" ca="1" si="47"/>
        <v>0</v>
      </c>
      <c r="AG107" s="477">
        <f t="shared" si="64"/>
        <v>87</v>
      </c>
      <c r="AH107" s="478">
        <f t="shared" si="65"/>
        <v>0</v>
      </c>
      <c r="AI107" s="478">
        <f t="shared" si="66"/>
        <v>0</v>
      </c>
      <c r="AJ107" s="493">
        <f t="shared" si="67"/>
        <v>0</v>
      </c>
      <c r="AK107" s="493">
        <f t="shared" ca="1" si="68"/>
        <v>0</v>
      </c>
      <c r="AL107" s="478">
        <f t="shared" ca="1" si="48"/>
        <v>0</v>
      </c>
      <c r="AM107" s="478">
        <f t="shared" ca="1" si="49"/>
        <v>0</v>
      </c>
      <c r="AN107" s="478">
        <f t="shared" si="69"/>
        <v>0</v>
      </c>
      <c r="AO107" s="478">
        <f t="shared" ca="1" si="50"/>
        <v>0</v>
      </c>
      <c r="AP107" s="478">
        <f>AN107*Données!$F$36</f>
        <v>0</v>
      </c>
      <c r="AQ107" s="478">
        <f>AN107*Données!$F$28</f>
        <v>0</v>
      </c>
      <c r="AR107" s="478">
        <f ca="1">IF(AO107=0,0,IF($E$7="C1",(AO107*$H$10),IF($E$7="C2",-AN107*Données!$G$36*$H$10,0)))</f>
        <v>0</v>
      </c>
      <c r="AS107" s="478">
        <f t="shared" ca="1" si="51"/>
        <v>0</v>
      </c>
      <c r="AT107" s="477">
        <f t="shared" si="70"/>
        <v>87</v>
      </c>
      <c r="AU107" s="478">
        <f t="shared" si="71"/>
        <v>0</v>
      </c>
      <c r="AV107" s="478">
        <f t="shared" si="72"/>
        <v>0</v>
      </c>
      <c r="AW107" s="493">
        <f t="shared" si="73"/>
        <v>0</v>
      </c>
      <c r="AX107" s="493">
        <f t="shared" si="74"/>
        <v>0</v>
      </c>
      <c r="AY107" s="478">
        <f t="shared" si="52"/>
        <v>0</v>
      </c>
    </row>
    <row r="108" spans="1:51">
      <c r="A108" s="477">
        <f t="shared" ca="1" si="53"/>
        <v>2114</v>
      </c>
      <c r="B108" s="478">
        <f t="shared" ca="1" si="54"/>
        <v>0</v>
      </c>
      <c r="C108" s="478">
        <f ca="1">IF(OR($C$7=Données!$H$51,$C$7=Données!$H$54,$C$7=Données!$H$55,$C$7=Données!$H$57),0,B108*$C$10)</f>
        <v>0</v>
      </c>
      <c r="D108" s="478">
        <f ca="1">IFERROR(IF($H$5="",B108*'CT à Transf'!$K$28,B108*$H$5),B108*$H$5)</f>
        <v>0</v>
      </c>
      <c r="E108" s="478">
        <f t="shared" ca="1" si="55"/>
        <v>0</v>
      </c>
      <c r="F108" s="478">
        <f t="shared" ca="1" si="38"/>
        <v>0</v>
      </c>
      <c r="G108" s="478">
        <f t="shared" ca="1" si="40"/>
        <v>0</v>
      </c>
      <c r="H108" s="478">
        <f t="shared" ca="1" si="41"/>
        <v>0</v>
      </c>
      <c r="J108" s="476"/>
      <c r="K108" s="477">
        <f t="shared" si="56"/>
        <v>88</v>
      </c>
      <c r="L108" s="478">
        <f t="shared" ca="1" si="39"/>
        <v>0</v>
      </c>
      <c r="M108" s="478">
        <f t="shared" ca="1" si="57"/>
        <v>0</v>
      </c>
      <c r="N108" s="478">
        <f ca="1">IF(OR($C$7=Données!$H$52,$C$7=Données!$H$53),(L108*$N$9)+((M108*$Q$8)*$Q$9),(L108+M108)*$N$8*$N$9)</f>
        <v>0</v>
      </c>
      <c r="O108" s="478">
        <f ca="1">IF(OR($C$7=Données!$H$52,$C$7=Données!$H$53),(L108*$H$10)+(M108*$Q$8*$H$10)-(M108*$Q$8*Données!$G$36*$H$10),((L108+M108)*$N$8*$H$10)-IF($K$8="Rente à titre onéreux imposable sur",(L108+M108)*$N$8*Données!$G$36*$H$10,(L108+M108)*$N$8*Données!$M$41*$H$10))</f>
        <v>0</v>
      </c>
      <c r="P108" s="478">
        <f t="shared" ca="1" si="42"/>
        <v>0</v>
      </c>
      <c r="Q108" s="478">
        <f t="shared" ca="1" si="58"/>
        <v>0</v>
      </c>
      <c r="S108" s="476"/>
      <c r="T108" s="477">
        <f t="shared" si="59"/>
        <v>88</v>
      </c>
      <c r="U108" s="478">
        <f t="shared" ca="1" si="60"/>
        <v>0</v>
      </c>
      <c r="V108" s="478">
        <f t="shared" ca="1" si="43"/>
        <v>0</v>
      </c>
      <c r="W108" s="493">
        <f t="shared" ca="1" si="61"/>
        <v>0</v>
      </c>
      <c r="X108" s="493">
        <f t="shared" ca="1" si="62"/>
        <v>0</v>
      </c>
      <c r="Y108" s="478">
        <f t="shared" ca="1" si="44"/>
        <v>0</v>
      </c>
      <c r="Z108" s="505">
        <f t="shared" ca="1" si="63"/>
        <v>0</v>
      </c>
      <c r="AA108" s="478">
        <f t="shared" ca="1" si="45"/>
        <v>0</v>
      </c>
      <c r="AB108" s="478">
        <f t="shared" ca="1" si="46"/>
        <v>0</v>
      </c>
      <c r="AC108" s="478">
        <f ca="1">AA108*Données!$F$36</f>
        <v>0</v>
      </c>
      <c r="AD108" s="478">
        <f ca="1">AA108*Données!$F$28</f>
        <v>0</v>
      </c>
      <c r="AE108" s="478">
        <f ca="1">IF(AB108=0,0,IF($E$7="C1",(AB108*$H$10),IF($E$7="C2",-AA108*Données!$G$36*$H$10,0)))</f>
        <v>0</v>
      </c>
      <c r="AF108" s="478">
        <f t="shared" ca="1" si="47"/>
        <v>0</v>
      </c>
      <c r="AG108" s="477">
        <f t="shared" si="64"/>
        <v>88</v>
      </c>
      <c r="AH108" s="478">
        <f t="shared" si="65"/>
        <v>0</v>
      </c>
      <c r="AI108" s="478">
        <f t="shared" si="66"/>
        <v>0</v>
      </c>
      <c r="AJ108" s="493">
        <f t="shared" si="67"/>
        <v>0</v>
      </c>
      <c r="AK108" s="493">
        <f t="shared" ca="1" si="68"/>
        <v>0</v>
      </c>
      <c r="AL108" s="478">
        <f t="shared" ca="1" si="48"/>
        <v>0</v>
      </c>
      <c r="AM108" s="478">
        <f t="shared" ca="1" si="49"/>
        <v>0</v>
      </c>
      <c r="AN108" s="478">
        <f t="shared" si="69"/>
        <v>0</v>
      </c>
      <c r="AO108" s="478">
        <f t="shared" ca="1" si="50"/>
        <v>0</v>
      </c>
      <c r="AP108" s="478">
        <f>AN108*Données!$F$36</f>
        <v>0</v>
      </c>
      <c r="AQ108" s="478">
        <f>AN108*Données!$F$28</f>
        <v>0</v>
      </c>
      <c r="AR108" s="478">
        <f ca="1">IF(AO108=0,0,IF($E$7="C1",(AO108*$H$10),IF($E$7="C2",-AN108*Données!$G$36*$H$10,0)))</f>
        <v>0</v>
      </c>
      <c r="AS108" s="478">
        <f t="shared" ca="1" si="51"/>
        <v>0</v>
      </c>
      <c r="AT108" s="477">
        <f t="shared" si="70"/>
        <v>88</v>
      </c>
      <c r="AU108" s="478">
        <f t="shared" si="71"/>
        <v>0</v>
      </c>
      <c r="AV108" s="478">
        <f t="shared" si="72"/>
        <v>0</v>
      </c>
      <c r="AW108" s="493">
        <f t="shared" si="73"/>
        <v>0</v>
      </c>
      <c r="AX108" s="493">
        <f t="shared" si="74"/>
        <v>0</v>
      </c>
      <c r="AY108" s="478">
        <f t="shared" si="52"/>
        <v>0</v>
      </c>
    </row>
    <row r="109" spans="1:51">
      <c r="A109" s="494"/>
      <c r="B109" s="495">
        <f ca="1">SUM(B20:B108)</f>
        <v>0</v>
      </c>
      <c r="C109" s="495">
        <f ca="1">SUM(C20:C108)</f>
        <v>0</v>
      </c>
      <c r="D109" s="495">
        <f ca="1">SUM(D20:D108)</f>
        <v>0</v>
      </c>
      <c r="E109" s="495">
        <f ca="1">SUM(E20:E108)</f>
        <v>0</v>
      </c>
      <c r="F109" s="496"/>
      <c r="G109" s="497"/>
      <c r="H109" s="495">
        <f ca="1">SUM(H20:H108)</f>
        <v>0</v>
      </c>
      <c r="I109" s="495">
        <f t="shared" ref="I109:J109" si="75">SUM(I20:I108)</f>
        <v>0</v>
      </c>
      <c r="J109" s="495">
        <f t="shared" si="75"/>
        <v>0</v>
      </c>
      <c r="K109" s="495"/>
      <c r="L109" s="495"/>
      <c r="M109" s="495"/>
      <c r="N109" s="495"/>
      <c r="O109" s="495"/>
      <c r="P109" s="496"/>
      <c r="Q109" s="497"/>
      <c r="R109" s="484"/>
      <c r="S109" s="485"/>
      <c r="T109" s="484"/>
      <c r="U109" s="495"/>
      <c r="V109" s="495"/>
      <c r="W109" s="495"/>
      <c r="X109" s="495"/>
      <c r="Y109" s="495"/>
      <c r="Z109" s="495"/>
      <c r="AA109" s="495"/>
      <c r="AB109" s="495"/>
      <c r="AC109" s="495"/>
      <c r="AD109" s="495"/>
      <c r="AE109" s="495"/>
      <c r="AF109" s="495">
        <f t="shared" ref="AF109" ca="1" si="76">SUM(AF20:AF108)</f>
        <v>0</v>
      </c>
      <c r="AG109" s="484"/>
      <c r="AH109" s="495"/>
      <c r="AI109" s="495"/>
      <c r="AJ109" s="495"/>
      <c r="AK109" s="495"/>
      <c r="AL109" s="495"/>
      <c r="AM109" s="495"/>
      <c r="AN109" s="495"/>
      <c r="AO109" s="495"/>
      <c r="AP109" s="495"/>
      <c r="AQ109" s="495"/>
      <c r="AR109" s="495"/>
      <c r="AS109" s="495">
        <f t="shared" ref="AS109" ca="1" si="77">SUM(AS20:AS108)</f>
        <v>0</v>
      </c>
      <c r="AT109" s="484"/>
      <c r="AU109" s="495"/>
      <c r="AV109" s="495"/>
      <c r="AW109" s="495"/>
      <c r="AX109" s="495"/>
      <c r="AY109" s="495"/>
    </row>
    <row r="110" spans="1:51">
      <c r="A110" s="479"/>
      <c r="B110" s="479"/>
      <c r="C110" s="479"/>
      <c r="D110" s="479"/>
      <c r="E110" s="479"/>
      <c r="F110" s="479"/>
      <c r="G110" s="479"/>
      <c r="H110" s="479"/>
    </row>
  </sheetData>
  <sheetProtection selectLockedCells="1"/>
  <mergeCells count="62">
    <mergeCell ref="D3:AA3"/>
    <mergeCell ref="A5:B5"/>
    <mergeCell ref="C5:D5"/>
    <mergeCell ref="F5:G5"/>
    <mergeCell ref="K5:M5"/>
    <mergeCell ref="T5:W5"/>
    <mergeCell ref="A9:B9"/>
    <mergeCell ref="C9:D9"/>
    <mergeCell ref="K9:M9"/>
    <mergeCell ref="O9:P9"/>
    <mergeCell ref="C6:D6"/>
    <mergeCell ref="F6:G6"/>
    <mergeCell ref="K6:M6"/>
    <mergeCell ref="A7:B7"/>
    <mergeCell ref="C7:D7"/>
    <mergeCell ref="F7:G7"/>
    <mergeCell ref="T7:W7"/>
    <mergeCell ref="F8:G8"/>
    <mergeCell ref="K8:M8"/>
    <mergeCell ref="O8:P8"/>
    <mergeCell ref="T8:W8"/>
    <mergeCell ref="AW13:AY13"/>
    <mergeCell ref="A10:B10"/>
    <mergeCell ref="C10:D10"/>
    <mergeCell ref="F10:G10"/>
    <mergeCell ref="A13:C13"/>
    <mergeCell ref="F13:G13"/>
    <mergeCell ref="K13:N13"/>
    <mergeCell ref="P13:Q13"/>
    <mergeCell ref="T13:Y13"/>
    <mergeCell ref="Z13:AB13"/>
    <mergeCell ref="AC13:AF13"/>
    <mergeCell ref="AJ13:AL13"/>
    <mergeCell ref="AC14:AE14"/>
    <mergeCell ref="AK14:AL14"/>
    <mergeCell ref="AX14:AY14"/>
    <mergeCell ref="A15:C15"/>
    <mergeCell ref="F15:G15"/>
    <mergeCell ref="K15:N15"/>
    <mergeCell ref="T15:W15"/>
    <mergeCell ref="X15:Y15"/>
    <mergeCell ref="Z15:AA15"/>
    <mergeCell ref="AC15:AE15"/>
    <mergeCell ref="A14:C14"/>
    <mergeCell ref="F14:G14"/>
    <mergeCell ref="K14:N14"/>
    <mergeCell ref="T14:W14"/>
    <mergeCell ref="X14:Y14"/>
    <mergeCell ref="Z14:AA14"/>
    <mergeCell ref="AT18:AY18"/>
    <mergeCell ref="AJ15:AL15"/>
    <mergeCell ref="AW15:AY15"/>
    <mergeCell ref="T16:W16"/>
    <mergeCell ref="X16:Y16"/>
    <mergeCell ref="Z16:AA16"/>
    <mergeCell ref="AC16:AE16"/>
    <mergeCell ref="AF16:AG16"/>
    <mergeCell ref="A17:H17"/>
    <mergeCell ref="A18:H18"/>
    <mergeCell ref="K18:Q18"/>
    <mergeCell ref="T18:AF18"/>
    <mergeCell ref="AG18:AS18"/>
  </mergeCells>
  <conditionalFormatting sqref="C9">
    <cfRule type="containsBlanks" dxfId="98" priority="10">
      <formula>LEN(TRIM(C9))=0</formula>
    </cfRule>
  </conditionalFormatting>
  <conditionalFormatting sqref="C10">
    <cfRule type="cellIs" dxfId="97" priority="6" operator="equal">
      <formula>""</formula>
    </cfRule>
  </conditionalFormatting>
  <conditionalFormatting sqref="H5">
    <cfRule type="containsBlanks" dxfId="96" priority="5">
      <formula>LEN(TRIM(H5))=0</formula>
    </cfRule>
  </conditionalFormatting>
  <conditionalFormatting sqref="H10">
    <cfRule type="cellIs" dxfId="95" priority="4" operator="equal">
      <formula>""</formula>
    </cfRule>
  </conditionalFormatting>
  <conditionalFormatting sqref="H15">
    <cfRule type="expression" dxfId="94" priority="9">
      <formula>#REF!="PERP"</formula>
    </cfRule>
  </conditionalFormatting>
  <conditionalFormatting sqref="Q8:Q9">
    <cfRule type="containsBlanks" dxfId="93" priority="7">
      <formula>LEN(TRIM(Q8))=0</formula>
    </cfRule>
  </conditionalFormatting>
  <conditionalFormatting sqref="T8:AB8">
    <cfRule type="expression" dxfId="92" priority="2">
      <formula>$E$7=""</formula>
    </cfRule>
  </conditionalFormatting>
  <conditionalFormatting sqref="T18:AF108">
    <cfRule type="expression" dxfId="91" priority="1">
      <formula>$E$7=""</formula>
    </cfRule>
  </conditionalFormatting>
  <conditionalFormatting sqref="X8">
    <cfRule type="containsBlanks" dxfId="90" priority="3">
      <formula>LEN(TRIM(X8))=0</formula>
    </cfRule>
  </conditionalFormatting>
  <dataValidations count="1">
    <dataValidation type="whole" allowBlank="1" showInputMessage="1" showErrorMessage="1" sqref="X7:X8" xr:uid="{0958279F-C61C-4235-8F63-257723038361}">
      <formula1>55</formula1>
      <formula2>120</formula2>
    </dataValidation>
  </dataValidations>
  <pageMargins left="0.25" right="0.25" top="0.75" bottom="0.75" header="0.3" footer="0.3"/>
  <pageSetup paperSize="9" scale="35"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445822B-DC81-4D5B-BA14-789561850CB2}">
          <x14:formula1>
            <xm:f>Données!$F$13:$F$17</xm:f>
          </x14:formula1>
          <xm:sqref>C10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5DA52-D617-48A2-98FA-D0DD430E6599}">
  <sheetPr codeName="Feuil6"/>
  <dimension ref="A1:AK601"/>
  <sheetViews>
    <sheetView showGridLines="0" zoomScale="130" zoomScaleNormal="130" workbookViewId="0">
      <selection activeCell="C31" sqref="C31:N31"/>
    </sheetView>
  </sheetViews>
  <sheetFormatPr baseColWidth="10" defaultRowHeight="14.4"/>
  <cols>
    <col min="1" max="16" width="11.44140625" customWidth="1"/>
    <col min="17" max="17" width="3.109375" customWidth="1"/>
    <col min="23" max="23" width="11.44140625" customWidth="1"/>
  </cols>
  <sheetData>
    <row r="1" spans="1:26" ht="14.25" customHeight="1">
      <c r="A1" s="823" t="s">
        <v>201</v>
      </c>
      <c r="B1" s="823"/>
      <c r="C1" s="823"/>
      <c r="D1" s="823"/>
      <c r="E1" s="823"/>
      <c r="F1" s="823"/>
      <c r="G1" s="823"/>
      <c r="H1" s="823"/>
      <c r="I1" s="823"/>
      <c r="J1" s="823"/>
      <c r="K1" s="823"/>
      <c r="L1" s="823"/>
      <c r="M1" s="823"/>
      <c r="N1" s="823"/>
      <c r="O1" s="823"/>
      <c r="P1" s="823"/>
      <c r="Q1" s="245"/>
      <c r="R1" s="245"/>
      <c r="S1" s="245"/>
      <c r="T1" s="245"/>
      <c r="U1" s="245"/>
      <c r="W1" s="823" t="s">
        <v>207</v>
      </c>
      <c r="X1" s="823"/>
      <c r="Y1" s="823"/>
      <c r="Z1" s="823"/>
    </row>
    <row r="2" spans="1:26" s="136" customFormat="1" ht="14.25" customHeight="1">
      <c r="A2" s="235"/>
      <c r="B2" s="235"/>
      <c r="C2" s="235"/>
      <c r="D2" s="235"/>
      <c r="E2" s="235"/>
      <c r="F2" s="235"/>
      <c r="G2" s="235"/>
      <c r="H2" s="235"/>
      <c r="I2" s="235"/>
      <c r="J2" s="235"/>
      <c r="K2" s="235"/>
      <c r="L2" s="235"/>
      <c r="M2" s="235"/>
      <c r="N2" s="235"/>
      <c r="O2" s="235"/>
      <c r="P2" s="235"/>
      <c r="Q2" s="246"/>
      <c r="R2" s="246"/>
      <c r="S2" s="246"/>
      <c r="T2" s="246"/>
      <c r="U2" s="246"/>
      <c r="V2" s="136" t="s">
        <v>211</v>
      </c>
      <c r="W2" s="240" t="s">
        <v>208</v>
      </c>
      <c r="Z2" s="517" t="s">
        <v>1517</v>
      </c>
    </row>
    <row r="3" spans="1:26" s="136" customFormat="1" ht="14.25" customHeight="1">
      <c r="A3" s="235"/>
      <c r="B3" s="235"/>
      <c r="C3" s="235"/>
      <c r="D3" s="235"/>
      <c r="E3" s="235"/>
      <c r="F3" s="235"/>
      <c r="G3" s="235"/>
      <c r="H3" s="235"/>
      <c r="I3" s="235"/>
      <c r="J3" s="235"/>
      <c r="K3" s="235"/>
      <c r="L3" s="235"/>
      <c r="M3" s="235"/>
      <c r="N3" s="235"/>
      <c r="O3" s="235"/>
      <c r="P3" s="235"/>
      <c r="Q3" s="246"/>
      <c r="R3" s="246"/>
      <c r="S3" s="246"/>
      <c r="T3" s="246"/>
      <c r="U3" s="246"/>
      <c r="V3" s="136" t="s">
        <v>212</v>
      </c>
      <c r="W3" s="136" t="s">
        <v>1521</v>
      </c>
    </row>
    <row r="4" spans="1:26" s="136" customFormat="1" ht="14.25" customHeight="1">
      <c r="A4" s="235"/>
      <c r="B4" s="235"/>
      <c r="C4" s="235"/>
      <c r="D4" s="235"/>
      <c r="E4" s="235"/>
      <c r="F4" s="235"/>
      <c r="G4" s="235"/>
      <c r="H4" s="235"/>
      <c r="I4" s="235"/>
      <c r="J4" s="235"/>
      <c r="K4" s="235"/>
      <c r="L4" s="235"/>
      <c r="M4" s="235"/>
      <c r="N4" s="235"/>
      <c r="O4" s="235"/>
      <c r="P4" s="235"/>
      <c r="Q4" s="246"/>
      <c r="R4" s="246"/>
      <c r="S4" s="246"/>
      <c r="T4" s="246"/>
      <c r="U4" s="246"/>
      <c r="V4" s="136" t="s">
        <v>246</v>
      </c>
      <c r="W4" s="136" t="s">
        <v>1496</v>
      </c>
    </row>
    <row r="5" spans="1:26" s="136" customFormat="1" ht="14.25" customHeight="1">
      <c r="A5" s="235"/>
      <c r="B5" s="235"/>
      <c r="C5" s="235"/>
      <c r="D5" s="235"/>
      <c r="E5" s="235"/>
      <c r="F5" s="235"/>
      <c r="G5" s="235"/>
      <c r="H5" s="235"/>
      <c r="I5" s="235"/>
      <c r="J5" s="235"/>
      <c r="K5" s="235"/>
      <c r="L5" s="235"/>
      <c r="M5" s="235"/>
      <c r="N5" s="235"/>
      <c r="O5" s="235"/>
      <c r="P5" s="235"/>
      <c r="Q5" s="246"/>
      <c r="R5" s="246"/>
      <c r="S5" s="246"/>
      <c r="T5" s="246"/>
      <c r="U5" s="246"/>
      <c r="V5" s="136" t="s">
        <v>247</v>
      </c>
      <c r="W5" s="136" t="s">
        <v>1495</v>
      </c>
    </row>
    <row r="6" spans="1:26" s="136" customFormat="1" ht="14.25" customHeight="1">
      <c r="A6" s="235"/>
      <c r="B6" s="235"/>
      <c r="C6" s="235"/>
      <c r="D6" s="235"/>
      <c r="E6" s="235"/>
      <c r="F6" s="235"/>
      <c r="G6" s="235"/>
      <c r="H6" s="235"/>
      <c r="I6" s="235"/>
      <c r="J6" s="235"/>
      <c r="K6" s="235"/>
      <c r="L6" s="235"/>
      <c r="M6" s="235"/>
      <c r="N6" s="235"/>
      <c r="O6" s="235"/>
      <c r="P6" s="235"/>
      <c r="Q6" s="246"/>
      <c r="R6" s="246"/>
      <c r="S6" s="246"/>
      <c r="T6" s="246"/>
      <c r="U6" s="246"/>
      <c r="V6" s="136" t="s">
        <v>271</v>
      </c>
      <c r="W6" s="136" t="s">
        <v>1497</v>
      </c>
    </row>
    <row r="7" spans="1:26" s="136" customFormat="1" ht="14.25" customHeight="1">
      <c r="A7" s="235"/>
      <c r="B7" s="235"/>
      <c r="C7" s="235"/>
      <c r="D7" s="235"/>
      <c r="E7" s="235"/>
      <c r="F7" s="235"/>
      <c r="G7" s="235"/>
      <c r="H7" s="235"/>
      <c r="I7" s="235"/>
      <c r="J7" s="235"/>
      <c r="K7" s="235"/>
      <c r="L7" s="235"/>
      <c r="M7" s="235"/>
      <c r="N7" s="235"/>
      <c r="O7" s="235"/>
      <c r="P7" s="235"/>
      <c r="V7" s="136" t="s">
        <v>1498</v>
      </c>
      <c r="W7" s="136" t="s">
        <v>1504</v>
      </c>
    </row>
    <row r="8" spans="1:26" s="136" customFormat="1" ht="14.25" customHeight="1">
      <c r="A8" s="235"/>
      <c r="B8" s="235"/>
      <c r="C8" s="235"/>
      <c r="D8" s="235"/>
      <c r="E8" s="235"/>
      <c r="F8" s="235"/>
      <c r="G8" s="235"/>
      <c r="H8" s="235"/>
      <c r="I8" s="235"/>
      <c r="J8" s="235"/>
      <c r="K8" s="235"/>
      <c r="L8" s="235"/>
      <c r="M8" s="235"/>
      <c r="N8" s="235"/>
      <c r="O8" s="235"/>
      <c r="P8" s="235"/>
      <c r="V8" s="136" t="s">
        <v>1499</v>
      </c>
      <c r="W8" s="136" t="s">
        <v>1505</v>
      </c>
    </row>
    <row r="9" spans="1:26" s="136" customFormat="1" ht="14.25" customHeight="1">
      <c r="A9" s="235"/>
      <c r="B9" s="235"/>
      <c r="C9" s="235"/>
      <c r="D9" s="235"/>
      <c r="E9" s="235"/>
      <c r="F9" s="235"/>
      <c r="G9" s="235"/>
      <c r="H9" s="235"/>
      <c r="I9" s="235"/>
      <c r="J9" s="235"/>
      <c r="K9" s="235"/>
      <c r="L9" s="235"/>
      <c r="M9" s="235"/>
      <c r="N9" s="235"/>
      <c r="O9" s="235"/>
      <c r="P9" s="235"/>
      <c r="R9" s="242"/>
      <c r="S9" s="242"/>
      <c r="V9" s="136" t="s">
        <v>1500</v>
      </c>
      <c r="W9" s="136" t="s">
        <v>1560</v>
      </c>
    </row>
    <row r="10" spans="1:26" s="136" customFormat="1" ht="14.25" customHeight="1">
      <c r="A10" s="235"/>
      <c r="B10" s="235"/>
      <c r="C10" s="235"/>
      <c r="D10" s="235"/>
      <c r="E10" s="235"/>
      <c r="F10" s="235"/>
      <c r="G10" s="235"/>
      <c r="H10" s="235"/>
      <c r="I10" s="235"/>
      <c r="J10" s="235"/>
      <c r="K10" s="235"/>
      <c r="L10" s="235"/>
      <c r="M10" s="235"/>
      <c r="N10" s="235"/>
      <c r="O10" s="235"/>
      <c r="P10" s="235"/>
      <c r="V10" s="136" t="s">
        <v>1501</v>
      </c>
      <c r="W10" s="136" t="s">
        <v>1509</v>
      </c>
    </row>
    <row r="11" spans="1:26" s="136" customFormat="1" ht="14.25" customHeight="1">
      <c r="A11" s="235"/>
      <c r="B11" s="235"/>
      <c r="C11" s="235"/>
      <c r="D11" s="235"/>
      <c r="E11" s="235"/>
      <c r="F11" s="235"/>
      <c r="G11" s="235"/>
      <c r="H11" s="235"/>
      <c r="I11" s="235"/>
      <c r="J11" s="235"/>
      <c r="K11" s="235"/>
      <c r="L11" s="235"/>
      <c r="M11" s="235"/>
      <c r="N11" s="235"/>
      <c r="O11" s="235"/>
      <c r="P11" s="235"/>
      <c r="V11" s="136" t="s">
        <v>1502</v>
      </c>
      <c r="W11" s="136" t="s">
        <v>1508</v>
      </c>
    </row>
    <row r="12" spans="1:26" s="136" customFormat="1" ht="14.25" customHeight="1">
      <c r="A12" s="235"/>
      <c r="B12" s="235"/>
      <c r="C12" s="235"/>
      <c r="D12" s="235"/>
      <c r="E12" s="235"/>
      <c r="F12" s="235"/>
      <c r="G12" s="235"/>
      <c r="H12" s="235"/>
      <c r="I12" s="235"/>
      <c r="J12" s="235"/>
      <c r="K12" s="235"/>
      <c r="L12" s="235"/>
      <c r="M12" s="235"/>
      <c r="N12" s="235"/>
      <c r="O12" s="235"/>
      <c r="P12" s="235"/>
      <c r="V12" s="136" t="s">
        <v>1503</v>
      </c>
      <c r="W12" s="136" t="s">
        <v>1506</v>
      </c>
    </row>
    <row r="13" spans="1:26" s="136" customFormat="1" ht="14.25" customHeight="1">
      <c r="A13" s="235"/>
      <c r="B13" s="235"/>
      <c r="C13" s="235"/>
      <c r="D13" s="235"/>
      <c r="E13" s="235"/>
      <c r="F13" s="235"/>
      <c r="G13" s="235"/>
      <c r="H13" s="235"/>
      <c r="I13" s="235"/>
      <c r="J13" s="235"/>
      <c r="K13" s="235"/>
      <c r="L13" s="235"/>
      <c r="M13" s="235"/>
      <c r="N13" s="235"/>
      <c r="O13" s="235"/>
      <c r="P13" s="235"/>
      <c r="V13" s="136" t="s">
        <v>1507</v>
      </c>
      <c r="W13" s="136" t="s">
        <v>1510</v>
      </c>
    </row>
    <row r="14" spans="1:26" s="136" customFormat="1" ht="14.25" customHeight="1">
      <c r="A14" s="235"/>
      <c r="B14" s="235"/>
      <c r="C14" s="235"/>
      <c r="D14" s="235"/>
      <c r="E14" s="235"/>
      <c r="F14" s="235"/>
      <c r="G14" s="235"/>
      <c r="H14" s="235"/>
      <c r="I14" s="235"/>
      <c r="J14" s="235"/>
      <c r="K14" s="235"/>
      <c r="L14" s="235"/>
      <c r="M14" s="235"/>
      <c r="N14" s="235"/>
      <c r="O14" s="235"/>
      <c r="P14" s="235"/>
      <c r="V14" s="136" t="s">
        <v>1511</v>
      </c>
      <c r="W14" s="136" t="s">
        <v>1510</v>
      </c>
    </row>
    <row r="15" spans="1:26" s="136" customFormat="1" ht="14.25" customHeight="1">
      <c r="A15" s="235"/>
      <c r="B15" s="235"/>
      <c r="C15" s="235"/>
      <c r="D15" s="235"/>
      <c r="E15" s="235"/>
      <c r="F15" s="235"/>
      <c r="G15" s="235"/>
      <c r="H15" s="235"/>
      <c r="I15" s="235"/>
      <c r="J15" s="235"/>
      <c r="K15" s="235"/>
      <c r="L15" s="235"/>
      <c r="M15" s="235"/>
      <c r="N15" s="235"/>
      <c r="O15" s="235"/>
      <c r="P15" s="235"/>
      <c r="V15" s="136" t="s">
        <v>1512</v>
      </c>
    </row>
    <row r="16" spans="1:26" s="136" customFormat="1" ht="14.25" customHeight="1">
      <c r="A16" s="235"/>
      <c r="B16" s="235"/>
      <c r="C16" s="235"/>
      <c r="D16" s="235"/>
      <c r="E16" s="235"/>
      <c r="F16" s="235"/>
      <c r="G16" s="235"/>
      <c r="H16" s="235"/>
      <c r="I16" s="235"/>
      <c r="J16" s="235"/>
      <c r="K16" s="235"/>
      <c r="L16" s="235"/>
      <c r="M16" s="235"/>
      <c r="N16" s="235"/>
      <c r="O16" s="235"/>
      <c r="P16" s="235"/>
    </row>
    <row r="17" spans="1:37" s="136" customFormat="1" ht="14.25" customHeight="1">
      <c r="A17" s="235"/>
      <c r="B17" s="235"/>
      <c r="C17" s="235"/>
      <c r="D17" s="235"/>
      <c r="E17" s="235"/>
      <c r="F17" s="235"/>
      <c r="G17" s="235"/>
      <c r="H17" s="235"/>
      <c r="I17" s="235"/>
      <c r="J17" s="235"/>
      <c r="K17" s="235"/>
      <c r="L17" s="235"/>
      <c r="M17" s="235"/>
      <c r="N17" s="235"/>
      <c r="O17" s="235"/>
      <c r="P17" s="235"/>
    </row>
    <row r="18" spans="1:37" s="136" customFormat="1" ht="14.25" customHeight="1">
      <c r="A18" s="235"/>
      <c r="B18" s="235"/>
      <c r="C18" s="235"/>
      <c r="D18" s="235"/>
      <c r="E18" s="235"/>
      <c r="F18" s="235"/>
      <c r="G18" s="235"/>
      <c r="H18" s="235"/>
      <c r="I18" s="235"/>
      <c r="J18" s="235"/>
      <c r="K18" s="235"/>
      <c r="L18" s="235"/>
      <c r="M18" s="235"/>
      <c r="N18" s="235"/>
      <c r="O18" s="235"/>
      <c r="P18" s="235"/>
    </row>
    <row r="19" spans="1:37" s="136" customFormat="1" ht="14.25" customHeight="1">
      <c r="A19" s="235"/>
      <c r="B19" s="235"/>
      <c r="C19" s="235"/>
      <c r="D19" s="235"/>
      <c r="E19" s="235"/>
      <c r="F19" s="235"/>
      <c r="G19" s="235"/>
      <c r="H19" s="235"/>
      <c r="I19" s="235"/>
      <c r="J19" s="235"/>
      <c r="K19" s="235"/>
      <c r="L19" s="235"/>
      <c r="M19" s="235"/>
      <c r="N19" s="235"/>
      <c r="O19" s="235"/>
      <c r="P19" s="235"/>
      <c r="V19" s="243"/>
      <c r="W19" s="243"/>
      <c r="X19" s="243"/>
      <c r="Y19" s="243"/>
      <c r="Z19" s="243"/>
      <c r="AA19" s="243"/>
      <c r="AB19" s="243"/>
      <c r="AC19" s="243"/>
      <c r="AD19" s="243"/>
      <c r="AE19" s="243"/>
      <c r="AF19" s="572"/>
      <c r="AG19" s="243"/>
      <c r="AH19" s="243"/>
      <c r="AI19" s="243"/>
      <c r="AJ19" s="243"/>
      <c r="AK19" s="243"/>
    </row>
    <row r="20" spans="1:37" s="136" customFormat="1" ht="14.25" customHeight="1">
      <c r="A20" s="235"/>
      <c r="B20" s="235"/>
      <c r="C20" s="235"/>
      <c r="D20" s="235"/>
      <c r="E20" s="235"/>
      <c r="F20" s="235"/>
      <c r="G20" s="235"/>
      <c r="H20" s="235"/>
      <c r="I20" s="235"/>
      <c r="J20" s="235"/>
      <c r="K20" s="235"/>
      <c r="L20" s="235"/>
      <c r="M20" s="235"/>
      <c r="N20" s="235"/>
      <c r="O20" s="235"/>
      <c r="P20" s="235"/>
      <c r="V20" s="243"/>
      <c r="W20" s="243"/>
      <c r="X20" s="243"/>
      <c r="Y20" s="243"/>
      <c r="Z20" s="243"/>
      <c r="AA20" s="243"/>
      <c r="AB20" s="243"/>
      <c r="AC20" s="243"/>
      <c r="AD20" s="243"/>
      <c r="AE20" s="243"/>
      <c r="AF20" s="572"/>
      <c r="AG20" s="243"/>
      <c r="AH20" s="243"/>
      <c r="AI20" s="243"/>
      <c r="AJ20" s="243"/>
      <c r="AK20" s="243"/>
    </row>
    <row r="21" spans="1:37" s="136" customFormat="1" ht="14.25" customHeight="1">
      <c r="A21" s="235"/>
      <c r="B21" s="235"/>
      <c r="C21" s="235"/>
      <c r="D21" s="235"/>
      <c r="E21" s="235"/>
      <c r="F21" s="235"/>
      <c r="G21" s="235"/>
      <c r="H21" s="235"/>
      <c r="I21" s="235"/>
      <c r="J21" s="235"/>
      <c r="K21" s="235"/>
      <c r="L21" s="235"/>
      <c r="M21" s="235"/>
      <c r="N21" s="235"/>
      <c r="O21" s="235"/>
      <c r="P21" s="235"/>
      <c r="V21" s="243"/>
      <c r="W21" s="243"/>
      <c r="X21" s="243"/>
      <c r="Y21" s="243"/>
      <c r="Z21" s="243"/>
      <c r="AA21" s="243"/>
      <c r="AB21" s="243"/>
      <c r="AC21" s="243"/>
      <c r="AD21" s="243"/>
      <c r="AE21" s="243"/>
      <c r="AF21" s="572"/>
      <c r="AG21" s="243"/>
      <c r="AH21" s="243"/>
      <c r="AI21" s="243"/>
      <c r="AJ21" s="243"/>
      <c r="AK21" s="243"/>
    </row>
    <row r="22" spans="1:37" s="136" customFormat="1" ht="14.25" customHeight="1">
      <c r="A22" s="235"/>
      <c r="B22" s="235"/>
      <c r="C22" s="235"/>
      <c r="D22" s="235"/>
      <c r="E22" s="235"/>
      <c r="F22" s="235"/>
      <c r="G22" s="235"/>
      <c r="H22" s="235"/>
      <c r="I22" s="235"/>
      <c r="J22" s="235"/>
      <c r="K22" s="235"/>
      <c r="L22" s="235"/>
      <c r="M22" s="235"/>
      <c r="N22" s="235"/>
      <c r="O22" s="235"/>
      <c r="P22" s="235"/>
      <c r="V22" s="243"/>
      <c r="W22" s="243"/>
      <c r="X22" s="243"/>
      <c r="Y22" s="243"/>
      <c r="Z22" s="243"/>
      <c r="AA22" s="243"/>
      <c r="AB22" s="243"/>
      <c r="AC22" s="243"/>
      <c r="AD22" s="243"/>
      <c r="AE22" s="243"/>
      <c r="AF22" s="572"/>
      <c r="AG22" s="243"/>
      <c r="AH22" s="243"/>
      <c r="AI22" s="243"/>
      <c r="AJ22" s="243"/>
      <c r="AK22" s="243"/>
    </row>
    <row r="23" spans="1:37" s="136" customFormat="1" ht="14.25" customHeight="1">
      <c r="A23" s="235"/>
      <c r="B23" s="235"/>
      <c r="C23" s="235"/>
      <c r="D23" s="235"/>
      <c r="E23" s="235"/>
      <c r="F23" s="235"/>
      <c r="G23" s="235"/>
      <c r="H23" s="235"/>
      <c r="I23" s="235"/>
      <c r="J23" s="235"/>
      <c r="K23" s="235"/>
      <c r="L23" s="235"/>
      <c r="M23" s="235"/>
      <c r="N23" s="235"/>
      <c r="O23" s="235"/>
      <c r="P23" s="235"/>
      <c r="V23" s="243"/>
      <c r="W23" s="243"/>
      <c r="X23" s="243"/>
      <c r="Y23" s="243"/>
      <c r="Z23" s="243"/>
      <c r="AA23" s="243"/>
      <c r="AB23" s="243"/>
      <c r="AC23" s="243"/>
      <c r="AD23" s="243"/>
      <c r="AE23" s="243"/>
      <c r="AF23" s="572"/>
      <c r="AG23" s="243"/>
      <c r="AH23" s="243"/>
      <c r="AI23" s="243"/>
      <c r="AJ23" s="243"/>
      <c r="AK23" s="243"/>
    </row>
    <row r="24" spans="1:37" s="136" customFormat="1" ht="14.25" customHeight="1">
      <c r="A24" s="235"/>
      <c r="B24" s="235"/>
      <c r="C24" s="235"/>
      <c r="D24" s="235"/>
      <c r="E24" s="235"/>
      <c r="F24" s="235"/>
      <c r="G24" s="235"/>
      <c r="H24" s="235"/>
      <c r="I24" s="235"/>
      <c r="J24" s="235"/>
      <c r="K24" s="235"/>
      <c r="L24" s="235"/>
      <c r="M24" s="235"/>
      <c r="N24" s="235"/>
      <c r="O24" s="235"/>
      <c r="P24" s="235"/>
      <c r="V24" s="243"/>
      <c r="W24" s="243"/>
      <c r="X24" s="243"/>
      <c r="Y24" s="243"/>
      <c r="Z24" s="243"/>
      <c r="AA24" s="243"/>
      <c r="AB24" s="243"/>
      <c r="AC24" s="243"/>
      <c r="AD24" s="243"/>
      <c r="AE24" s="243"/>
      <c r="AF24" s="572"/>
      <c r="AG24" s="243"/>
      <c r="AH24" s="243"/>
      <c r="AI24" s="243"/>
      <c r="AJ24" s="243"/>
      <c r="AK24" s="243"/>
    </row>
    <row r="25" spans="1:37" s="136" customFormat="1" ht="14.25" customHeight="1">
      <c r="A25" s="235"/>
      <c r="B25" s="235"/>
      <c r="C25" s="235"/>
      <c r="D25" s="235"/>
      <c r="E25" s="235"/>
      <c r="F25" s="235"/>
      <c r="G25" s="235"/>
      <c r="H25" s="235"/>
      <c r="I25" s="235"/>
      <c r="J25" s="235"/>
      <c r="K25" s="235"/>
      <c r="L25" s="235"/>
      <c r="M25" s="235"/>
      <c r="N25" s="235"/>
      <c r="O25" s="235"/>
      <c r="P25" s="235"/>
    </row>
    <row r="26" spans="1:37" s="136" customFormat="1" ht="14.25" customHeight="1">
      <c r="A26" s="235"/>
      <c r="B26" s="235"/>
      <c r="C26" s="236"/>
      <c r="D26" s="236"/>
      <c r="E26" s="236"/>
      <c r="F26" s="236"/>
      <c r="G26" s="236"/>
      <c r="H26" s="236"/>
      <c r="I26" s="236"/>
      <c r="J26" s="236"/>
      <c r="K26" s="236"/>
      <c r="L26" s="236"/>
      <c r="M26" s="236"/>
      <c r="N26" s="236"/>
      <c r="O26" s="235"/>
      <c r="P26" s="235"/>
    </row>
    <row r="27" spans="1:37" s="136" customFormat="1" ht="14.25" customHeight="1">
      <c r="A27" s="235"/>
      <c r="B27" s="235"/>
      <c r="C27" s="236"/>
      <c r="D27" s="236"/>
      <c r="E27" s="236"/>
      <c r="F27" s="236"/>
      <c r="G27" s="236"/>
      <c r="H27" s="236"/>
      <c r="I27" s="236"/>
      <c r="J27" s="236"/>
      <c r="K27" s="236"/>
      <c r="L27" s="236"/>
      <c r="M27" s="236"/>
      <c r="N27" s="236"/>
      <c r="O27" s="235"/>
      <c r="P27" s="235"/>
    </row>
    <row r="28" spans="1:37" s="136" customFormat="1" ht="14.25" customHeight="1">
      <c r="A28" s="235"/>
      <c r="B28" s="235"/>
      <c r="C28" s="236"/>
      <c r="D28" s="236"/>
      <c r="E28" s="236"/>
      <c r="F28" s="236"/>
      <c r="G28" s="236"/>
      <c r="H28" s="236"/>
      <c r="I28" s="236"/>
      <c r="J28" s="236"/>
      <c r="K28" s="236"/>
      <c r="L28" s="236"/>
      <c r="M28" s="236"/>
      <c r="N28" s="236"/>
      <c r="O28" s="235"/>
      <c r="P28" s="235"/>
    </row>
    <row r="29" spans="1:37" s="136" customFormat="1" ht="14.25" customHeight="1">
      <c r="A29" s="235"/>
      <c r="B29" s="235"/>
      <c r="C29" s="236"/>
      <c r="D29" s="236"/>
      <c r="E29" s="236"/>
      <c r="F29" s="236"/>
      <c r="G29" s="236"/>
      <c r="H29" s="236"/>
      <c r="I29" s="236"/>
      <c r="J29" s="236"/>
      <c r="K29" s="236"/>
      <c r="L29" s="236"/>
      <c r="M29" s="236"/>
      <c r="N29" s="236"/>
      <c r="O29" s="235"/>
      <c r="P29" s="235"/>
    </row>
    <row r="30" spans="1:37" s="136" customFormat="1" ht="14.25" customHeight="1">
      <c r="A30" s="235"/>
      <c r="B30" s="235"/>
      <c r="C30" s="236"/>
      <c r="D30" s="236"/>
      <c r="E30" s="236"/>
      <c r="F30" s="236"/>
      <c r="G30" s="236"/>
      <c r="H30" s="236"/>
      <c r="I30" s="236"/>
      <c r="J30" s="236"/>
      <c r="K30" s="236"/>
      <c r="L30" s="236"/>
      <c r="M30" s="236"/>
      <c r="N30" s="236"/>
      <c r="O30" s="235"/>
      <c r="P30" s="235"/>
    </row>
    <row r="31" spans="1:37" s="136" customFormat="1" ht="14.25" customHeight="1" thickBot="1">
      <c r="A31" s="235"/>
      <c r="B31" s="235"/>
      <c r="C31" s="826" t="s">
        <v>1493</v>
      </c>
      <c r="D31" s="826"/>
      <c r="E31" s="826"/>
      <c r="F31" s="826"/>
      <c r="G31" s="826"/>
      <c r="H31" s="826"/>
      <c r="I31" s="826"/>
      <c r="J31" s="826"/>
      <c r="K31" s="826"/>
      <c r="L31" s="826"/>
      <c r="M31" s="826"/>
      <c r="N31" s="826"/>
      <c r="O31" s="235"/>
      <c r="P31" s="235"/>
    </row>
    <row r="32" spans="1:37" s="136" customFormat="1" ht="14.25" customHeight="1">
      <c r="A32" s="235"/>
      <c r="B32" s="235"/>
      <c r="C32" s="236"/>
      <c r="D32" s="236"/>
      <c r="E32" s="825" t="s">
        <v>205</v>
      </c>
      <c r="F32" s="825"/>
      <c r="G32" s="825"/>
      <c r="H32" s="825"/>
      <c r="I32" s="825"/>
      <c r="J32" s="825"/>
      <c r="K32" s="825"/>
      <c r="L32" s="825"/>
      <c r="M32" s="236"/>
      <c r="N32" s="236"/>
      <c r="O32" s="235"/>
      <c r="P32" s="235"/>
    </row>
    <row r="33" spans="1:33" s="136" customFormat="1" ht="14.25" customHeight="1">
      <c r="A33" s="235"/>
      <c r="B33" s="235"/>
      <c r="C33" s="237"/>
      <c r="D33" s="237"/>
      <c r="E33" s="237"/>
      <c r="F33" s="236"/>
      <c r="G33" s="236"/>
      <c r="H33" s="236"/>
      <c r="I33" s="236"/>
      <c r="J33" s="236"/>
      <c r="K33" s="236"/>
      <c r="L33" s="237"/>
      <c r="M33" s="237"/>
      <c r="N33" s="237"/>
      <c r="O33" s="235"/>
      <c r="P33" s="235"/>
      <c r="AG33" s="243"/>
    </row>
    <row r="34" spans="1:33" s="136" customFormat="1" ht="14.25" customHeight="1">
      <c r="A34" s="235"/>
      <c r="B34" s="235"/>
      <c r="C34" s="237"/>
      <c r="D34" s="237"/>
      <c r="E34" s="237"/>
      <c r="F34" s="237"/>
      <c r="G34" s="827">
        <f ca="1">TODAY()</f>
        <v>46023</v>
      </c>
      <c r="H34" s="827"/>
      <c r="I34" s="827"/>
      <c r="J34" s="827"/>
      <c r="K34" s="237"/>
      <c r="L34" s="237"/>
      <c r="M34" s="237"/>
      <c r="N34" s="237"/>
      <c r="O34" s="235"/>
      <c r="P34" s="235"/>
      <c r="AF34" s="572"/>
      <c r="AG34" s="243"/>
    </row>
    <row r="35" spans="1:33" s="136" customFormat="1" ht="14.25" customHeight="1">
      <c r="A35" s="235"/>
      <c r="B35" s="235"/>
      <c r="C35" s="238"/>
      <c r="D35" s="238"/>
      <c r="E35" s="238"/>
      <c r="F35" s="238"/>
      <c r="G35" s="238"/>
      <c r="H35" s="238"/>
      <c r="I35" s="238"/>
      <c r="J35" s="238"/>
      <c r="K35" s="238"/>
      <c r="L35" s="238"/>
      <c r="M35" s="238"/>
      <c r="N35" s="238"/>
      <c r="O35" s="235"/>
      <c r="P35" s="235"/>
      <c r="AF35" s="572"/>
      <c r="AG35" s="243"/>
    </row>
    <row r="36" spans="1:33" s="136" customFormat="1" ht="14.25" customHeight="1">
      <c r="A36" s="235"/>
      <c r="B36" s="235"/>
      <c r="C36" s="828" t="s">
        <v>219</v>
      </c>
      <c r="D36" s="828"/>
      <c r="E36" s="828"/>
      <c r="F36" s="828"/>
      <c r="G36" s="828"/>
      <c r="H36" s="828"/>
      <c r="I36" s="828"/>
      <c r="J36" s="828"/>
      <c r="K36" s="828"/>
      <c r="L36" s="828"/>
      <c r="M36" s="828"/>
      <c r="N36" s="828"/>
      <c r="O36" s="235"/>
      <c r="P36" s="235"/>
      <c r="AF36" s="572"/>
      <c r="AG36" s="243"/>
    </row>
    <row r="37" spans="1:33" s="136" customFormat="1" ht="14.25" customHeight="1">
      <c r="A37" s="235"/>
      <c r="B37" s="235"/>
      <c r="C37" s="829" t="s">
        <v>206</v>
      </c>
      <c r="D37" s="829"/>
      <c r="E37" s="829"/>
      <c r="F37" s="829"/>
      <c r="G37" s="829"/>
      <c r="H37" s="829"/>
      <c r="I37" s="829"/>
      <c r="J37" s="829"/>
      <c r="K37" s="829"/>
      <c r="L37" s="829"/>
      <c r="M37" s="829"/>
      <c r="N37" s="829"/>
      <c r="O37" s="235"/>
      <c r="P37" s="235"/>
      <c r="AF37" s="572"/>
      <c r="AG37" s="243"/>
    </row>
    <row r="38" spans="1:33" s="136" customFormat="1" ht="14.25" customHeight="1">
      <c r="A38" s="235"/>
      <c r="B38" s="235"/>
      <c r="C38" s="239"/>
      <c r="D38" s="239"/>
      <c r="E38" s="239"/>
      <c r="F38" s="239"/>
      <c r="G38" s="239"/>
      <c r="H38" s="239"/>
      <c r="I38" s="239"/>
      <c r="J38" s="239"/>
      <c r="K38" s="239"/>
      <c r="L38" s="239"/>
      <c r="M38" s="239"/>
      <c r="N38" s="239"/>
      <c r="O38" s="235"/>
      <c r="P38" s="235"/>
      <c r="AF38" s="572"/>
      <c r="AG38" s="243"/>
    </row>
    <row r="39" spans="1:33" s="136" customFormat="1" ht="14.25" customHeight="1">
      <c r="A39" s="235"/>
      <c r="B39" s="235"/>
      <c r="C39" s="235"/>
      <c r="D39" s="235"/>
      <c r="E39" s="235"/>
      <c r="F39" s="235"/>
      <c r="G39" s="235"/>
      <c r="H39" s="235"/>
      <c r="I39" s="235"/>
      <c r="J39" s="235"/>
      <c r="K39" s="235"/>
      <c r="L39" s="235"/>
      <c r="M39" s="235"/>
      <c r="N39" s="235"/>
      <c r="O39" s="235"/>
      <c r="P39" s="235"/>
      <c r="AF39" s="572"/>
      <c r="AG39" s="243"/>
    </row>
    <row r="41" spans="1:33">
      <c r="A41" s="823" t="s">
        <v>202</v>
      </c>
      <c r="B41" s="823"/>
      <c r="C41" s="823"/>
      <c r="D41" s="823"/>
      <c r="E41" s="823"/>
      <c r="F41" s="823"/>
      <c r="G41" s="823"/>
      <c r="H41" s="823"/>
      <c r="I41" s="823"/>
      <c r="J41" s="823"/>
      <c r="K41" s="823"/>
      <c r="L41" s="823"/>
      <c r="M41" s="823"/>
      <c r="N41" s="823"/>
      <c r="O41" s="823"/>
      <c r="P41" s="823"/>
    </row>
    <row r="42" spans="1:33" ht="14.25" customHeight="1"/>
    <row r="43" spans="1:33" ht="14.25" customHeight="1"/>
    <row r="44" spans="1:33" ht="14.25" customHeight="1"/>
    <row r="45" spans="1:33" ht="14.25" customHeight="1"/>
    <row r="46" spans="1:33" ht="14.25" customHeight="1"/>
    <row r="47" spans="1:33" ht="14.25" customHeight="1"/>
    <row r="48" spans="1:3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spans="2:15" ht="14.25" customHeight="1"/>
    <row r="66" spans="2:15" ht="14.25" customHeight="1"/>
    <row r="67" spans="2:15" ht="14.25" customHeight="1"/>
    <row r="68" spans="2:15" ht="14.25" customHeight="1"/>
    <row r="69" spans="2:15" ht="14.25" customHeight="1"/>
    <row r="70" spans="2:15" ht="14.25" customHeight="1"/>
    <row r="71" spans="2:15" ht="14.25" customHeight="1"/>
    <row r="72" spans="2:15" ht="14.25" customHeight="1"/>
    <row r="73" spans="2:15" ht="14.25" customHeight="1"/>
    <row r="74" spans="2:15" ht="14.25" customHeight="1"/>
    <row r="75" spans="2:15" ht="14.25" customHeight="1"/>
    <row r="76" spans="2:15" ht="14.25" customHeight="1"/>
    <row r="77" spans="2:15" ht="14.25" customHeight="1"/>
    <row r="78" spans="2:15" ht="14.25" customHeight="1">
      <c r="B78" s="234">
        <f ca="1">(TODAY())</f>
        <v>46023</v>
      </c>
      <c r="E78" s="812" t="s">
        <v>203</v>
      </c>
      <c r="F78" s="812"/>
      <c r="G78" s="812"/>
      <c r="H78" s="812"/>
      <c r="I78" s="812"/>
      <c r="J78" s="812"/>
      <c r="K78" s="812"/>
      <c r="L78" s="812"/>
      <c r="O78" s="233">
        <v>2</v>
      </c>
    </row>
    <row r="79" spans="2:15" ht="14.25" customHeight="1"/>
    <row r="80" spans="2:15" ht="14.25" customHeight="1"/>
    <row r="81" spans="1:16" ht="15" customHeight="1">
      <c r="A81" s="296" t="str">
        <f>IF(OR('CT à Transf'!K12=Données!H52,'CT à Transf'!K12=Données!H53),"C1",IF('CT à Transf'!K12=Données!H54,"C1 bis",IF('CT à Transf'!K12=Données!H57,"C2",IF('CT à Transf'!K12=Données!H55,"C3",""))))</f>
        <v/>
      </c>
      <c r="B81" s="296"/>
      <c r="C81" s="296"/>
      <c r="D81" s="296"/>
      <c r="E81" s="296"/>
      <c r="F81" s="296"/>
      <c r="G81" s="296" t="s">
        <v>209</v>
      </c>
      <c r="H81" s="296"/>
      <c r="I81" s="296"/>
      <c r="J81" s="296"/>
      <c r="K81" s="296"/>
      <c r="L81" s="296"/>
      <c r="M81" s="296" t="str">
        <f>IF(OR('CT à Transf'!K12=Données!H50,'CT à Transf'!K12=Données!H52,'CT à Transf'!K12=Données!H53,'CT à Transf'!K12=Données!H56),"C1",IF('CT à Transf'!K12=Données!H54,"C1 bis",IF('CT à Transf'!K12=Données!H57,"C2",IF(OR('CT à Transf'!K12=Données!H51,'CT à Transf'!K12=Données!H55),"C3",""))))</f>
        <v/>
      </c>
      <c r="N81" s="296"/>
      <c r="O81" s="296"/>
      <c r="P81" s="296"/>
    </row>
    <row r="82" spans="1:16" ht="15" customHeight="1"/>
    <row r="93" spans="1:16">
      <c r="C93" s="518"/>
      <c r="D93" s="518"/>
      <c r="E93" s="518"/>
      <c r="F93" s="518"/>
      <c r="K93" s="267"/>
      <c r="L93" s="267"/>
      <c r="M93" s="267"/>
      <c r="N93" s="267"/>
    </row>
    <row r="94" spans="1:16">
      <c r="C94" s="518"/>
      <c r="D94" s="518"/>
      <c r="E94" s="518"/>
      <c r="F94" s="518"/>
      <c r="K94" s="267"/>
      <c r="L94" s="267"/>
      <c r="M94" s="267"/>
      <c r="N94" s="267"/>
    </row>
    <row r="95" spans="1:16" ht="17.399999999999999">
      <c r="C95" s="968">
        <f>'CT à Transf'!K12</f>
        <v>0</v>
      </c>
      <c r="D95" s="968"/>
      <c r="E95" s="968"/>
      <c r="F95" s="968"/>
      <c r="G95" s="969" t="str">
        <f>"------------------------ Transfert -----------------------&gt;"</f>
        <v>------------------------ Transfert -----------------------&gt;</v>
      </c>
      <c r="H95" s="969"/>
      <c r="I95" s="969"/>
      <c r="J95" s="969"/>
      <c r="K95" s="967" t="s">
        <v>1518</v>
      </c>
      <c r="L95" s="967"/>
      <c r="M95" s="967"/>
      <c r="N95" s="967"/>
    </row>
    <row r="96" spans="1:16">
      <c r="C96" s="518"/>
      <c r="D96" s="518"/>
      <c r="E96" s="518"/>
      <c r="F96" s="518"/>
      <c r="G96" s="970" t="s">
        <v>1519</v>
      </c>
      <c r="H96" s="970"/>
      <c r="I96" s="970"/>
      <c r="J96" s="970"/>
      <c r="K96" s="267"/>
      <c r="L96" s="267"/>
      <c r="M96" s="267"/>
      <c r="N96" s="267"/>
    </row>
    <row r="97" spans="3:14">
      <c r="C97" s="518"/>
      <c r="D97" s="518"/>
      <c r="E97" s="518"/>
      <c r="F97" s="518"/>
      <c r="K97" s="267"/>
      <c r="L97" s="267"/>
      <c r="M97" s="267"/>
      <c r="N97" s="267"/>
    </row>
    <row r="98" spans="3:14">
      <c r="C98" s="519" t="s">
        <v>1381</v>
      </c>
      <c r="D98" s="520" t="s">
        <v>1382</v>
      </c>
      <c r="E98" s="520" t="s">
        <v>1383</v>
      </c>
      <c r="F98" s="519" t="s">
        <v>1384</v>
      </c>
      <c r="K98" s="519" t="s">
        <v>1381</v>
      </c>
      <c r="L98" s="520" t="s">
        <v>1382</v>
      </c>
      <c r="M98" s="520" t="s">
        <v>1383</v>
      </c>
      <c r="N98" s="519" t="s">
        <v>1384</v>
      </c>
    </row>
    <row r="99" spans="3:14">
      <c r="E99" s="521"/>
      <c r="L99" s="530"/>
    </row>
    <row r="100" spans="3:14">
      <c r="E100" s="521"/>
      <c r="L100" s="522"/>
    </row>
    <row r="101" spans="3:14">
      <c r="E101" s="532"/>
      <c r="L101" s="531"/>
    </row>
    <row r="102" spans="3:14">
      <c r="C102" s="524"/>
      <c r="D102" s="525"/>
      <c r="E102" s="525"/>
      <c r="F102" s="526"/>
      <c r="K102" s="524"/>
      <c r="L102" s="525"/>
      <c r="M102" s="525"/>
      <c r="N102" s="526"/>
    </row>
    <row r="103" spans="3:14">
      <c r="C103" s="971" t="s">
        <v>1520</v>
      </c>
      <c r="D103" s="972"/>
      <c r="E103" s="972"/>
      <c r="F103" s="973"/>
      <c r="K103" s="971" t="s">
        <v>1520</v>
      </c>
      <c r="L103" s="972"/>
      <c r="M103" s="972"/>
      <c r="N103" s="973"/>
    </row>
    <row r="104" spans="3:14">
      <c r="C104" s="971" t="str">
        <f>IF(OR(Données!$H$52=C95,Données!$H$53=C95,Données!$H$54=C95,Données!$H$57=C95),"Sortie en capital","Sortie en capital si la rente est inférieure à "&amp;Données!$S$26*12&amp;" € par an")</f>
        <v>Sortie en capital si la rente est inférieure à 1320 € par an</v>
      </c>
      <c r="D104" s="972"/>
      <c r="E104" s="972"/>
      <c r="F104" s="973"/>
      <c r="K104" s="971" t="str">
        <f>IF(K95="C3","Sortie en capital si la rente est inférieure à "&amp;Données!$S$26*12&amp;" € par an","Sortie en capital")</f>
        <v>Sortie en capital</v>
      </c>
      <c r="L104" s="972"/>
      <c r="M104" s="972"/>
      <c r="N104" s="973"/>
    </row>
    <row r="105" spans="3:14">
      <c r="C105" s="971" t="str">
        <f>IF(OR(Données!$H$52=C95,Données!$H$53=C95,Données!$H$54=C95,Données!$H$57=C95),"Sortie en capital fractionné","")</f>
        <v/>
      </c>
      <c r="D105" s="972"/>
      <c r="E105" s="972"/>
      <c r="F105" s="973"/>
      <c r="K105" s="971" t="str">
        <f>IF(K95="C3","","Sortie en capital fractionné")</f>
        <v>Sortie en capital fractionné</v>
      </c>
      <c r="L105" s="972"/>
      <c r="M105" s="972"/>
      <c r="N105" s="973"/>
    </row>
    <row r="106" spans="3:14">
      <c r="C106" s="527"/>
      <c r="D106" s="528"/>
      <c r="E106" s="528"/>
      <c r="F106" s="529"/>
      <c r="K106" s="527"/>
      <c r="L106" s="528"/>
      <c r="M106" s="528"/>
      <c r="N106" s="529"/>
    </row>
    <row r="121" spans="1:16">
      <c r="A121" s="823" t="s">
        <v>1494</v>
      </c>
      <c r="B121" s="823"/>
      <c r="C121" s="823"/>
      <c r="D121" s="823"/>
      <c r="E121" s="823"/>
      <c r="F121" s="823"/>
      <c r="G121" s="823"/>
      <c r="H121" s="823"/>
      <c r="I121" s="823"/>
      <c r="J121" s="823"/>
      <c r="K121" s="823"/>
      <c r="L121" s="823"/>
      <c r="M121" s="823"/>
      <c r="N121" s="296"/>
      <c r="O121" s="296"/>
      <c r="P121" s="296"/>
    </row>
    <row r="126" spans="1:16">
      <c r="H126" s="523"/>
    </row>
    <row r="128" spans="1:16" ht="15" customHeight="1"/>
    <row r="130" ht="15" customHeight="1"/>
    <row r="133" ht="15" customHeight="1"/>
    <row r="161" spans="1:16">
      <c r="A161" s="823" t="s">
        <v>1526</v>
      </c>
      <c r="B161" s="823"/>
      <c r="C161" s="823"/>
      <c r="D161" s="823"/>
      <c r="E161" s="823"/>
      <c r="F161" s="823"/>
      <c r="G161" s="823"/>
      <c r="H161" s="823"/>
      <c r="I161" s="823"/>
      <c r="J161" s="823"/>
      <c r="K161" s="823"/>
      <c r="L161" s="823"/>
      <c r="M161" s="823"/>
      <c r="N161" s="296"/>
      <c r="O161" s="296"/>
      <c r="P161" s="296"/>
    </row>
    <row r="168" spans="1:16">
      <c r="D168" s="979" t="s">
        <v>1225</v>
      </c>
      <c r="E168" s="979"/>
      <c r="F168" s="979"/>
      <c r="G168" s="979"/>
      <c r="H168" s="980"/>
      <c r="I168" s="974">
        <f>'CT à Transf'!K12</f>
        <v>0</v>
      </c>
      <c r="J168" s="975"/>
      <c r="K168" s="975"/>
      <c r="L168" s="975"/>
      <c r="M168" s="975"/>
    </row>
    <row r="169" spans="1:16">
      <c r="D169" s="979" t="s">
        <v>290</v>
      </c>
      <c r="E169" s="979"/>
      <c r="F169" s="979"/>
      <c r="G169" s="979"/>
      <c r="H169" s="980"/>
      <c r="I169" s="976">
        <f>'CT à Transf'!K14</f>
        <v>0</v>
      </c>
      <c r="J169" s="977"/>
      <c r="K169" s="977"/>
      <c r="L169" s="977"/>
      <c r="M169" s="977"/>
    </row>
    <row r="170" spans="1:16">
      <c r="D170" s="979" t="s">
        <v>291</v>
      </c>
      <c r="E170" s="979"/>
      <c r="F170" s="979"/>
      <c r="G170" s="979"/>
      <c r="H170" s="980"/>
      <c r="I170" s="974">
        <f>'CT à Transf'!K16</f>
        <v>0</v>
      </c>
      <c r="J170" s="975"/>
      <c r="K170" s="975"/>
      <c r="L170" s="975"/>
      <c r="M170" s="975"/>
    </row>
    <row r="171" spans="1:16">
      <c r="D171" s="574"/>
      <c r="E171" s="574"/>
      <c r="F171" s="574"/>
      <c r="G171" s="574"/>
      <c r="H171" s="574"/>
      <c r="I171" s="344"/>
      <c r="J171" s="344"/>
      <c r="K171" s="344"/>
      <c r="L171" s="344"/>
      <c r="M171" s="344"/>
    </row>
    <row r="172" spans="1:16">
      <c r="D172" s="574"/>
      <c r="E172" s="574"/>
      <c r="F172" s="574"/>
      <c r="G172" s="574"/>
      <c r="H172" s="574"/>
      <c r="I172" s="344"/>
      <c r="J172" s="344"/>
      <c r="K172" s="344"/>
      <c r="L172" s="344"/>
      <c r="M172" s="344"/>
    </row>
    <row r="173" spans="1:16">
      <c r="D173" s="574"/>
      <c r="E173" s="574"/>
      <c r="F173" s="574"/>
      <c r="G173" s="574"/>
      <c r="H173" s="574"/>
      <c r="I173" s="344"/>
      <c r="J173" s="344"/>
      <c r="K173" s="344"/>
      <c r="L173" s="344"/>
      <c r="M173" s="344"/>
    </row>
    <row r="174" spans="1:16">
      <c r="D174" s="993" t="s">
        <v>1438</v>
      </c>
      <c r="E174" s="993"/>
      <c r="F174" s="993"/>
      <c r="G174" s="993"/>
      <c r="H174" s="993"/>
      <c r="I174" s="993"/>
      <c r="J174" s="993"/>
      <c r="K174" s="993"/>
      <c r="L174" s="993"/>
      <c r="M174" s="993"/>
    </row>
    <row r="175" spans="1:16">
      <c r="D175" s="981" t="str">
        <f>'CT à Transf'!F20</f>
        <v>Versement annuel</v>
      </c>
      <c r="E175" s="981"/>
      <c r="F175" s="981"/>
      <c r="G175" s="981"/>
      <c r="H175" s="981"/>
      <c r="I175" s="990" t="str">
        <f>IF('CT à Transf'!K20="","",'CT à Transf'!K20)</f>
        <v/>
      </c>
      <c r="J175" s="990"/>
      <c r="K175" s="990"/>
      <c r="L175" s="990"/>
      <c r="M175" s="990"/>
    </row>
    <row r="176" spans="1:16">
      <c r="D176" s="1001" t="str">
        <f>'CT à Transf'!F21</f>
        <v>Date d’effet</v>
      </c>
      <c r="E176" s="1001"/>
      <c r="F176" s="1001"/>
      <c r="G176" s="1001"/>
      <c r="H176" s="1001"/>
      <c r="I176" s="986" t="str">
        <f>IF('CT à Transf'!K21="","",'CT à Transf'!K21)</f>
        <v/>
      </c>
      <c r="J176" s="982"/>
      <c r="K176" s="982"/>
      <c r="L176" s="982"/>
      <c r="M176" s="982"/>
    </row>
    <row r="177" spans="4:13">
      <c r="D177" s="983" t="str">
        <f>'CT à Transf'!F22</f>
        <v>Commercialisation du contrat par la compagnie</v>
      </c>
      <c r="E177" s="983"/>
      <c r="F177" s="983"/>
      <c r="G177" s="983"/>
      <c r="H177" s="983"/>
      <c r="I177" s="1002" t="str">
        <f>IF('CT à Transf'!K22="","",'CT à Transf'!K22)</f>
        <v/>
      </c>
      <c r="J177" s="990"/>
      <c r="K177" s="990"/>
      <c r="L177" s="990"/>
      <c r="M177" s="990"/>
    </row>
    <row r="178" spans="4:13">
      <c r="D178" s="983" t="str">
        <f>'CT à Transf'!F23</f>
        <v>Provision mathématique</v>
      </c>
      <c r="E178" s="983"/>
      <c r="F178" s="983"/>
      <c r="G178" s="983"/>
      <c r="H178" s="983"/>
      <c r="I178" s="987" t="str">
        <f>IF('CT à Transf'!K23="","",'CT à Transf'!K23)</f>
        <v/>
      </c>
      <c r="J178" s="987"/>
      <c r="K178" s="987"/>
      <c r="L178" s="987"/>
      <c r="M178" s="987"/>
    </row>
    <row r="179" spans="4:13">
      <c r="D179" s="983" t="str">
        <f>'CT à Transf'!F24</f>
        <v>Dont intérets*</v>
      </c>
      <c r="E179" s="983"/>
      <c r="F179" s="983"/>
      <c r="G179" s="983"/>
      <c r="H179" s="983"/>
      <c r="I179" s="999" t="str">
        <f>IF('CT à Transf'!K24="","",'CT à Transf'!K24)</f>
        <v/>
      </c>
      <c r="J179" s="999"/>
      <c r="K179" s="999"/>
      <c r="L179" s="999"/>
      <c r="M179" s="999"/>
    </row>
    <row r="180" spans="4:13">
      <c r="D180" s="983" t="str">
        <f>'CT à Transf'!F25</f>
        <v>Nombre de fonds accessibles</v>
      </c>
      <c r="E180" s="983"/>
      <c r="F180" s="983"/>
      <c r="G180" s="983"/>
      <c r="H180" s="983"/>
      <c r="I180" s="995" t="str">
        <f>IF('CT à Transf'!K25="","",'CT à Transf'!K25)</f>
        <v/>
      </c>
      <c r="J180" s="995"/>
      <c r="K180" s="995"/>
      <c r="L180" s="995"/>
      <c r="M180" s="995"/>
    </row>
    <row r="181" spans="4:13">
      <c r="D181" s="982" t="str">
        <f>'CT à Transf'!F26</f>
        <v>Répartition UC/€</v>
      </c>
      <c r="E181" s="982"/>
      <c r="F181" s="982"/>
      <c r="G181" s="982"/>
      <c r="H181" s="982"/>
      <c r="I181" s="982" t="str">
        <f>IF('CT à Transf'!K26="","",'CT à Transf'!K26)</f>
        <v/>
      </c>
      <c r="J181" s="982"/>
      <c r="K181" s="982"/>
      <c r="L181" s="982"/>
      <c r="M181" s="982"/>
    </row>
    <row r="182" spans="4:13">
      <c r="D182" s="983" t="str">
        <f>'CT à Transf'!F27</f>
        <v>Rendement fonds €</v>
      </c>
      <c r="E182" s="983"/>
      <c r="F182" s="983"/>
      <c r="G182" s="983"/>
      <c r="H182" s="983"/>
      <c r="I182" s="1000" t="str">
        <f>IF('CT à Transf'!K27="","",'CT à Transf'!K27)</f>
        <v/>
      </c>
      <c r="J182" s="1000"/>
      <c r="K182" s="1000"/>
      <c r="L182" s="1000"/>
      <c r="M182" s="1000"/>
    </row>
    <row r="183" spans="4:13">
      <c r="D183" s="983" t="str">
        <f>'CT à Transf'!F28</f>
        <v>Frais sur versements</v>
      </c>
      <c r="E183" s="983"/>
      <c r="F183" s="983"/>
      <c r="G183" s="983"/>
      <c r="H183" s="983"/>
      <c r="I183" s="996" t="str">
        <f>IF('CT à Transf'!K28="","",'CT à Transf'!K28)</f>
        <v/>
      </c>
      <c r="J183" s="996"/>
      <c r="K183" s="996"/>
      <c r="L183" s="996"/>
      <c r="M183" s="996"/>
    </row>
    <row r="184" spans="4:13">
      <c r="D184" s="983" t="str">
        <f>'CT à Transf'!F29</f>
        <v>Frais de gestion</v>
      </c>
      <c r="E184" s="983"/>
      <c r="F184" s="983"/>
      <c r="G184" s="983"/>
      <c r="H184" s="983"/>
      <c r="I184" s="996" t="str">
        <f>IF('CT à Transf'!K29="","",'CT à Transf'!K29)</f>
        <v/>
      </c>
      <c r="J184" s="996"/>
      <c r="K184" s="996"/>
      <c r="L184" s="996"/>
      <c r="M184" s="996"/>
    </row>
    <row r="185" spans="4:13">
      <c r="D185" s="983" t="str">
        <f>'CT à Transf'!F30</f>
        <v>Frais arbitrage</v>
      </c>
      <c r="E185" s="983"/>
      <c r="F185" s="983"/>
      <c r="G185" s="983"/>
      <c r="H185" s="983"/>
      <c r="I185" s="996" t="str">
        <f>IF('CT à Transf'!K30="","",'CT à Transf'!K30)</f>
        <v/>
      </c>
      <c r="J185" s="996"/>
      <c r="K185" s="996"/>
      <c r="L185" s="996"/>
      <c r="M185" s="996"/>
    </row>
    <row r="186" spans="4:13">
      <c r="D186" s="982" t="str">
        <f>'CT à Transf'!F31</f>
        <v>Frais transfert sortant</v>
      </c>
      <c r="E186" s="982"/>
      <c r="F186" s="982"/>
      <c r="G186" s="982"/>
      <c r="H186" s="982"/>
      <c r="I186" s="997" t="str">
        <f>IF('CT à Transf'!K31="","",'CT à Transf'!K31)</f>
        <v/>
      </c>
      <c r="J186" s="997"/>
      <c r="K186" s="997"/>
      <c r="L186" s="997"/>
      <c r="M186" s="997"/>
    </row>
    <row r="187" spans="4:13">
      <c r="D187" s="978" t="str">
        <f>'CT à Transf'!F32</f>
        <v>Clause bénéficiaire</v>
      </c>
      <c r="E187" s="978"/>
      <c r="F187" s="978"/>
      <c r="G187" s="978"/>
      <c r="H187" s="978"/>
      <c r="I187" s="983" t="str">
        <f>IF('CT à Transf'!K32="","",'CT à Transf'!K32)</f>
        <v/>
      </c>
      <c r="J187" s="983"/>
      <c r="K187" s="983"/>
      <c r="L187" s="983"/>
      <c r="M187" s="983"/>
    </row>
    <row r="188" spans="4:13">
      <c r="D188" s="978" t="str">
        <f>'CT à Transf'!F33</f>
        <v>Garanties complémentaires</v>
      </c>
      <c r="E188" s="978"/>
      <c r="F188" s="978"/>
      <c r="G188" s="978"/>
      <c r="H188" s="978"/>
      <c r="I188" s="998" t="str">
        <f>IF('CT à Transf'!K33="","",'CT à Transf'!K33)</f>
        <v/>
      </c>
      <c r="J188" s="998"/>
      <c r="K188" s="998"/>
      <c r="L188" s="998"/>
      <c r="M188" s="998"/>
    </row>
    <row r="189" spans="4:13">
      <c r="D189" s="136"/>
      <c r="E189" s="136"/>
      <c r="F189" s="136"/>
      <c r="G189" s="136"/>
      <c r="H189" s="136"/>
      <c r="I189" s="136"/>
      <c r="J189" s="136"/>
      <c r="K189" s="136"/>
      <c r="L189" s="136"/>
      <c r="M189" s="136"/>
    </row>
    <row r="190" spans="4:13">
      <c r="D190" s="991" t="s">
        <v>1522</v>
      </c>
      <c r="E190" s="992"/>
      <c r="F190" s="992"/>
      <c r="G190" s="992"/>
      <c r="H190" s="992"/>
      <c r="I190" s="992"/>
      <c r="J190" s="992"/>
      <c r="K190" s="992"/>
      <c r="L190" s="992"/>
      <c r="M190" s="992"/>
    </row>
    <row r="197" spans="1:16">
      <c r="A197" s="533"/>
      <c r="B197" s="533"/>
      <c r="C197" s="533"/>
      <c r="D197" s="533"/>
      <c r="E197" s="533"/>
      <c r="F197" s="533"/>
      <c r="G197" s="533"/>
      <c r="H197" s="533"/>
      <c r="I197" s="533"/>
      <c r="J197" s="533"/>
      <c r="K197" s="533"/>
      <c r="L197" s="533"/>
    </row>
    <row r="198" spans="1:16">
      <c r="A198" s="533"/>
      <c r="B198" s="533"/>
      <c r="C198" s="533"/>
      <c r="D198" s="533"/>
      <c r="E198" s="533"/>
      <c r="F198" s="533"/>
      <c r="G198" s="533"/>
      <c r="H198" s="533"/>
      <c r="I198" s="533"/>
      <c r="J198" s="533"/>
      <c r="K198" s="533"/>
      <c r="L198" s="533"/>
    </row>
    <row r="201" spans="1:16">
      <c r="A201" s="823" t="s">
        <v>1527</v>
      </c>
      <c r="B201" s="823"/>
      <c r="C201" s="823"/>
      <c r="D201" s="823"/>
      <c r="E201" s="823"/>
      <c r="F201" s="823"/>
      <c r="G201" s="823"/>
      <c r="H201" s="823"/>
      <c r="I201" s="823"/>
      <c r="J201" s="823"/>
      <c r="K201" s="823"/>
      <c r="L201" s="823"/>
      <c r="M201" s="823"/>
      <c r="N201" s="823"/>
      <c r="O201" s="823"/>
      <c r="P201" s="296"/>
    </row>
    <row r="208" spans="1:16">
      <c r="D208" s="978" t="s">
        <v>1225</v>
      </c>
      <c r="E208" s="978"/>
      <c r="F208" s="978"/>
      <c r="G208" s="978"/>
      <c r="H208" s="984"/>
      <c r="I208" s="985">
        <f>I168</f>
        <v>0</v>
      </c>
      <c r="J208" s="983"/>
      <c r="K208" s="983"/>
      <c r="L208" s="983"/>
      <c r="M208" s="983"/>
    </row>
    <row r="209" spans="4:13">
      <c r="D209" s="978" t="s">
        <v>290</v>
      </c>
      <c r="E209" s="978"/>
      <c r="F209" s="978"/>
      <c r="G209" s="978"/>
      <c r="H209" s="984"/>
      <c r="I209" s="994">
        <f>I169</f>
        <v>0</v>
      </c>
      <c r="J209" s="995"/>
      <c r="K209" s="995"/>
      <c r="L209" s="995"/>
      <c r="M209" s="995"/>
    </row>
    <row r="210" spans="4:13">
      <c r="D210" s="978" t="s">
        <v>291</v>
      </c>
      <c r="E210" s="978"/>
      <c r="F210" s="978"/>
      <c r="G210" s="978"/>
      <c r="H210" s="984"/>
      <c r="I210" s="985">
        <f>I170</f>
        <v>0</v>
      </c>
      <c r="J210" s="983"/>
      <c r="K210" s="983"/>
      <c r="L210" s="983"/>
      <c r="M210" s="983"/>
    </row>
    <row r="211" spans="4:13">
      <c r="D211" s="535"/>
      <c r="E211" s="535"/>
      <c r="F211" s="535"/>
      <c r="G211" s="535"/>
      <c r="H211" s="535"/>
      <c r="I211" s="536"/>
      <c r="J211" s="536"/>
      <c r="K211" s="536"/>
      <c r="L211" s="536"/>
      <c r="M211" s="536"/>
    </row>
    <row r="212" spans="4:13">
      <c r="D212" s="535"/>
      <c r="E212" s="535"/>
      <c r="F212" s="535"/>
      <c r="G212" s="535"/>
      <c r="H212" s="535"/>
      <c r="I212" s="536"/>
      <c r="J212" s="536"/>
      <c r="K212" s="536"/>
      <c r="L212" s="536"/>
      <c r="M212" s="536"/>
    </row>
    <row r="213" spans="4:13">
      <c r="D213" s="535"/>
      <c r="E213" s="535"/>
      <c r="F213" s="535"/>
      <c r="G213" s="535"/>
      <c r="H213" s="535"/>
      <c r="I213" s="536"/>
      <c r="J213" s="536"/>
      <c r="K213" s="536"/>
      <c r="L213" s="536"/>
      <c r="M213" s="536"/>
    </row>
    <row r="214" spans="4:13">
      <c r="D214" s="988" t="s">
        <v>1523</v>
      </c>
      <c r="E214" s="988"/>
      <c r="F214" s="988"/>
      <c r="G214" s="988"/>
      <c r="H214" s="988"/>
      <c r="I214" s="988"/>
      <c r="J214" s="988"/>
      <c r="K214" s="988"/>
      <c r="L214" s="988"/>
      <c r="M214" s="988"/>
    </row>
    <row r="215" spans="4:13">
      <c r="D215" s="989" t="str">
        <f>'CT à Transf'!O20</f>
        <v>Age limite liquidation</v>
      </c>
      <c r="E215" s="989"/>
      <c r="F215" s="989"/>
      <c r="G215" s="989"/>
      <c r="H215" s="989"/>
      <c r="I215" s="990">
        <f>'CT à Transf'!R20</f>
        <v>0</v>
      </c>
      <c r="J215" s="990"/>
      <c r="K215" s="990"/>
      <c r="L215" s="990"/>
      <c r="M215" s="990"/>
    </row>
    <row r="216" spans="4:13">
      <c r="D216" s="981" t="str">
        <f>'CT à Transf'!O21</f>
        <v>Sortie capital possible à la retraite (sauf exception)</v>
      </c>
      <c r="E216" s="981"/>
      <c r="F216" s="981"/>
      <c r="G216" s="981"/>
      <c r="H216" s="981"/>
      <c r="I216" s="1008">
        <f>'CT à Transf'!R21</f>
        <v>0</v>
      </c>
      <c r="J216" s="1008"/>
      <c r="K216" s="1008"/>
      <c r="L216" s="1008"/>
      <c r="M216" s="1008"/>
    </row>
    <row r="217" spans="4:13">
      <c r="D217" s="983" t="str">
        <f>'CT à Transf'!O22</f>
        <v>Fractionnement du capital</v>
      </c>
      <c r="E217" s="983"/>
      <c r="F217" s="983"/>
      <c r="G217" s="983"/>
      <c r="H217" s="983"/>
      <c r="I217" s="995">
        <f>'CT à Transf'!R22</f>
        <v>0</v>
      </c>
      <c r="J217" s="995"/>
      <c r="K217" s="995"/>
      <c r="L217" s="995"/>
      <c r="M217" s="995"/>
    </row>
    <row r="218" spans="4:13">
      <c r="D218" s="982" t="str">
        <f>'CT à Transf'!O23</f>
        <v>Rachat libre</v>
      </c>
      <c r="E218" s="982"/>
      <c r="F218" s="982"/>
      <c r="G218" s="982"/>
      <c r="H218" s="982"/>
      <c r="I218" s="1009">
        <f>'CT à Transf'!R23</f>
        <v>0</v>
      </c>
      <c r="J218" s="1009"/>
      <c r="K218" s="1009"/>
      <c r="L218" s="1009"/>
      <c r="M218" s="1009"/>
    </row>
    <row r="219" spans="4:13">
      <c r="D219" s="1003" t="str">
        <f>'CT à Transf'!O24</f>
        <v>Table utilisée pour la conversion en rente</v>
      </c>
      <c r="E219" s="1003"/>
      <c r="F219" s="1003"/>
      <c r="G219" s="1003"/>
      <c r="H219" s="1003"/>
      <c r="I219" s="1004">
        <f>'CT à Transf'!R24</f>
        <v>0</v>
      </c>
      <c r="J219" s="1004"/>
      <c r="K219" s="1004"/>
      <c r="L219" s="1004"/>
      <c r="M219" s="1004"/>
    </row>
    <row r="220" spans="4:13">
      <c r="D220" s="1005" t="str">
        <f>'CT à Transf'!O25</f>
        <v>Table garantie à l’adhésion</v>
      </c>
      <c r="E220" s="1005"/>
      <c r="F220" s="1005"/>
      <c r="G220" s="1005"/>
      <c r="H220" s="1005"/>
      <c r="I220" s="1006">
        <f>'CT à Transf'!R25</f>
        <v>0</v>
      </c>
      <c r="J220" s="1006"/>
      <c r="K220" s="1006"/>
      <c r="L220" s="1006"/>
      <c r="M220" s="1006"/>
    </row>
    <row r="221" spans="4:13">
      <c r="D221" s="1005" t="str">
        <f>'CT à Transf'!O26</f>
        <v>Taux technique</v>
      </c>
      <c r="E221" s="1005"/>
      <c r="F221" s="1005"/>
      <c r="G221" s="1005"/>
      <c r="H221" s="1005"/>
      <c r="I221" s="1007">
        <f>'CT à Transf'!R26</f>
        <v>0</v>
      </c>
      <c r="J221" s="1007"/>
      <c r="K221" s="1007"/>
      <c r="L221" s="1007"/>
      <c r="M221" s="1007"/>
    </row>
    <row r="222" spans="4:13">
      <c r="D222" s="1005" t="str">
        <f>'CT à Transf'!O27</f>
        <v>Frais sur arrérages</v>
      </c>
      <c r="E222" s="1005"/>
      <c r="F222" s="1005"/>
      <c r="G222" s="1005"/>
      <c r="H222" s="1005"/>
      <c r="I222" s="1007">
        <f>'CT à Transf'!R27</f>
        <v>0</v>
      </c>
      <c r="J222" s="1007"/>
      <c r="K222" s="1007"/>
      <c r="L222" s="1007"/>
      <c r="M222" s="1007"/>
    </row>
    <row r="223" spans="4:13">
      <c r="D223" s="1005" t="str">
        <f>'CT à Transf'!O28</f>
        <v>Annuités garanties</v>
      </c>
      <c r="E223" s="1005"/>
      <c r="F223" s="1005"/>
      <c r="G223" s="1005"/>
      <c r="H223" s="1005"/>
      <c r="I223" s="1006">
        <f>'CT à Transf'!R28</f>
        <v>0</v>
      </c>
      <c r="J223" s="1006"/>
      <c r="K223" s="1006"/>
      <c r="L223" s="1006"/>
      <c r="M223" s="1006"/>
    </row>
    <row r="224" spans="4:13">
      <c r="D224" s="1005" t="str">
        <f>'CT à Transf'!O29</f>
        <v>Réversion possible</v>
      </c>
      <c r="E224" s="1005"/>
      <c r="F224" s="1005"/>
      <c r="G224" s="1005"/>
      <c r="H224" s="1005"/>
      <c r="I224" s="1006">
        <f>'CT à Transf'!R29</f>
        <v>0</v>
      </c>
      <c r="J224" s="1006"/>
      <c r="K224" s="1006"/>
      <c r="L224" s="1006"/>
      <c r="M224" s="1006"/>
    </row>
    <row r="225" spans="4:13">
      <c r="D225" s="1005" t="str">
        <f>'CT à Transf'!O30</f>
        <v>Réversion incluse dans la rente ci-dessous</v>
      </c>
      <c r="E225" s="1005"/>
      <c r="F225" s="1005"/>
      <c r="G225" s="1005"/>
      <c r="H225" s="1005"/>
      <c r="I225" s="1015">
        <f>'CT à Transf'!R30</f>
        <v>0</v>
      </c>
      <c r="J225" s="1015"/>
      <c r="K225" s="1015"/>
      <c r="L225" s="1015"/>
      <c r="M225" s="1015"/>
    </row>
    <row r="226" spans="4:13">
      <c r="D226" s="1012" t="str">
        <f>'CT à Transf'!O31</f>
        <v>Rente estimée à</v>
      </c>
      <c r="E226" s="1012"/>
      <c r="F226" s="1012"/>
      <c r="G226" s="538">
        <f>'CT à Transf'!P31</f>
        <v>0</v>
      </c>
      <c r="H226" s="539" t="str">
        <f>'CT à Transf'!Q31</f>
        <v>ans**</v>
      </c>
      <c r="I226" s="1016">
        <f>'CT à Transf'!R31</f>
        <v>0</v>
      </c>
      <c r="J226" s="1016"/>
      <c r="K226" s="1016"/>
      <c r="L226" s="1016"/>
      <c r="M226" s="1016"/>
    </row>
    <row r="230" spans="4:13">
      <c r="D230" s="1010" t="s">
        <v>1524</v>
      </c>
      <c r="E230" s="1011"/>
      <c r="F230" s="1011"/>
      <c r="G230" s="1011"/>
      <c r="H230" s="1011"/>
      <c r="I230" s="1011"/>
      <c r="J230" s="1011"/>
      <c r="K230" s="1011"/>
      <c r="L230" s="1011"/>
      <c r="M230" s="1011"/>
    </row>
    <row r="241" spans="1:16">
      <c r="A241" s="823" t="s">
        <v>1528</v>
      </c>
      <c r="B241" s="823"/>
      <c r="C241" s="823"/>
      <c r="D241" s="823"/>
      <c r="E241" s="823"/>
      <c r="F241" s="823"/>
      <c r="G241" s="823"/>
      <c r="H241" s="823"/>
      <c r="I241" s="823"/>
      <c r="J241" s="823"/>
      <c r="K241" s="823"/>
      <c r="L241" s="823"/>
      <c r="M241" s="823"/>
      <c r="N241" s="823"/>
      <c r="O241" s="583" t="s">
        <v>1571</v>
      </c>
      <c r="P241" s="583" t="str">
        <f>IF(SynthèsePER!I9=TRUE,"Oui","Non")</f>
        <v>Non</v>
      </c>
    </row>
    <row r="242" spans="1:16">
      <c r="A242" s="534"/>
      <c r="B242" s="534"/>
      <c r="C242" s="534"/>
      <c r="D242" s="534"/>
      <c r="E242" s="534"/>
      <c r="F242" s="534"/>
      <c r="G242" s="534"/>
      <c r="H242" s="534"/>
      <c r="I242" s="534"/>
      <c r="J242" s="534"/>
      <c r="K242" s="534"/>
      <c r="L242" s="534"/>
      <c r="M242" s="534"/>
      <c r="N242" s="534"/>
      <c r="O242" s="534"/>
      <c r="P242" s="534"/>
    </row>
    <row r="243" spans="1:16">
      <c r="A243" s="534"/>
      <c r="B243" s="534"/>
      <c r="C243" s="534"/>
      <c r="D243" s="534"/>
      <c r="E243" s="534"/>
      <c r="F243" s="534"/>
      <c r="G243" s="534"/>
      <c r="H243" s="534"/>
      <c r="I243" s="534"/>
      <c r="J243" s="534"/>
      <c r="K243" s="534"/>
      <c r="L243" s="534"/>
      <c r="M243" s="534"/>
      <c r="N243" s="534"/>
      <c r="O243" s="534"/>
      <c r="P243" s="534"/>
    </row>
    <row r="244" spans="1:16">
      <c r="A244" s="534"/>
      <c r="B244" s="534"/>
      <c r="C244" s="534"/>
      <c r="D244" s="534"/>
      <c r="E244" s="534"/>
      <c r="F244" s="534"/>
      <c r="G244" s="534"/>
      <c r="H244" s="534"/>
      <c r="I244" s="534"/>
      <c r="J244" s="534"/>
      <c r="K244" s="534"/>
      <c r="L244" s="534"/>
      <c r="M244" s="534"/>
      <c r="N244" s="534"/>
      <c r="O244" s="534"/>
      <c r="P244" s="534"/>
    </row>
    <row r="245" spans="1:16">
      <c r="A245" s="534"/>
      <c r="B245" s="534"/>
      <c r="C245" s="534"/>
      <c r="D245" s="534"/>
      <c r="E245" s="534"/>
      <c r="F245" s="534"/>
      <c r="G245" s="534"/>
      <c r="H245" s="534"/>
      <c r="I245" s="534"/>
      <c r="J245" s="534"/>
      <c r="K245" s="534"/>
      <c r="L245" s="534"/>
      <c r="M245" s="534"/>
      <c r="N245" s="534"/>
      <c r="O245" s="534"/>
      <c r="P245" s="534"/>
    </row>
    <row r="246" spans="1:16">
      <c r="A246" s="534"/>
      <c r="B246" s="534"/>
      <c r="C246" s="534"/>
      <c r="D246" s="534"/>
      <c r="E246" s="534"/>
      <c r="F246" s="534"/>
      <c r="G246" s="534"/>
      <c r="H246" s="534"/>
      <c r="I246" s="534"/>
      <c r="J246" s="534"/>
      <c r="K246" s="534"/>
      <c r="L246" s="534"/>
      <c r="M246" s="534"/>
      <c r="N246" s="534"/>
      <c r="O246" s="534"/>
      <c r="P246" s="534"/>
    </row>
    <row r="247" spans="1:16">
      <c r="A247" s="534"/>
      <c r="B247" s="534"/>
      <c r="C247" s="534"/>
      <c r="D247" s="542" t="s">
        <v>1534</v>
      </c>
      <c r="E247" s="543"/>
      <c r="F247" s="534"/>
      <c r="G247" s="534"/>
      <c r="H247" s="534"/>
      <c r="I247" s="534"/>
      <c r="J247" s="534"/>
      <c r="K247" s="534"/>
      <c r="L247" s="534"/>
      <c r="M247" s="534"/>
      <c r="N247" s="534"/>
      <c r="O247" s="534"/>
      <c r="P247" s="534"/>
    </row>
    <row r="248" spans="1:16">
      <c r="A248" s="534"/>
      <c r="B248" s="534"/>
      <c r="C248" s="534"/>
      <c r="D248" s="534"/>
      <c r="E248" s="534"/>
      <c r="F248" s="534"/>
      <c r="G248" s="534"/>
      <c r="H248" s="534"/>
      <c r="I248" s="534"/>
      <c r="J248" s="534"/>
      <c r="K248" s="534"/>
      <c r="L248" s="534"/>
      <c r="M248" s="534"/>
      <c r="N248" s="534"/>
      <c r="O248" s="534"/>
      <c r="P248" s="534"/>
    </row>
    <row r="249" spans="1:16">
      <c r="A249" s="534"/>
      <c r="B249" s="534"/>
      <c r="C249" s="534"/>
      <c r="D249" s="551" t="s">
        <v>1529</v>
      </c>
      <c r="E249" s="551"/>
      <c r="F249" s="552"/>
      <c r="G249" s="553">
        <f>G226</f>
        <v>0</v>
      </c>
      <c r="H249" s="551" t="s">
        <v>51</v>
      </c>
      <c r="I249" s="534"/>
      <c r="J249" s="534"/>
      <c r="K249" s="534"/>
      <c r="L249" s="534"/>
      <c r="M249" s="534"/>
      <c r="N249" s="534"/>
      <c r="O249" s="534"/>
      <c r="P249" s="534"/>
    </row>
    <row r="250" spans="1:16">
      <c r="A250" s="534"/>
      <c r="B250" s="534"/>
      <c r="C250" s="534"/>
      <c r="D250" s="540" t="s">
        <v>1530</v>
      </c>
      <c r="E250" s="540"/>
      <c r="F250" s="541"/>
      <c r="G250" s="549">
        <f>SynthèsePER!I15</f>
        <v>0</v>
      </c>
      <c r="H250" s="540"/>
      <c r="I250" s="534"/>
      <c r="J250" s="534"/>
      <c r="K250" s="534"/>
      <c r="L250" s="534"/>
      <c r="M250" s="534"/>
      <c r="N250" s="534"/>
      <c r="O250" s="534"/>
      <c r="P250" s="534"/>
    </row>
    <row r="251" spans="1:16">
      <c r="A251" s="534"/>
      <c r="B251" s="534"/>
      <c r="C251" s="534"/>
      <c r="D251" s="540" t="s">
        <v>1533</v>
      </c>
      <c r="E251" s="540"/>
      <c r="F251" s="540"/>
      <c r="G251" s="549" t="e">
        <f>SynthèsePER!Q13</f>
        <v>#DIV/0!</v>
      </c>
      <c r="H251" s="540"/>
      <c r="I251" s="534"/>
      <c r="J251" s="534"/>
      <c r="K251" s="534"/>
      <c r="L251" s="534"/>
      <c r="M251" s="534"/>
      <c r="N251" s="534"/>
      <c r="O251" s="534"/>
      <c r="P251" s="534"/>
    </row>
    <row r="252" spans="1:16">
      <c r="A252" s="534"/>
      <c r="B252" s="534"/>
      <c r="C252" s="534"/>
      <c r="D252" s="540" t="s">
        <v>1531</v>
      </c>
      <c r="E252" s="540"/>
      <c r="F252" s="540"/>
      <c r="G252" s="549">
        <f>'Sit 1'!N9</f>
        <v>0.17199999999999999</v>
      </c>
      <c r="H252" s="540"/>
      <c r="I252" s="534"/>
      <c r="J252" s="534"/>
      <c r="K252" s="534"/>
      <c r="L252" s="534"/>
      <c r="M252" s="534"/>
      <c r="N252" s="534"/>
      <c r="O252" s="534"/>
      <c r="P252" s="534"/>
    </row>
    <row r="253" spans="1:16">
      <c r="A253" s="534"/>
      <c r="B253" s="534"/>
      <c r="C253" s="534"/>
      <c r="D253" s="540" t="s">
        <v>1532</v>
      </c>
      <c r="E253" s="540"/>
      <c r="F253" s="540"/>
      <c r="G253" s="549">
        <f>NewPER!Q24</f>
        <v>0</v>
      </c>
      <c r="H253" s="540"/>
      <c r="I253" s="534"/>
      <c r="J253" s="534"/>
      <c r="K253" s="534"/>
      <c r="L253" s="534"/>
      <c r="M253" s="534"/>
      <c r="N253" s="534"/>
      <c r="O253" s="534"/>
      <c r="P253" s="534"/>
    </row>
    <row r="254" spans="1:16">
      <c r="A254" s="534"/>
      <c r="B254" s="534"/>
      <c r="C254" s="534"/>
      <c r="D254" s="540" t="s">
        <v>1539</v>
      </c>
      <c r="E254" s="540"/>
      <c r="F254" s="540"/>
      <c r="G254" s="549">
        <f>NewPER!I24</f>
        <v>0</v>
      </c>
      <c r="H254" s="534"/>
      <c r="I254" s="534"/>
      <c r="J254" s="534"/>
      <c r="K254" s="534"/>
      <c r="L254" s="534"/>
      <c r="M254" s="534"/>
      <c r="N254" s="534"/>
      <c r="O254" s="534"/>
      <c r="P254" s="534"/>
    </row>
    <row r="255" spans="1:16">
      <c r="A255" s="534"/>
      <c r="B255" s="534"/>
      <c r="C255" s="534"/>
      <c r="D255" s="540" t="s">
        <v>1540</v>
      </c>
      <c r="E255" s="534"/>
      <c r="F255" s="534"/>
      <c r="G255" s="550">
        <f>'Sit 1'!C9</f>
        <v>0</v>
      </c>
      <c r="H255" s="534"/>
      <c r="I255" s="534"/>
      <c r="J255" s="534"/>
      <c r="K255" s="534"/>
      <c r="L255" s="534"/>
      <c r="M255" s="534"/>
    </row>
    <row r="256" spans="1:16">
      <c r="A256" s="534"/>
      <c r="B256" s="534"/>
      <c r="C256" s="534"/>
      <c r="D256" s="540"/>
      <c r="E256" s="534"/>
      <c r="F256" s="534"/>
      <c r="G256" s="547"/>
      <c r="H256" s="534"/>
      <c r="I256" s="534"/>
      <c r="J256" s="534"/>
      <c r="K256" s="534"/>
      <c r="L256" s="534"/>
      <c r="M256" s="534"/>
    </row>
    <row r="257" spans="1:16">
      <c r="A257" s="534"/>
      <c r="B257" s="534"/>
      <c r="C257" s="534"/>
      <c r="D257" s="534"/>
      <c r="E257" s="534"/>
      <c r="F257" s="534"/>
      <c r="G257" s="534"/>
      <c r="H257" s="534"/>
      <c r="I257" s="534"/>
      <c r="J257" s="534"/>
      <c r="K257" s="534"/>
      <c r="L257" s="534"/>
      <c r="M257" s="534"/>
    </row>
    <row r="258" spans="1:16">
      <c r="A258" s="534"/>
      <c r="B258" s="534"/>
      <c r="C258" s="534"/>
      <c r="D258" s="1014" t="s">
        <v>1542</v>
      </c>
      <c r="E258" s="1014"/>
      <c r="F258" s="1014"/>
      <c r="G258" s="1014"/>
      <c r="H258" s="1014"/>
      <c r="I258" s="1014"/>
      <c r="J258" s="1013">
        <f ca="1">'Sit 1'!H13</f>
        <v>0</v>
      </c>
      <c r="K258" s="1013"/>
      <c r="L258" s="534"/>
      <c r="M258" s="534"/>
    </row>
    <row r="259" spans="1:16">
      <c r="A259" s="534"/>
      <c r="B259" s="534"/>
      <c r="C259" s="534"/>
      <c r="D259" s="534"/>
      <c r="E259" s="534"/>
      <c r="F259" s="534"/>
      <c r="G259" s="534"/>
      <c r="H259" s="534"/>
      <c r="I259" s="534"/>
      <c r="J259" s="534"/>
      <c r="K259" s="534"/>
      <c r="L259" s="534"/>
      <c r="M259" s="534"/>
      <c r="N259" s="534"/>
      <c r="O259" s="534"/>
      <c r="P259" s="534"/>
    </row>
    <row r="260" spans="1:16">
      <c r="A260" s="534"/>
      <c r="B260" s="534"/>
      <c r="C260" s="534"/>
      <c r="D260" s="548"/>
      <c r="E260" s="548"/>
      <c r="F260" s="548"/>
      <c r="G260" s="548"/>
      <c r="H260" s="548"/>
      <c r="I260" s="548"/>
      <c r="J260" s="548"/>
      <c r="K260" s="548"/>
      <c r="L260" s="548"/>
      <c r="M260" s="548"/>
      <c r="N260" s="534"/>
      <c r="O260" s="534"/>
      <c r="P260" s="534"/>
    </row>
    <row r="261" spans="1:16">
      <c r="A261" s="534"/>
      <c r="B261" s="534"/>
      <c r="C261" s="534"/>
      <c r="D261" s="1019" t="s">
        <v>43</v>
      </c>
      <c r="E261" s="1019"/>
      <c r="F261" s="1019" t="s">
        <v>1536</v>
      </c>
      <c r="G261" s="1019"/>
      <c r="H261" s="1019" t="s">
        <v>1537</v>
      </c>
      <c r="I261" s="1019"/>
      <c r="J261" s="534"/>
      <c r="K261" s="534"/>
      <c r="L261" s="534"/>
      <c r="M261" s="534"/>
      <c r="N261" s="534"/>
      <c r="O261" s="534"/>
      <c r="P261" s="534"/>
    </row>
    <row r="262" spans="1:16" ht="15" customHeight="1">
      <c r="A262" s="534"/>
      <c r="B262" s="534"/>
      <c r="C262" s="534"/>
      <c r="D262" s="1019"/>
      <c r="E262" s="1019"/>
      <c r="F262" s="1019"/>
      <c r="G262" s="1019"/>
      <c r="H262" s="1019"/>
      <c r="I262" s="1019"/>
      <c r="J262" s="534"/>
      <c r="K262" s="534"/>
      <c r="L262" s="534"/>
      <c r="M262" s="534"/>
      <c r="N262" s="534"/>
      <c r="O262" s="534"/>
      <c r="P262" s="534"/>
    </row>
    <row r="263" spans="1:16">
      <c r="A263" s="534"/>
      <c r="B263" s="534"/>
      <c r="C263" s="534"/>
      <c r="D263" s="975" t="s">
        <v>1535</v>
      </c>
      <c r="E263" s="975"/>
      <c r="F263" s="1017" t="e">
        <f ca="1">SynthèsePER!J24</f>
        <v>#DIV/0!</v>
      </c>
      <c r="G263" s="1017"/>
      <c r="H263" s="1017">
        <f ca="1">SynthèsePER!J26</f>
        <v>0</v>
      </c>
      <c r="I263" s="1017"/>
      <c r="J263" s="534"/>
      <c r="K263" s="534"/>
      <c r="L263" s="534"/>
      <c r="M263" s="534"/>
      <c r="N263" s="534"/>
      <c r="O263" s="534"/>
      <c r="P263" s="534"/>
    </row>
    <row r="264" spans="1:16">
      <c r="A264" s="534"/>
      <c r="B264" s="534"/>
      <c r="C264" s="534"/>
      <c r="D264" s="534"/>
      <c r="E264" s="534"/>
      <c r="F264" s="534"/>
      <c r="G264" s="534"/>
      <c r="H264" s="534"/>
      <c r="I264" s="544"/>
      <c r="K264" s="1018" t="s">
        <v>1538</v>
      </c>
      <c r="L264" s="1018"/>
      <c r="M264" s="534"/>
      <c r="N264" s="534"/>
      <c r="O264" s="534"/>
      <c r="P264" s="534"/>
    </row>
    <row r="265" spans="1:16">
      <c r="A265" s="534"/>
      <c r="B265" s="534"/>
      <c r="C265" s="534"/>
      <c r="D265" s="534"/>
      <c r="E265" s="534"/>
      <c r="F265" s="534"/>
      <c r="G265" s="534"/>
      <c r="H265" s="534"/>
      <c r="I265" s="545"/>
      <c r="J265" s="528"/>
      <c r="K265" s="546">
        <f>SynthèsePER!Q19</f>
        <v>80</v>
      </c>
      <c r="L265" s="546" t="s">
        <v>1541</v>
      </c>
      <c r="M265" s="534"/>
      <c r="N265" s="534"/>
      <c r="O265" s="534"/>
      <c r="P265" s="534"/>
    </row>
    <row r="266" spans="1:16">
      <c r="A266" s="534"/>
      <c r="B266" s="534"/>
      <c r="C266" s="534"/>
      <c r="D266" s="534"/>
      <c r="E266" s="534"/>
      <c r="F266" s="534"/>
      <c r="G266" s="534"/>
      <c r="H266" s="534"/>
      <c r="I266" s="544"/>
      <c r="K266" s="1017">
        <f ca="1">SynthèsePER!J28</f>
        <v>0</v>
      </c>
      <c r="L266" s="1017"/>
      <c r="M266" s="534"/>
      <c r="N266" s="534"/>
      <c r="O266" s="534"/>
      <c r="P266" s="534"/>
    </row>
    <row r="267" spans="1:16">
      <c r="A267" s="534"/>
      <c r="B267" s="534"/>
      <c r="C267" s="534"/>
      <c r="D267" s="534"/>
      <c r="E267" s="534"/>
      <c r="F267" s="534"/>
      <c r="G267" s="534"/>
      <c r="H267" s="534"/>
      <c r="I267" s="544"/>
      <c r="J267" s="534"/>
      <c r="K267" s="534"/>
      <c r="L267" s="534"/>
      <c r="M267" s="534"/>
      <c r="N267" s="534"/>
      <c r="O267" s="534"/>
      <c r="P267" s="534"/>
    </row>
    <row r="268" spans="1:16">
      <c r="A268" s="534"/>
      <c r="B268" s="534"/>
      <c r="C268" s="534"/>
      <c r="D268" s="534"/>
      <c r="E268" s="534"/>
      <c r="F268" s="534"/>
      <c r="G268" s="534"/>
      <c r="H268" s="534"/>
      <c r="I268" s="544"/>
      <c r="L268" s="1018" t="s">
        <v>1538</v>
      </c>
      <c r="M268" s="1018"/>
      <c r="N268" s="534"/>
    </row>
    <row r="269" spans="1:16">
      <c r="A269" s="534"/>
      <c r="B269" s="534"/>
      <c r="C269" s="534"/>
      <c r="D269" s="534"/>
      <c r="E269" s="534"/>
      <c r="F269" s="534"/>
      <c r="G269" s="534"/>
      <c r="H269" s="534"/>
      <c r="I269" s="545"/>
      <c r="J269" s="528"/>
      <c r="K269" s="528"/>
      <c r="L269" s="546">
        <f>SynthèsePER!R19</f>
        <v>90</v>
      </c>
      <c r="M269" s="546" t="s">
        <v>1541</v>
      </c>
      <c r="N269" s="534"/>
    </row>
    <row r="270" spans="1:16">
      <c r="A270" s="534"/>
      <c r="B270" s="534"/>
      <c r="C270" s="534"/>
      <c r="D270" s="534"/>
      <c r="E270" s="534"/>
      <c r="F270" s="534"/>
      <c r="G270" s="534"/>
      <c r="H270" s="534"/>
      <c r="I270" s="534"/>
      <c r="J270" s="534"/>
      <c r="K270" s="534"/>
      <c r="L270" s="1017">
        <f>SynthèsePER!J29</f>
        <v>0</v>
      </c>
      <c r="M270" s="1017"/>
      <c r="N270" s="534"/>
    </row>
    <row r="271" spans="1:16">
      <c r="A271" s="534"/>
      <c r="B271" s="534"/>
      <c r="C271" s="534"/>
      <c r="D271" s="534"/>
      <c r="E271" s="534"/>
      <c r="F271" s="534"/>
      <c r="G271" s="534"/>
      <c r="H271" s="534"/>
      <c r="I271" s="534"/>
      <c r="J271" s="534"/>
      <c r="K271" s="534"/>
      <c r="L271" s="534"/>
      <c r="M271" s="534"/>
      <c r="N271" s="534"/>
      <c r="O271" s="534"/>
      <c r="P271" s="534"/>
    </row>
    <row r="272" spans="1:16">
      <c r="A272" s="534"/>
      <c r="B272" s="534"/>
      <c r="C272" s="534"/>
      <c r="D272" s="534"/>
      <c r="E272" s="534"/>
      <c r="F272" s="534"/>
      <c r="G272" s="534"/>
      <c r="H272" s="534"/>
      <c r="I272" s="534"/>
      <c r="J272" s="534"/>
      <c r="K272" s="534"/>
      <c r="L272" s="534"/>
      <c r="M272" s="534"/>
      <c r="N272" s="534"/>
      <c r="O272" s="534"/>
      <c r="P272" s="534"/>
    </row>
    <row r="273" spans="1:16">
      <c r="A273" s="534"/>
      <c r="B273" s="534"/>
      <c r="C273" s="534"/>
      <c r="D273" s="534"/>
      <c r="E273" s="534"/>
      <c r="F273" s="534"/>
      <c r="G273" s="534"/>
      <c r="H273" s="534"/>
      <c r="I273" s="534"/>
      <c r="J273" s="534"/>
      <c r="K273" s="534"/>
      <c r="L273" s="534"/>
      <c r="M273" s="534"/>
      <c r="N273" s="534"/>
      <c r="O273" s="534"/>
      <c r="P273" s="534"/>
    </row>
    <row r="274" spans="1:16">
      <c r="A274" s="534"/>
      <c r="B274" s="534"/>
      <c r="C274" s="534"/>
      <c r="D274" s="534"/>
      <c r="E274" s="534"/>
      <c r="F274" s="534"/>
      <c r="G274" s="534"/>
      <c r="H274" s="534"/>
      <c r="I274" s="534"/>
      <c r="J274" s="534"/>
      <c r="K274" s="534"/>
      <c r="L274" s="534"/>
      <c r="M274" s="534"/>
      <c r="N274" s="534"/>
      <c r="O274" s="534"/>
      <c r="P274" s="534"/>
    </row>
    <row r="275" spans="1:16">
      <c r="A275" s="534"/>
      <c r="B275" s="534"/>
      <c r="C275" s="534"/>
      <c r="D275" s="534"/>
      <c r="E275" s="534"/>
      <c r="F275" s="534"/>
      <c r="G275" s="534"/>
      <c r="H275" s="534"/>
      <c r="I275" s="534"/>
      <c r="J275" s="534"/>
      <c r="K275" s="534"/>
      <c r="L275" s="534"/>
      <c r="M275" s="534"/>
      <c r="N275" s="534"/>
      <c r="O275" s="534"/>
      <c r="P275" s="534"/>
    </row>
    <row r="276" spans="1:16">
      <c r="A276" s="534"/>
      <c r="B276" s="534"/>
      <c r="C276" s="534"/>
      <c r="D276" s="534"/>
      <c r="E276" s="534"/>
      <c r="F276" s="534"/>
      <c r="G276" s="534"/>
      <c r="H276" s="534"/>
      <c r="I276" s="534"/>
      <c r="J276" s="534"/>
      <c r="K276" s="534"/>
      <c r="L276" s="534"/>
      <c r="M276" s="534"/>
      <c r="N276" s="534"/>
      <c r="O276" s="534"/>
      <c r="P276" s="534"/>
    </row>
    <row r="277" spans="1:16">
      <c r="A277" s="534"/>
      <c r="B277" s="534"/>
      <c r="C277" s="534"/>
      <c r="D277" s="534"/>
      <c r="E277" s="534"/>
      <c r="F277" s="534"/>
      <c r="G277" s="534"/>
      <c r="H277" s="534"/>
      <c r="I277" s="534"/>
      <c r="J277" s="534"/>
      <c r="K277" s="534"/>
      <c r="L277" s="534"/>
      <c r="M277" s="534"/>
      <c r="N277" s="534"/>
      <c r="O277" s="534"/>
      <c r="P277" s="534"/>
    </row>
    <row r="278" spans="1:16">
      <c r="A278" s="534"/>
      <c r="B278" s="534"/>
      <c r="C278" s="534"/>
      <c r="D278" s="534"/>
      <c r="E278" s="534"/>
      <c r="F278" s="534"/>
      <c r="G278" s="534"/>
      <c r="H278" s="534"/>
      <c r="I278" s="534"/>
      <c r="J278" s="534"/>
      <c r="K278" s="534"/>
      <c r="L278" s="534"/>
      <c r="M278" s="534"/>
      <c r="N278" s="534"/>
      <c r="O278" s="534"/>
      <c r="P278" s="534"/>
    </row>
    <row r="279" spans="1:16">
      <c r="A279" s="534"/>
      <c r="B279" s="534"/>
      <c r="C279" s="534"/>
      <c r="D279" s="534"/>
      <c r="E279" s="534"/>
      <c r="F279" s="534"/>
      <c r="G279" s="534"/>
      <c r="H279" s="534"/>
      <c r="I279" s="534"/>
      <c r="J279" s="534"/>
      <c r="K279" s="534"/>
      <c r="L279" s="534"/>
      <c r="M279" s="534"/>
      <c r="N279" s="534"/>
      <c r="O279" s="534"/>
      <c r="P279" s="534"/>
    </row>
    <row r="280" spans="1:16">
      <c r="A280" s="534"/>
      <c r="B280" s="534"/>
      <c r="C280" s="534"/>
      <c r="D280" s="534"/>
      <c r="E280" s="534"/>
      <c r="F280" s="534"/>
      <c r="G280" s="534"/>
      <c r="H280" s="534"/>
      <c r="I280" s="534"/>
      <c r="J280" s="534"/>
      <c r="K280" s="534"/>
      <c r="L280" s="534"/>
      <c r="O280" s="534"/>
      <c r="P280" s="534"/>
    </row>
    <row r="281" spans="1:16">
      <c r="A281" s="823" t="s">
        <v>1543</v>
      </c>
      <c r="B281" s="823"/>
      <c r="C281" s="823"/>
      <c r="D281" s="823"/>
      <c r="E281" s="823"/>
      <c r="F281" s="823"/>
      <c r="G281" s="823"/>
      <c r="H281" s="823"/>
      <c r="I281" s="823"/>
      <c r="J281" s="823"/>
      <c r="K281" s="823"/>
      <c r="L281" s="823"/>
      <c r="M281" s="296" t="str">
        <f>IF(SynthèsePER!J9=TRUE,"Capital","Masquer")</f>
        <v>Masquer</v>
      </c>
      <c r="N281" s="296" t="str">
        <f>IF(H290="     PFL","Masquer","Afficher")</f>
        <v>Afficher</v>
      </c>
      <c r="O281" s="583" t="s">
        <v>1571</v>
      </c>
      <c r="P281" s="583" t="str">
        <f>IF(SynthèsePER!J9=TRUE,"Oui","Non")</f>
        <v>Non</v>
      </c>
    </row>
    <row r="282" spans="1:16">
      <c r="A282" s="243"/>
      <c r="B282" s="243"/>
      <c r="C282" s="243"/>
      <c r="D282" s="243"/>
      <c r="E282" s="243"/>
      <c r="F282" s="243"/>
      <c r="G282" s="243"/>
      <c r="H282" s="243"/>
      <c r="I282" s="243"/>
      <c r="J282" s="243"/>
      <c r="K282" s="243"/>
      <c r="L282" s="243"/>
      <c r="M282" s="243"/>
      <c r="N282" s="243"/>
      <c r="O282" s="243"/>
      <c r="P282" s="243"/>
    </row>
    <row r="283" spans="1:16">
      <c r="A283" s="243"/>
      <c r="B283" s="243"/>
      <c r="C283" s="243"/>
      <c r="D283" s="243"/>
      <c r="E283" s="243"/>
      <c r="F283" s="243"/>
      <c r="G283" s="243"/>
      <c r="H283" s="243"/>
      <c r="I283" s="243"/>
      <c r="J283" s="243"/>
      <c r="K283" s="243"/>
      <c r="L283" s="243"/>
      <c r="M283" s="243"/>
      <c r="N283" s="243"/>
      <c r="O283" s="243"/>
      <c r="P283" s="243"/>
    </row>
    <row r="284" spans="1:16">
      <c r="A284" s="243"/>
      <c r="B284" s="243"/>
      <c r="C284" s="243"/>
      <c r="D284" s="243"/>
      <c r="E284" s="243"/>
      <c r="F284" s="243"/>
      <c r="G284" s="243"/>
      <c r="H284" s="243"/>
      <c r="I284" s="243"/>
      <c r="J284" s="243"/>
      <c r="K284" s="243"/>
      <c r="L284" s="243"/>
      <c r="M284" s="243"/>
      <c r="N284" s="243"/>
      <c r="O284" s="243"/>
      <c r="P284" s="243"/>
    </row>
    <row r="285" spans="1:16">
      <c r="A285" s="243"/>
      <c r="B285" s="243"/>
      <c r="C285" s="243"/>
      <c r="D285" s="243"/>
      <c r="E285" s="243"/>
      <c r="F285" s="243"/>
      <c r="G285" s="243"/>
      <c r="H285" s="243"/>
      <c r="I285" s="243"/>
      <c r="J285" s="243"/>
      <c r="K285" s="243"/>
      <c r="L285" s="243"/>
      <c r="M285" s="243"/>
      <c r="N285" s="243"/>
      <c r="O285" s="243"/>
      <c r="P285" s="243"/>
    </row>
    <row r="286" spans="1:16">
      <c r="A286" s="243"/>
      <c r="B286" s="243"/>
      <c r="C286" s="243"/>
      <c r="D286" s="243"/>
      <c r="E286" s="243"/>
      <c r="F286" s="243"/>
      <c r="G286" s="243"/>
      <c r="H286" s="243"/>
      <c r="I286" s="243"/>
      <c r="J286" s="243"/>
      <c r="K286" s="243"/>
      <c r="L286" s="243"/>
      <c r="M286" s="243"/>
      <c r="N286" s="243"/>
      <c r="O286" s="243"/>
      <c r="P286" s="243"/>
    </row>
    <row r="287" spans="1:16">
      <c r="A287" s="243"/>
      <c r="B287" s="243"/>
      <c r="C287" s="243"/>
      <c r="D287" s="542" t="s">
        <v>1534</v>
      </c>
      <c r="E287" s="543"/>
      <c r="F287" s="534"/>
      <c r="G287" s="534"/>
      <c r="H287" s="534"/>
      <c r="I287" s="534"/>
      <c r="J287" s="534"/>
      <c r="K287" s="534"/>
      <c r="L287" s="534"/>
      <c r="M287" s="534"/>
      <c r="N287" s="243"/>
      <c r="O287" s="243"/>
      <c r="P287" s="243"/>
    </row>
    <row r="288" spans="1:16">
      <c r="A288" s="243"/>
      <c r="B288" s="243"/>
      <c r="C288" s="243"/>
      <c r="D288" s="534"/>
      <c r="E288" s="534"/>
      <c r="F288" s="534"/>
      <c r="G288" s="534"/>
      <c r="H288" s="534"/>
      <c r="I288" s="534"/>
      <c r="J288" s="534"/>
      <c r="K288" s="534"/>
      <c r="L288" s="534"/>
      <c r="M288" s="534"/>
      <c r="N288" s="243"/>
      <c r="O288" s="243"/>
      <c r="P288" s="243"/>
    </row>
    <row r="289" spans="1:16">
      <c r="A289" s="243"/>
      <c r="B289" s="243"/>
      <c r="C289" s="243"/>
      <c r="D289" s="554" t="s">
        <v>1545</v>
      </c>
      <c r="E289" s="554"/>
      <c r="F289" s="555"/>
      <c r="G289" s="556">
        <f>G249</f>
        <v>0</v>
      </c>
      <c r="H289" s="554" t="s">
        <v>51</v>
      </c>
      <c r="I289" s="534"/>
      <c r="J289" s="534"/>
      <c r="K289" s="534"/>
      <c r="L289" s="534"/>
      <c r="M289" s="534"/>
      <c r="N289" s="243"/>
      <c r="O289" s="243"/>
      <c r="P289" s="243"/>
    </row>
    <row r="290" spans="1:16">
      <c r="A290" s="243"/>
      <c r="B290" s="243"/>
      <c r="C290" s="243"/>
      <c r="D290" s="557" t="s">
        <v>1530</v>
      </c>
      <c r="E290" s="557"/>
      <c r="F290" s="558"/>
      <c r="G290" s="559">
        <f>G250</f>
        <v>0</v>
      </c>
      <c r="H290" s="537" t="str">
        <f>IF(OR('CT à Transf'!K12=Données!H50,'CT à Transf'!K12=Données!H51,'CT à Transf'!K12=Données!H56),"     PFL","     PFU")</f>
        <v xml:space="preserve">     PFU</v>
      </c>
      <c r="I290" s="559">
        <f>IF(H290="     PFL",Données!S27,Données!F28)</f>
        <v>0.128</v>
      </c>
      <c r="J290" s="534"/>
      <c r="K290" s="534"/>
      <c r="L290" s="534"/>
      <c r="M290" s="534"/>
      <c r="N290" s="243"/>
      <c r="O290" s="243"/>
      <c r="P290" s="243"/>
    </row>
    <row r="291" spans="1:16">
      <c r="A291" s="243"/>
      <c r="B291" s="243"/>
      <c r="C291" s="243"/>
      <c r="D291" s="557" t="s">
        <v>1531</v>
      </c>
      <c r="E291" s="557"/>
      <c r="F291" s="557"/>
      <c r="G291" s="559">
        <f>IF(OR('CT à Transf'!K12=Données!H50,'CT à Transf'!K12=Données!H51,'CT à Transf'!K12=Données!H56),'Sit 1'!N9,Données!$F$36)</f>
        <v>0.17199999999999999</v>
      </c>
      <c r="H291" s="563"/>
      <c r="I291" s="563"/>
      <c r="J291" s="534"/>
      <c r="K291" s="534"/>
      <c r="L291" s="534"/>
      <c r="M291" s="534"/>
      <c r="N291" s="243"/>
      <c r="O291" s="243"/>
      <c r="P291" s="243"/>
    </row>
    <row r="292" spans="1:16">
      <c r="A292" s="243"/>
      <c r="B292" s="243"/>
      <c r="C292" s="243"/>
      <c r="D292" s="557" t="s">
        <v>1544</v>
      </c>
      <c r="E292" s="557"/>
      <c r="F292" s="557"/>
      <c r="G292" s="559">
        <f>NewPER!Q28</f>
        <v>0</v>
      </c>
      <c r="H292" s="557"/>
      <c r="I292" s="534"/>
      <c r="J292" s="534"/>
      <c r="K292" s="534"/>
      <c r="L292" s="534"/>
      <c r="M292" s="534"/>
      <c r="N292" s="243"/>
      <c r="O292" s="243"/>
      <c r="P292" s="243"/>
    </row>
    <row r="293" spans="1:16">
      <c r="A293" s="243"/>
      <c r="B293" s="243"/>
      <c r="C293" s="243"/>
      <c r="D293" s="557" t="s">
        <v>1539</v>
      </c>
      <c r="E293" s="557"/>
      <c r="F293" s="557"/>
      <c r="G293" s="559">
        <f>NewPER!I24</f>
        <v>0</v>
      </c>
      <c r="H293" s="560"/>
      <c r="I293" s="534"/>
      <c r="J293" s="534"/>
      <c r="K293" s="534"/>
      <c r="L293" s="534"/>
      <c r="M293" s="534"/>
      <c r="N293" s="243"/>
      <c r="O293" s="243"/>
      <c r="P293" s="243"/>
    </row>
    <row r="294" spans="1:16">
      <c r="A294" s="243"/>
      <c r="B294" s="243"/>
      <c r="C294" s="243"/>
      <c r="D294" s="557" t="s">
        <v>1540</v>
      </c>
      <c r="E294" s="560"/>
      <c r="F294" s="560"/>
      <c r="G294" s="561">
        <f>'Sit 1'!C9</f>
        <v>0</v>
      </c>
      <c r="H294" s="560"/>
      <c r="I294" s="534"/>
      <c r="J294" s="534"/>
      <c r="K294" s="534"/>
      <c r="L294" s="534"/>
      <c r="M294" s="534"/>
      <c r="N294" s="243"/>
      <c r="O294" s="243"/>
      <c r="P294" s="243"/>
    </row>
    <row r="295" spans="1:16">
      <c r="A295" s="243"/>
      <c r="B295" s="243"/>
      <c r="C295" s="243"/>
      <c r="D295" s="540"/>
      <c r="E295" s="534"/>
      <c r="F295" s="534"/>
      <c r="G295" s="547"/>
      <c r="H295" s="534"/>
      <c r="I295" s="534"/>
      <c r="J295" s="534"/>
      <c r="K295" s="534"/>
      <c r="L295" s="534"/>
      <c r="M295" s="534"/>
      <c r="N295" s="243"/>
      <c r="O295" s="243"/>
      <c r="P295" s="243"/>
    </row>
    <row r="296" spans="1:16">
      <c r="A296" s="243"/>
      <c r="B296" s="243"/>
      <c r="C296" s="243"/>
      <c r="D296" s="540"/>
      <c r="E296" s="534"/>
      <c r="F296" s="534"/>
      <c r="G296" s="547"/>
      <c r="H296" s="534"/>
      <c r="I296" s="534"/>
      <c r="J296" s="534"/>
      <c r="K296" s="534"/>
      <c r="L296" s="534"/>
      <c r="M296" s="534"/>
      <c r="N296" s="243"/>
      <c r="O296" s="243"/>
      <c r="P296" s="243"/>
    </row>
    <row r="297" spans="1:16">
      <c r="A297" s="243"/>
      <c r="B297" s="243"/>
      <c r="C297" s="243"/>
      <c r="D297" s="243"/>
      <c r="E297" s="562"/>
      <c r="F297" s="562"/>
      <c r="G297" s="1014" t="s">
        <v>1546</v>
      </c>
      <c r="H297" s="1014"/>
      <c r="I297" s="1013">
        <f ca="1">'Sit 1'!H13</f>
        <v>0</v>
      </c>
      <c r="J297" s="1013"/>
      <c r="K297" s="243"/>
      <c r="L297" s="534"/>
      <c r="M297" s="534"/>
      <c r="N297" s="243"/>
      <c r="O297" s="243"/>
      <c r="P297" s="243"/>
    </row>
    <row r="298" spans="1:16">
      <c r="A298" s="243"/>
      <c r="B298" s="243"/>
      <c r="C298" s="243"/>
      <c r="D298" s="534"/>
      <c r="E298" s="534"/>
      <c r="F298" s="534"/>
      <c r="G298" s="534"/>
      <c r="H298" s="534"/>
      <c r="I298" s="534"/>
      <c r="J298" s="534"/>
      <c r="K298" s="534"/>
      <c r="L298" s="534"/>
      <c r="M298" s="534"/>
      <c r="N298" s="243"/>
      <c r="O298" s="243"/>
      <c r="P298" s="243"/>
    </row>
    <row r="299" spans="1:16">
      <c r="A299" s="243"/>
      <c r="B299" s="243"/>
      <c r="C299" s="243"/>
      <c r="D299" s="548"/>
      <c r="E299" s="548"/>
      <c r="F299" s="548"/>
      <c r="G299" s="548"/>
      <c r="H299" s="548"/>
      <c r="I299" s="548"/>
      <c r="J299" s="548"/>
      <c r="K299" s="548"/>
      <c r="L299" s="548"/>
      <c r="M299" s="548"/>
      <c r="N299" s="243"/>
      <c r="O299" s="243"/>
      <c r="P299" s="243"/>
    </row>
    <row r="300" spans="1:16">
      <c r="A300" s="243"/>
      <c r="B300" s="243"/>
      <c r="C300" s="243"/>
      <c r="D300" s="243"/>
      <c r="E300" s="243"/>
      <c r="F300" s="243"/>
      <c r="G300" s="243"/>
      <c r="H300" s="243"/>
      <c r="I300" s="243"/>
      <c r="J300" s="243"/>
      <c r="K300" s="243"/>
      <c r="L300" s="243"/>
      <c r="M300" s="243"/>
      <c r="N300" s="243"/>
      <c r="O300" s="243"/>
      <c r="P300" s="243"/>
    </row>
    <row r="301" spans="1:16">
      <c r="A301" s="243"/>
      <c r="B301" s="243"/>
      <c r="C301" s="1026" t="s">
        <v>1548</v>
      </c>
      <c r="D301" s="1026"/>
      <c r="E301" s="565"/>
      <c r="F301" s="1027" t="s">
        <v>1547</v>
      </c>
      <c r="G301" s="1027"/>
      <c r="H301" s="565"/>
      <c r="I301" s="1027" t="s">
        <v>1547</v>
      </c>
      <c r="J301" s="1027"/>
      <c r="L301" s="565"/>
      <c r="M301" s="1024" t="s">
        <v>1556</v>
      </c>
      <c r="N301" s="1024"/>
      <c r="O301" s="243"/>
      <c r="P301" s="243"/>
    </row>
    <row r="302" spans="1:16">
      <c r="A302" s="243"/>
      <c r="B302" s="243"/>
      <c r="C302" s="565">
        <f>SynthèsePER!G24</f>
        <v>0</v>
      </c>
      <c r="D302" s="565" t="s">
        <v>1541</v>
      </c>
      <c r="E302" s="565"/>
      <c r="F302" s="565">
        <f>SynthèsePER!Q19-SynthèsePER!G24</f>
        <v>80</v>
      </c>
      <c r="G302" s="565" t="s">
        <v>1558</v>
      </c>
      <c r="H302" s="565"/>
      <c r="I302" s="565">
        <f>SynthèsePER!R19-SynthèsePER!G24</f>
        <v>90</v>
      </c>
      <c r="J302" s="565" t="s">
        <v>1558</v>
      </c>
      <c r="L302" s="565"/>
      <c r="M302" s="1025" t="s">
        <v>1549</v>
      </c>
      <c r="N302" s="1025"/>
      <c r="O302" s="243"/>
      <c r="P302" s="243"/>
    </row>
    <row r="303" spans="1:16">
      <c r="A303" s="243"/>
      <c r="B303" s="243"/>
      <c r="C303" s="565"/>
      <c r="D303" s="565"/>
      <c r="E303" s="565"/>
      <c r="F303" s="566" t="str">
        <f>"à vos "&amp;SynthèsePER!Q19</f>
        <v>à vos 80</v>
      </c>
      <c r="G303" s="565" t="s">
        <v>1541</v>
      </c>
      <c r="H303" s="565"/>
      <c r="I303" s="566" t="str">
        <f>"à vos "&amp;SynthèsePER!R19</f>
        <v>à vos 90</v>
      </c>
      <c r="J303" s="565" t="s">
        <v>1541</v>
      </c>
      <c r="L303" s="565"/>
      <c r="M303" s="566" t="str">
        <f>"à "&amp;SynthèsePER!R19</f>
        <v>à 90</v>
      </c>
      <c r="N303" s="565" t="s">
        <v>1541</v>
      </c>
      <c r="O303" s="243"/>
      <c r="P303" s="243"/>
    </row>
    <row r="305" spans="1:21">
      <c r="R305" s="1020" t="s">
        <v>1555</v>
      </c>
      <c r="S305" s="1020"/>
      <c r="T305" s="1020"/>
      <c r="U305" s="1020"/>
    </row>
    <row r="306" spans="1:21">
      <c r="R306" s="518" t="s">
        <v>1553</v>
      </c>
      <c r="S306" s="518">
        <v>1</v>
      </c>
      <c r="T306" s="518" t="s">
        <v>1553</v>
      </c>
      <c r="U306" s="518">
        <v>1</v>
      </c>
    </row>
    <row r="307" spans="1:21">
      <c r="R307" s="518" t="s">
        <v>1554</v>
      </c>
      <c r="S307" s="518">
        <f>F302</f>
        <v>80</v>
      </c>
      <c r="T307" s="518" t="s">
        <v>1554</v>
      </c>
      <c r="U307" s="518">
        <f>I302</f>
        <v>90</v>
      </c>
    </row>
    <row r="310" spans="1:21">
      <c r="A310" s="243"/>
      <c r="B310" s="243"/>
      <c r="C310" s="567" t="s">
        <v>1403</v>
      </c>
      <c r="D310" s="568" t="e">
        <f ca="1">SynthèsePER!J32</f>
        <v>#DIV/0!</v>
      </c>
      <c r="E310" s="1023" t="s">
        <v>1550</v>
      </c>
      <c r="F310" s="1023"/>
      <c r="G310" s="568">
        <f ca="1">'Sit 1'!AB14</f>
        <v>0</v>
      </c>
      <c r="H310" s="1023" t="s">
        <v>1550</v>
      </c>
      <c r="I310" s="1023"/>
      <c r="J310" s="568">
        <f ca="1">'Sit 1'!AF14</f>
        <v>0</v>
      </c>
      <c r="L310" s="1023" t="s">
        <v>1434</v>
      </c>
      <c r="M310" s="1023"/>
      <c r="N310" s="568" t="e">
        <f>SynthèsePER!J38</f>
        <v>#N/A</v>
      </c>
      <c r="O310" s="243"/>
      <c r="P310" s="243"/>
    </row>
    <row r="311" spans="1:21">
      <c r="A311" s="243"/>
      <c r="B311" s="243"/>
      <c r="C311" s="567" t="s">
        <v>1404</v>
      </c>
      <c r="D311" s="568" t="e">
        <f ca="1">SynthèsePER!J33</f>
        <v>#DIV/0!</v>
      </c>
      <c r="E311" s="1023" t="s">
        <v>1551</v>
      </c>
      <c r="F311" s="1023"/>
      <c r="G311" s="568">
        <f ca="1">'Sit 1'!AB15</f>
        <v>0</v>
      </c>
      <c r="H311" s="1023" t="s">
        <v>1551</v>
      </c>
      <c r="I311" s="1023"/>
      <c r="J311" s="568">
        <f ca="1">'Sit 1'!AF15</f>
        <v>0</v>
      </c>
      <c r="K311" s="243"/>
      <c r="L311" s="243"/>
      <c r="M311" s="243"/>
      <c r="N311" s="243"/>
      <c r="O311" s="243"/>
      <c r="P311" s="243"/>
    </row>
    <row r="312" spans="1:21" ht="15" thickBot="1">
      <c r="A312" s="243"/>
      <c r="B312" s="243"/>
      <c r="C312" s="570" t="s">
        <v>1559</v>
      </c>
      <c r="D312" s="569" t="e">
        <f ca="1">SynthèsePER!J34</f>
        <v>#DIV/0!</v>
      </c>
      <c r="E312" s="1022" t="s">
        <v>1552</v>
      </c>
      <c r="F312" s="1022"/>
      <c r="G312" s="571">
        <f ca="1">'Sit 1'!AB16</f>
        <v>0</v>
      </c>
      <c r="H312" s="1022" t="s">
        <v>1552</v>
      </c>
      <c r="I312" s="1022"/>
      <c r="J312" s="571">
        <f ca="1">'Sit 1'!AF16</f>
        <v>0</v>
      </c>
      <c r="K312" s="243"/>
      <c r="L312" s="1021" t="s">
        <v>1557</v>
      </c>
      <c r="M312" s="1021"/>
      <c r="N312" s="1021"/>
      <c r="O312" s="243"/>
      <c r="P312" s="243"/>
    </row>
    <row r="313" spans="1:21">
      <c r="A313" s="243"/>
      <c r="B313" s="243"/>
      <c r="C313" s="243"/>
      <c r="D313" s="243"/>
      <c r="E313" s="243"/>
      <c r="F313" s="243"/>
      <c r="G313" s="243"/>
      <c r="H313" s="243"/>
      <c r="I313" s="243"/>
      <c r="J313" s="243"/>
      <c r="K313" s="243"/>
      <c r="L313" s="243"/>
      <c r="M313" s="243"/>
      <c r="N313" s="243"/>
      <c r="O313" s="243"/>
      <c r="P313" s="243"/>
    </row>
    <row r="314" spans="1:21">
      <c r="A314" s="243"/>
      <c r="B314" s="243"/>
      <c r="C314" s="243"/>
      <c r="D314" s="243"/>
      <c r="E314" s="243"/>
      <c r="F314" s="243"/>
      <c r="G314" s="243"/>
      <c r="H314" s="243"/>
      <c r="I314" s="243"/>
      <c r="J314" s="243"/>
      <c r="K314" s="243"/>
      <c r="L314" s="243"/>
      <c r="M314" s="243"/>
      <c r="N314" s="243"/>
      <c r="O314" s="243"/>
      <c r="P314" s="243"/>
    </row>
    <row r="315" spans="1:21">
      <c r="A315" s="243"/>
      <c r="B315" s="243"/>
      <c r="C315" s="243"/>
      <c r="D315" s="243"/>
      <c r="E315" s="243"/>
      <c r="F315" s="243"/>
      <c r="G315" s="243"/>
      <c r="H315" s="243"/>
      <c r="I315" s="243"/>
      <c r="J315" s="243"/>
      <c r="K315" s="243"/>
      <c r="L315" s="243"/>
      <c r="M315" s="243"/>
      <c r="N315" s="243"/>
      <c r="O315" s="243"/>
      <c r="P315" s="243"/>
    </row>
    <row r="316" spans="1:21">
      <c r="A316" s="243"/>
      <c r="B316" s="243"/>
      <c r="C316" s="243"/>
      <c r="D316" s="243"/>
      <c r="E316" s="243"/>
      <c r="F316" s="243"/>
      <c r="G316" s="243"/>
      <c r="H316" s="243"/>
      <c r="I316" s="243"/>
      <c r="J316" s="243"/>
      <c r="K316" s="243"/>
      <c r="L316" s="243"/>
      <c r="M316" s="243"/>
      <c r="N316" s="243"/>
      <c r="O316" s="243"/>
      <c r="P316" s="243"/>
    </row>
    <row r="317" spans="1:21">
      <c r="A317" s="243"/>
      <c r="B317" s="243"/>
      <c r="M317" s="243"/>
      <c r="N317" s="243"/>
      <c r="O317" s="243"/>
      <c r="P317" s="243"/>
    </row>
    <row r="318" spans="1:21">
      <c r="A318" s="243"/>
      <c r="B318" s="243"/>
      <c r="C318" s="243"/>
      <c r="D318" s="243"/>
      <c r="E318" s="243"/>
      <c r="F318" s="243"/>
      <c r="G318" s="243"/>
      <c r="H318" s="243"/>
      <c r="I318" s="243"/>
      <c r="J318" s="243"/>
      <c r="K318" s="243"/>
      <c r="L318" s="243"/>
      <c r="M318" s="243"/>
      <c r="N318" s="243"/>
      <c r="O318" s="243"/>
      <c r="P318" s="243"/>
    </row>
    <row r="319" spans="1:21">
      <c r="A319" s="243"/>
      <c r="B319" s="243"/>
      <c r="C319" s="243"/>
      <c r="D319" s="243"/>
      <c r="E319" s="243"/>
      <c r="F319" s="243"/>
      <c r="G319" s="243"/>
      <c r="H319" s="243"/>
      <c r="I319" s="243"/>
      <c r="J319" s="243"/>
      <c r="K319" s="243"/>
      <c r="L319" s="243"/>
      <c r="M319" s="243"/>
      <c r="N319" s="243"/>
      <c r="O319" s="243"/>
      <c r="P319" s="243"/>
    </row>
    <row r="320" spans="1:21">
      <c r="A320" s="243"/>
      <c r="B320" s="243"/>
      <c r="C320" s="243"/>
      <c r="D320" s="243"/>
      <c r="E320" s="243"/>
      <c r="F320" s="243"/>
      <c r="G320" s="243"/>
      <c r="H320" s="243"/>
      <c r="I320" s="243"/>
      <c r="J320" s="243"/>
      <c r="K320" s="243"/>
      <c r="L320" s="243"/>
      <c r="M320" s="243"/>
      <c r="N320" s="243"/>
      <c r="O320" s="243"/>
      <c r="P320" s="243"/>
    </row>
    <row r="321" spans="1:16">
      <c r="A321" s="823" t="s">
        <v>1513</v>
      </c>
      <c r="B321" s="823"/>
      <c r="C321" s="823"/>
      <c r="D321" s="823"/>
      <c r="E321" s="823"/>
      <c r="F321" s="823"/>
      <c r="G321" s="823"/>
      <c r="H321" s="823"/>
      <c r="I321" s="823"/>
      <c r="J321" s="823"/>
      <c r="K321" s="823"/>
      <c r="L321" s="823"/>
      <c r="M321" s="823"/>
      <c r="N321" s="823"/>
      <c r="O321" s="823"/>
      <c r="P321" s="296"/>
    </row>
    <row r="326" spans="1:16">
      <c r="H326" s="523"/>
    </row>
    <row r="361" spans="1:16">
      <c r="A361" s="823" t="s">
        <v>1561</v>
      </c>
      <c r="B361" s="823"/>
      <c r="C361" s="823"/>
      <c r="D361" s="823"/>
      <c r="E361" s="823"/>
      <c r="F361" s="823"/>
      <c r="G361" s="823"/>
      <c r="H361" s="823"/>
      <c r="I361" s="823"/>
      <c r="J361" s="823"/>
      <c r="K361" s="823"/>
      <c r="L361" s="823"/>
      <c r="M361" s="823"/>
      <c r="N361" s="823"/>
      <c r="O361" s="583" t="s">
        <v>1571</v>
      </c>
      <c r="P361" s="583" t="str">
        <f>IF(SynthèsePER!I10=TRUE,"Oui","Non")</f>
        <v>Non</v>
      </c>
    </row>
    <row r="362" spans="1:16">
      <c r="A362" s="534"/>
      <c r="B362" s="534"/>
      <c r="C362" s="534"/>
      <c r="D362" s="534"/>
      <c r="E362" s="534"/>
      <c r="F362" s="534"/>
      <c r="G362" s="534"/>
      <c r="H362" s="534"/>
      <c r="I362" s="534"/>
      <c r="J362" s="534"/>
      <c r="K362" s="534"/>
      <c r="L362" s="534"/>
      <c r="M362" s="534"/>
      <c r="N362" s="534"/>
      <c r="O362" s="534"/>
      <c r="P362" s="534"/>
    </row>
    <row r="363" spans="1:16">
      <c r="A363" s="534"/>
      <c r="B363" s="534"/>
      <c r="C363" s="534"/>
      <c r="D363" s="534"/>
      <c r="E363" s="534"/>
      <c r="F363" s="534"/>
      <c r="G363" s="534"/>
      <c r="H363" s="534"/>
      <c r="I363" s="534"/>
      <c r="J363" s="534"/>
      <c r="K363" s="534"/>
      <c r="L363" s="534"/>
      <c r="M363" s="534"/>
      <c r="N363" s="534"/>
      <c r="O363" s="534"/>
      <c r="P363" s="534"/>
    </row>
    <row r="364" spans="1:16">
      <c r="A364" s="534"/>
      <c r="B364" s="534"/>
      <c r="C364" s="534"/>
      <c r="D364" s="534"/>
      <c r="E364" s="534"/>
      <c r="F364" s="534"/>
      <c r="G364" s="534"/>
      <c r="H364" s="534"/>
      <c r="I364" s="534"/>
      <c r="J364" s="534"/>
      <c r="K364" s="534"/>
      <c r="L364" s="534"/>
      <c r="M364" s="534"/>
      <c r="N364" s="534"/>
      <c r="O364" s="534"/>
      <c r="P364" s="534"/>
    </row>
    <row r="365" spans="1:16">
      <c r="A365" s="534"/>
      <c r="B365" s="534"/>
      <c r="C365" s="534"/>
      <c r="D365" s="534"/>
      <c r="E365" s="534"/>
      <c r="F365" s="534"/>
      <c r="G365" s="534"/>
      <c r="H365" s="534"/>
      <c r="I365" s="534"/>
      <c r="J365" s="534"/>
      <c r="K365" s="534"/>
      <c r="L365" s="534"/>
      <c r="M365" s="534"/>
      <c r="N365" s="534"/>
      <c r="O365" s="534"/>
      <c r="P365" s="534"/>
    </row>
    <row r="366" spans="1:16">
      <c r="A366" s="534"/>
      <c r="B366" s="534"/>
      <c r="C366" s="534"/>
      <c r="D366" s="534"/>
      <c r="E366" s="534"/>
      <c r="F366" s="534"/>
      <c r="G366" s="534"/>
      <c r="H366" s="534"/>
      <c r="I366" s="534"/>
      <c r="J366" s="534"/>
      <c r="K366" s="534"/>
      <c r="L366" s="534"/>
      <c r="M366" s="534"/>
      <c r="N366" s="534"/>
      <c r="O366" s="534"/>
      <c r="P366" s="534"/>
    </row>
    <row r="367" spans="1:16">
      <c r="A367" s="534"/>
      <c r="B367" s="534"/>
      <c r="C367" s="534"/>
      <c r="D367" s="542" t="s">
        <v>1534</v>
      </c>
      <c r="E367" s="543"/>
      <c r="F367" s="534"/>
      <c r="G367" s="534"/>
      <c r="H367" s="534"/>
      <c r="I367" s="534"/>
      <c r="J367" s="534"/>
      <c r="K367" s="534"/>
      <c r="L367" s="534"/>
      <c r="M367" s="534"/>
      <c r="N367" s="534"/>
      <c r="O367" s="534"/>
      <c r="P367" s="534"/>
    </row>
    <row r="368" spans="1:16">
      <c r="A368" s="534"/>
      <c r="B368" s="534"/>
      <c r="C368" s="534"/>
      <c r="D368" s="534"/>
      <c r="E368" s="534"/>
      <c r="F368" s="534"/>
      <c r="G368" s="534"/>
      <c r="H368" s="534"/>
      <c r="I368" s="534"/>
      <c r="J368" s="534"/>
      <c r="K368" s="534"/>
      <c r="L368" s="534"/>
      <c r="M368" s="534"/>
      <c r="N368" s="534"/>
      <c r="O368" s="534"/>
      <c r="P368" s="534"/>
    </row>
    <row r="369" spans="1:16">
      <c r="A369" s="534"/>
      <c r="B369" s="534"/>
      <c r="C369" s="534"/>
      <c r="D369" s="551" t="s">
        <v>1529</v>
      </c>
      <c r="E369" s="551"/>
      <c r="F369" s="552"/>
      <c r="G369" s="553">
        <f>SynthèsePER!O24</f>
        <v>0</v>
      </c>
      <c r="H369" s="551" t="s">
        <v>51</v>
      </c>
      <c r="I369" s="534"/>
      <c r="J369" s="534"/>
      <c r="K369" s="534"/>
      <c r="L369" s="534"/>
      <c r="M369" s="534"/>
      <c r="N369" s="534"/>
      <c r="O369" s="534"/>
      <c r="P369" s="534"/>
    </row>
    <row r="370" spans="1:16">
      <c r="A370" s="534"/>
      <c r="B370" s="534"/>
      <c r="C370" s="534"/>
      <c r="D370" s="540" t="s">
        <v>1530</v>
      </c>
      <c r="E370" s="540"/>
      <c r="F370" s="541"/>
      <c r="G370" s="549">
        <f>'Sit 2'!H10</f>
        <v>0</v>
      </c>
      <c r="H370" s="540"/>
      <c r="I370" s="534"/>
      <c r="J370" s="534"/>
      <c r="K370" s="534"/>
      <c r="L370" s="534"/>
      <c r="M370" s="534"/>
      <c r="N370" s="534"/>
      <c r="O370" s="534"/>
      <c r="P370" s="534"/>
    </row>
    <row r="371" spans="1:16">
      <c r="A371" s="534"/>
      <c r="B371" s="534"/>
      <c r="C371" s="534"/>
      <c r="D371" s="540" t="s">
        <v>1533</v>
      </c>
      <c r="E371" s="540"/>
      <c r="F371" s="540"/>
      <c r="G371" s="549" t="e">
        <f ca="1">SynthèsePER!R13</f>
        <v>#N/A</v>
      </c>
      <c r="H371" s="540"/>
      <c r="I371" s="534"/>
      <c r="J371" s="534"/>
      <c r="K371" s="534"/>
      <c r="L371" s="534"/>
      <c r="M371" s="534"/>
      <c r="N371" s="534"/>
      <c r="O371" s="534"/>
      <c r="P371" s="534"/>
    </row>
    <row r="372" spans="1:16">
      <c r="A372" s="534"/>
      <c r="B372" s="534"/>
      <c r="C372" s="534"/>
      <c r="D372" s="540" t="s">
        <v>1532</v>
      </c>
      <c r="E372" s="540"/>
      <c r="F372" s="540"/>
      <c r="G372" s="549">
        <f>'Sit 2'!N6</f>
        <v>0</v>
      </c>
      <c r="H372" s="540"/>
      <c r="I372" s="534"/>
      <c r="J372" s="534"/>
      <c r="K372" s="534"/>
      <c r="L372" s="534"/>
      <c r="M372" s="534"/>
      <c r="N372" s="534"/>
      <c r="O372" s="534"/>
      <c r="P372" s="534"/>
    </row>
    <row r="373" spans="1:16">
      <c r="A373" s="534"/>
      <c r="B373" s="534"/>
      <c r="C373" s="534"/>
      <c r="D373" s="540" t="s">
        <v>1539</v>
      </c>
      <c r="E373" s="540"/>
      <c r="F373" s="540"/>
      <c r="G373" s="549">
        <f>'Sit 2'!H6</f>
        <v>0</v>
      </c>
      <c r="H373" s="534"/>
      <c r="I373" s="534"/>
      <c r="J373" s="534"/>
      <c r="K373" s="534"/>
      <c r="L373" s="534"/>
      <c r="M373" s="534"/>
      <c r="N373" s="534"/>
      <c r="O373" s="534"/>
      <c r="P373" s="534"/>
    </row>
    <row r="374" spans="1:16">
      <c r="A374" s="534"/>
      <c r="B374" s="534"/>
      <c r="C374" s="534"/>
      <c r="D374" s="540" t="s">
        <v>1540</v>
      </c>
      <c r="E374" s="534"/>
      <c r="F374" s="534"/>
      <c r="G374" s="550">
        <f>'Sit 2'!C9</f>
        <v>0</v>
      </c>
      <c r="H374" s="534"/>
      <c r="I374" s="534"/>
      <c r="J374" s="534"/>
      <c r="K374" s="534"/>
      <c r="L374" s="534"/>
      <c r="M374" s="534"/>
    </row>
    <row r="375" spans="1:16">
      <c r="A375" s="534"/>
      <c r="B375" s="534"/>
      <c r="C375" s="534"/>
      <c r="D375" s="540"/>
      <c r="E375" s="534"/>
      <c r="F375" s="534"/>
      <c r="G375" s="547"/>
      <c r="H375" s="534"/>
      <c r="I375" s="534"/>
      <c r="J375" s="534"/>
      <c r="K375" s="534"/>
      <c r="L375" s="534"/>
      <c r="M375" s="534"/>
    </row>
    <row r="376" spans="1:16">
      <c r="A376" s="534"/>
      <c r="B376" s="534"/>
      <c r="C376" s="534"/>
      <c r="D376" s="540"/>
      <c r="E376" s="534"/>
      <c r="F376" s="534"/>
      <c r="G376" s="547"/>
      <c r="H376" s="534"/>
      <c r="I376" s="534"/>
      <c r="J376" s="534"/>
      <c r="K376" s="534"/>
      <c r="L376" s="534"/>
      <c r="M376" s="534"/>
    </row>
    <row r="377" spans="1:16">
      <c r="A377" s="534"/>
      <c r="B377" s="534"/>
      <c r="C377" s="534"/>
      <c r="D377" s="534"/>
      <c r="E377" s="534"/>
      <c r="F377" s="534"/>
      <c r="G377" s="534"/>
      <c r="H377" s="534"/>
      <c r="I377" s="534"/>
      <c r="J377" s="534"/>
      <c r="K377" s="534"/>
      <c r="L377" s="534"/>
      <c r="M377" s="534"/>
    </row>
    <row r="378" spans="1:16">
      <c r="A378" s="534"/>
      <c r="B378" s="534"/>
      <c r="C378" s="534"/>
      <c r="D378" s="1014" t="s">
        <v>1542</v>
      </c>
      <c r="E378" s="1014"/>
      <c r="F378" s="1014"/>
      <c r="G378" s="1014"/>
      <c r="H378" s="1014"/>
      <c r="I378" s="1014"/>
      <c r="J378" s="1013">
        <f ca="1">'Sit 2'!H13</f>
        <v>0</v>
      </c>
      <c r="K378" s="1013"/>
      <c r="L378" s="534"/>
      <c r="M378" s="534"/>
    </row>
    <row r="379" spans="1:16">
      <c r="A379" s="534"/>
      <c r="B379" s="534"/>
      <c r="C379" s="534"/>
      <c r="D379" s="534"/>
      <c r="E379" s="534"/>
      <c r="F379" s="534"/>
      <c r="G379" s="534"/>
      <c r="H379" s="534"/>
      <c r="I379" s="534"/>
      <c r="J379" s="534"/>
      <c r="K379" s="534"/>
      <c r="L379" s="534"/>
      <c r="M379" s="534"/>
      <c r="N379" s="534"/>
      <c r="O379" s="534"/>
      <c r="P379" s="534"/>
    </row>
    <row r="380" spans="1:16">
      <c r="A380" s="534"/>
      <c r="B380" s="534"/>
      <c r="C380" s="534"/>
      <c r="D380" s="548"/>
      <c r="E380" s="548"/>
      <c r="F380" s="548"/>
      <c r="G380" s="548"/>
      <c r="H380" s="548"/>
      <c r="I380" s="548"/>
      <c r="J380" s="548"/>
      <c r="K380" s="548"/>
      <c r="L380" s="548"/>
      <c r="M380" s="548"/>
      <c r="N380" s="534"/>
      <c r="O380" s="534"/>
      <c r="P380" s="534"/>
    </row>
    <row r="381" spans="1:16">
      <c r="A381" s="534"/>
      <c r="B381" s="534"/>
      <c r="C381" s="534"/>
      <c r="D381" s="1019" t="s">
        <v>43</v>
      </c>
      <c r="E381" s="1019"/>
      <c r="F381" s="1019" t="s">
        <v>1536</v>
      </c>
      <c r="G381" s="1019"/>
      <c r="H381" s="1019" t="s">
        <v>1537</v>
      </c>
      <c r="I381" s="1019"/>
      <c r="J381" s="534"/>
      <c r="K381" s="534"/>
      <c r="L381" s="534"/>
      <c r="M381" s="534"/>
      <c r="N381" s="534"/>
      <c r="O381" s="534"/>
      <c r="P381" s="534"/>
    </row>
    <row r="382" spans="1:16" ht="15" customHeight="1">
      <c r="A382" s="534"/>
      <c r="B382" s="534"/>
      <c r="C382" s="534"/>
      <c r="D382" s="1019"/>
      <c r="E382" s="1019"/>
      <c r="F382" s="1019"/>
      <c r="G382" s="1019"/>
      <c r="H382" s="1019"/>
      <c r="I382" s="1019"/>
      <c r="J382" s="534"/>
      <c r="K382" s="534"/>
      <c r="L382" s="534"/>
      <c r="M382" s="534"/>
      <c r="N382" s="534"/>
      <c r="O382" s="534"/>
      <c r="P382" s="534"/>
    </row>
    <row r="383" spans="1:16">
      <c r="A383" s="534"/>
      <c r="B383" s="534"/>
      <c r="C383" s="534"/>
      <c r="D383" s="975" t="s">
        <v>1535</v>
      </c>
      <c r="E383" s="975"/>
      <c r="F383" s="1017" t="e">
        <f ca="1">SynthèsePER!R24</f>
        <v>#N/A</v>
      </c>
      <c r="G383" s="1017"/>
      <c r="H383" s="1017">
        <f ca="1">SynthèsePER!R26</f>
        <v>0</v>
      </c>
      <c r="I383" s="1017"/>
      <c r="J383" s="534"/>
      <c r="K383" s="534"/>
      <c r="L383" s="534"/>
      <c r="M383" s="534"/>
      <c r="N383" s="534"/>
      <c r="O383" s="534"/>
      <c r="P383" s="534"/>
    </row>
    <row r="384" spans="1:16">
      <c r="A384" s="534"/>
      <c r="B384" s="534"/>
      <c r="C384" s="534"/>
      <c r="D384" s="534"/>
      <c r="E384" s="534"/>
      <c r="F384" s="534"/>
      <c r="G384" s="534"/>
      <c r="H384" s="534"/>
      <c r="I384" s="544"/>
      <c r="K384" s="1018" t="s">
        <v>1538</v>
      </c>
      <c r="L384" s="1018"/>
      <c r="M384" s="534"/>
      <c r="N384" s="534"/>
      <c r="O384" s="534"/>
      <c r="P384" s="534"/>
    </row>
    <row r="385" spans="1:16">
      <c r="A385" s="534"/>
      <c r="B385" s="534"/>
      <c r="C385" s="534"/>
      <c r="D385" s="534"/>
      <c r="E385" s="534"/>
      <c r="F385" s="534"/>
      <c r="G385" s="534"/>
      <c r="H385" s="534"/>
      <c r="I385" s="545"/>
      <c r="J385" s="528"/>
      <c r="K385" s="546">
        <f>SynthèsePER!O28</f>
        <v>80</v>
      </c>
      <c r="L385" s="546" t="s">
        <v>1541</v>
      </c>
      <c r="M385" s="534"/>
      <c r="N385" s="534"/>
      <c r="O385" s="534"/>
      <c r="P385" s="534"/>
    </row>
    <row r="386" spans="1:16">
      <c r="A386" s="534"/>
      <c r="B386" s="534"/>
      <c r="C386" s="534"/>
      <c r="D386" s="534"/>
      <c r="E386" s="534"/>
      <c r="F386" s="534"/>
      <c r="G386" s="534"/>
      <c r="H386" s="534"/>
      <c r="I386" s="544"/>
      <c r="K386" s="1017">
        <f ca="1">SynthèsePER!R28</f>
        <v>0</v>
      </c>
      <c r="L386" s="1017"/>
      <c r="M386" s="534"/>
      <c r="N386" s="534"/>
      <c r="O386" s="534"/>
      <c r="P386" s="534"/>
    </row>
    <row r="387" spans="1:16">
      <c r="A387" s="534"/>
      <c r="B387" s="534"/>
      <c r="C387" s="534"/>
      <c r="D387" s="534"/>
      <c r="E387" s="534"/>
      <c r="F387" s="534"/>
      <c r="G387" s="534"/>
      <c r="H387" s="534"/>
      <c r="I387" s="544"/>
      <c r="J387" s="534"/>
      <c r="K387" s="534"/>
      <c r="L387" s="534"/>
      <c r="M387" s="534"/>
      <c r="N387" s="534"/>
      <c r="O387" s="534"/>
      <c r="P387" s="534"/>
    </row>
    <row r="388" spans="1:16">
      <c r="A388" s="534"/>
      <c r="B388" s="534"/>
      <c r="C388" s="534"/>
      <c r="D388" s="534"/>
      <c r="E388" s="534"/>
      <c r="F388" s="534"/>
      <c r="G388" s="534"/>
      <c r="H388" s="534"/>
      <c r="I388" s="544"/>
      <c r="L388" s="1018" t="s">
        <v>1538</v>
      </c>
      <c r="M388" s="1018"/>
      <c r="N388" s="534"/>
    </row>
    <row r="389" spans="1:16">
      <c r="A389" s="534"/>
      <c r="B389" s="534"/>
      <c r="C389" s="534"/>
      <c r="D389" s="534"/>
      <c r="E389" s="534"/>
      <c r="F389" s="534"/>
      <c r="G389" s="534"/>
      <c r="H389" s="534"/>
      <c r="I389" s="545"/>
      <c r="J389" s="528"/>
      <c r="K389" s="528"/>
      <c r="L389" s="546">
        <f>SynthèsePER!O29</f>
        <v>90</v>
      </c>
      <c r="M389" s="546" t="s">
        <v>1541</v>
      </c>
      <c r="N389" s="534"/>
    </row>
    <row r="390" spans="1:16">
      <c r="A390" s="534"/>
      <c r="B390" s="534"/>
      <c r="C390" s="534"/>
      <c r="D390" s="534"/>
      <c r="E390" s="534"/>
      <c r="F390" s="534"/>
      <c r="G390" s="534"/>
      <c r="H390" s="534"/>
      <c r="I390" s="534"/>
      <c r="J390" s="534"/>
      <c r="K390" s="534"/>
      <c r="L390" s="1017">
        <f>SynthèsePER!R29</f>
        <v>0</v>
      </c>
      <c r="M390" s="1017"/>
      <c r="N390" s="534"/>
    </row>
    <row r="391" spans="1:16">
      <c r="A391" s="534"/>
      <c r="B391" s="534"/>
      <c r="C391" s="534"/>
      <c r="D391" s="534"/>
      <c r="E391" s="534"/>
      <c r="F391" s="534"/>
      <c r="G391" s="534"/>
      <c r="H391" s="534"/>
      <c r="I391" s="534"/>
      <c r="J391" s="534"/>
      <c r="K391" s="534"/>
      <c r="L391" s="534"/>
      <c r="M391" s="534"/>
      <c r="N391" s="534"/>
      <c r="O391" s="534"/>
      <c r="P391" s="534"/>
    </row>
    <row r="392" spans="1:16">
      <c r="A392" s="534"/>
      <c r="B392" s="534"/>
      <c r="C392" s="534"/>
      <c r="D392" s="534"/>
      <c r="E392" s="534"/>
      <c r="F392" s="534"/>
      <c r="G392" s="534"/>
      <c r="H392" s="534"/>
      <c r="I392" s="534"/>
      <c r="J392" s="534"/>
      <c r="K392" s="534"/>
      <c r="L392" s="534"/>
      <c r="M392" s="534"/>
      <c r="N392" s="534"/>
      <c r="O392" s="534"/>
      <c r="P392" s="534"/>
    </row>
    <row r="393" spans="1:16">
      <c r="A393" s="534"/>
      <c r="B393" s="534"/>
      <c r="C393" s="534"/>
      <c r="D393" s="534"/>
      <c r="E393" s="534"/>
      <c r="F393" s="534"/>
      <c r="G393" s="534"/>
      <c r="H393" s="534"/>
      <c r="I393" s="534"/>
      <c r="J393" s="534"/>
      <c r="K393" s="534"/>
      <c r="L393" s="534"/>
      <c r="M393" s="534"/>
      <c r="N393" s="534"/>
      <c r="O393" s="534"/>
      <c r="P393" s="534"/>
    </row>
    <row r="394" spans="1:16">
      <c r="A394" s="534"/>
      <c r="B394" s="534"/>
      <c r="C394" s="534"/>
      <c r="D394" s="534"/>
      <c r="E394" s="534"/>
      <c r="F394" s="534"/>
      <c r="G394" s="534"/>
      <c r="H394" s="534"/>
      <c r="I394" s="534"/>
      <c r="J394" s="534"/>
      <c r="K394" s="534"/>
      <c r="L394" s="534"/>
      <c r="M394" s="534"/>
      <c r="N394" s="534"/>
      <c r="O394" s="534"/>
      <c r="P394" s="534"/>
    </row>
    <row r="395" spans="1:16">
      <c r="A395" s="534"/>
      <c r="B395" s="534"/>
      <c r="C395" s="534"/>
      <c r="D395" s="534"/>
      <c r="E395" s="534"/>
      <c r="F395" s="534"/>
      <c r="G395" s="534"/>
      <c r="H395" s="534"/>
      <c r="I395" s="534"/>
      <c r="J395" s="534"/>
      <c r="K395" s="534"/>
      <c r="L395" s="534"/>
      <c r="M395" s="534"/>
      <c r="N395" s="534"/>
      <c r="O395" s="534"/>
      <c r="P395" s="534"/>
    </row>
    <row r="396" spans="1:16">
      <c r="A396" s="534"/>
      <c r="B396" s="534"/>
      <c r="C396" s="534"/>
      <c r="D396" s="534"/>
      <c r="E396" s="534"/>
      <c r="F396" s="534"/>
      <c r="G396" s="534"/>
      <c r="H396" s="534"/>
      <c r="I396" s="534"/>
      <c r="J396" s="534"/>
      <c r="K396" s="534"/>
      <c r="L396" s="534"/>
      <c r="M396" s="534"/>
      <c r="N396" s="534"/>
      <c r="O396" s="534"/>
      <c r="P396" s="534"/>
    </row>
    <row r="397" spans="1:16">
      <c r="A397" s="534"/>
      <c r="B397" s="534"/>
      <c r="C397" s="534"/>
      <c r="D397" s="534"/>
      <c r="E397" s="534"/>
      <c r="F397" s="534"/>
      <c r="G397" s="534"/>
      <c r="H397" s="534"/>
      <c r="I397" s="534"/>
      <c r="J397" s="534"/>
      <c r="K397" s="534"/>
      <c r="L397" s="534"/>
      <c r="M397" s="534"/>
      <c r="N397" s="534"/>
      <c r="O397" s="534"/>
      <c r="P397" s="534"/>
    </row>
    <row r="398" spans="1:16">
      <c r="A398" s="534"/>
      <c r="B398" s="534"/>
      <c r="C398" s="534"/>
      <c r="D398" s="534"/>
      <c r="E398" s="534"/>
      <c r="F398" s="534"/>
      <c r="G398" s="534"/>
      <c r="H398" s="534"/>
      <c r="I398" s="534"/>
      <c r="J398" s="534"/>
      <c r="K398" s="534"/>
      <c r="L398" s="534"/>
      <c r="M398" s="534"/>
      <c r="N398" s="534"/>
      <c r="O398" s="534"/>
      <c r="P398" s="534"/>
    </row>
    <row r="399" spans="1:16">
      <c r="A399" s="534"/>
      <c r="B399" s="534"/>
      <c r="C399" s="534"/>
      <c r="D399" s="534"/>
      <c r="E399" s="534"/>
      <c r="F399" s="534"/>
      <c r="G399" s="534"/>
      <c r="H399" s="534"/>
      <c r="I399" s="534"/>
      <c r="J399" s="534"/>
      <c r="K399" s="534"/>
      <c r="L399" s="534"/>
      <c r="M399" s="534"/>
      <c r="N399" s="534"/>
      <c r="O399" s="534"/>
      <c r="P399" s="534"/>
    </row>
    <row r="400" spans="1:16">
      <c r="A400" s="534"/>
      <c r="B400" s="534"/>
      <c r="C400" s="534"/>
      <c r="D400" s="534"/>
      <c r="E400" s="534"/>
      <c r="F400" s="534"/>
      <c r="G400" s="534"/>
      <c r="H400" s="534"/>
      <c r="I400" s="534"/>
      <c r="J400" s="534"/>
      <c r="K400" s="534"/>
      <c r="L400" s="534"/>
      <c r="M400" s="534"/>
      <c r="N400" s="534"/>
      <c r="O400" s="534"/>
      <c r="P400" s="534"/>
    </row>
    <row r="401" spans="1:16">
      <c r="A401" s="823" t="s">
        <v>1514</v>
      </c>
      <c r="B401" s="823"/>
      <c r="C401" s="823"/>
      <c r="D401" s="823"/>
      <c r="E401" s="823"/>
      <c r="F401" s="823"/>
      <c r="G401" s="823"/>
      <c r="H401" s="823"/>
      <c r="I401" s="823"/>
      <c r="J401" s="823"/>
      <c r="K401" s="823"/>
      <c r="L401" s="823"/>
      <c r="M401" s="823"/>
      <c r="N401" s="823"/>
      <c r="O401" s="583" t="s">
        <v>1571</v>
      </c>
      <c r="P401" s="583" t="str">
        <f>IF(SynthèsePER!J10=TRUE,"Oui","Non")</f>
        <v>Non</v>
      </c>
    </row>
    <row r="402" spans="1:16">
      <c r="A402" s="243"/>
      <c r="B402" s="243"/>
      <c r="C402" s="243"/>
      <c r="D402" s="243"/>
      <c r="E402" s="243"/>
      <c r="F402" s="243"/>
      <c r="G402" s="243"/>
      <c r="H402" s="243"/>
      <c r="I402" s="243"/>
      <c r="J402" s="243"/>
      <c r="K402" s="243"/>
      <c r="L402" s="243"/>
      <c r="M402" s="243"/>
      <c r="N402" s="243"/>
      <c r="O402" s="243"/>
      <c r="P402" s="243"/>
    </row>
    <row r="403" spans="1:16">
      <c r="A403" s="243"/>
      <c r="B403" s="243"/>
      <c r="C403" s="243"/>
      <c r="D403" s="243"/>
      <c r="E403" s="243"/>
      <c r="F403" s="243"/>
      <c r="G403" s="243"/>
      <c r="H403" s="243"/>
      <c r="I403" s="243"/>
      <c r="J403" s="243"/>
      <c r="K403" s="243"/>
      <c r="L403" s="243"/>
      <c r="M403" s="243"/>
      <c r="N403" s="243"/>
      <c r="O403" s="243"/>
      <c r="P403" s="243"/>
    </row>
    <row r="404" spans="1:16">
      <c r="A404" s="243"/>
      <c r="B404" s="243"/>
      <c r="C404" s="243"/>
      <c r="D404" s="243"/>
      <c r="E404" s="243"/>
      <c r="F404" s="243"/>
      <c r="G404" s="243"/>
      <c r="H404" s="243"/>
      <c r="I404" s="243"/>
      <c r="J404" s="243"/>
      <c r="K404" s="243"/>
      <c r="L404" s="243"/>
      <c r="M404" s="243"/>
      <c r="N404" s="243"/>
      <c r="O404" s="243"/>
      <c r="P404" s="243"/>
    </row>
    <row r="405" spans="1:16">
      <c r="A405" s="243"/>
      <c r="B405" s="243"/>
      <c r="C405" s="243"/>
      <c r="D405" s="243"/>
      <c r="E405" s="243"/>
      <c r="F405" s="243"/>
      <c r="G405" s="243"/>
      <c r="H405" s="243"/>
      <c r="I405" s="243"/>
      <c r="J405" s="243"/>
      <c r="K405" s="243"/>
      <c r="L405" s="243"/>
      <c r="M405" s="243"/>
      <c r="N405" s="243"/>
      <c r="O405" s="243"/>
      <c r="P405" s="243"/>
    </row>
    <row r="406" spans="1:16">
      <c r="A406" s="243"/>
      <c r="B406" s="243"/>
      <c r="C406" s="243"/>
      <c r="D406" s="243"/>
      <c r="E406" s="243"/>
      <c r="F406" s="243"/>
      <c r="G406" s="243"/>
      <c r="H406" s="243"/>
      <c r="I406" s="243"/>
      <c r="J406" s="243"/>
      <c r="K406" s="243"/>
      <c r="L406" s="243"/>
      <c r="M406" s="243"/>
      <c r="N406" s="243"/>
      <c r="O406" s="243"/>
      <c r="P406" s="243"/>
    </row>
    <row r="407" spans="1:16">
      <c r="A407" s="243"/>
      <c r="B407" s="243"/>
      <c r="C407" s="243"/>
      <c r="D407" s="542" t="s">
        <v>1534</v>
      </c>
      <c r="E407" s="543"/>
      <c r="F407" s="534"/>
      <c r="G407" s="534"/>
      <c r="H407" s="534"/>
      <c r="I407" s="534"/>
      <c r="J407" s="534"/>
      <c r="K407" s="534"/>
      <c r="L407" s="534"/>
      <c r="M407" s="534"/>
      <c r="N407" s="243"/>
      <c r="O407" s="243"/>
      <c r="P407" s="243"/>
    </row>
    <row r="408" spans="1:16">
      <c r="A408" s="243"/>
      <c r="B408" s="243"/>
      <c r="C408" s="243"/>
      <c r="D408" s="534"/>
      <c r="E408" s="534"/>
      <c r="F408" s="534"/>
      <c r="G408" s="534"/>
      <c r="H408" s="534"/>
      <c r="I408" s="534"/>
      <c r="J408" s="534"/>
      <c r="K408" s="534"/>
      <c r="L408" s="534"/>
      <c r="M408" s="534"/>
      <c r="N408" s="243"/>
      <c r="O408" s="243"/>
      <c r="P408" s="243"/>
    </row>
    <row r="409" spans="1:16">
      <c r="A409" s="243"/>
      <c r="B409" s="243"/>
      <c r="C409" s="243"/>
      <c r="D409" s="554" t="s">
        <v>1545</v>
      </c>
      <c r="E409" s="554"/>
      <c r="F409" s="555"/>
      <c r="G409" s="556">
        <f>G369</f>
        <v>0</v>
      </c>
      <c r="H409" s="554" t="s">
        <v>51</v>
      </c>
      <c r="I409" s="534"/>
      <c r="J409" s="534"/>
      <c r="K409" s="534"/>
      <c r="L409" s="534"/>
      <c r="M409" s="534"/>
      <c r="N409" s="243"/>
      <c r="O409" s="243"/>
      <c r="P409" s="243"/>
    </row>
    <row r="410" spans="1:16">
      <c r="A410" s="243"/>
      <c r="B410" s="243"/>
      <c r="C410" s="243"/>
      <c r="D410" s="557" t="s">
        <v>1530</v>
      </c>
      <c r="E410" s="557"/>
      <c r="F410" s="558"/>
      <c r="G410" s="559">
        <f>G370</f>
        <v>0</v>
      </c>
      <c r="H410" s="537" t="s">
        <v>1562</v>
      </c>
      <c r="I410" s="559">
        <f>Données!F28</f>
        <v>0.128</v>
      </c>
      <c r="J410" s="534"/>
      <c r="K410" s="534"/>
      <c r="L410" s="534"/>
      <c r="M410" s="534"/>
      <c r="N410" s="243"/>
      <c r="O410" s="243"/>
      <c r="P410" s="243"/>
    </row>
    <row r="411" spans="1:16">
      <c r="A411" s="243"/>
      <c r="B411" s="243"/>
      <c r="C411" s="243"/>
      <c r="D411" s="557" t="s">
        <v>1531</v>
      </c>
      <c r="E411" s="557"/>
      <c r="F411" s="557"/>
      <c r="G411" s="559">
        <f>Données!$F$36</f>
        <v>0.17199999999999999</v>
      </c>
      <c r="H411" s="563"/>
      <c r="I411" s="563"/>
      <c r="J411" s="534"/>
      <c r="K411" s="534"/>
      <c r="L411" s="534"/>
      <c r="M411" s="534"/>
      <c r="N411" s="243"/>
      <c r="O411" s="243"/>
      <c r="P411" s="243"/>
    </row>
    <row r="412" spans="1:16">
      <c r="A412" s="243"/>
      <c r="B412" s="243"/>
      <c r="C412" s="243"/>
      <c r="D412" s="557" t="s">
        <v>1544</v>
      </c>
      <c r="E412" s="557"/>
      <c r="F412" s="557"/>
      <c r="G412" s="559">
        <f>'Sit 2'!X5</f>
        <v>0</v>
      </c>
      <c r="H412" s="557"/>
      <c r="I412" s="534"/>
      <c r="J412" s="534"/>
      <c r="K412" s="534"/>
      <c r="L412" s="534"/>
      <c r="M412" s="534"/>
      <c r="N412" s="243"/>
      <c r="O412" s="243"/>
      <c r="P412" s="243"/>
    </row>
    <row r="413" spans="1:16">
      <c r="A413" s="243"/>
      <c r="B413" s="243"/>
      <c r="C413" s="243"/>
      <c r="D413" s="557" t="s">
        <v>1539</v>
      </c>
      <c r="E413" s="557"/>
      <c r="F413" s="557"/>
      <c r="G413" s="559">
        <f>'Sit 2'!H6</f>
        <v>0</v>
      </c>
      <c r="H413" s="560"/>
      <c r="I413" s="534"/>
      <c r="J413" s="534"/>
      <c r="K413" s="534"/>
      <c r="L413" s="534"/>
      <c r="M413" s="534"/>
      <c r="N413" s="243"/>
      <c r="O413" s="243"/>
      <c r="P413" s="243"/>
    </row>
    <row r="414" spans="1:16">
      <c r="A414" s="243"/>
      <c r="B414" s="243"/>
      <c r="C414" s="243"/>
      <c r="D414" s="557" t="s">
        <v>1540</v>
      </c>
      <c r="E414" s="560"/>
      <c r="F414" s="560"/>
      <c r="G414" s="561">
        <f>'Sit 2'!C9</f>
        <v>0</v>
      </c>
      <c r="H414" s="560"/>
      <c r="I414" s="534"/>
      <c r="J414" s="534"/>
      <c r="K414" s="534"/>
      <c r="L414" s="534"/>
      <c r="M414" s="534"/>
      <c r="N414" s="243"/>
      <c r="O414" s="243"/>
      <c r="P414" s="243"/>
    </row>
    <row r="415" spans="1:16">
      <c r="A415" s="243"/>
      <c r="B415" s="243"/>
      <c r="C415" s="243"/>
      <c r="D415" s="540"/>
      <c r="E415" s="534"/>
      <c r="F415" s="534"/>
      <c r="G415" s="547"/>
      <c r="H415" s="534"/>
      <c r="I415" s="534"/>
      <c r="J415" s="534"/>
      <c r="K415" s="534"/>
      <c r="L415" s="534"/>
      <c r="M415" s="534"/>
      <c r="N415" s="243"/>
      <c r="O415" s="243"/>
      <c r="P415" s="243"/>
    </row>
    <row r="416" spans="1:16">
      <c r="A416" s="243"/>
      <c r="B416" s="243"/>
      <c r="C416" s="243"/>
      <c r="D416" s="540"/>
      <c r="E416" s="534"/>
      <c r="F416" s="534"/>
      <c r="G416" s="547"/>
      <c r="H416" s="534"/>
      <c r="I416" s="534"/>
      <c r="J416" s="534"/>
      <c r="K416" s="534"/>
      <c r="L416" s="534"/>
      <c r="M416" s="534"/>
      <c r="N416" s="243"/>
      <c r="O416" s="243"/>
      <c r="P416" s="243"/>
    </row>
    <row r="417" spans="1:16">
      <c r="A417" s="243"/>
      <c r="B417" s="243"/>
      <c r="C417" s="243"/>
      <c r="D417" s="243"/>
      <c r="E417" s="562"/>
      <c r="F417" s="562"/>
      <c r="G417" s="1014" t="s">
        <v>1546</v>
      </c>
      <c r="H417" s="1014"/>
      <c r="I417" s="1013">
        <f ca="1">'Sit 2'!H13</f>
        <v>0</v>
      </c>
      <c r="J417" s="1013"/>
      <c r="K417" s="243"/>
      <c r="L417" s="534"/>
      <c r="M417" s="534"/>
      <c r="N417" s="243"/>
      <c r="O417" s="243"/>
      <c r="P417" s="243"/>
    </row>
    <row r="418" spans="1:16">
      <c r="A418" s="243"/>
      <c r="B418" s="243"/>
      <c r="C418" s="243"/>
      <c r="D418" s="534"/>
      <c r="E418" s="534"/>
      <c r="F418" s="534"/>
      <c r="G418" s="534"/>
      <c r="H418" s="534"/>
      <c r="I418" s="534"/>
      <c r="J418" s="534"/>
      <c r="K418" s="534"/>
      <c r="L418" s="534"/>
      <c r="M418" s="534"/>
      <c r="N418" s="243"/>
      <c r="O418" s="243"/>
      <c r="P418" s="243"/>
    </row>
    <row r="419" spans="1:16">
      <c r="A419" s="243"/>
      <c r="B419" s="243"/>
      <c r="C419" s="243"/>
      <c r="D419" s="548"/>
      <c r="E419" s="548"/>
      <c r="F419" s="548"/>
      <c r="G419" s="548"/>
      <c r="H419" s="548"/>
      <c r="I419" s="548"/>
      <c r="J419" s="548"/>
      <c r="K419" s="548"/>
      <c r="L419" s="548"/>
      <c r="M419" s="548"/>
      <c r="N419" s="243"/>
      <c r="O419" s="243"/>
      <c r="P419" s="243"/>
    </row>
    <row r="420" spans="1:16">
      <c r="A420" s="243"/>
      <c r="B420" s="243"/>
      <c r="C420" s="243"/>
      <c r="D420" s="243"/>
      <c r="E420" s="243"/>
      <c r="F420" s="243"/>
      <c r="G420" s="243"/>
      <c r="H420" s="243"/>
      <c r="I420" s="243"/>
      <c r="J420" s="243"/>
      <c r="K420" s="243"/>
      <c r="L420" s="243"/>
      <c r="M420" s="243"/>
      <c r="N420" s="243"/>
      <c r="O420" s="243"/>
      <c r="P420" s="243"/>
    </row>
    <row r="421" spans="1:16">
      <c r="A421" s="243"/>
      <c r="B421" s="243"/>
      <c r="C421" s="1026" t="s">
        <v>1548</v>
      </c>
      <c r="D421" s="1026"/>
      <c r="E421" s="565"/>
      <c r="F421" s="1027" t="s">
        <v>1547</v>
      </c>
      <c r="G421" s="1027"/>
      <c r="H421" s="565"/>
      <c r="I421" s="1027" t="s">
        <v>1547</v>
      </c>
      <c r="J421" s="1027"/>
      <c r="L421" s="565"/>
      <c r="M421" s="1024" t="s">
        <v>1556</v>
      </c>
      <c r="N421" s="1024"/>
      <c r="O421" s="243"/>
      <c r="P421" s="243"/>
    </row>
    <row r="422" spans="1:16">
      <c r="A422" s="243"/>
      <c r="B422" s="243"/>
      <c r="C422" s="565">
        <f>G409</f>
        <v>0</v>
      </c>
      <c r="D422" s="565" t="s">
        <v>1541</v>
      </c>
      <c r="E422" s="565"/>
      <c r="F422" s="565">
        <f>SynthèsePER!Q19-SynthèsePER!G24</f>
        <v>80</v>
      </c>
      <c r="G422" s="565" t="s">
        <v>1558</v>
      </c>
      <c r="H422" s="565"/>
      <c r="I422" s="565">
        <f>SynthèsePER!R19-SynthèsePER!G24</f>
        <v>90</v>
      </c>
      <c r="J422" s="565" t="s">
        <v>1558</v>
      </c>
      <c r="L422" s="565"/>
      <c r="M422" s="1025" t="s">
        <v>1549</v>
      </c>
      <c r="N422" s="1025"/>
      <c r="O422" s="243"/>
      <c r="P422" s="243"/>
    </row>
    <row r="423" spans="1:16">
      <c r="A423" s="243"/>
      <c r="B423" s="243"/>
      <c r="C423" s="565"/>
      <c r="D423" s="565"/>
      <c r="E423" s="565"/>
      <c r="F423" s="566" t="str">
        <f>"à vos "&amp;SynthèsePER!Q19</f>
        <v>à vos 80</v>
      </c>
      <c r="G423" s="565" t="s">
        <v>1541</v>
      </c>
      <c r="H423" s="565"/>
      <c r="I423" s="566" t="str">
        <f>"à vos "&amp;SynthèsePER!R19</f>
        <v>à vos 90</v>
      </c>
      <c r="J423" s="565" t="s">
        <v>1541</v>
      </c>
      <c r="L423" s="565"/>
      <c r="M423" s="566" t="str">
        <f>"à "&amp;SynthèsePER!R19</f>
        <v>à 90</v>
      </c>
      <c r="N423" s="565" t="s">
        <v>1541</v>
      </c>
      <c r="O423" s="243"/>
      <c r="P423" s="243"/>
    </row>
    <row r="430" spans="1:16">
      <c r="A430" s="243"/>
      <c r="B430" s="243"/>
      <c r="C430" s="567" t="s">
        <v>1403</v>
      </c>
      <c r="D430" s="568" t="e">
        <f ca="1">SynthèsePER!R32</f>
        <v>#N/A</v>
      </c>
      <c r="E430" s="1023" t="s">
        <v>1550</v>
      </c>
      <c r="F430" s="1023"/>
      <c r="G430" s="568">
        <f ca="1">'Sit 2'!AB14</f>
        <v>0</v>
      </c>
      <c r="H430" s="1023" t="s">
        <v>1550</v>
      </c>
      <c r="I430" s="1023"/>
      <c r="J430" s="568">
        <f ca="1">'Sit 2'!AF14</f>
        <v>0</v>
      </c>
      <c r="L430" s="1023" t="s">
        <v>1434</v>
      </c>
      <c r="M430" s="1023"/>
      <c r="N430" s="568" t="e">
        <f>SynthèsePER!R38</f>
        <v>#N/A</v>
      </c>
      <c r="O430" s="243"/>
      <c r="P430" s="243"/>
    </row>
    <row r="431" spans="1:16">
      <c r="A431" s="243"/>
      <c r="B431" s="243"/>
      <c r="C431" s="567" t="s">
        <v>1404</v>
      </c>
      <c r="D431" s="568" t="e">
        <f ca="1">SynthèsePER!R33</f>
        <v>#N/A</v>
      </c>
      <c r="E431" s="1023" t="s">
        <v>1551</v>
      </c>
      <c r="F431" s="1023"/>
      <c r="G431" s="568">
        <f ca="1">'Sit 2'!AB15</f>
        <v>0</v>
      </c>
      <c r="H431" s="1023" t="s">
        <v>1551</v>
      </c>
      <c r="I431" s="1023"/>
      <c r="J431" s="568">
        <f ca="1">'Sit 2'!AF15</f>
        <v>0</v>
      </c>
      <c r="K431" s="243"/>
      <c r="L431" s="243"/>
      <c r="M431" s="243"/>
      <c r="N431" s="243"/>
      <c r="O431" s="243"/>
      <c r="P431" s="243"/>
    </row>
    <row r="432" spans="1:16" ht="15" thickBot="1">
      <c r="A432" s="243"/>
      <c r="B432" s="243"/>
      <c r="C432" s="570" t="s">
        <v>1559</v>
      </c>
      <c r="D432" s="569" t="e">
        <f ca="1">SynthèsePER!R34</f>
        <v>#N/A</v>
      </c>
      <c r="E432" s="1022" t="s">
        <v>1552</v>
      </c>
      <c r="F432" s="1022"/>
      <c r="G432" s="571">
        <f ca="1">'Sit 2'!AB16</f>
        <v>0</v>
      </c>
      <c r="H432" s="1022" t="s">
        <v>1552</v>
      </c>
      <c r="I432" s="1022"/>
      <c r="J432" s="571">
        <f ca="1">'Sit 2'!AF16</f>
        <v>0</v>
      </c>
      <c r="K432" s="243"/>
      <c r="L432" s="1021" t="s">
        <v>1557</v>
      </c>
      <c r="M432" s="1021"/>
      <c r="N432" s="1021"/>
      <c r="O432" s="243"/>
      <c r="P432" s="243"/>
    </row>
    <row r="433" spans="1:16">
      <c r="A433" s="243"/>
      <c r="B433" s="243"/>
      <c r="C433" s="243"/>
      <c r="D433" s="243"/>
      <c r="E433" s="243"/>
      <c r="F433" s="243"/>
      <c r="G433" s="243"/>
      <c r="H433" s="243"/>
      <c r="I433" s="243"/>
      <c r="J433" s="243"/>
      <c r="K433" s="243"/>
      <c r="L433" s="243"/>
      <c r="M433" s="243"/>
      <c r="N433" s="243"/>
      <c r="O433" s="243"/>
      <c r="P433" s="243"/>
    </row>
    <row r="434" spans="1:16">
      <c r="A434" s="243"/>
      <c r="B434" s="243"/>
      <c r="C434" s="243"/>
      <c r="D434" s="243"/>
      <c r="E434" s="243"/>
      <c r="F434" s="243"/>
      <c r="G434" s="243"/>
      <c r="H434" s="243"/>
      <c r="I434" s="243"/>
      <c r="J434" s="243"/>
      <c r="K434" s="243"/>
      <c r="L434" s="243"/>
      <c r="M434" s="243"/>
      <c r="N434" s="243"/>
      <c r="O434" s="243"/>
      <c r="P434" s="243"/>
    </row>
    <row r="435" spans="1:16">
      <c r="A435" s="243"/>
      <c r="B435" s="243"/>
      <c r="C435" s="243"/>
      <c r="D435" s="243"/>
      <c r="E435" s="243"/>
      <c r="F435" s="243"/>
      <c r="G435" s="243"/>
      <c r="H435" s="243"/>
      <c r="I435" s="243"/>
      <c r="J435" s="243"/>
      <c r="K435" s="243"/>
      <c r="L435" s="243"/>
      <c r="M435" s="243"/>
      <c r="N435" s="243"/>
      <c r="O435" s="243"/>
      <c r="P435" s="243"/>
    </row>
    <row r="436" spans="1:16">
      <c r="A436" s="243"/>
      <c r="B436" s="243"/>
      <c r="C436" s="243"/>
      <c r="D436" s="243"/>
      <c r="E436" s="243"/>
      <c r="F436" s="243"/>
      <c r="G436" s="243"/>
      <c r="H436" s="243"/>
      <c r="I436" s="243"/>
      <c r="J436" s="243"/>
      <c r="K436" s="243"/>
      <c r="L436" s="243"/>
      <c r="M436" s="243"/>
      <c r="N436" s="243"/>
      <c r="O436" s="243"/>
      <c r="P436" s="243"/>
    </row>
    <row r="437" spans="1:16">
      <c r="A437" s="243"/>
      <c r="B437" s="243"/>
      <c r="M437" s="243"/>
      <c r="N437" s="243"/>
      <c r="O437" s="243"/>
      <c r="P437" s="243"/>
    </row>
    <row r="438" spans="1:16">
      <c r="A438" s="243"/>
      <c r="B438" s="243"/>
      <c r="C438" s="243"/>
      <c r="D438" s="243"/>
      <c r="E438" s="243"/>
      <c r="F438" s="243"/>
      <c r="G438" s="243"/>
      <c r="H438" s="243"/>
      <c r="I438" s="243"/>
      <c r="J438" s="243"/>
      <c r="K438" s="243"/>
      <c r="L438" s="243"/>
      <c r="M438" s="243"/>
      <c r="N438" s="243"/>
      <c r="O438" s="243"/>
      <c r="P438" s="243"/>
    </row>
    <row r="439" spans="1:16">
      <c r="A439" s="243"/>
      <c r="B439" s="243"/>
      <c r="C439" s="243"/>
      <c r="D439" s="243"/>
      <c r="E439" s="243"/>
      <c r="F439" s="243"/>
      <c r="G439" s="243"/>
      <c r="H439" s="243"/>
      <c r="I439" s="243"/>
      <c r="J439" s="243"/>
      <c r="K439" s="243"/>
      <c r="L439" s="243"/>
      <c r="M439" s="243"/>
      <c r="N439" s="243"/>
      <c r="O439" s="243"/>
      <c r="P439" s="243"/>
    </row>
    <row r="440" spans="1:16">
      <c r="A440" s="243"/>
      <c r="B440" s="243"/>
      <c r="C440" s="243"/>
      <c r="D440" s="243"/>
      <c r="E440" s="243"/>
      <c r="F440" s="243"/>
      <c r="G440" s="243"/>
      <c r="H440" s="243"/>
      <c r="I440" s="243"/>
      <c r="J440" s="243"/>
      <c r="K440" s="243"/>
      <c r="L440" s="243"/>
      <c r="M440" s="243"/>
      <c r="N440" s="243"/>
      <c r="O440" s="243"/>
      <c r="P440" s="243"/>
    </row>
    <row r="441" spans="1:16">
      <c r="A441" s="823" t="s">
        <v>1515</v>
      </c>
      <c r="B441" s="823"/>
      <c r="C441" s="823"/>
      <c r="D441" s="823"/>
      <c r="E441" s="823"/>
      <c r="F441" s="823"/>
      <c r="G441" s="823"/>
      <c r="H441" s="823"/>
      <c r="I441" s="823"/>
      <c r="J441" s="823"/>
      <c r="K441" s="823"/>
      <c r="L441" s="823"/>
      <c r="M441" s="823"/>
      <c r="N441" s="823"/>
      <c r="O441" s="823"/>
      <c r="P441" s="296"/>
    </row>
    <row r="442" spans="1:16">
      <c r="A442" s="243"/>
      <c r="B442" s="243"/>
      <c r="C442" s="243"/>
      <c r="D442" s="243"/>
      <c r="E442" s="243"/>
      <c r="F442" s="243"/>
      <c r="G442" s="243"/>
      <c r="H442" s="243"/>
      <c r="I442" s="243"/>
      <c r="J442" s="243"/>
      <c r="K442" s="243"/>
      <c r="L442" s="243"/>
      <c r="M442" s="243"/>
      <c r="N442" s="243"/>
      <c r="O442" s="243"/>
      <c r="P442" s="243"/>
    </row>
    <row r="443" spans="1:16">
      <c r="A443" s="243"/>
      <c r="B443" s="243"/>
      <c r="C443" s="243"/>
      <c r="D443" s="243"/>
      <c r="E443" s="243"/>
      <c r="F443" s="243"/>
      <c r="G443" s="243"/>
      <c r="H443" s="243"/>
      <c r="I443" s="243"/>
      <c r="J443" s="243"/>
      <c r="K443" s="243"/>
      <c r="L443" s="243"/>
      <c r="M443" s="243"/>
      <c r="N443" s="243"/>
      <c r="O443" s="243"/>
      <c r="P443" s="243"/>
    </row>
    <row r="444" spans="1:16">
      <c r="A444" s="243"/>
      <c r="B444" s="243"/>
      <c r="C444" s="243"/>
      <c r="D444" s="243"/>
      <c r="E444" s="243"/>
      <c r="F444" s="243"/>
      <c r="G444" s="243"/>
      <c r="H444" s="243"/>
      <c r="I444" s="243"/>
      <c r="J444" s="243"/>
      <c r="K444" s="243"/>
      <c r="L444" s="243"/>
      <c r="M444" s="243"/>
      <c r="N444" s="243"/>
      <c r="O444" s="243"/>
      <c r="P444" s="243"/>
    </row>
    <row r="445" spans="1:16">
      <c r="A445" s="243"/>
      <c r="B445" s="243"/>
      <c r="C445" s="243"/>
      <c r="D445" s="243"/>
      <c r="E445" s="243"/>
      <c r="F445" s="243"/>
      <c r="G445" s="243"/>
      <c r="H445" s="243"/>
      <c r="I445" s="243"/>
      <c r="J445" s="243"/>
      <c r="K445" s="243"/>
      <c r="L445" s="243"/>
      <c r="M445" s="243"/>
      <c r="N445" s="243"/>
      <c r="O445" s="243"/>
      <c r="P445" s="243"/>
    </row>
    <row r="446" spans="1:16">
      <c r="A446" s="243"/>
      <c r="B446" s="243"/>
      <c r="C446" s="243"/>
      <c r="D446" s="243"/>
      <c r="E446" s="243"/>
      <c r="F446" s="243"/>
      <c r="G446" s="243"/>
      <c r="H446" s="243"/>
      <c r="I446" s="243"/>
      <c r="J446" s="243"/>
      <c r="K446" s="243"/>
      <c r="L446" s="243"/>
      <c r="M446" s="243"/>
      <c r="N446" s="243"/>
      <c r="O446" s="243"/>
      <c r="P446" s="243"/>
    </row>
    <row r="447" spans="1:16">
      <c r="A447" s="243"/>
      <c r="B447" s="243"/>
      <c r="C447" s="243"/>
      <c r="D447" s="243"/>
      <c r="E447" s="243"/>
      <c r="F447" s="243"/>
      <c r="G447" s="243"/>
      <c r="H447" s="243"/>
      <c r="I447" s="243"/>
      <c r="J447" s="243"/>
      <c r="K447" s="243"/>
      <c r="L447" s="243"/>
      <c r="M447" s="243"/>
      <c r="N447" s="243"/>
      <c r="O447" s="243"/>
      <c r="P447" s="243"/>
    </row>
    <row r="448" spans="1:16">
      <c r="A448" s="243"/>
      <c r="B448" s="243"/>
      <c r="C448" s="243"/>
      <c r="D448" s="243"/>
      <c r="E448" s="243"/>
      <c r="F448" s="243"/>
      <c r="G448" s="243"/>
      <c r="H448" s="243"/>
      <c r="I448" s="243"/>
      <c r="J448" s="243"/>
      <c r="K448" s="243"/>
      <c r="L448" s="243"/>
      <c r="M448" s="243"/>
      <c r="N448" s="243"/>
      <c r="O448" s="243"/>
      <c r="P448" s="243"/>
    </row>
    <row r="449" spans="1:16">
      <c r="A449" s="243"/>
      <c r="B449" s="243"/>
      <c r="C449" s="243"/>
      <c r="D449" s="243"/>
      <c r="E449" s="243"/>
      <c r="F449" s="243"/>
      <c r="G449" s="243"/>
      <c r="H449" s="243"/>
      <c r="I449" s="243"/>
      <c r="J449" s="243"/>
      <c r="K449" s="243"/>
      <c r="L449" s="243"/>
      <c r="M449" s="243"/>
      <c r="N449" s="243"/>
      <c r="O449" s="243"/>
      <c r="P449" s="243"/>
    </row>
    <row r="450" spans="1:16">
      <c r="A450" s="243"/>
      <c r="B450" s="243"/>
      <c r="C450" s="243"/>
      <c r="D450" s="243"/>
      <c r="E450" s="243"/>
      <c r="F450" s="243"/>
      <c r="G450" s="243"/>
      <c r="H450" s="243"/>
      <c r="I450" s="243"/>
      <c r="J450" s="243"/>
      <c r="K450" s="243"/>
      <c r="L450" s="243"/>
      <c r="M450" s="243"/>
      <c r="N450" s="243"/>
      <c r="O450" s="243"/>
      <c r="P450" s="243"/>
    </row>
    <row r="451" spans="1:16">
      <c r="A451" s="243"/>
      <c r="B451" s="243"/>
      <c r="C451" s="814" t="s">
        <v>1565</v>
      </c>
      <c r="D451" s="814"/>
      <c r="E451" s="814"/>
      <c r="F451" s="1031" t="s">
        <v>1568</v>
      </c>
      <c r="G451" s="1031"/>
      <c r="H451" s="1031"/>
      <c r="I451" s="1031"/>
      <c r="J451" s="1031"/>
      <c r="K451" s="1031"/>
      <c r="L451" s="1031"/>
      <c r="M451" s="1031"/>
      <c r="N451" s="1031"/>
      <c r="O451" s="243"/>
      <c r="P451" s="243"/>
    </row>
    <row r="452" spans="1:16">
      <c r="A452" s="243"/>
      <c r="B452" s="243"/>
      <c r="C452" s="814"/>
      <c r="D452" s="814"/>
      <c r="E452" s="814"/>
      <c r="F452" s="1031"/>
      <c r="G452" s="1031"/>
      <c r="H452" s="1031"/>
      <c r="I452" s="1031"/>
      <c r="J452" s="1031"/>
      <c r="K452" s="1031"/>
      <c r="L452" s="1031"/>
      <c r="M452" s="1031"/>
      <c r="N452" s="1031"/>
      <c r="O452" s="243"/>
      <c r="P452" s="243"/>
    </row>
    <row r="453" spans="1:16">
      <c r="A453" s="243"/>
      <c r="B453" s="243"/>
      <c r="C453" s="814"/>
      <c r="D453" s="814"/>
      <c r="E453" s="814"/>
      <c r="F453" s="1031"/>
      <c r="G453" s="1031"/>
      <c r="H453" s="1031"/>
      <c r="I453" s="1031"/>
      <c r="J453" s="1031"/>
      <c r="K453" s="1031"/>
      <c r="L453" s="1031"/>
      <c r="M453" s="1031"/>
      <c r="N453" s="1031"/>
      <c r="O453" s="243"/>
      <c r="P453" s="243"/>
    </row>
    <row r="454" spans="1:16">
      <c r="A454" s="243"/>
      <c r="B454" s="243"/>
      <c r="C454" s="814"/>
      <c r="D454" s="814"/>
      <c r="E454" s="814"/>
      <c r="F454" s="1031"/>
      <c r="G454" s="1031"/>
      <c r="H454" s="1031"/>
      <c r="I454" s="1031"/>
      <c r="J454" s="1031"/>
      <c r="K454" s="1031"/>
      <c r="L454" s="1031"/>
      <c r="M454" s="1031"/>
      <c r="N454" s="1031"/>
      <c r="O454" s="243"/>
      <c r="P454" s="243"/>
    </row>
    <row r="455" spans="1:16">
      <c r="A455" s="243"/>
      <c r="B455" s="243"/>
      <c r="C455" s="814"/>
      <c r="D455" s="814"/>
      <c r="E455" s="814"/>
      <c r="F455" s="1031"/>
      <c r="G455" s="1031"/>
      <c r="H455" s="1031"/>
      <c r="I455" s="1031"/>
      <c r="J455" s="1031"/>
      <c r="K455" s="1031"/>
      <c r="L455" s="1031"/>
      <c r="M455" s="1031"/>
      <c r="N455" s="1031"/>
      <c r="O455" s="243"/>
      <c r="P455" s="243"/>
    </row>
    <row r="456" spans="1:16">
      <c r="A456" s="243"/>
      <c r="B456" s="243"/>
      <c r="C456" s="814"/>
      <c r="D456" s="814"/>
      <c r="E456" s="814"/>
      <c r="F456" s="1031"/>
      <c r="G456" s="1031"/>
      <c r="H456" s="1031"/>
      <c r="I456" s="1031"/>
      <c r="J456" s="1031"/>
      <c r="K456" s="1031"/>
      <c r="L456" s="1031"/>
      <c r="M456" s="1031"/>
      <c r="N456" s="1031"/>
      <c r="O456" s="243"/>
      <c r="P456" s="243"/>
    </row>
    <row r="457" spans="1:16">
      <c r="A457" s="243"/>
      <c r="B457" s="243"/>
      <c r="C457" s="814"/>
      <c r="D457" s="814"/>
      <c r="E457" s="814"/>
      <c r="F457" s="1031"/>
      <c r="G457" s="1031"/>
      <c r="H457" s="1031"/>
      <c r="I457" s="1031"/>
      <c r="J457" s="1031"/>
      <c r="K457" s="1031"/>
      <c r="L457" s="1031"/>
      <c r="M457" s="1031"/>
      <c r="N457" s="1031"/>
      <c r="O457" s="243"/>
      <c r="P457" s="243"/>
    </row>
    <row r="458" spans="1:16">
      <c r="A458" s="243"/>
      <c r="B458" s="243"/>
      <c r="C458" s="814"/>
      <c r="D458" s="814"/>
      <c r="E458" s="814"/>
      <c r="F458" s="1031"/>
      <c r="G458" s="1031"/>
      <c r="H458" s="1031"/>
      <c r="I458" s="1031"/>
      <c r="J458" s="1031"/>
      <c r="K458" s="1031"/>
      <c r="L458" s="1031"/>
      <c r="M458" s="1031"/>
      <c r="N458" s="1031"/>
      <c r="O458" s="243"/>
      <c r="P458" s="243"/>
    </row>
    <row r="459" spans="1:16">
      <c r="A459" s="243"/>
      <c r="B459" s="243"/>
      <c r="C459" s="814"/>
      <c r="D459" s="814"/>
      <c r="E459" s="814"/>
      <c r="F459" s="1031"/>
      <c r="G459" s="1031"/>
      <c r="H459" s="1031"/>
      <c r="I459" s="1031"/>
      <c r="J459" s="1031"/>
      <c r="K459" s="1031"/>
      <c r="L459" s="1031"/>
      <c r="M459" s="1031"/>
      <c r="N459" s="1031"/>
      <c r="O459" s="243"/>
      <c r="P459" s="243"/>
    </row>
    <row r="460" spans="1:16">
      <c r="A460" s="243"/>
      <c r="B460" s="243"/>
      <c r="C460" s="814"/>
      <c r="D460" s="814"/>
      <c r="E460" s="814"/>
      <c r="F460" s="1031"/>
      <c r="G460" s="1031"/>
      <c r="H460" s="1031"/>
      <c r="I460" s="1031"/>
      <c r="J460" s="1031"/>
      <c r="K460" s="1031"/>
      <c r="L460" s="1031"/>
      <c r="M460" s="1031"/>
      <c r="N460" s="1031"/>
      <c r="O460" s="243"/>
      <c r="P460" s="243"/>
    </row>
    <row r="461" spans="1:16">
      <c r="A461" s="243"/>
      <c r="B461" s="243"/>
      <c r="C461" s="814"/>
      <c r="D461" s="814"/>
      <c r="E461" s="814"/>
      <c r="F461" s="1031"/>
      <c r="G461" s="1031"/>
      <c r="H461" s="1031"/>
      <c r="I461" s="1031"/>
      <c r="J461" s="1031"/>
      <c r="K461" s="1031"/>
      <c r="L461" s="1031"/>
      <c r="M461" s="1031"/>
      <c r="N461" s="1031"/>
      <c r="O461" s="243"/>
      <c r="P461" s="243"/>
    </row>
    <row r="462" spans="1:16">
      <c r="A462" s="243"/>
      <c r="B462" s="243"/>
      <c r="C462" s="814"/>
      <c r="D462" s="814"/>
      <c r="E462" s="814"/>
      <c r="F462" s="1031"/>
      <c r="G462" s="1031"/>
      <c r="H462" s="1031"/>
      <c r="I462" s="1031"/>
      <c r="J462" s="1031"/>
      <c r="K462" s="1031"/>
      <c r="L462" s="1031"/>
      <c r="M462" s="1031"/>
      <c r="N462" s="1031"/>
      <c r="O462" s="243"/>
      <c r="P462" s="243"/>
    </row>
    <row r="463" spans="1:16">
      <c r="A463" s="243"/>
      <c r="B463" s="243"/>
      <c r="C463" s="1030" t="s">
        <v>1566</v>
      </c>
      <c r="D463" s="1030"/>
      <c r="E463" s="1030"/>
      <c r="F463" s="1032" t="s">
        <v>1567</v>
      </c>
      <c r="G463" s="1032"/>
      <c r="H463" s="1032"/>
      <c r="I463" s="1032"/>
      <c r="J463" s="1032"/>
      <c r="K463" s="1032"/>
      <c r="L463" s="1032"/>
      <c r="M463" s="1032"/>
      <c r="N463" s="1032"/>
      <c r="O463" s="243"/>
      <c r="P463" s="243"/>
    </row>
    <row r="464" spans="1:16">
      <c r="A464" s="243"/>
      <c r="B464" s="243"/>
      <c r="C464" s="1030"/>
      <c r="D464" s="1030"/>
      <c r="E464" s="1030"/>
      <c r="F464" s="1033"/>
      <c r="G464" s="1033"/>
      <c r="H464" s="1033"/>
      <c r="I464" s="1033"/>
      <c r="J464" s="1033"/>
      <c r="K464" s="1033"/>
      <c r="L464" s="1033"/>
      <c r="M464" s="1033"/>
      <c r="N464" s="1033"/>
      <c r="O464" s="243"/>
      <c r="P464" s="243"/>
    </row>
    <row r="465" spans="1:16">
      <c r="A465" s="243"/>
      <c r="B465" s="243"/>
      <c r="C465" s="1030"/>
      <c r="D465" s="1030"/>
      <c r="E465" s="1030"/>
      <c r="F465" s="1033"/>
      <c r="G465" s="1033"/>
      <c r="H465" s="1033"/>
      <c r="I465" s="1033"/>
      <c r="J465" s="1033"/>
      <c r="K465" s="1033"/>
      <c r="L465" s="1033"/>
      <c r="M465" s="1033"/>
      <c r="N465" s="1033"/>
      <c r="O465" s="243"/>
      <c r="P465" s="243"/>
    </row>
    <row r="466" spans="1:16">
      <c r="A466" s="243"/>
      <c r="B466" s="243"/>
      <c r="C466" s="1030"/>
      <c r="D466" s="1030"/>
      <c r="E466" s="1030"/>
      <c r="F466" s="1033"/>
      <c r="G466" s="1033"/>
      <c r="H466" s="1033"/>
      <c r="I466" s="1033"/>
      <c r="J466" s="1033"/>
      <c r="K466" s="1033"/>
      <c r="L466" s="1033"/>
      <c r="M466" s="1033"/>
      <c r="N466" s="1033"/>
      <c r="O466" s="243"/>
      <c r="P466" s="243"/>
    </row>
    <row r="467" spans="1:16">
      <c r="A467" s="243"/>
      <c r="B467" s="243"/>
      <c r="C467" s="1030"/>
      <c r="D467" s="1030"/>
      <c r="E467" s="1030"/>
      <c r="F467" s="1033"/>
      <c r="G467" s="1033"/>
      <c r="H467" s="1033"/>
      <c r="I467" s="1033"/>
      <c r="J467" s="1033"/>
      <c r="K467" s="1033"/>
      <c r="L467" s="1033"/>
      <c r="M467" s="1033"/>
      <c r="N467" s="1033"/>
      <c r="O467" s="243"/>
      <c r="P467" s="243"/>
    </row>
    <row r="468" spans="1:16">
      <c r="A468" s="243"/>
      <c r="B468" s="243"/>
      <c r="C468" s="1030"/>
      <c r="D468" s="1030"/>
      <c r="E468" s="1030"/>
      <c r="F468" s="1033"/>
      <c r="G468" s="1033"/>
      <c r="H468" s="1033"/>
      <c r="I468" s="1033"/>
      <c r="J468" s="1033"/>
      <c r="K468" s="1033"/>
      <c r="L468" s="1033"/>
      <c r="M468" s="1033"/>
      <c r="N468" s="1033"/>
      <c r="O468" s="243"/>
      <c r="P468" s="243"/>
    </row>
    <row r="469" spans="1:16">
      <c r="A469" s="243"/>
      <c r="B469" s="243"/>
      <c r="C469" s="1030"/>
      <c r="D469" s="1030"/>
      <c r="E469" s="1030"/>
      <c r="F469" s="1033"/>
      <c r="G469" s="1033"/>
      <c r="H469" s="1033"/>
      <c r="I469" s="1033"/>
      <c r="J469" s="1033"/>
      <c r="K469" s="1033"/>
      <c r="L469" s="1033"/>
      <c r="M469" s="1033"/>
      <c r="N469" s="1033"/>
      <c r="O469" s="243"/>
      <c r="P469" s="243"/>
    </row>
    <row r="470" spans="1:16">
      <c r="A470" s="243"/>
      <c r="B470" s="243"/>
      <c r="C470" s="1030"/>
      <c r="D470" s="1030"/>
      <c r="E470" s="1030"/>
      <c r="F470" s="1033"/>
      <c r="G470" s="1033"/>
      <c r="H470" s="1033"/>
      <c r="I470" s="1033"/>
      <c r="J470" s="1033"/>
      <c r="K470" s="1033"/>
      <c r="L470" s="1033"/>
      <c r="M470" s="1033"/>
      <c r="N470" s="1033"/>
      <c r="O470" s="243"/>
      <c r="P470" s="243"/>
    </row>
    <row r="471" spans="1:16">
      <c r="A471" s="243"/>
      <c r="B471" s="243"/>
      <c r="C471" s="1030"/>
      <c r="D471" s="1030"/>
      <c r="E471" s="1030"/>
      <c r="F471" s="1033"/>
      <c r="G471" s="1033"/>
      <c r="H471" s="1033"/>
      <c r="I471" s="1033"/>
      <c r="J471" s="1033"/>
      <c r="K471" s="1033"/>
      <c r="L471" s="1033"/>
      <c r="M471" s="1033"/>
      <c r="N471" s="1033"/>
      <c r="O471" s="243"/>
      <c r="P471" s="243"/>
    </row>
    <row r="472" spans="1:16">
      <c r="A472" s="243"/>
      <c r="B472" s="243"/>
      <c r="C472" s="1030"/>
      <c r="D472" s="1030"/>
      <c r="E472" s="1030"/>
      <c r="F472" s="1033"/>
      <c r="G472" s="1033"/>
      <c r="H472" s="1033"/>
      <c r="I472" s="1033"/>
      <c r="J472" s="1033"/>
      <c r="K472" s="1033"/>
      <c r="L472" s="1033"/>
      <c r="M472" s="1033"/>
      <c r="N472" s="1033"/>
      <c r="O472" s="243"/>
      <c r="P472" s="243"/>
    </row>
    <row r="473" spans="1:16">
      <c r="A473" s="243"/>
      <c r="B473" s="243"/>
      <c r="C473" s="1030"/>
      <c r="D473" s="1030"/>
      <c r="E473" s="1030"/>
      <c r="F473" s="1033"/>
      <c r="G473" s="1033"/>
      <c r="H473" s="1033"/>
      <c r="I473" s="1033"/>
      <c r="J473" s="1033"/>
      <c r="K473" s="1033"/>
      <c r="L473" s="1033"/>
      <c r="M473" s="1033"/>
      <c r="N473" s="1033"/>
      <c r="O473" s="243"/>
      <c r="P473" s="243"/>
    </row>
    <row r="474" spans="1:16">
      <c r="A474" s="243"/>
      <c r="B474" s="243"/>
      <c r="C474" s="1030"/>
      <c r="D474" s="1030"/>
      <c r="E474" s="1030"/>
      <c r="F474" s="1033"/>
      <c r="G474" s="1033"/>
      <c r="H474" s="1033"/>
      <c r="I474" s="1033"/>
      <c r="J474" s="1033"/>
      <c r="K474" s="1033"/>
      <c r="L474" s="1033"/>
      <c r="M474" s="1033"/>
      <c r="N474" s="1033"/>
      <c r="O474" s="243"/>
      <c r="P474" s="243"/>
    </row>
    <row r="475" spans="1:16">
      <c r="A475" s="243"/>
      <c r="B475" s="243"/>
      <c r="C475" s="243"/>
      <c r="D475" s="243"/>
      <c r="E475" s="243"/>
      <c r="F475" s="243"/>
      <c r="G475" s="243"/>
      <c r="H475" s="243"/>
      <c r="I475" s="243"/>
      <c r="J475" s="243"/>
      <c r="K475" s="243"/>
      <c r="L475" s="243"/>
      <c r="M475" s="243"/>
      <c r="N475" s="243"/>
      <c r="O475" s="243"/>
      <c r="P475" s="243"/>
    </row>
    <row r="476" spans="1:16">
      <c r="A476" s="243"/>
      <c r="B476" s="243"/>
      <c r="C476" s="243"/>
      <c r="D476" s="243"/>
      <c r="E476" s="243"/>
      <c r="F476" s="243"/>
      <c r="G476" s="243"/>
      <c r="H476" s="243"/>
      <c r="I476" s="243"/>
      <c r="J476" s="243"/>
      <c r="K476" s="243"/>
      <c r="L476" s="243"/>
      <c r="M476" s="243"/>
      <c r="N476" s="243"/>
      <c r="O476" s="243"/>
      <c r="P476" s="243"/>
    </row>
    <row r="477" spans="1:16">
      <c r="A477" s="243"/>
      <c r="B477" s="243"/>
      <c r="C477" s="243"/>
      <c r="D477" s="243"/>
      <c r="E477" s="243"/>
      <c r="F477" s="243"/>
      <c r="G477" s="243"/>
      <c r="H477" s="243"/>
      <c r="I477" s="243"/>
      <c r="J477" s="243"/>
      <c r="K477" s="243"/>
      <c r="L477" s="243"/>
      <c r="M477" s="243"/>
      <c r="N477" s="243"/>
      <c r="O477" s="243"/>
      <c r="P477" s="243"/>
    </row>
    <row r="478" spans="1:16">
      <c r="A478" s="243"/>
      <c r="B478" s="243"/>
      <c r="C478" s="243"/>
      <c r="D478" s="243"/>
      <c r="E478" s="243"/>
      <c r="F478" s="243"/>
      <c r="G478" s="243"/>
      <c r="H478" s="243"/>
      <c r="I478" s="243"/>
      <c r="J478" s="243"/>
      <c r="K478" s="243"/>
      <c r="L478" s="243"/>
      <c r="M478" s="243"/>
      <c r="N478" s="243"/>
      <c r="O478" s="243"/>
      <c r="P478" s="243"/>
    </row>
    <row r="479" spans="1:16">
      <c r="A479" s="243"/>
      <c r="B479" s="243"/>
      <c r="C479" s="243"/>
      <c r="D479" s="243"/>
      <c r="E479" s="243"/>
      <c r="F479" s="243"/>
      <c r="G479" s="243"/>
      <c r="H479" s="243"/>
      <c r="I479" s="243"/>
      <c r="J479" s="243"/>
      <c r="K479" s="243"/>
      <c r="L479" s="243"/>
      <c r="M479" s="243"/>
      <c r="N479" s="243"/>
      <c r="O479" s="243"/>
      <c r="P479" s="243"/>
    </row>
    <row r="480" spans="1:16">
      <c r="A480" s="243"/>
      <c r="B480" s="243"/>
      <c r="C480" s="243"/>
      <c r="D480" s="243"/>
      <c r="E480" s="243"/>
      <c r="F480" s="243"/>
      <c r="G480" s="243"/>
      <c r="H480" s="243"/>
      <c r="I480" s="243"/>
      <c r="J480" s="243"/>
      <c r="K480" s="243"/>
      <c r="L480" s="243"/>
      <c r="M480" s="243"/>
      <c r="N480" s="243"/>
      <c r="O480" s="243"/>
      <c r="P480" s="243"/>
    </row>
    <row r="481" spans="1:16">
      <c r="A481" s="823" t="s">
        <v>1563</v>
      </c>
      <c r="B481" s="823"/>
      <c r="C481" s="823"/>
      <c r="D481" s="823"/>
      <c r="E481" s="823"/>
      <c r="F481" s="823"/>
      <c r="G481" s="823"/>
      <c r="H481" s="823"/>
      <c r="I481" s="823"/>
      <c r="J481" s="823"/>
      <c r="K481" s="823"/>
      <c r="L481" s="823"/>
      <c r="M481" s="823"/>
      <c r="N481" s="823"/>
      <c r="O481" s="823"/>
      <c r="P481" s="823"/>
    </row>
    <row r="486" spans="1:16">
      <c r="H486" s="523"/>
    </row>
    <row r="491" spans="1:16" ht="15" customHeight="1"/>
    <row r="492" spans="1:16" ht="15" customHeight="1"/>
    <row r="493" spans="1:16" ht="15" customHeight="1"/>
    <row r="494" spans="1:16" ht="15" customHeight="1"/>
    <row r="495" spans="1:16" ht="15" customHeight="1"/>
    <row r="496" spans="1:1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spans="1:16" ht="15" customHeight="1"/>
    <row r="514" spans="1:16" ht="15" customHeight="1"/>
    <row r="521" spans="1:16">
      <c r="A521" s="823" t="s">
        <v>1516</v>
      </c>
      <c r="B521" s="823"/>
      <c r="C521" s="823"/>
      <c r="D521" s="823"/>
      <c r="E521" s="823"/>
      <c r="F521" s="823"/>
      <c r="G521" s="823"/>
      <c r="H521" s="823"/>
      <c r="I521" s="823"/>
      <c r="J521" s="823"/>
      <c r="K521" s="823"/>
      <c r="L521" s="823"/>
      <c r="M521" s="823"/>
      <c r="N521" s="823"/>
      <c r="O521" s="823"/>
      <c r="P521" s="823"/>
    </row>
    <row r="522" spans="1:16">
      <c r="A522" s="243"/>
      <c r="B522" s="243"/>
      <c r="C522" s="243"/>
      <c r="D522" s="243"/>
      <c r="E522" s="243"/>
      <c r="F522" s="243"/>
      <c r="G522" s="243"/>
      <c r="H522" s="243"/>
      <c r="I522" s="243"/>
      <c r="J522" s="243"/>
      <c r="K522" s="243"/>
      <c r="L522" s="243"/>
      <c r="M522" s="243"/>
      <c r="N522" s="243"/>
      <c r="O522" s="243"/>
      <c r="P522" s="243"/>
    </row>
    <row r="523" spans="1:16">
      <c r="A523" s="243"/>
      <c r="B523" s="243"/>
      <c r="C523" s="243"/>
      <c r="D523" s="243"/>
      <c r="E523" s="243"/>
      <c r="F523" s="243"/>
      <c r="G523" s="243"/>
      <c r="H523" s="243"/>
      <c r="I523" s="243"/>
      <c r="J523" s="243"/>
      <c r="K523" s="243"/>
      <c r="L523" s="243"/>
      <c r="M523" s="243"/>
      <c r="N523" s="243"/>
      <c r="O523" s="243"/>
      <c r="P523" s="243"/>
    </row>
    <row r="524" spans="1:16">
      <c r="A524" s="243"/>
      <c r="B524" s="243"/>
      <c r="C524" s="243"/>
      <c r="D524" s="243"/>
      <c r="E524" s="243"/>
      <c r="F524" s="243"/>
      <c r="G524" s="243"/>
      <c r="H524" s="243"/>
      <c r="I524" s="243"/>
      <c r="J524" s="243"/>
      <c r="K524" s="243"/>
      <c r="L524" s="243"/>
      <c r="M524" s="243"/>
      <c r="N524" s="243"/>
      <c r="O524" s="243"/>
      <c r="P524" s="243"/>
    </row>
    <row r="525" spans="1:16">
      <c r="A525" s="243"/>
      <c r="B525" s="243"/>
      <c r="C525" s="243"/>
      <c r="D525" s="243"/>
      <c r="E525" s="243"/>
      <c r="F525" s="243"/>
      <c r="G525" s="243"/>
      <c r="H525" s="243"/>
      <c r="I525" s="243"/>
      <c r="J525" s="243"/>
      <c r="K525" s="243"/>
      <c r="L525" s="243"/>
      <c r="M525" s="243"/>
      <c r="N525" s="243"/>
      <c r="O525" s="243"/>
      <c r="P525" s="243"/>
    </row>
    <row r="526" spans="1:16">
      <c r="A526" s="243"/>
      <c r="B526" s="243"/>
      <c r="C526" s="243"/>
      <c r="D526" s="243"/>
      <c r="E526" s="243"/>
      <c r="F526" s="243"/>
      <c r="G526" s="243"/>
      <c r="H526" s="243"/>
      <c r="I526" s="243"/>
      <c r="J526" s="243"/>
      <c r="K526" s="243"/>
      <c r="L526" s="243"/>
      <c r="M526" s="243"/>
      <c r="N526" s="243"/>
      <c r="O526" s="243"/>
      <c r="P526" s="243"/>
    </row>
    <row r="527" spans="1:16">
      <c r="A527" s="243"/>
      <c r="B527" s="243"/>
      <c r="C527" s="243"/>
      <c r="D527" s="243"/>
      <c r="E527" s="243"/>
      <c r="F527" s="243"/>
      <c r="G527" s="243"/>
      <c r="H527" s="243"/>
      <c r="I527" s="243"/>
      <c r="J527" s="243"/>
      <c r="K527" s="243"/>
      <c r="L527" s="243"/>
      <c r="M527" s="243"/>
      <c r="N527" s="243"/>
      <c r="O527" s="243"/>
      <c r="P527" s="243"/>
    </row>
    <row r="528" spans="1:16">
      <c r="A528" s="243"/>
      <c r="B528" s="243"/>
      <c r="C528" s="243"/>
      <c r="D528" s="243"/>
      <c r="E528" s="243"/>
      <c r="F528" s="243"/>
      <c r="G528" s="243"/>
      <c r="H528" s="243"/>
      <c r="I528" s="243"/>
      <c r="J528" s="243"/>
      <c r="K528" s="243"/>
      <c r="L528" s="243"/>
      <c r="M528" s="243"/>
      <c r="N528" s="243"/>
      <c r="O528" s="243"/>
      <c r="P528" s="243"/>
    </row>
    <row r="529" spans="1:15">
      <c r="A529" s="243"/>
      <c r="B529" s="243"/>
      <c r="D529" s="243"/>
      <c r="E529" s="243"/>
      <c r="F529" s="243"/>
      <c r="G529" s="243"/>
      <c r="H529" s="584" t="str">
        <f>SynthèsePER!G24&amp;" ans"</f>
        <v>0 ans</v>
      </c>
      <c r="I529" s="584"/>
      <c r="J529" s="584" t="str">
        <f>SynthèsePER!G28&amp;" ans"</f>
        <v>80 ans</v>
      </c>
      <c r="K529" s="584"/>
      <c r="L529" s="584" t="str">
        <f>SynthèsePER!G29&amp;" ans"</f>
        <v>90 ans</v>
      </c>
      <c r="M529" s="244"/>
      <c r="N529" s="244"/>
      <c r="O529" s="243"/>
    </row>
    <row r="530" spans="1:15">
      <c r="A530" s="243"/>
      <c r="B530" s="243"/>
      <c r="D530" s="243"/>
      <c r="E530" s="243"/>
      <c r="F530" s="243"/>
      <c r="G530" s="243"/>
      <c r="H530" s="244"/>
      <c r="I530" s="244"/>
      <c r="J530" s="244"/>
      <c r="K530" s="244"/>
      <c r="L530" s="244"/>
      <c r="M530" s="244"/>
      <c r="N530" s="244"/>
      <c r="O530" s="243"/>
    </row>
    <row r="531" spans="1:15">
      <c r="A531" s="243"/>
      <c r="B531" s="243"/>
      <c r="D531" s="243"/>
      <c r="E531" s="243"/>
      <c r="F531" s="243"/>
      <c r="G531" s="243"/>
      <c r="H531" s="244"/>
      <c r="I531" s="244"/>
      <c r="J531" s="244"/>
      <c r="K531" s="244"/>
      <c r="L531" s="244"/>
      <c r="M531" s="244"/>
      <c r="N531" s="244"/>
      <c r="O531" s="243"/>
    </row>
    <row r="532" spans="1:15">
      <c r="A532" s="243"/>
      <c r="B532" s="243"/>
      <c r="D532" s="243"/>
      <c r="E532" s="243"/>
      <c r="F532" s="243"/>
      <c r="G532" s="243"/>
      <c r="H532" s="244"/>
      <c r="I532" s="244"/>
      <c r="J532" s="244"/>
      <c r="K532" s="244"/>
      <c r="L532" s="244"/>
      <c r="M532" s="244"/>
      <c r="N532" s="244"/>
      <c r="O532" s="243"/>
    </row>
    <row r="533" spans="1:15" ht="15.75" customHeight="1" thickBot="1">
      <c r="A533" s="243"/>
      <c r="B533" s="243"/>
      <c r="D533" s="1028" t="s">
        <v>1390</v>
      </c>
      <c r="E533" s="243"/>
      <c r="F533" s="243" t="s">
        <v>308</v>
      </c>
      <c r="G533" s="243"/>
      <c r="H533" s="575">
        <f ca="1">SynthèsePER!J26</f>
        <v>0</v>
      </c>
      <c r="I533" s="576"/>
      <c r="J533" s="575">
        <f ca="1">SynthèsePER!J28</f>
        <v>0</v>
      </c>
      <c r="K533" s="576"/>
      <c r="L533" s="575">
        <f>SynthèsePER!J29</f>
        <v>0</v>
      </c>
      <c r="M533" s="577"/>
      <c r="N533" s="577"/>
      <c r="O533" s="243"/>
    </row>
    <row r="534" spans="1:15" ht="15" customHeight="1">
      <c r="A534" s="243"/>
      <c r="B534" s="243"/>
      <c r="D534" s="1028"/>
      <c r="E534" s="243"/>
      <c r="F534" s="243"/>
      <c r="G534" s="243"/>
      <c r="H534" s="244"/>
      <c r="I534" s="244"/>
      <c r="J534" s="244"/>
      <c r="K534" s="244"/>
      <c r="L534" s="244"/>
      <c r="M534" s="244"/>
      <c r="N534" s="244"/>
      <c r="O534" s="243"/>
    </row>
    <row r="535" spans="1:15" ht="15" customHeight="1">
      <c r="A535" s="243"/>
      <c r="B535" s="243"/>
      <c r="D535" s="1028"/>
      <c r="E535" s="243"/>
      <c r="F535" s="243"/>
      <c r="G535" s="243"/>
      <c r="H535" s="244"/>
      <c r="I535" s="244"/>
      <c r="J535" s="244"/>
      <c r="K535" s="244"/>
      <c r="L535" s="244"/>
      <c r="M535" s="244"/>
      <c r="N535" s="244"/>
      <c r="O535" s="243"/>
    </row>
    <row r="536" spans="1:15" ht="15" customHeight="1">
      <c r="A536" s="243"/>
      <c r="B536" s="243"/>
      <c r="D536" s="1028"/>
      <c r="E536" s="243"/>
      <c r="F536" s="898" t="s">
        <v>1569</v>
      </c>
      <c r="G536" s="898"/>
      <c r="H536" s="578" t="e">
        <f ca="1">SynthèsePER!J34</f>
        <v>#DIV/0!</v>
      </c>
      <c r="I536" s="244"/>
      <c r="J536" s="244"/>
      <c r="K536" s="244"/>
      <c r="L536" s="244"/>
      <c r="M536" s="244"/>
      <c r="N536" s="244"/>
      <c r="O536" s="243"/>
    </row>
    <row r="537" spans="1:15" ht="15.75" customHeight="1" thickBot="1">
      <c r="A537" s="243"/>
      <c r="B537" s="243"/>
      <c r="D537" s="1028"/>
      <c r="E537" s="243"/>
      <c r="F537" s="898" t="s">
        <v>1570</v>
      </c>
      <c r="G537" s="898"/>
      <c r="H537" s="576"/>
      <c r="I537" s="576"/>
      <c r="J537" s="578">
        <f ca="1">SynthèsePER!J36</f>
        <v>0</v>
      </c>
      <c r="K537" s="244"/>
      <c r="L537" s="244"/>
      <c r="M537" s="244"/>
      <c r="N537" s="244"/>
      <c r="O537" s="243"/>
    </row>
    <row r="538" spans="1:15" ht="15.75" customHeight="1" thickBot="1">
      <c r="A538" s="243"/>
      <c r="B538" s="243"/>
      <c r="D538" s="1028"/>
      <c r="E538" s="243"/>
      <c r="F538" s="898" t="s">
        <v>1570</v>
      </c>
      <c r="G538" s="898"/>
      <c r="H538" s="576"/>
      <c r="I538" s="576"/>
      <c r="J538" s="576"/>
      <c r="K538" s="576"/>
      <c r="L538" s="578">
        <f ca="1">SynthèsePER!J37</f>
        <v>0</v>
      </c>
      <c r="M538" s="244"/>
      <c r="N538" s="244"/>
      <c r="O538" s="243"/>
    </row>
    <row r="539" spans="1:15">
      <c r="A539" s="243"/>
      <c r="B539" s="243"/>
      <c r="D539" s="243"/>
      <c r="E539" s="243"/>
      <c r="F539" s="243"/>
      <c r="G539" s="243"/>
      <c r="H539" s="243"/>
      <c r="I539" s="243"/>
      <c r="J539" s="243"/>
      <c r="K539" s="243"/>
      <c r="L539" s="243"/>
      <c r="M539" s="243"/>
      <c r="N539" s="243"/>
      <c r="O539" s="243"/>
    </row>
    <row r="540" spans="1:15">
      <c r="A540" s="243"/>
      <c r="B540" s="243"/>
      <c r="D540" s="243"/>
      <c r="E540" s="243"/>
      <c r="F540" s="243"/>
      <c r="G540" s="243"/>
      <c r="H540" s="243"/>
      <c r="I540" s="243"/>
      <c r="J540" s="243"/>
      <c r="K540" s="243"/>
      <c r="L540" s="243"/>
      <c r="M540" s="243"/>
      <c r="N540" s="243"/>
      <c r="O540" s="243"/>
    </row>
    <row r="541" spans="1:15">
      <c r="A541" s="243"/>
      <c r="B541" s="243"/>
      <c r="D541" s="243"/>
      <c r="E541" s="243"/>
      <c r="F541" s="243"/>
      <c r="G541" s="243"/>
      <c r="H541" s="243"/>
      <c r="I541" s="243"/>
      <c r="J541" s="243"/>
      <c r="K541" s="243"/>
      <c r="L541" s="243"/>
      <c r="M541" s="243"/>
      <c r="N541" s="243"/>
      <c r="O541" s="243"/>
    </row>
    <row r="542" spans="1:15" ht="15.75" customHeight="1" thickBot="1">
      <c r="A542" s="243"/>
      <c r="B542" s="243"/>
      <c r="D542" s="1029" t="s">
        <v>1391</v>
      </c>
      <c r="E542" s="579"/>
      <c r="F542" s="243" t="s">
        <v>308</v>
      </c>
      <c r="G542" s="243"/>
      <c r="H542" s="580">
        <f ca="1">SynthèsePER!R26</f>
        <v>0</v>
      </c>
      <c r="I542" s="581"/>
      <c r="J542" s="580">
        <f ca="1">SynthèsePER!R28</f>
        <v>0</v>
      </c>
      <c r="K542" s="581"/>
      <c r="L542" s="580">
        <f>SynthèsePER!R29</f>
        <v>0</v>
      </c>
      <c r="M542" s="582"/>
      <c r="N542" s="582"/>
      <c r="O542" s="243"/>
    </row>
    <row r="543" spans="1:15" ht="15" customHeight="1">
      <c r="A543" s="243"/>
      <c r="B543" s="243"/>
      <c r="D543" s="1029"/>
      <c r="E543" s="579"/>
      <c r="F543" s="243"/>
      <c r="G543" s="243"/>
      <c r="H543" s="244"/>
      <c r="I543" s="244"/>
      <c r="J543" s="244"/>
      <c r="K543" s="244"/>
      <c r="L543" s="244"/>
      <c r="M543" s="244"/>
      <c r="N543" s="244"/>
      <c r="O543" s="243"/>
    </row>
    <row r="544" spans="1:15" ht="15" customHeight="1">
      <c r="A544" s="243"/>
      <c r="B544" s="243"/>
      <c r="D544" s="1029"/>
      <c r="E544" s="579"/>
      <c r="F544" s="243"/>
      <c r="G544" s="243"/>
      <c r="H544" s="244"/>
      <c r="I544" s="244"/>
      <c r="J544" s="244"/>
      <c r="K544" s="244"/>
      <c r="L544" s="244"/>
      <c r="M544" s="244"/>
      <c r="N544" s="244"/>
      <c r="O544" s="243"/>
    </row>
    <row r="545" spans="1:16" ht="15" customHeight="1">
      <c r="A545" s="243"/>
      <c r="B545" s="243"/>
      <c r="D545" s="1029"/>
      <c r="E545" s="579"/>
      <c r="F545" s="898" t="s">
        <v>1569</v>
      </c>
      <c r="G545" s="898"/>
      <c r="H545" s="578" t="e">
        <f ca="1">SynthèsePER!R34</f>
        <v>#N/A</v>
      </c>
      <c r="I545" s="244"/>
      <c r="J545" s="244"/>
      <c r="K545" s="244"/>
      <c r="L545" s="244"/>
      <c r="M545" s="244"/>
      <c r="N545" s="244"/>
      <c r="O545" s="243"/>
    </row>
    <row r="546" spans="1:16" ht="15.75" customHeight="1" thickBot="1">
      <c r="A546" s="243"/>
      <c r="B546" s="243"/>
      <c r="D546" s="1029"/>
      <c r="E546" s="579"/>
      <c r="F546" s="898" t="s">
        <v>1570</v>
      </c>
      <c r="G546" s="898"/>
      <c r="H546" s="580"/>
      <c r="I546" s="580"/>
      <c r="J546" s="578">
        <f ca="1">SynthèsePER!R36</f>
        <v>0</v>
      </c>
      <c r="K546" s="244"/>
      <c r="L546" s="244"/>
      <c r="M546" s="244"/>
      <c r="N546" s="244"/>
      <c r="O546" s="243"/>
    </row>
    <row r="547" spans="1:16" ht="15.75" customHeight="1" thickBot="1">
      <c r="A547" s="243"/>
      <c r="B547" s="243"/>
      <c r="D547" s="1029"/>
      <c r="E547" s="579"/>
      <c r="F547" s="898" t="s">
        <v>1570</v>
      </c>
      <c r="G547" s="898"/>
      <c r="H547" s="580"/>
      <c r="I547" s="580"/>
      <c r="J547" s="580"/>
      <c r="K547" s="580"/>
      <c r="L547" s="578">
        <f ca="1">SynthèsePER!R37</f>
        <v>0</v>
      </c>
      <c r="M547" s="244"/>
      <c r="N547" s="244"/>
      <c r="O547" s="243"/>
    </row>
    <row r="548" spans="1:16">
      <c r="A548" s="243"/>
      <c r="B548" s="243"/>
      <c r="C548" s="243"/>
      <c r="D548" s="243"/>
      <c r="E548" s="243"/>
      <c r="F548" s="243"/>
      <c r="G548" s="243"/>
      <c r="H548" s="243"/>
      <c r="I548" s="243"/>
      <c r="J548" s="243"/>
      <c r="K548" s="243"/>
      <c r="L548" s="243"/>
      <c r="M548" s="243"/>
      <c r="N548" s="243"/>
      <c r="O548" s="243"/>
      <c r="P548" s="243"/>
    </row>
    <row r="549" spans="1:16">
      <c r="A549" s="243"/>
      <c r="B549" s="243"/>
      <c r="C549" s="243"/>
      <c r="D549" s="243"/>
      <c r="E549" s="243"/>
      <c r="F549" s="243"/>
      <c r="G549" s="243"/>
      <c r="H549" s="243"/>
      <c r="I549" s="243"/>
      <c r="J549" s="243"/>
      <c r="K549" s="243"/>
      <c r="L549" s="243"/>
      <c r="M549" s="243"/>
      <c r="N549" s="243"/>
      <c r="O549" s="243"/>
      <c r="P549" s="243"/>
    </row>
    <row r="550" spans="1:16">
      <c r="A550" s="243"/>
      <c r="B550" s="243"/>
      <c r="C550" s="243"/>
      <c r="D550" s="243"/>
      <c r="E550" s="243"/>
      <c r="F550" s="243"/>
      <c r="G550" s="243"/>
      <c r="H550" s="243"/>
      <c r="I550" s="243"/>
      <c r="J550" s="243"/>
      <c r="K550" s="243"/>
      <c r="L550" s="243"/>
      <c r="M550" s="243"/>
      <c r="N550" s="243"/>
      <c r="O550" s="243"/>
      <c r="P550" s="243"/>
    </row>
    <row r="551" spans="1:16">
      <c r="A551" s="243"/>
      <c r="B551" s="243"/>
      <c r="C551" s="243"/>
      <c r="D551" s="243"/>
      <c r="E551" s="243"/>
      <c r="F551" s="243"/>
      <c r="G551" s="243"/>
      <c r="H551" s="243"/>
      <c r="I551" s="243"/>
      <c r="J551" s="243"/>
      <c r="K551" s="243"/>
      <c r="L551" s="243"/>
      <c r="M551" s="243"/>
      <c r="N551" s="243"/>
      <c r="O551" s="243"/>
      <c r="P551" s="243"/>
    </row>
    <row r="552" spans="1:16">
      <c r="A552" s="243"/>
      <c r="B552" s="243"/>
      <c r="C552" s="243"/>
      <c r="D552" s="243"/>
      <c r="E552" s="243"/>
      <c r="F552" s="243"/>
      <c r="G552" s="243"/>
      <c r="H552" s="243"/>
      <c r="I552" s="243"/>
      <c r="J552" s="243"/>
      <c r="K552" s="243"/>
      <c r="L552" s="243"/>
      <c r="M552" s="243"/>
      <c r="N552" s="243"/>
      <c r="O552" s="243"/>
      <c r="P552" s="243"/>
    </row>
    <row r="553" spans="1:16">
      <c r="A553" s="243"/>
      <c r="B553" s="243"/>
      <c r="C553" s="243"/>
      <c r="D553" s="243"/>
      <c r="E553" s="243"/>
      <c r="F553" s="243"/>
      <c r="G553" s="243"/>
      <c r="H553" s="243"/>
      <c r="I553" s="243"/>
      <c r="J553" s="243"/>
      <c r="K553" s="243"/>
      <c r="L553" s="243"/>
      <c r="M553" s="243"/>
      <c r="N553" s="243"/>
      <c r="O553" s="243"/>
      <c r="P553" s="243"/>
    </row>
    <row r="554" spans="1:16">
      <c r="A554" s="243"/>
      <c r="B554" s="243"/>
      <c r="C554" s="243"/>
      <c r="D554" s="243"/>
      <c r="E554" s="243"/>
      <c r="F554" s="243"/>
      <c r="G554" s="243"/>
      <c r="H554" s="243"/>
      <c r="I554" s="243"/>
      <c r="J554" s="243"/>
      <c r="K554" s="243"/>
      <c r="L554" s="243"/>
      <c r="M554" s="243"/>
      <c r="N554" s="243"/>
      <c r="O554" s="243"/>
      <c r="P554" s="243"/>
    </row>
    <row r="555" spans="1:16">
      <c r="A555" s="243"/>
      <c r="B555" s="243"/>
      <c r="C555" s="243"/>
      <c r="D555" s="243"/>
      <c r="E555" s="243"/>
      <c r="F555" s="243"/>
      <c r="G555" s="243"/>
      <c r="H555" s="243"/>
      <c r="I555" s="243"/>
      <c r="J555" s="243"/>
      <c r="K555" s="243"/>
      <c r="L555" s="243"/>
      <c r="M555" s="243"/>
      <c r="N555" s="243"/>
      <c r="O555" s="243"/>
      <c r="P555" s="243"/>
    </row>
    <row r="556" spans="1:16">
      <c r="A556" s="243"/>
      <c r="B556" s="243"/>
      <c r="C556" s="243"/>
      <c r="D556" s="243"/>
      <c r="E556" s="243"/>
      <c r="F556" s="243"/>
      <c r="G556" s="243"/>
      <c r="H556" s="243"/>
      <c r="I556" s="243"/>
      <c r="J556" s="243"/>
      <c r="K556" s="243"/>
      <c r="L556" s="243"/>
      <c r="M556" s="243"/>
      <c r="N556" s="243"/>
      <c r="O556" s="243"/>
      <c r="P556" s="243"/>
    </row>
    <row r="557" spans="1:16">
      <c r="A557" s="243"/>
      <c r="B557" s="243"/>
      <c r="C557" s="243"/>
      <c r="D557" s="243"/>
      <c r="E557" s="243"/>
      <c r="F557" s="243"/>
      <c r="G557" s="243"/>
      <c r="H557" s="243"/>
      <c r="I557" s="243"/>
      <c r="J557" s="243"/>
      <c r="K557" s="243"/>
      <c r="L557" s="243"/>
      <c r="M557" s="243"/>
      <c r="N557" s="243"/>
      <c r="O557" s="243"/>
      <c r="P557" s="243"/>
    </row>
    <row r="558" spans="1:16">
      <c r="A558" s="243"/>
      <c r="B558" s="243"/>
      <c r="C558" s="243"/>
      <c r="D558" s="243"/>
      <c r="E558" s="243"/>
      <c r="F558" s="243"/>
      <c r="G558" s="243"/>
      <c r="H558" s="243"/>
      <c r="I558" s="243"/>
      <c r="J558" s="243"/>
      <c r="K558" s="243"/>
      <c r="L558" s="243"/>
      <c r="M558" s="243"/>
      <c r="N558" s="243"/>
      <c r="O558" s="243"/>
      <c r="P558" s="243"/>
    </row>
    <row r="559" spans="1:16">
      <c r="A559" s="243"/>
      <c r="B559" s="243"/>
      <c r="C559" s="243"/>
      <c r="D559" s="243"/>
      <c r="E559" s="243"/>
      <c r="F559" s="243"/>
      <c r="G559" s="243"/>
      <c r="H559" s="243"/>
      <c r="I559" s="243"/>
      <c r="J559" s="243"/>
      <c r="K559" s="243"/>
      <c r="L559" s="243"/>
      <c r="M559" s="243"/>
      <c r="N559" s="243"/>
      <c r="O559" s="243"/>
      <c r="P559" s="243"/>
    </row>
    <row r="560" spans="1:16">
      <c r="A560" s="243"/>
      <c r="B560" s="243"/>
      <c r="C560" s="243"/>
      <c r="D560" s="243"/>
      <c r="E560" s="243"/>
      <c r="F560" s="243"/>
      <c r="G560" s="243"/>
      <c r="H560" s="243"/>
      <c r="I560" s="243"/>
      <c r="J560" s="243"/>
      <c r="K560" s="243"/>
      <c r="L560" s="243"/>
      <c r="M560" s="243"/>
      <c r="N560" s="243"/>
      <c r="O560" s="243"/>
      <c r="P560" s="243"/>
    </row>
    <row r="561" spans="1:16">
      <c r="A561" s="823" t="s">
        <v>1564</v>
      </c>
      <c r="B561" s="823"/>
      <c r="C561" s="823"/>
      <c r="D561" s="823"/>
      <c r="E561" s="823"/>
      <c r="F561" s="823"/>
      <c r="G561" s="823"/>
      <c r="H561" s="823"/>
      <c r="I561" s="823"/>
      <c r="J561" s="823"/>
      <c r="K561" s="823"/>
      <c r="L561" s="823"/>
      <c r="M561" s="823"/>
      <c r="N561" s="823"/>
      <c r="O561" s="823"/>
      <c r="P561" s="823"/>
    </row>
    <row r="601" spans="1:16">
      <c r="A601" s="823" t="s">
        <v>1516</v>
      </c>
      <c r="B601" s="823"/>
      <c r="C601" s="823"/>
      <c r="D601" s="823"/>
      <c r="E601" s="823"/>
      <c r="F601" s="823"/>
      <c r="G601" s="823"/>
      <c r="H601" s="823"/>
      <c r="I601" s="823"/>
      <c r="J601" s="823"/>
      <c r="K601" s="823"/>
      <c r="L601" s="823"/>
      <c r="M601" s="823"/>
      <c r="N601" s="823"/>
      <c r="O601" s="823"/>
      <c r="P601" s="823"/>
    </row>
  </sheetData>
  <mergeCells count="167">
    <mergeCell ref="A521:P521"/>
    <mergeCell ref="A561:P561"/>
    <mergeCell ref="A601:P601"/>
    <mergeCell ref="M422:N422"/>
    <mergeCell ref="E430:F430"/>
    <mergeCell ref="H430:I430"/>
    <mergeCell ref="L430:M430"/>
    <mergeCell ref="E431:F431"/>
    <mergeCell ref="H431:I431"/>
    <mergeCell ref="E432:F432"/>
    <mergeCell ref="H432:I432"/>
    <mergeCell ref="L432:N432"/>
    <mergeCell ref="D533:D538"/>
    <mergeCell ref="F536:G536"/>
    <mergeCell ref="F537:G537"/>
    <mergeCell ref="F538:G538"/>
    <mergeCell ref="D542:D547"/>
    <mergeCell ref="F545:G545"/>
    <mergeCell ref="F546:G546"/>
    <mergeCell ref="F547:G547"/>
    <mergeCell ref="C451:E462"/>
    <mergeCell ref="C463:E474"/>
    <mergeCell ref="F451:N462"/>
    <mergeCell ref="F463:N474"/>
    <mergeCell ref="C421:D421"/>
    <mergeCell ref="F421:G421"/>
    <mergeCell ref="I421:J421"/>
    <mergeCell ref="M421:N421"/>
    <mergeCell ref="I297:J297"/>
    <mergeCell ref="G297:H297"/>
    <mergeCell ref="C301:D301"/>
    <mergeCell ref="F301:G301"/>
    <mergeCell ref="I301:J301"/>
    <mergeCell ref="D378:I378"/>
    <mergeCell ref="J378:K378"/>
    <mergeCell ref="D381:E382"/>
    <mergeCell ref="F381:G382"/>
    <mergeCell ref="H381:I382"/>
    <mergeCell ref="D383:E383"/>
    <mergeCell ref="F383:G383"/>
    <mergeCell ref="H383:I383"/>
    <mergeCell ref="K384:L384"/>
    <mergeCell ref="K386:L386"/>
    <mergeCell ref="L388:M388"/>
    <mergeCell ref="L390:M390"/>
    <mergeCell ref="G417:H417"/>
    <mergeCell ref="I417:J417"/>
    <mergeCell ref="R305:U305"/>
    <mergeCell ref="L312:N312"/>
    <mergeCell ref="E312:F312"/>
    <mergeCell ref="H310:I310"/>
    <mergeCell ref="H311:I311"/>
    <mergeCell ref="H312:I312"/>
    <mergeCell ref="L310:M310"/>
    <mergeCell ref="M301:N301"/>
    <mergeCell ref="M302:N302"/>
    <mergeCell ref="E310:F310"/>
    <mergeCell ref="E311:F311"/>
    <mergeCell ref="K266:L266"/>
    <mergeCell ref="L268:M268"/>
    <mergeCell ref="K264:L264"/>
    <mergeCell ref="L270:M270"/>
    <mergeCell ref="D263:E263"/>
    <mergeCell ref="F263:G263"/>
    <mergeCell ref="H263:I263"/>
    <mergeCell ref="H261:I262"/>
    <mergeCell ref="D261:E262"/>
    <mergeCell ref="F261:G262"/>
    <mergeCell ref="D230:M230"/>
    <mergeCell ref="D226:F226"/>
    <mergeCell ref="J258:K258"/>
    <mergeCell ref="D258:I258"/>
    <mergeCell ref="D225:H225"/>
    <mergeCell ref="I225:M225"/>
    <mergeCell ref="I226:M226"/>
    <mergeCell ref="D222:H222"/>
    <mergeCell ref="I222:M222"/>
    <mergeCell ref="D223:H223"/>
    <mergeCell ref="I223:M223"/>
    <mergeCell ref="D224:H224"/>
    <mergeCell ref="I224:M224"/>
    <mergeCell ref="D219:H219"/>
    <mergeCell ref="I219:M219"/>
    <mergeCell ref="D220:H220"/>
    <mergeCell ref="I220:M220"/>
    <mergeCell ref="D221:H221"/>
    <mergeCell ref="I221:M221"/>
    <mergeCell ref="D216:H216"/>
    <mergeCell ref="I216:M216"/>
    <mergeCell ref="D217:H217"/>
    <mergeCell ref="I217:M217"/>
    <mergeCell ref="D218:H218"/>
    <mergeCell ref="I218:M218"/>
    <mergeCell ref="D214:M214"/>
    <mergeCell ref="D215:H215"/>
    <mergeCell ref="I215:M215"/>
    <mergeCell ref="D190:M190"/>
    <mergeCell ref="D174:M174"/>
    <mergeCell ref="D208:H208"/>
    <mergeCell ref="I208:M208"/>
    <mergeCell ref="D209:H209"/>
    <mergeCell ref="I209:M209"/>
    <mergeCell ref="I184:M184"/>
    <mergeCell ref="I185:M185"/>
    <mergeCell ref="I186:M186"/>
    <mergeCell ref="I187:M187"/>
    <mergeCell ref="I188:M188"/>
    <mergeCell ref="I179:M179"/>
    <mergeCell ref="I180:M180"/>
    <mergeCell ref="I181:M181"/>
    <mergeCell ref="I182:M182"/>
    <mergeCell ref="I183:M183"/>
    <mergeCell ref="A201:O201"/>
    <mergeCell ref="D176:H176"/>
    <mergeCell ref="D177:H177"/>
    <mergeCell ref="I175:M175"/>
    <mergeCell ref="I177:M177"/>
    <mergeCell ref="D170:H170"/>
    <mergeCell ref="D175:H175"/>
    <mergeCell ref="D186:H186"/>
    <mergeCell ref="D178:H178"/>
    <mergeCell ref="D179:H179"/>
    <mergeCell ref="D210:H210"/>
    <mergeCell ref="I210:M210"/>
    <mergeCell ref="D180:H180"/>
    <mergeCell ref="D181:H181"/>
    <mergeCell ref="D182:H182"/>
    <mergeCell ref="D183:H183"/>
    <mergeCell ref="D184:H184"/>
    <mergeCell ref="I176:M176"/>
    <mergeCell ref="D185:H185"/>
    <mergeCell ref="I178:M178"/>
    <mergeCell ref="D188:H188"/>
    <mergeCell ref="W1:Z1"/>
    <mergeCell ref="C31:N31"/>
    <mergeCell ref="E32:L32"/>
    <mergeCell ref="G34:J34"/>
    <mergeCell ref="A121:M121"/>
    <mergeCell ref="C37:N37"/>
    <mergeCell ref="A41:P41"/>
    <mergeCell ref="E78:L78"/>
    <mergeCell ref="A1:P1"/>
    <mergeCell ref="C36:N36"/>
    <mergeCell ref="A481:P481"/>
    <mergeCell ref="K95:N95"/>
    <mergeCell ref="C95:F95"/>
    <mergeCell ref="G95:J95"/>
    <mergeCell ref="G96:J96"/>
    <mergeCell ref="C103:F103"/>
    <mergeCell ref="C104:F104"/>
    <mergeCell ref="C105:F105"/>
    <mergeCell ref="A441:O441"/>
    <mergeCell ref="A321:O321"/>
    <mergeCell ref="K103:N103"/>
    <mergeCell ref="K104:N104"/>
    <mergeCell ref="K105:N105"/>
    <mergeCell ref="A161:M161"/>
    <mergeCell ref="A241:N241"/>
    <mergeCell ref="A281:L281"/>
    <mergeCell ref="A361:N361"/>
    <mergeCell ref="A401:N401"/>
    <mergeCell ref="I168:M168"/>
    <mergeCell ref="I169:M169"/>
    <mergeCell ref="I170:M170"/>
    <mergeCell ref="D187:H187"/>
    <mergeCell ref="D168:H168"/>
    <mergeCell ref="D169:H169"/>
  </mergeCells>
  <phoneticPr fontId="9" type="noConversion"/>
  <conditionalFormatting sqref="C98">
    <cfRule type="expression" dxfId="89" priority="3">
      <formula>$A$81="C1"</formula>
    </cfRule>
  </conditionalFormatting>
  <conditionalFormatting sqref="C98:F98">
    <cfRule type="expression" dxfId="88" priority="7">
      <formula>$A$81=""</formula>
    </cfRule>
  </conditionalFormatting>
  <conditionalFormatting sqref="D98">
    <cfRule type="expression" dxfId="87" priority="4">
      <formula>$A$81="C1 bis"</formula>
    </cfRule>
  </conditionalFormatting>
  <conditionalFormatting sqref="E98">
    <cfRule type="expression" dxfId="86" priority="5">
      <formula>$A$81="C2"</formula>
    </cfRule>
  </conditionalFormatting>
  <conditionalFormatting sqref="E301:N312">
    <cfRule type="expression" dxfId="85" priority="72">
      <formula>$N$281="Masquer"</formula>
    </cfRule>
  </conditionalFormatting>
  <conditionalFormatting sqref="F98">
    <cfRule type="expression" dxfId="84" priority="6">
      <formula>$A$81="C3"</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6" id="{559BFD5A-8BF1-49F6-83C8-35013AC45816}">
            <xm:f>OR('CT à Transf'!K12=Données!H50,'CT à Transf'!K12=Données!H52,'CT à Transf'!K12=Données!H53,'CT à Transf'!K12=Données!H56)</xm:f>
            <x14:dxf>
              <font>
                <b/>
                <i val="0"/>
                <color theme="0"/>
              </font>
              <fill>
                <patternFill>
                  <bgColor theme="5" tint="0.39994506668294322"/>
                </patternFill>
              </fill>
            </x14:dxf>
          </x14:cfRule>
          <xm:sqref>K98</xm:sqref>
        </x14:conditionalFormatting>
        <x14:conditionalFormatting xmlns:xm="http://schemas.microsoft.com/office/excel/2006/main">
          <x14:cfRule type="expression" priority="15" id="{DBB0951C-AEAE-4F96-A063-A1D66C9E6AB7}">
            <xm:f>'CT à Transf'!K12=Données!H54</xm:f>
            <x14:dxf>
              <font>
                <b/>
                <i val="0"/>
                <color theme="0"/>
              </font>
              <fill>
                <patternFill>
                  <bgColor theme="5" tint="0.39994506668294322"/>
                </patternFill>
              </fill>
            </x14:dxf>
          </x14:cfRule>
          <xm:sqref>L98</xm:sqref>
        </x14:conditionalFormatting>
        <x14:conditionalFormatting xmlns:xm="http://schemas.microsoft.com/office/excel/2006/main">
          <x14:cfRule type="expression" priority="14" id="{BA0B5B38-BA44-4D64-9D1A-B482E25E764D}">
            <xm:f>'CT à Transf'!K12=Données!H57</xm:f>
            <x14:dxf>
              <font>
                <b/>
                <i val="0"/>
                <color theme="0"/>
              </font>
              <fill>
                <patternFill>
                  <bgColor theme="5" tint="0.39994506668294322"/>
                </patternFill>
              </fill>
            </x14:dxf>
          </x14:cfRule>
          <xm:sqref>M98</xm:sqref>
        </x14:conditionalFormatting>
        <x14:conditionalFormatting xmlns:xm="http://schemas.microsoft.com/office/excel/2006/main">
          <x14:cfRule type="expression" priority="13" id="{AC94366B-77BF-4D26-92E5-8D3E9E3F2DDD}">
            <xm:f>OR('CT à Transf'!K12=Données!H51,'CT à Transf'!K12=Données!H55)</xm:f>
            <x14:dxf>
              <font>
                <b/>
                <i val="0"/>
                <color theme="0"/>
              </font>
              <fill>
                <patternFill>
                  <bgColor theme="5" tint="0.39994506668294322"/>
                </patternFill>
              </fill>
            </x14:dxf>
          </x14:cfRule>
          <xm:sqref>N98</xm:sqref>
        </x14:conditionalFormatting>
      </x14:conditionalFormatting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719D2-41C4-441D-A86E-67BD87866492}">
  <sheetPr codeName="Feuil32">
    <tabColor theme="9" tint="-0.249977111117893"/>
  </sheetPr>
  <dimension ref="A4:S77"/>
  <sheetViews>
    <sheetView showGridLines="0" showRowColHeaders="0" tabSelected="1" topLeftCell="C1" zoomScale="123" zoomScaleNormal="123" workbookViewId="0">
      <selection activeCell="O31" sqref="O31"/>
    </sheetView>
  </sheetViews>
  <sheetFormatPr baseColWidth="10" defaultRowHeight="14.4"/>
  <cols>
    <col min="2" max="2" width="11.6640625" customWidth="1"/>
    <col min="3" max="3" width="14.33203125" customWidth="1"/>
    <col min="4" max="4" width="21.44140625" customWidth="1"/>
    <col min="5" max="5" width="14.33203125" customWidth="1"/>
    <col min="6" max="7" width="1.44140625" customWidth="1"/>
    <col min="8" max="8" width="21.44140625" customWidth="1"/>
    <col min="9" max="9" width="14.33203125" customWidth="1"/>
    <col min="10" max="10" width="4" customWidth="1"/>
    <col min="11" max="11" width="20.6640625" customWidth="1"/>
    <col min="12" max="12" width="14.33203125" customWidth="1"/>
    <col min="13" max="14" width="1.44140625" customWidth="1"/>
    <col min="15" max="16" width="10.88671875" customWidth="1"/>
    <col min="17" max="17" width="21.44140625" customWidth="1"/>
    <col min="18" max="20" width="14.33203125" customWidth="1"/>
  </cols>
  <sheetData>
    <row r="4" spans="2:19">
      <c r="Q4" s="2"/>
      <c r="R4" s="3"/>
      <c r="S4" s="4"/>
    </row>
    <row r="5" spans="2:19">
      <c r="B5" s="1">
        <f ca="1">TODAY()</f>
        <v>46023</v>
      </c>
    </row>
    <row r="10" spans="2:19">
      <c r="H10" s="293" t="b">
        <f>IF(OR(H14="",H16="",H20="",H22="",H24="",H28="",O14="",O16="",O24=""),FALSE,TRUE)</f>
        <v>1</v>
      </c>
    </row>
    <row r="13" spans="2:19" ht="15.75" customHeight="1"/>
    <row r="14" spans="2:19" ht="15.75" customHeight="1" thickBot="1">
      <c r="D14" s="933" t="s">
        <v>1393</v>
      </c>
      <c r="E14" s="933"/>
      <c r="F14" s="380"/>
      <c r="G14" s="465"/>
      <c r="H14" s="428">
        <v>1980</v>
      </c>
      <c r="I14" s="586" t="str">
        <f ca="1">IF(H14="","",Données!F4-H14&amp;" ans")</f>
        <v>46 ans</v>
      </c>
      <c r="K14" s="933" t="s">
        <v>1630</v>
      </c>
      <c r="L14" s="933"/>
      <c r="M14" s="380"/>
      <c r="N14" s="465"/>
      <c r="O14" s="1034">
        <v>64</v>
      </c>
      <c r="P14" s="1034"/>
      <c r="Q14" s="587" t="s">
        <v>51</v>
      </c>
    </row>
    <row r="15" spans="2:19" ht="7.5" customHeight="1">
      <c r="D15" s="508"/>
      <c r="E15" s="508"/>
      <c r="F15" s="380"/>
      <c r="G15" s="380"/>
      <c r="H15" s="366"/>
      <c r="K15" s="508"/>
      <c r="L15" s="508"/>
      <c r="M15" s="380"/>
      <c r="N15" s="380"/>
      <c r="O15" s="366"/>
      <c r="P15" s="366"/>
    </row>
    <row r="16" spans="2:19" ht="15.75" customHeight="1" thickBot="1">
      <c r="D16" s="933" t="s">
        <v>1394</v>
      </c>
      <c r="E16" s="933"/>
      <c r="F16" s="380"/>
      <c r="G16" s="465"/>
      <c r="H16" s="415">
        <v>0.3</v>
      </c>
      <c r="K16" s="933" t="s">
        <v>1395</v>
      </c>
      <c r="L16" s="933"/>
      <c r="M16" s="380"/>
      <c r="N16" s="465"/>
      <c r="O16" s="1035">
        <v>0.11</v>
      </c>
      <c r="P16" s="1035"/>
    </row>
    <row r="17" spans="1:17">
      <c r="D17" s="585"/>
      <c r="E17" s="585"/>
      <c r="F17" s="585"/>
      <c r="G17" s="585"/>
      <c r="H17" s="585"/>
      <c r="I17" s="585"/>
      <c r="K17" s="585"/>
      <c r="L17" s="585"/>
      <c r="M17" s="585"/>
      <c r="N17" s="585"/>
      <c r="O17" s="585"/>
      <c r="P17" s="585"/>
      <c r="Q17" s="585"/>
    </row>
    <row r="18" spans="1:17">
      <c r="D18" s="585"/>
      <c r="E18" s="585"/>
      <c r="F18" s="585"/>
      <c r="G18" s="585"/>
      <c r="H18" s="585"/>
      <c r="I18" s="585"/>
      <c r="K18" s="585"/>
      <c r="L18" s="585"/>
      <c r="M18" s="585"/>
      <c r="N18" s="585"/>
      <c r="O18" s="585"/>
      <c r="P18" s="585"/>
      <c r="Q18" s="585"/>
    </row>
    <row r="20" spans="1:17" ht="15.75" customHeight="1" thickBot="1">
      <c r="C20" s="461"/>
      <c r="D20" s="933" t="s">
        <v>1645</v>
      </c>
      <c r="E20" s="933"/>
      <c r="F20" s="380"/>
      <c r="G20" s="465"/>
      <c r="H20" s="428" t="s">
        <v>1959</v>
      </c>
      <c r="I20" s="586" t="str">
        <f>IFERROR(INDEX(A47:B51,MATCH(H20,B47:B51,0),1),"")</f>
        <v>UMR</v>
      </c>
      <c r="K20" s="933" t="s">
        <v>1637</v>
      </c>
      <c r="L20" s="933"/>
      <c r="M20" s="380"/>
      <c r="N20" s="465"/>
      <c r="O20" s="1036" t="str">
        <f>IF(H20=B50,"Inclus","")</f>
        <v/>
      </c>
      <c r="P20" s="1036"/>
      <c r="Q20" s="610" t="str">
        <f>IF(O20="","",3%)</f>
        <v/>
      </c>
    </row>
    <row r="21" spans="1:17" ht="7.5" customHeight="1" thickBot="1">
      <c r="D21" s="933"/>
      <c r="E21" s="933"/>
    </row>
    <row r="22" spans="1:17" ht="15.75" customHeight="1" thickBot="1">
      <c r="C22" s="461"/>
      <c r="D22" s="933" t="s">
        <v>1631</v>
      </c>
      <c r="E22" s="933"/>
      <c r="F22" s="380"/>
      <c r="G22" s="465"/>
      <c r="H22" s="415">
        <v>0.03</v>
      </c>
      <c r="K22" s="933" t="s">
        <v>1636</v>
      </c>
      <c r="L22" s="933"/>
      <c r="M22" s="380"/>
      <c r="N22" s="465"/>
      <c r="O22" s="1036" t="str">
        <f>IF(H20=B50,"Inclus",IF(OR(H20=B49,H20=B48,H20=B47),"En option",""))</f>
        <v>En option</v>
      </c>
      <c r="P22" s="1036"/>
      <c r="Q22" s="610">
        <f>IF(O22="","",2%)</f>
        <v>0.02</v>
      </c>
    </row>
    <row r="23" spans="1:17" ht="7.5" customHeight="1" thickBot="1">
      <c r="D23" s="933"/>
      <c r="E23" s="933"/>
    </row>
    <row r="24" spans="1:17" ht="15.75" customHeight="1" thickBot="1">
      <c r="C24" s="461"/>
      <c r="D24" s="933" t="s">
        <v>1389</v>
      </c>
      <c r="E24" s="933"/>
      <c r="F24" s="380"/>
      <c r="G24" s="465"/>
      <c r="H24" s="611">
        <v>10000</v>
      </c>
      <c r="K24" s="933" t="s">
        <v>1641</v>
      </c>
      <c r="L24" s="933"/>
      <c r="M24" s="380"/>
      <c r="N24" s="465"/>
      <c r="O24" s="1035">
        <v>0.03</v>
      </c>
      <c r="P24" s="1035"/>
      <c r="Q24" s="623">
        <f>IF(Q20="",0,IF(R20=TRUE,Q20,IF(O20="Inclus",Q20,0)))+IF(Q22="",0,IF(R22=TRUE,Q22,IF(O22="Inclus",Q22,0)))+O24</f>
        <v>0.03</v>
      </c>
    </row>
    <row r="25" spans="1:17" ht="7.5" customHeight="1" thickBot="1">
      <c r="D25" s="933"/>
      <c r="E25" s="933"/>
      <c r="K25" s="933"/>
      <c r="L25" s="933"/>
    </row>
    <row r="26" spans="1:17" ht="21" customHeight="1">
      <c r="K26" s="384"/>
      <c r="L26" s="384"/>
      <c r="M26" s="384"/>
      <c r="N26" s="384"/>
      <c r="O26" s="384"/>
      <c r="P26" s="384"/>
      <c r="Q26" s="384"/>
    </row>
    <row r="28" spans="1:17" ht="15" thickBot="1">
      <c r="D28" s="933" t="s">
        <v>1635</v>
      </c>
      <c r="E28" s="933"/>
      <c r="F28" s="380"/>
      <c r="G28" s="465"/>
      <c r="H28" s="428" t="s">
        <v>280</v>
      </c>
      <c r="K28" s="933" t="s">
        <v>1853</v>
      </c>
      <c r="L28" s="933"/>
      <c r="M28" s="380"/>
      <c r="N28" s="465"/>
      <c r="O28" s="1058">
        <v>10000</v>
      </c>
      <c r="P28" s="1058"/>
    </row>
    <row r="29" spans="1:17" ht="7.5" customHeight="1" thickBot="1">
      <c r="A29" s="42"/>
      <c r="B29" s="42"/>
      <c r="C29" s="42"/>
      <c r="D29" s="933"/>
      <c r="E29" s="933"/>
      <c r="K29" s="933"/>
      <c r="L29" s="933"/>
    </row>
    <row r="30" spans="1:17" ht="15" thickBot="1">
      <c r="A30" s="42"/>
      <c r="B30" s="42"/>
      <c r="C30" s="42"/>
      <c r="D30" s="933" t="s">
        <v>1634</v>
      </c>
      <c r="E30" s="933"/>
      <c r="F30" s="380"/>
      <c r="G30" s="465"/>
      <c r="H30" s="612">
        <f>((H24)*(1-H16))+(O28*(1-H16))</f>
        <v>14000</v>
      </c>
      <c r="K30" s="933" t="s">
        <v>1854</v>
      </c>
      <c r="L30" s="933"/>
      <c r="M30" s="380"/>
      <c r="N30" s="465"/>
      <c r="O30" s="1035">
        <v>0.02</v>
      </c>
      <c r="P30" s="1035"/>
    </row>
    <row r="31" spans="1:17">
      <c r="A31" s="42"/>
      <c r="B31" s="42"/>
      <c r="C31" s="42"/>
    </row>
    <row r="32" spans="1:17">
      <c r="A32" s="42"/>
      <c r="B32" s="42"/>
      <c r="C32" s="42"/>
    </row>
    <row r="33" spans="1:18">
      <c r="A33" s="42"/>
      <c r="B33" s="42"/>
      <c r="C33" s="42"/>
    </row>
    <row r="34" spans="1:18">
      <c r="A34" s="42"/>
      <c r="B34" s="42"/>
      <c r="C34" s="42"/>
    </row>
    <row r="35" spans="1:18">
      <c r="A35" s="42"/>
      <c r="B35" s="42"/>
      <c r="C35" s="42"/>
      <c r="D35" s="42"/>
      <c r="E35" s="42"/>
      <c r="F35" s="42"/>
      <c r="G35" s="42"/>
      <c r="H35" s="42"/>
      <c r="I35" s="42"/>
      <c r="J35" s="42"/>
      <c r="Q35" s="42"/>
      <c r="R35" s="42"/>
    </row>
    <row r="36" spans="1:18">
      <c r="A36" s="42"/>
      <c r="B36" s="42"/>
      <c r="C36" s="42"/>
      <c r="D36" s="42"/>
      <c r="J36" s="42"/>
      <c r="Q36" s="42"/>
      <c r="R36" s="42"/>
    </row>
    <row r="39" spans="1:18">
      <c r="F39" s="35"/>
      <c r="G39" s="36"/>
      <c r="H39" s="36"/>
    </row>
    <row r="40" spans="1:18">
      <c r="F40" s="35"/>
      <c r="G40" s="36"/>
      <c r="H40" s="36"/>
    </row>
    <row r="41" spans="1:18">
      <c r="F41" s="35"/>
      <c r="G41" s="36"/>
      <c r="H41" s="36"/>
    </row>
    <row r="42" spans="1:18">
      <c r="F42" s="35"/>
      <c r="G42" s="36"/>
      <c r="H42" s="36"/>
    </row>
    <row r="43" spans="1:18">
      <c r="K43" s="37"/>
      <c r="L43" s="37"/>
    </row>
    <row r="44" spans="1:18" hidden="1"/>
    <row r="45" spans="1:18" hidden="1">
      <c r="I45" s="1048" t="str">
        <f>BASECG!D4</f>
        <v>UMR</v>
      </c>
      <c r="J45" s="1049"/>
      <c r="K45" s="588" t="str">
        <f>BASECG!Y4</f>
        <v>SWISSLIFE</v>
      </c>
      <c r="L45" s="606" t="str">
        <f>BASECG!Z4</f>
        <v>SWISSLIFE</v>
      </c>
      <c r="M45" s="1055" t="str">
        <f>BASECG!FD4</f>
        <v>GENERALI</v>
      </c>
      <c r="N45" s="1056"/>
      <c r="O45" s="1056"/>
      <c r="P45" s="1056"/>
      <c r="Q45" s="606" t="str">
        <f>BASECG!FD4</f>
        <v>GENERALI</v>
      </c>
    </row>
    <row r="46" spans="1:18" ht="45" hidden="1" customHeight="1">
      <c r="I46" s="1050" t="str">
        <f>BASECG!D5</f>
        <v>PERIN- ORIGINEO BY CRYSTAL</v>
      </c>
      <c r="J46" s="1051"/>
      <c r="K46" s="589" t="str">
        <f>BASECG!Y5</f>
        <v>PERIN- PER EXPERT</v>
      </c>
      <c r="L46" s="605" t="str">
        <f>BASECG!Z5</f>
        <v>PERIN- SWISSLIFE PER INDIVIDUEL</v>
      </c>
      <c r="M46" s="1050" t="str">
        <f>BASECG!FD5</f>
        <v>PERIN- La retraite 20</v>
      </c>
      <c r="N46" s="1054"/>
      <c r="O46" s="1054"/>
      <c r="P46" s="1051"/>
      <c r="Q46" s="605" t="str">
        <f>BASECG!FE5</f>
        <v>PERIN- PER Générali Patrimoine</v>
      </c>
    </row>
    <row r="47" spans="1:18" hidden="1">
      <c r="A47" t="str">
        <f>I45</f>
        <v>UMR</v>
      </c>
      <c r="B47" t="str">
        <f>RIGHT(I46,LEN(I46)-7)</f>
        <v>ORIGINEO BY CRYSTAL</v>
      </c>
      <c r="D47" s="1037" t="s">
        <v>1223</v>
      </c>
      <c r="E47" s="1037"/>
      <c r="F47" s="1037"/>
      <c r="G47" s="1037"/>
      <c r="H47" s="1037"/>
      <c r="I47" s="1037" t="str">
        <f>BASECG!D1</f>
        <v>Contrat N°2</v>
      </c>
      <c r="J47" s="1037"/>
      <c r="K47" s="389" t="str">
        <f>BASECG!Y1</f>
        <v>Contrat N°23</v>
      </c>
      <c r="L47" s="389" t="str">
        <f>BASECG!Z1</f>
        <v>Contrat N°24</v>
      </c>
      <c r="M47" s="1057" t="str">
        <f>BASECG!FD1</f>
        <v>Contrat N°158</v>
      </c>
      <c r="N47" s="1057"/>
      <c r="O47" s="1057"/>
      <c r="P47" s="1057"/>
      <c r="Q47" s="389" t="str">
        <f>BASECG!FE1</f>
        <v>Contrat N°159</v>
      </c>
    </row>
    <row r="48" spans="1:18" hidden="1">
      <c r="A48" t="str">
        <f>K45</f>
        <v>SWISSLIFE</v>
      </c>
      <c r="B48" t="str">
        <f>RIGHT(K46,LEN(K46)-7)</f>
        <v>PER EXPERT</v>
      </c>
      <c r="D48" s="910" t="s">
        <v>293</v>
      </c>
      <c r="E48" s="910"/>
      <c r="F48" s="910"/>
      <c r="G48" s="910"/>
      <c r="H48" s="910"/>
      <c r="I48" s="1040"/>
      <c r="J48" s="1040"/>
      <c r="K48" s="596"/>
      <c r="L48" s="596"/>
      <c r="M48" s="1046"/>
      <c r="N48" s="1046"/>
      <c r="O48" s="1046"/>
      <c r="P48" s="1046"/>
      <c r="Q48" s="596"/>
    </row>
    <row r="49" spans="1:17" hidden="1">
      <c r="A49" t="str">
        <f>L45</f>
        <v>SWISSLIFE</v>
      </c>
      <c r="B49" t="str">
        <f>RIGHT(L46,LEN(L46)-7)</f>
        <v>SWISSLIFE PER INDIVIDUEL</v>
      </c>
      <c r="D49" s="910" t="s">
        <v>294</v>
      </c>
      <c r="E49" s="910"/>
      <c r="F49" s="910"/>
      <c r="G49" s="910"/>
      <c r="H49" s="910"/>
      <c r="I49" s="1052"/>
      <c r="J49" s="1052"/>
      <c r="K49" s="597"/>
      <c r="L49" s="597"/>
      <c r="M49" s="1038"/>
      <c r="N49" s="1038"/>
      <c r="O49" s="1038"/>
      <c r="P49" s="1038"/>
      <c r="Q49" s="597"/>
    </row>
    <row r="50" spans="1:17" hidden="1">
      <c r="A50" t="str">
        <f>M45</f>
        <v>GENERALI</v>
      </c>
      <c r="B50" t="str">
        <f>RIGHT(M46,LEN(M46)-7)</f>
        <v>La retraite 20</v>
      </c>
      <c r="D50" s="918" t="s">
        <v>1186</v>
      </c>
      <c r="E50" s="918"/>
      <c r="F50" s="918"/>
      <c r="G50" s="918"/>
      <c r="H50" s="918"/>
      <c r="I50" s="1039" t="str">
        <f>IF(I47=0,"",HLOOKUP(I47,BASECG!$C$1:$OG$31,8,FALSE))</f>
        <v>De 2021 à …</v>
      </c>
      <c r="J50" s="1039"/>
      <c r="K50" s="590" t="str">
        <f>IF(K47=0,"",HLOOKUP(K47,BASECG!$C$1:$OG$31,8,FALSE))</f>
        <v>De 2020 à …</v>
      </c>
      <c r="L50" s="590" t="str">
        <f>IF(L47=0,"",HLOOKUP(L47,BASECG!$C$1:$OG$31,8,FALSE))</f>
        <v>De 2019 à …</v>
      </c>
      <c r="M50" s="1045" t="str">
        <f>IF(M47=0,"",HLOOKUP(M47,BASECG!$C$1:$OG$31,8,FALSE))</f>
        <v>De 2019 à …</v>
      </c>
      <c r="N50" s="1045"/>
      <c r="O50" s="1045"/>
      <c r="P50" s="1045"/>
      <c r="Q50" s="590" t="str">
        <f>IF(Q47=0,"",HLOOKUP(Q47,BASECG!$C$1:$OG$31,8,FALSE))</f>
        <v>De 2019 à …</v>
      </c>
    </row>
    <row r="51" spans="1:17" hidden="1">
      <c r="A51" t="str">
        <f>Q45</f>
        <v>GENERALI</v>
      </c>
      <c r="B51" t="str">
        <f>RIGHT(Q46,LEN(Q46)-7)</f>
        <v>PER Générali Patrimoine</v>
      </c>
      <c r="D51" s="909" t="s">
        <v>295</v>
      </c>
      <c r="E51" s="909"/>
      <c r="F51" s="909"/>
      <c r="G51" s="909"/>
      <c r="H51" s="909"/>
      <c r="I51" s="1040"/>
      <c r="J51" s="1040"/>
      <c r="K51" s="598"/>
      <c r="L51" s="598"/>
      <c r="M51" s="1046"/>
      <c r="N51" s="1046"/>
      <c r="O51" s="1046"/>
      <c r="P51" s="1046"/>
      <c r="Q51" s="598"/>
    </row>
    <row r="52" spans="1:17" hidden="1">
      <c r="D52" s="911" t="s">
        <v>316</v>
      </c>
      <c r="E52" s="911"/>
      <c r="F52" s="911"/>
      <c r="G52" s="911"/>
      <c r="H52" s="911"/>
      <c r="I52" s="1041"/>
      <c r="J52" s="1041"/>
      <c r="K52" s="599"/>
      <c r="L52" s="599"/>
      <c r="M52" s="1045"/>
      <c r="N52" s="1045"/>
      <c r="O52" s="1045"/>
      <c r="P52" s="1045"/>
      <c r="Q52" s="599"/>
    </row>
    <row r="53" spans="1:17" hidden="1">
      <c r="D53" s="919" t="s">
        <v>296</v>
      </c>
      <c r="E53" s="919"/>
      <c r="F53" s="919"/>
      <c r="G53" s="919"/>
      <c r="H53" s="919"/>
      <c r="I53" s="1040">
        <f>IF(I47=0,"",HLOOKUP(I47,BASECG!$C$1:$OG$31,11,FALSE))</f>
        <v>74</v>
      </c>
      <c r="J53" s="1040"/>
      <c r="K53" s="600">
        <f>IF(K47=0,"",HLOOKUP(K47,BASECG!$C$1:$OG$31,11,FALSE))</f>
        <v>727</v>
      </c>
      <c r="L53" s="600">
        <f>IF(L47=0,"",HLOOKUP(L47,BASECG!$C$1:$OG$31,11,FALSE))</f>
        <v>2251</v>
      </c>
      <c r="M53" s="1046">
        <f>IF(M47=0,"",HLOOKUP(M47,BASECG!$C$1:$OG$31,11,FALSE))</f>
        <v>104</v>
      </c>
      <c r="N53" s="1046"/>
      <c r="O53" s="1046"/>
      <c r="P53" s="1046"/>
      <c r="Q53" s="600">
        <f>IF(Q47=0,"",HLOOKUP(Q47,BASECG!$C$1:$OG$31,11,FALSE))</f>
        <v>329</v>
      </c>
    </row>
    <row r="54" spans="1:17" hidden="1">
      <c r="D54" s="908" t="s">
        <v>317</v>
      </c>
      <c r="E54" s="908"/>
      <c r="F54" s="908"/>
      <c r="G54" s="908"/>
      <c r="H54" s="908"/>
      <c r="I54" s="1052"/>
      <c r="J54" s="1052"/>
      <c r="K54" s="600"/>
      <c r="L54" s="600"/>
      <c r="M54" s="1038"/>
      <c r="N54" s="1038"/>
      <c r="O54" s="1038"/>
      <c r="P54" s="1038"/>
      <c r="Q54" s="600"/>
    </row>
    <row r="55" spans="1:17" ht="53.25" hidden="1" customHeight="1">
      <c r="D55" s="918" t="s">
        <v>297</v>
      </c>
      <c r="E55" s="918"/>
      <c r="F55" s="918"/>
      <c r="G55" s="918"/>
      <c r="H55" s="918"/>
      <c r="I55" s="1045" t="str">
        <f>IF(I47=0,"",HLOOKUP(I47,BASECG!$C$1:$OG$31,13,FALSE))</f>
        <v>2023 : UC &lt; 60% : 3% - UC ≤ 70% : 3,4 % - UC ≤ 80% : 3,6% - UC ≤ 90% : 3,80% - UC &gt; 90% : 4%</v>
      </c>
      <c r="J55" s="1045"/>
      <c r="K55" s="601" t="str">
        <f>IF(K47=0,"",HLOOKUP(K47,BASECG!$C$1:$OG$31,13,FALSE))</f>
        <v>2022 : UC &lt; 35% : 1,50% - UC &lt; 55% : 2,20% - UC &gt;55% : 2,85%</v>
      </c>
      <c r="L55" s="601" t="str">
        <f>IF(L47=0,"",HLOOKUP(L47,BASECG!$C$1:$OG$31,13,FALSE))</f>
        <v>2022 : UC &lt; 35% : 1,50% - UC &lt; 55% : 2,20% - UC &gt;55% : 2,85%</v>
      </c>
      <c r="M55" s="1045" t="str">
        <f>IF(M47=0,"",HLOOKUP(M47,BASECG!$C$1:$OG$31,13,FALSE))</f>
        <v>NC</v>
      </c>
      <c r="N55" s="1045"/>
      <c r="O55" s="1045"/>
      <c r="P55" s="1045"/>
      <c r="Q55" s="601" t="str">
        <f>IF(Q47=0,"",HLOOKUP(Q47,BASECG!$C$1:$OG$31,13,FALSE))</f>
        <v>NC</v>
      </c>
    </row>
    <row r="56" spans="1:17" hidden="1">
      <c r="D56" s="908" t="s">
        <v>298</v>
      </c>
      <c r="E56" s="908"/>
      <c r="F56" s="908"/>
      <c r="G56" s="908"/>
      <c r="H56" s="908"/>
      <c r="I56" s="1053">
        <f>IF(I47=0,"",HLOOKUP(I47,BASECG!$C$1:$OG$31,14,FALSE))</f>
        <v>4.4999999999999998E-2</v>
      </c>
      <c r="J56" s="1053"/>
      <c r="K56" s="594">
        <f>IF(K47=0,"",HLOOKUP(K47,BASECG!$C$1:$OG$31,14,FALSE))</f>
        <v>4.9500000000000002E-2</v>
      </c>
      <c r="L56" s="594">
        <f>IF(L47=0,"",HLOOKUP(L47,BASECG!$C$1:$OG$31,14,FALSE))</f>
        <v>4.7500000000000001E-2</v>
      </c>
      <c r="M56" s="1046">
        <f>IF(M47=0,"",HLOOKUP(M47,BASECG!$C$1:$OG$31,14,FALSE))</f>
        <v>4.9500000000000002E-2</v>
      </c>
      <c r="N56" s="1046"/>
      <c r="O56" s="1046"/>
      <c r="P56" s="1046"/>
      <c r="Q56" s="594">
        <f>IF(Q47=0,"",HLOOKUP(Q47,BASECG!$C$1:$OG$31,14,FALSE))</f>
        <v>4.4999999999999998E-2</v>
      </c>
    </row>
    <row r="57" spans="1:17" ht="37.5" hidden="1" customHeight="1">
      <c r="D57" s="908" t="s">
        <v>408</v>
      </c>
      <c r="E57" s="908"/>
      <c r="F57" s="908"/>
      <c r="G57" s="908"/>
      <c r="H57" s="908"/>
      <c r="I57" s="1038" t="str">
        <f>IF(I47=0,"",HLOOKUP(I47,BASECG!$C$1:$OG$31,15,FALSE))</f>
        <v>0,90% fonds €
1% UC
1,20% SCPI/pilotée/horizon</v>
      </c>
      <c r="J57" s="1038"/>
      <c r="K57" s="602" t="str">
        <f>IF(K47=0,"",HLOOKUP(K47,BASECG!$C$1:$OG$31,15,FALSE))</f>
        <v>0,75%€
1%UC
0,5%Horizon</v>
      </c>
      <c r="L57" s="602" t="str">
        <f>IF(L47=0,"",HLOOKUP(L47,BASECG!$C$1:$OG$31,15,FALSE))</f>
        <v>0,65%€
0,96%UC</v>
      </c>
      <c r="M57" s="1038" t="str">
        <f>IF(M47=0,"",HLOOKUP(M47,BASECG!$C$1:$OG$31,15,FALSE))</f>
        <v>0,70%(€) et 0,96%(UC)</v>
      </c>
      <c r="N57" s="1038"/>
      <c r="O57" s="1038"/>
      <c r="P57" s="1038"/>
      <c r="Q57" s="602" t="str">
        <f>IF(Q47=0,"",HLOOKUP(Q47,BASECG!$C$1:$OG$31,15,FALSE))</f>
        <v>0,90%(€) et 1%(UC)</v>
      </c>
    </row>
    <row r="58" spans="1:17" ht="23.25" hidden="1" customHeight="1">
      <c r="D58" s="908" t="s">
        <v>299</v>
      </c>
      <c r="E58" s="908"/>
      <c r="F58" s="908"/>
      <c r="G58" s="908"/>
      <c r="H58" s="908"/>
      <c r="I58" s="1038" t="str">
        <f>IF(I47=0,"",HLOOKUP(I47,BASECG!$C$1:$OG$31,16,FALSE))</f>
        <v>1er gratuit puis 0,50% (mini 30 € à 200€ maxi)</v>
      </c>
      <c r="J58" s="1038"/>
      <c r="K58" s="602" t="str">
        <f>IF(K47=0,"",HLOOKUP(K47,BASECG!$C$1:$OG$31,16,FALSE))</f>
        <v>1er gratuit puis 0,20% (Mini 30€)</v>
      </c>
      <c r="L58" s="602" t="str">
        <f>IF(L47=0,"",HLOOKUP(L47,BASECG!$C$1:$OG$31,16,FALSE))</f>
        <v>1er gratuit puis 0,20% (Mini 30€)</v>
      </c>
      <c r="M58" s="1038" t="str">
        <f>IF(M47=0,"",HLOOKUP(M47,BASECG!$C$1:$OG$31,16,FALSE))</f>
        <v>0,3% (2gratuits)</v>
      </c>
      <c r="N58" s="1038"/>
      <c r="O58" s="1038"/>
      <c r="P58" s="1038"/>
      <c r="Q58" s="602" t="str">
        <f>IF(Q47=0,"",HLOOKUP(Q47,BASECG!$C$1:$OG$31,16,FALSE))</f>
        <v>0,5% (15 € en ligne)</v>
      </c>
    </row>
    <row r="59" spans="1:17" ht="25.5" hidden="1" customHeight="1">
      <c r="D59" s="908" t="s">
        <v>407</v>
      </c>
      <c r="E59" s="908"/>
      <c r="F59" s="908"/>
      <c r="G59" s="908"/>
      <c r="H59" s="908"/>
      <c r="I59" s="1045" t="str">
        <f>IF(I47=0,"",HLOOKUP(I47,BASECG!$C$1:$OG$31,17,FALSE))</f>
        <v>1%
(0 après 5 ans)</v>
      </c>
      <c r="J59" s="1045"/>
      <c r="K59" s="592" t="str">
        <f>IF(K47=0,"",HLOOKUP(K47,BASECG!$C$1:$OG$31,17,FALSE))</f>
        <v>1% avant 5 ans sinon 0%</v>
      </c>
      <c r="L59" s="592" t="str">
        <f>IF(L47=0,"",HLOOKUP(L47,BASECG!$C$1:$OG$31,17,FALSE))</f>
        <v>1% avant 5 ans sinon 0%</v>
      </c>
      <c r="M59" s="1038" t="str">
        <f>IF(M47=0,"",HLOOKUP(M47,BASECG!$C$1:$OG$31,17,FALSE))</f>
        <v>1% avant 5 ans sinon 0%</v>
      </c>
      <c r="N59" s="1038"/>
      <c r="O59" s="1038"/>
      <c r="P59" s="1038"/>
      <c r="Q59" s="592" t="str">
        <f>IF(Q47=0,"",HLOOKUP(Q47,BASECG!$C$1:$OG$31,17,FALSE))</f>
        <v>1% avant 5 ans sinon 0%</v>
      </c>
    </row>
    <row r="60" spans="1:17" ht="27" hidden="1" customHeight="1">
      <c r="D60" s="909" t="s">
        <v>300</v>
      </c>
      <c r="E60" s="909"/>
      <c r="F60" s="909"/>
      <c r="G60" s="909"/>
      <c r="H60" s="909"/>
      <c r="I60" s="1046" t="str">
        <f>IF(I47=0,"",HLOOKUP(I47,BASECG!$C$1:$OG$31,18,FALSE))</f>
        <v>Standard
(Capital)</v>
      </c>
      <c r="J60" s="1046"/>
      <c r="K60" s="600" t="str">
        <f>IF(K47=0,"",HLOOKUP(K47,BASECG!$C$1:$OG$31,18,FALSE))</f>
        <v>Standard
(Capital)</v>
      </c>
      <c r="L60" s="600" t="str">
        <f>IF(L47=0,"",HLOOKUP(L47,BASECG!$C$1:$OG$31,18,FALSE))</f>
        <v>Standard
(Capital)</v>
      </c>
      <c r="M60" s="1038" t="str">
        <f>IF(M47=0,"",HLOOKUP(M47,BASECG!$C$1:$OG$31,18,FALSE))</f>
        <v>Standard
(Capital)</v>
      </c>
      <c r="N60" s="1038"/>
      <c r="O60" s="1038"/>
      <c r="P60" s="1038"/>
      <c r="Q60" s="600" t="str">
        <f>IF(Q47=0,"",HLOOKUP(Q47,BASECG!$C$1:$OG$31,18,FALSE))</f>
        <v>Standard
(Capital)</v>
      </c>
    </row>
    <row r="61" spans="1:17" ht="73.5" hidden="1" customHeight="1">
      <c r="D61" s="910" t="s">
        <v>301</v>
      </c>
      <c r="E61" s="910"/>
      <c r="F61" s="910"/>
      <c r="G61" s="910"/>
      <c r="H61" s="910"/>
      <c r="I61" s="1038" t="str">
        <f>IF(I47=0,"",HLOOKUP(I47,BASECG!$C$1:$OG$31,19,FALSE))</f>
        <v>Sur option
Plancher Décès
Exo cotisations</v>
      </c>
      <c r="J61" s="1038"/>
      <c r="K61" s="600" t="str">
        <f>IF(K47=0,"",HLOOKUP(K47,BASECG!$C$1:$OG$31,19,FALSE))</f>
        <v>Inclus :
Plancher décès
Sur option : Exo  cotisations</v>
      </c>
      <c r="L61" s="600" t="str">
        <f>IF(L47=0,"",HLOOKUP(L47,BASECG!$C$1:$OG$31,19,FALSE))</f>
        <v>Inclus :
Plancher décès
Sur option : Exo  cotisations</v>
      </c>
      <c r="M61" s="1038" t="str">
        <f>IF(M47=0,"",HLOOKUP(M47,BASECG!$C$1:$OG$31,19,FALSE))</f>
        <v>Option  SR : rente individuelle
Option RT : rente réversible 100% conjoint
Option RP : rente réversible 60% conjoint
Inclus : Bonne fin et exo des cotisations</v>
      </c>
      <c r="N61" s="1038"/>
      <c r="O61" s="1038"/>
      <c r="P61" s="1038"/>
      <c r="Q61" s="600" t="str">
        <f>IF(Q47=0,"",HLOOKUP(Q47,BASECG!$C$1:$OG$31,19,FALSE))</f>
        <v>Sur option Plancher décès</v>
      </c>
    </row>
    <row r="62" spans="1:17" ht="30" hidden="1" customHeight="1">
      <c r="D62" s="907" t="s">
        <v>306</v>
      </c>
      <c r="E62" s="907"/>
      <c r="F62" s="907"/>
      <c r="G62" s="907"/>
      <c r="H62" s="907"/>
      <c r="I62" s="1045" t="str">
        <f>IF(I47=0,"",HLOOKUP(I47,BASECG!$C$1:$OG$31,20,FALSE))</f>
        <v xml:space="preserve">Non mais versement max jusqu'à 75ans (70ans si retraite) </v>
      </c>
      <c r="J62" s="1045"/>
      <c r="K62" s="591" t="str">
        <f>IF(K47=0,"",HLOOKUP(K47,BASECG!$C$1:$OG$31,20,FALSE))</f>
        <v>Non</v>
      </c>
      <c r="L62" s="591" t="str">
        <f>IF(L47=0,"",HLOOKUP(L47,BASECG!$C$1:$OG$31,20,FALSE))</f>
        <v>Non</v>
      </c>
      <c r="M62" s="1045" t="str">
        <f>IF(M47=0,"",HLOOKUP(M47,BASECG!$C$1:$OG$31,20,FALSE))</f>
        <v>80 ans</v>
      </c>
      <c r="N62" s="1045"/>
      <c r="O62" s="1045"/>
      <c r="P62" s="1045"/>
      <c r="Q62" s="591" t="str">
        <f>IF(Q47=0,"",HLOOKUP(Q47,BASECG!$C$1:$OG$31,20,FALSE))</f>
        <v>Non</v>
      </c>
    </row>
    <row r="63" spans="1:17" ht="25.5" hidden="1" customHeight="1">
      <c r="D63" s="910" t="s">
        <v>1199</v>
      </c>
      <c r="E63" s="910"/>
      <c r="F63" s="910"/>
      <c r="G63" s="910"/>
      <c r="H63" s="910"/>
      <c r="I63" s="1046" t="str">
        <f>IF(I47=0,"",HLOOKUP(I47,BASECG!$C$1:$OG$31,21,FALSE))</f>
        <v>Oui C1;C2</v>
      </c>
      <c r="J63" s="1046"/>
      <c r="K63" s="600" t="str">
        <f>IF(K47=0,"",HLOOKUP(K47,BASECG!$C$1:$OG$31,21,FALSE))</f>
        <v>Oui C1;C2</v>
      </c>
      <c r="L63" s="600" t="str">
        <f>IF(L47=0,"",HLOOKUP(L47,BASECG!$C$1:$OG$31,21,FALSE))</f>
        <v>Oui C1;C2</v>
      </c>
      <c r="M63" s="1046" t="str">
        <f>IF(M47=0,"",HLOOKUP(M47,BASECG!$C$1:$OG$31,21,FALSE))</f>
        <v>Oui C1;C2</v>
      </c>
      <c r="N63" s="1046"/>
      <c r="O63" s="1046"/>
      <c r="P63" s="1046"/>
      <c r="Q63" s="600" t="str">
        <f>IF(Q47=0,"",HLOOKUP(Q47,BASECG!$C$1:$OG$31,21,FALSE))</f>
        <v>Oui C1;C2</v>
      </c>
    </row>
    <row r="64" spans="1:17" hidden="1">
      <c r="D64" s="911" t="s">
        <v>305</v>
      </c>
      <c r="E64" s="911"/>
      <c r="F64" s="911"/>
      <c r="G64" s="911"/>
      <c r="H64" s="911"/>
      <c r="I64" s="1038" t="str">
        <f>IF(I47=0,"",HLOOKUP(I47,BASECG!$C$1:$OG$31,22,FALSE))</f>
        <v>Oui</v>
      </c>
      <c r="J64" s="1038"/>
      <c r="K64" s="595" t="str">
        <f>IF(K47=0,"",HLOOKUP(K47,BASECG!$C$1:$OG$31,22,FALSE))</f>
        <v>Oui</v>
      </c>
      <c r="L64" s="595" t="str">
        <f>IF(L47=0,"",HLOOKUP(L47,BASECG!$C$1:$OG$31,22,FALSE))</f>
        <v>Oui</v>
      </c>
      <c r="M64" s="1038" t="str">
        <f>IF(M47=0,"",HLOOKUP(M47,BASECG!$C$1:$OG$31,22,FALSE))</f>
        <v>Oui</v>
      </c>
      <c r="N64" s="1038"/>
      <c r="O64" s="1038"/>
      <c r="P64" s="1038"/>
      <c r="Q64" s="595" t="str">
        <f>IF(Q47=0,"",HLOOKUP(Q47,BASECG!$C$1:$OG$31,22,FALSE))</f>
        <v>Oui</v>
      </c>
    </row>
    <row r="65" spans="4:17" hidden="1">
      <c r="D65" s="907" t="s">
        <v>307</v>
      </c>
      <c r="E65" s="907"/>
      <c r="F65" s="907"/>
      <c r="G65" s="907"/>
      <c r="H65" s="907"/>
      <c r="I65" s="1045" t="str">
        <f>IF(I47=0,"",HLOOKUP(I47,BASECG!$C$1:$OG$31,23,FALSE))</f>
        <v>Oui</v>
      </c>
      <c r="J65" s="1045"/>
      <c r="K65" s="593" t="str">
        <f>IF(K47=0,"",HLOOKUP(K47,BASECG!$C$1:$OG$31,23,FALSE))</f>
        <v>NC</v>
      </c>
      <c r="L65" s="593" t="str">
        <f>IF(L47=0,"",HLOOKUP(L47,BASECG!$C$1:$OG$31,23,FALSE))</f>
        <v>Oui</v>
      </c>
      <c r="M65" s="1045" t="str">
        <f>IF(M47=0,"",HLOOKUP(M47,BASECG!$C$1:$OG$31,23,FALSE))</f>
        <v>Non</v>
      </c>
      <c r="N65" s="1045"/>
      <c r="O65" s="1045"/>
      <c r="P65" s="1045"/>
      <c r="Q65" s="593" t="str">
        <f>IF(Q47=0,"",HLOOKUP(Q47,BASECG!$C$1:$OG$31,23,FALSE))</f>
        <v>Oui</v>
      </c>
    </row>
    <row r="66" spans="4:17" ht="23.25" hidden="1" customHeight="1">
      <c r="D66" s="911" t="s">
        <v>309</v>
      </c>
      <c r="E66" s="911"/>
      <c r="F66" s="911"/>
      <c r="G66" s="911"/>
      <c r="H66" s="911"/>
      <c r="I66" s="1046" t="str">
        <f>IF(I47=0,"",HLOOKUP(I47,BASECG!$C$1:$OG$31,24,FALSE))</f>
        <v>En vigueur
(TGF05)</v>
      </c>
      <c r="J66" s="1046"/>
      <c r="K66" s="600" t="str">
        <f>IF(K47=0,"",HLOOKUP(K47,BASECG!$C$1:$OG$31,24,FALSE))</f>
        <v>TGF05</v>
      </c>
      <c r="L66" s="600" t="str">
        <f>IF(L47=0,"",HLOOKUP(L47,BASECG!$C$1:$OG$31,24,FALSE))</f>
        <v>TGF05</v>
      </c>
      <c r="M66" s="1046" t="str">
        <f>IF(M47=0,"",HLOOKUP(M47,BASECG!$C$1:$OG$31,24,FALSE))</f>
        <v>NC</v>
      </c>
      <c r="N66" s="1046"/>
      <c r="O66" s="1046"/>
      <c r="P66" s="1046"/>
      <c r="Q66" s="600" t="str">
        <f>IF(Q47=0,"",HLOOKUP(Q47,BASECG!$C$1:$OG$31,24,FALSE))</f>
        <v>En vigueur
(TGF05)</v>
      </c>
    </row>
    <row r="67" spans="4:17" hidden="1">
      <c r="D67" s="911" t="s">
        <v>310</v>
      </c>
      <c r="E67" s="911"/>
      <c r="F67" s="911" t="s">
        <v>310</v>
      </c>
      <c r="G67" s="911"/>
      <c r="H67" s="911"/>
      <c r="I67" s="1038" t="str">
        <f>IF(I47=0,"",HLOOKUP(I47,BASECG!$C$1:$OG$31,25,FALSE))</f>
        <v>Non</v>
      </c>
      <c r="J67" s="1038"/>
      <c r="K67" s="595" t="str">
        <f>IF(K47=0,"",HLOOKUP(K47,BASECG!$C$1:$OG$31,25,FALSE))</f>
        <v>Oui</v>
      </c>
      <c r="L67" s="595" t="str">
        <f>IF(L47=0,"",HLOOKUP(L47,BASECG!$C$1:$OG$31,25,FALSE))</f>
        <v>Oui</v>
      </c>
      <c r="M67" s="1038" t="str">
        <f>IF(M47=0,"",HLOOKUP(M47,BASECG!$C$1:$OG$31,25,FALSE))</f>
        <v>Oui</v>
      </c>
      <c r="N67" s="1038"/>
      <c r="O67" s="1038"/>
      <c r="P67" s="1038"/>
      <c r="Q67" s="595" t="str">
        <f>IF(Q47=0,"",HLOOKUP(Q47,BASECG!$C$1:$OG$31,25,FALSE))</f>
        <v>Non</v>
      </c>
    </row>
    <row r="68" spans="4:17" ht="22.5" hidden="1" customHeight="1">
      <c r="D68" s="911" t="s">
        <v>311</v>
      </c>
      <c r="E68" s="911"/>
      <c r="F68" s="911" t="s">
        <v>311</v>
      </c>
      <c r="G68" s="911"/>
      <c r="H68" s="911"/>
      <c r="I68" s="1038" t="str">
        <f>IF(I47=0,"",HLOOKUP(I47,BASECG!$C$1:$OG$31,26,FALSE))</f>
        <v>En vigueur
(0%)</v>
      </c>
      <c r="J68" s="1038"/>
      <c r="K68" s="603" t="str">
        <f>IF(K47=0,"",HLOOKUP(K47,BASECG!$C$1:$OG$31,26,FALSE))</f>
        <v>En vigueur
(0%)</v>
      </c>
      <c r="L68" s="603" t="str">
        <f>IF(L47=0,"",HLOOKUP(L47,BASECG!$C$1:$OG$31,26,FALSE))</f>
        <v>En vigueur
(0%)</v>
      </c>
      <c r="M68" s="1038">
        <f>IF(M47=0,"",HLOOKUP(M47,BASECG!$C$1:$OG$31,26,FALSE))</f>
        <v>0</v>
      </c>
      <c r="N68" s="1038"/>
      <c r="O68" s="1038"/>
      <c r="P68" s="1038"/>
      <c r="Q68" s="603">
        <f>IF(Q47=0,"",HLOOKUP(Q47,BASECG!$C$1:$OG$31,26,FALSE))</f>
        <v>0</v>
      </c>
    </row>
    <row r="69" spans="4:17" hidden="1">
      <c r="D69" s="911" t="s">
        <v>312</v>
      </c>
      <c r="E69" s="911"/>
      <c r="F69" s="911" t="s">
        <v>312</v>
      </c>
      <c r="G69" s="911"/>
      <c r="H69" s="911"/>
      <c r="I69" s="1038">
        <f>IF(I47=0,"",HLOOKUP(I47,BASECG!$C$1:$OG$31,27,FALSE))</f>
        <v>1.4999999999999999E-2</v>
      </c>
      <c r="J69" s="1038"/>
      <c r="K69" s="603">
        <f>IF(K47=0,"",HLOOKUP(K47,BASECG!$C$1:$OG$31,27,FALSE))</f>
        <v>0.03</v>
      </c>
      <c r="L69" s="603">
        <f>IF(L47=0,"",HLOOKUP(L47,BASECG!$C$1:$OG$31,27,FALSE))</f>
        <v>0.03</v>
      </c>
      <c r="M69" s="1038">
        <f>IF(M47=0,"",HLOOKUP(M47,BASECG!$C$1:$OG$31,27,FALSE))</f>
        <v>0</v>
      </c>
      <c r="N69" s="1038"/>
      <c r="O69" s="1038"/>
      <c r="P69" s="1038"/>
      <c r="Q69" s="603">
        <f>IF(Q47=0,"",HLOOKUP(Q47,BASECG!$C$1:$OG$31,27,FALSE))</f>
        <v>0</v>
      </c>
    </row>
    <row r="70" spans="4:17" hidden="1">
      <c r="D70" s="911" t="s">
        <v>313</v>
      </c>
      <c r="E70" s="911"/>
      <c r="F70" s="911" t="s">
        <v>313</v>
      </c>
      <c r="G70" s="911"/>
      <c r="H70" s="911"/>
      <c r="I70" s="1038" t="str">
        <f>IF(I47=0,"",HLOOKUP(I47,BASECG!$C$1:$OG$31,28,FALSE))</f>
        <v>Oui sur option</v>
      </c>
      <c r="J70" s="1038"/>
      <c r="K70" s="595" t="str">
        <f>IF(K47=0,"",HLOOKUP(K47,BASECG!$C$1:$OG$31,28,FALSE))</f>
        <v>Oui sur option</v>
      </c>
      <c r="L70" s="595" t="str">
        <f>IF(L47=0,"",HLOOKUP(L47,BASECG!$C$1:$OG$31,28,FALSE))</f>
        <v>Oui sur option</v>
      </c>
      <c r="M70" s="1038" t="str">
        <f>IF(M47=0,"",HLOOKUP(M47,BASECG!$C$1:$OG$31,28,FALSE))</f>
        <v>Inclus 80 ans</v>
      </c>
      <c r="N70" s="1038"/>
      <c r="O70" s="1038"/>
      <c r="P70" s="1038"/>
      <c r="Q70" s="595" t="str">
        <f>IF(Q47=0,"",HLOOKUP(Q47,BASECG!$C$1:$OG$31,28,FALSE))</f>
        <v>Oui sur option</v>
      </c>
    </row>
    <row r="71" spans="4:17" ht="20.399999999999999" hidden="1">
      <c r="D71" s="911" t="s">
        <v>314</v>
      </c>
      <c r="E71" s="911"/>
      <c r="F71" s="911" t="s">
        <v>314</v>
      </c>
      <c r="G71" s="911"/>
      <c r="H71" s="911"/>
      <c r="I71" s="1038" t="str">
        <f>IF(I47=0,"",HLOOKUP(I47,BASECG!$C$1:$OG$31,29,FALSE))</f>
        <v>Oui sur option</v>
      </c>
      <c r="J71" s="1038"/>
      <c r="K71" s="595" t="str">
        <f>IF(K47=0,"",HLOOKUP(K47,BASECG!$C$1:$OG$31,29,FALSE))</f>
        <v>Oui sur option (30 à 100%)</v>
      </c>
      <c r="L71" s="595" t="str">
        <f>IF(L47=0,"",HLOOKUP(L47,BASECG!$C$1:$OG$31,29,FALSE))</f>
        <v>Oui sur option (30 à 100%)</v>
      </c>
      <c r="M71" s="1038" t="str">
        <f>IF(M47=0,"",HLOOKUP(M47,BASECG!$C$1:$OG$31,29,FALSE))</f>
        <v>Oui</v>
      </c>
      <c r="N71" s="1038"/>
      <c r="O71" s="1038"/>
      <c r="P71" s="1038"/>
      <c r="Q71" s="595" t="str">
        <f>IF(Q47=0,"",HLOOKUP(Q47,BASECG!$C$1:$OG$31,29,FALSE))</f>
        <v>Oui sur option</v>
      </c>
    </row>
    <row r="72" spans="4:17" ht="24.75" hidden="1" customHeight="1">
      <c r="D72" s="907" t="s">
        <v>319</v>
      </c>
      <c r="E72" s="907"/>
      <c r="F72" s="907"/>
      <c r="G72" s="907"/>
      <c r="H72" s="907"/>
      <c r="I72" s="1045" t="str">
        <f>IF(I47=0,"",HLOOKUP(I47,BASECG!$C$1:$OG$31,30,FALSE))</f>
        <v>Non</v>
      </c>
      <c r="J72" s="1045"/>
      <c r="K72" s="593" t="str">
        <f>IF(K47=0,"",HLOOKUP(K47,BASECG!$C$1:$OG$31,30,FALSE))</f>
        <v>Non</v>
      </c>
      <c r="L72" s="593" t="str">
        <f>IF(L47=0,"",HLOOKUP(L47,BASECG!$C$1:$OG$31,30,FALSE))</f>
        <v>Non</v>
      </c>
      <c r="M72" s="1045" t="str">
        <f>IF(M47=0,"",HLOOKUP(M47,BASECG!$C$1:$OG$31,30,FALSE))</f>
        <v>Oui en RT et RP</v>
      </c>
      <c r="N72" s="1045"/>
      <c r="O72" s="1045"/>
      <c r="P72" s="1045"/>
      <c r="Q72" s="593" t="str">
        <f>IF(Q47=0,"",HLOOKUP(Q47,BASECG!$C$1:$OG$31,30,FALSE))</f>
        <v>Non</v>
      </c>
    </row>
    <row r="73" spans="4:17" hidden="1">
      <c r="D73" s="1043" t="s">
        <v>1639</v>
      </c>
      <c r="E73" s="1043"/>
      <c r="F73" s="1043"/>
      <c r="G73" s="1043"/>
      <c r="H73" s="1043"/>
      <c r="I73" s="1044" t="s">
        <v>1640</v>
      </c>
      <c r="J73" s="1044"/>
      <c r="K73" s="604">
        <v>0.03</v>
      </c>
      <c r="L73" s="604">
        <v>0.03</v>
      </c>
      <c r="M73" s="1044">
        <v>0.03</v>
      </c>
      <c r="N73" s="1044"/>
      <c r="O73" s="1044"/>
      <c r="P73" s="1044"/>
      <c r="Q73" s="604" t="s">
        <v>1640</v>
      </c>
    </row>
    <row r="74" spans="4:17" ht="15" hidden="1" customHeight="1">
      <c r="D74" s="608"/>
      <c r="E74" s="608"/>
      <c r="F74" s="608"/>
      <c r="G74" s="608"/>
      <c r="H74" s="608"/>
      <c r="I74" s="609"/>
      <c r="J74" s="609"/>
      <c r="K74" s="609"/>
      <c r="L74" s="609"/>
      <c r="M74" s="609"/>
      <c r="N74" s="609"/>
      <c r="O74" s="1059"/>
      <c r="P74" s="1059"/>
      <c r="Q74" s="609"/>
    </row>
    <row r="75" spans="4:17" hidden="1">
      <c r="D75" s="1042" t="s">
        <v>1638</v>
      </c>
      <c r="E75" s="1042"/>
      <c r="F75" s="1042"/>
      <c r="G75" s="1042"/>
      <c r="H75" s="1042"/>
      <c r="I75" s="1047" t="s">
        <v>1640</v>
      </c>
      <c r="J75" s="1047"/>
      <c r="K75" s="607" t="s">
        <v>1640</v>
      </c>
      <c r="L75" s="607" t="s">
        <v>1640</v>
      </c>
      <c r="M75" s="1047">
        <v>0.03</v>
      </c>
      <c r="N75" s="1047"/>
      <c r="O75" s="1047"/>
      <c r="P75" s="1047"/>
      <c r="Q75" s="607" t="s">
        <v>1640</v>
      </c>
    </row>
    <row r="76" spans="4:17" hidden="1">
      <c r="D76" s="358"/>
      <c r="E76" s="358"/>
      <c r="F76" s="358"/>
      <c r="G76" s="358"/>
      <c r="H76" s="358"/>
      <c r="I76" s="590"/>
      <c r="J76" s="590"/>
    </row>
    <row r="77" spans="4:17" hidden="1"/>
  </sheetData>
  <sheetProtection selectLockedCells="1"/>
  <mergeCells count="116">
    <mergeCell ref="K30:L30"/>
    <mergeCell ref="O28:P28"/>
    <mergeCell ref="O30:P30"/>
    <mergeCell ref="M75:P75"/>
    <mergeCell ref="O74:P74"/>
    <mergeCell ref="M68:P68"/>
    <mergeCell ref="M69:P69"/>
    <mergeCell ref="M70:P70"/>
    <mergeCell ref="M71:P71"/>
    <mergeCell ref="M72:P72"/>
    <mergeCell ref="M73:P73"/>
    <mergeCell ref="M62:P62"/>
    <mergeCell ref="M63:P63"/>
    <mergeCell ref="M64:P64"/>
    <mergeCell ref="M65:P65"/>
    <mergeCell ref="M66:P66"/>
    <mergeCell ref="M67:P67"/>
    <mergeCell ref="M56:P56"/>
    <mergeCell ref="M57:P57"/>
    <mergeCell ref="M58:P58"/>
    <mergeCell ref="M59:P59"/>
    <mergeCell ref="M60:P60"/>
    <mergeCell ref="M61:P61"/>
    <mergeCell ref="M50:P50"/>
    <mergeCell ref="M51:P51"/>
    <mergeCell ref="M52:P52"/>
    <mergeCell ref="M53:P53"/>
    <mergeCell ref="M54:P54"/>
    <mergeCell ref="M55:P55"/>
    <mergeCell ref="M46:P46"/>
    <mergeCell ref="M45:P45"/>
    <mergeCell ref="M47:P47"/>
    <mergeCell ref="M48:P48"/>
    <mergeCell ref="M49:P49"/>
    <mergeCell ref="I45:J45"/>
    <mergeCell ref="I46:J46"/>
    <mergeCell ref="I59:J59"/>
    <mergeCell ref="I60:J60"/>
    <mergeCell ref="I61:J61"/>
    <mergeCell ref="I62:J62"/>
    <mergeCell ref="I63:J63"/>
    <mergeCell ref="I64:J64"/>
    <mergeCell ref="I53:J53"/>
    <mergeCell ref="I54:J54"/>
    <mergeCell ref="I55:J55"/>
    <mergeCell ref="I56:J56"/>
    <mergeCell ref="I57:J57"/>
    <mergeCell ref="I58:J58"/>
    <mergeCell ref="I47:J47"/>
    <mergeCell ref="I48:J48"/>
    <mergeCell ref="I49:J49"/>
    <mergeCell ref="D61:H61"/>
    <mergeCell ref="D62:H62"/>
    <mergeCell ref="D63:H63"/>
    <mergeCell ref="D64:H64"/>
    <mergeCell ref="D65:H65"/>
    <mergeCell ref="D75:H75"/>
    <mergeCell ref="D73:H73"/>
    <mergeCell ref="I73:J73"/>
    <mergeCell ref="I65:J65"/>
    <mergeCell ref="I66:J66"/>
    <mergeCell ref="I67:J67"/>
    <mergeCell ref="I68:J68"/>
    <mergeCell ref="I69:J69"/>
    <mergeCell ref="I70:J70"/>
    <mergeCell ref="D72:H72"/>
    <mergeCell ref="I72:J72"/>
    <mergeCell ref="I75:J75"/>
    <mergeCell ref="D47:H47"/>
    <mergeCell ref="D48:H48"/>
    <mergeCell ref="D49:H49"/>
    <mergeCell ref="D50:H50"/>
    <mergeCell ref="D51:H51"/>
    <mergeCell ref="D52:H52"/>
    <mergeCell ref="D53:H53"/>
    <mergeCell ref="I71:J71"/>
    <mergeCell ref="D54:H54"/>
    <mergeCell ref="D55:H55"/>
    <mergeCell ref="D56:H56"/>
    <mergeCell ref="D57:H57"/>
    <mergeCell ref="I50:J50"/>
    <mergeCell ref="I51:J51"/>
    <mergeCell ref="I52:J52"/>
    <mergeCell ref="D66:H66"/>
    <mergeCell ref="D67:H67"/>
    <mergeCell ref="D68:H68"/>
    <mergeCell ref="D69:H69"/>
    <mergeCell ref="D70:H70"/>
    <mergeCell ref="D71:H71"/>
    <mergeCell ref="D58:H58"/>
    <mergeCell ref="D59:H59"/>
    <mergeCell ref="D60:H60"/>
    <mergeCell ref="D28:E28"/>
    <mergeCell ref="D29:E29"/>
    <mergeCell ref="D30:E30"/>
    <mergeCell ref="D16:E16"/>
    <mergeCell ref="O14:P14"/>
    <mergeCell ref="O16:P16"/>
    <mergeCell ref="O24:P24"/>
    <mergeCell ref="O20:P20"/>
    <mergeCell ref="O22:P22"/>
    <mergeCell ref="D23:E23"/>
    <mergeCell ref="D20:E20"/>
    <mergeCell ref="D21:E21"/>
    <mergeCell ref="D22:E22"/>
    <mergeCell ref="K20:L20"/>
    <mergeCell ref="K22:L22"/>
    <mergeCell ref="K24:L24"/>
    <mergeCell ref="K25:L25"/>
    <mergeCell ref="D24:E24"/>
    <mergeCell ref="D25:E25"/>
    <mergeCell ref="K14:L14"/>
    <mergeCell ref="K16:L16"/>
    <mergeCell ref="D14:E14"/>
    <mergeCell ref="K28:L28"/>
    <mergeCell ref="K29:L29"/>
  </mergeCells>
  <conditionalFormatting sqref="H14">
    <cfRule type="cellIs" dxfId="79" priority="31" operator="equal">
      <formula>""</formula>
    </cfRule>
  </conditionalFormatting>
  <conditionalFormatting sqref="H16">
    <cfRule type="cellIs" dxfId="78" priority="32" operator="equal">
      <formula>""</formula>
    </cfRule>
  </conditionalFormatting>
  <conditionalFormatting sqref="H20">
    <cfRule type="cellIs" dxfId="77" priority="26" operator="equal">
      <formula>""</formula>
    </cfRule>
  </conditionalFormatting>
  <conditionalFormatting sqref="H22">
    <cfRule type="cellIs" dxfId="76" priority="22" operator="equal">
      <formula>""</formula>
    </cfRule>
  </conditionalFormatting>
  <conditionalFormatting sqref="H24">
    <cfRule type="cellIs" dxfId="75" priority="28" operator="equal">
      <formula>""</formula>
    </cfRule>
  </conditionalFormatting>
  <conditionalFormatting sqref="H28">
    <cfRule type="cellIs" dxfId="74" priority="23" operator="equal">
      <formula>""</formula>
    </cfRule>
  </conditionalFormatting>
  <conditionalFormatting sqref="O14">
    <cfRule type="cellIs" dxfId="73" priority="29" operator="equal">
      <formula>""</formula>
    </cfRule>
  </conditionalFormatting>
  <conditionalFormatting sqref="O16">
    <cfRule type="cellIs" dxfId="72" priority="13" operator="equal">
      <formula>""</formula>
    </cfRule>
  </conditionalFormatting>
  <conditionalFormatting sqref="O24">
    <cfRule type="cellIs" dxfId="71" priority="17" operator="equal">
      <formula>""</formula>
    </cfRule>
  </conditionalFormatting>
  <conditionalFormatting sqref="O28">
    <cfRule type="cellIs" dxfId="70" priority="3" operator="equal">
      <formula>""</formula>
    </cfRule>
  </conditionalFormatting>
  <conditionalFormatting sqref="O30">
    <cfRule type="cellIs" dxfId="69" priority="1" operator="equal">
      <formula>""</formula>
    </cfRule>
  </conditionalFormatting>
  <conditionalFormatting sqref="S4">
    <cfRule type="expression" dxfId="68" priority="44">
      <formula>$B$5-$S$4&gt;7</formula>
    </cfRule>
  </conditionalFormatting>
  <dataValidations count="7">
    <dataValidation allowBlank="1" showInputMessage="1" showErrorMessage="1" error="Merci de saisir une année de naissance cohérente" sqref="O22:P22 H30 O20:P20" xr:uid="{D8A78798-0ACF-4C62-8419-4B26B4E9B68B}"/>
    <dataValidation type="whole" allowBlank="1" showInputMessage="1" showErrorMessage="1" error="Merci de saisir un age cohérent" sqref="O14:P14" xr:uid="{C73A2147-7AF6-435D-98B3-FA5B65038FE7}">
      <formula1>60</formula1>
      <formula2>70</formula2>
    </dataValidation>
    <dataValidation type="list" allowBlank="1" showInputMessage="1" showErrorMessage="1" sqref="H20" xr:uid="{ADDD9F09-1F4C-404F-959E-57C4E2241A2A}">
      <formula1>$B$47:$B$51</formula1>
    </dataValidation>
    <dataValidation type="whole" allowBlank="1" showInputMessage="1" showErrorMessage="1" error="Merci de saisir un montant cohérent" sqref="H24" xr:uid="{8F1BF333-372A-49A6-9968-FFAEA82DCB9E}">
      <formula1>0</formula1>
      <formula2>150000</formula2>
    </dataValidation>
    <dataValidation type="list" allowBlank="1" showInputMessage="1" showErrorMessage="1" error="Merci de saisir une année de naissance cohérente" sqref="H28" xr:uid="{A8DAC986-7A8D-421C-8B3D-24CC9F1C8365}">
      <formula1>"Oui,Non"</formula1>
    </dataValidation>
    <dataValidation allowBlank="1" showInputMessage="1" showErrorMessage="1" error="Merci de saisir un montant cohérent" sqref="O30:P30" xr:uid="{FE2EEA32-F9A2-4BC3-950A-47F4510A66E1}"/>
    <dataValidation type="whole" allowBlank="1" showInputMessage="1" showErrorMessage="1" sqref="O28:P28" xr:uid="{442DAE0B-D34C-4185-9402-89C69428C79E}">
      <formula1>0</formula1>
      <formula2>10000000</formula2>
    </dataValidation>
  </dataValidations>
  <pageMargins left="0.7" right="0.7" top="0.75" bottom="0.75" header="0.3" footer="0.3"/>
  <pageSetup paperSize="9" orientation="portrait" verticalDpi="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8BAB7C7A-F6E5-42DD-AFDB-F73B1878618C}">
          <x14:formula1>
            <xm:f>Données!$F$13:$F$17</xm:f>
          </x14:formula1>
          <xm:sqref>H16 O16:P16</xm:sqref>
        </x14:dataValidation>
        <x14:dataValidation type="whole" allowBlank="1" showInputMessage="1" showErrorMessage="1" error="Merci de saisir une année de naissance cohérente" xr:uid="{D870EFD5-AB4A-4259-A132-934C9048FDFB}">
          <x14:formula1>
            <xm:f>Données!F4-69</xm:f>
          </x14:formula1>
          <x14:formula2>
            <xm:f>2020</xm:f>
          </x14:formula2>
          <xm:sqref>H14</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0813-D3F3-44E7-B71C-CAD3B9F712B2}">
  <sheetPr codeName="Feuil34">
    <tabColor theme="9" tint="-0.249977111117893"/>
  </sheetPr>
  <dimension ref="A4:S44"/>
  <sheetViews>
    <sheetView showGridLines="0" showRowColHeaders="0" topLeftCell="B1" zoomScale="123" zoomScaleNormal="123" workbookViewId="0">
      <selection activeCell="O27" sqref="O27:P27"/>
    </sheetView>
  </sheetViews>
  <sheetFormatPr baseColWidth="10" defaultRowHeight="14.4"/>
  <cols>
    <col min="2" max="2" width="11.6640625" customWidth="1"/>
    <col min="3" max="3" width="14.33203125" customWidth="1"/>
    <col min="4" max="4" width="21.44140625" customWidth="1"/>
    <col min="5" max="5" width="14.33203125" customWidth="1"/>
    <col min="6" max="7" width="1.44140625" customWidth="1"/>
    <col min="8" max="8" width="21.44140625" customWidth="1"/>
    <col min="9" max="9" width="14.33203125" customWidth="1"/>
    <col min="10" max="10" width="4" customWidth="1"/>
    <col min="11" max="11" width="20.6640625" customWidth="1"/>
    <col min="12" max="12" width="14.33203125" customWidth="1"/>
    <col min="13" max="14" width="1.44140625" customWidth="1"/>
    <col min="15" max="16" width="10.88671875" customWidth="1"/>
    <col min="17" max="17" width="21.44140625" customWidth="1"/>
    <col min="18" max="20" width="14.33203125" customWidth="1"/>
  </cols>
  <sheetData>
    <row r="4" spans="2:19">
      <c r="Q4" s="2"/>
      <c r="R4" s="3"/>
      <c r="S4" s="4"/>
    </row>
    <row r="5" spans="2:19">
      <c r="B5" s="1">
        <f ca="1">TODAY()</f>
        <v>46023</v>
      </c>
    </row>
    <row r="10" spans="2:19">
      <c r="H10" s="293" t="b">
        <f>IF(OR(H15="",H21="",H23="",H25="",O23="",O25="",O27=""),FALSE,TRUE)</f>
        <v>0</v>
      </c>
    </row>
    <row r="14" spans="2:19" ht="13.5" customHeight="1"/>
    <row r="15" spans="2:19" ht="15.75" customHeight="1" thickBot="1">
      <c r="D15" s="1060" t="s">
        <v>1642</v>
      </c>
      <c r="E15" s="1060"/>
      <c r="F15" s="380"/>
      <c r="G15" s="465"/>
      <c r="H15" s="428" t="s">
        <v>1958</v>
      </c>
      <c r="I15" s="586"/>
    </row>
    <row r="16" spans="2:19" ht="7.5" customHeight="1">
      <c r="D16" s="508"/>
      <c r="E16" s="508"/>
      <c r="F16" s="380"/>
      <c r="G16" s="380"/>
      <c r="H16" s="366"/>
    </row>
    <row r="17" spans="1:17" ht="15.75" customHeight="1"/>
    <row r="18" spans="1:17" ht="11.25" customHeight="1">
      <c r="D18" s="585"/>
      <c r="E18" s="585"/>
      <c r="F18" s="585"/>
      <c r="G18" s="585"/>
      <c r="H18" s="585"/>
      <c r="I18" s="585"/>
    </row>
    <row r="19" spans="1:17" ht="7.5" customHeight="1">
      <c r="D19" s="585"/>
      <c r="E19" s="585"/>
      <c r="F19" s="585"/>
      <c r="G19" s="585"/>
      <c r="H19" s="585"/>
      <c r="I19" s="585"/>
      <c r="K19" s="585"/>
      <c r="L19" s="585"/>
      <c r="M19" s="585"/>
      <c r="N19" s="585"/>
      <c r="O19" s="585"/>
      <c r="P19" s="585"/>
      <c r="Q19" s="585"/>
    </row>
    <row r="21" spans="1:17" ht="15.75" customHeight="1" thickBot="1">
      <c r="C21" s="933" t="s">
        <v>1648</v>
      </c>
      <c r="D21" s="933"/>
      <c r="E21" s="933"/>
      <c r="F21" s="380"/>
      <c r="G21" s="465"/>
      <c r="H21" s="428">
        <v>90</v>
      </c>
      <c r="I21" s="587" t="s">
        <v>51</v>
      </c>
      <c r="K21" s="933" t="s">
        <v>1632</v>
      </c>
      <c r="L21" s="933"/>
      <c r="M21" s="380"/>
      <c r="N21" s="465"/>
      <c r="O21" s="1035">
        <v>0.2</v>
      </c>
      <c r="P21" s="1035"/>
      <c r="Q21" s="610"/>
    </row>
    <row r="22" spans="1:17" ht="7.5" customHeight="1" thickBot="1">
      <c r="D22" s="933"/>
      <c r="E22" s="933"/>
    </row>
    <row r="23" spans="1:17" ht="15.75" customHeight="1" thickBot="1">
      <c r="C23" s="933" t="s">
        <v>1646</v>
      </c>
      <c r="D23" s="933"/>
      <c r="E23" s="933"/>
      <c r="F23" s="380"/>
      <c r="G23" s="465"/>
      <c r="H23" s="415">
        <v>0.03</v>
      </c>
      <c r="K23" s="933" t="s">
        <v>1643</v>
      </c>
      <c r="L23" s="933"/>
      <c r="M23" s="380"/>
      <c r="N23" s="465"/>
      <c r="O23" s="1035" t="s">
        <v>1681</v>
      </c>
      <c r="P23" s="1035"/>
      <c r="Q23" s="613">
        <f>IF(O23=D32,4600,9200)</f>
        <v>9200</v>
      </c>
    </row>
    <row r="24" spans="1:17" ht="7.5" customHeight="1" thickBot="1">
      <c r="D24" s="933"/>
      <c r="E24" s="933"/>
    </row>
    <row r="25" spans="1:17" ht="15.75" customHeight="1" thickBot="1">
      <c r="C25" s="461"/>
      <c r="D25" s="933" t="s">
        <v>1647</v>
      </c>
      <c r="E25" s="933"/>
      <c r="F25" s="380"/>
      <c r="G25" s="465"/>
      <c r="H25" s="428">
        <v>30</v>
      </c>
      <c r="I25" s="587" t="s">
        <v>51</v>
      </c>
      <c r="K25" s="933" t="s">
        <v>1633</v>
      </c>
      <c r="L25" s="933"/>
      <c r="M25" s="380"/>
      <c r="N25" s="465"/>
      <c r="O25" s="1035" t="s">
        <v>1680</v>
      </c>
      <c r="P25" s="1035"/>
    </row>
    <row r="26" spans="1:17" ht="7.5" customHeight="1" thickBot="1">
      <c r="D26" s="933"/>
      <c r="E26" s="933"/>
      <c r="K26" s="933"/>
      <c r="L26" s="933"/>
    </row>
    <row r="27" spans="1:17" ht="15.75" customHeight="1" thickBot="1">
      <c r="C27" s="461"/>
      <c r="K27" s="933" t="s">
        <v>1644</v>
      </c>
      <c r="L27" s="933"/>
      <c r="M27" s="380"/>
      <c r="N27" s="465"/>
      <c r="O27" s="1061"/>
      <c r="P27" s="1061"/>
    </row>
    <row r="31" spans="1:17" ht="15.75" customHeight="1">
      <c r="D31" s="293" t="s">
        <v>1681</v>
      </c>
      <c r="E31" s="293" t="s">
        <v>1677</v>
      </c>
      <c r="F31" s="293" t="s">
        <v>1680</v>
      </c>
      <c r="G31" s="293"/>
      <c r="H31" s="293"/>
    </row>
    <row r="32" spans="1:17" ht="7.5" customHeight="1">
      <c r="A32" s="42"/>
      <c r="B32" s="42"/>
      <c r="C32" s="42"/>
      <c r="D32" s="293" t="s">
        <v>1682</v>
      </c>
      <c r="E32" s="293" t="s">
        <v>1677</v>
      </c>
      <c r="F32" s="293"/>
      <c r="G32" s="293"/>
      <c r="H32" s="293"/>
    </row>
    <row r="33" spans="1:18" ht="15.75" customHeight="1">
      <c r="A33" s="42"/>
      <c r="B33" s="42"/>
      <c r="C33" s="42"/>
    </row>
    <row r="34" spans="1:18">
      <c r="A34" s="42"/>
      <c r="B34" s="42"/>
      <c r="C34" s="42"/>
    </row>
    <row r="35" spans="1:18">
      <c r="A35" s="42"/>
      <c r="B35" s="42"/>
      <c r="C35" s="42"/>
    </row>
    <row r="36" spans="1:18">
      <c r="A36" s="42"/>
      <c r="B36" s="42"/>
      <c r="C36" s="42"/>
    </row>
    <row r="37" spans="1:18">
      <c r="A37" s="42"/>
      <c r="B37" s="42"/>
      <c r="C37" s="42"/>
    </row>
    <row r="38" spans="1:18">
      <c r="A38" s="42"/>
      <c r="B38" s="42"/>
      <c r="C38" s="42"/>
      <c r="D38" s="42"/>
      <c r="E38" s="42"/>
      <c r="F38" s="42"/>
      <c r="G38" s="42"/>
      <c r="H38" s="42"/>
      <c r="I38" s="42"/>
      <c r="J38" s="42"/>
      <c r="Q38" s="42"/>
      <c r="R38" s="42"/>
    </row>
    <row r="39" spans="1:18">
      <c r="A39" s="42"/>
      <c r="B39" s="42"/>
      <c r="C39" s="42"/>
      <c r="D39" s="42"/>
      <c r="J39" s="42"/>
      <c r="Q39" s="42"/>
      <c r="R39" s="42"/>
    </row>
    <row r="42" spans="1:18">
      <c r="F42" s="35"/>
      <c r="G42" s="36"/>
      <c r="H42" s="36"/>
    </row>
    <row r="43" spans="1:18">
      <c r="F43" s="35"/>
      <c r="G43" s="36"/>
      <c r="H43" s="36"/>
    </row>
    <row r="44" spans="1:18">
      <c r="F44" s="35"/>
      <c r="G44" s="36"/>
      <c r="H44" s="36"/>
    </row>
  </sheetData>
  <sheetProtection selectLockedCells="1"/>
  <mergeCells count="16">
    <mergeCell ref="K27:L27"/>
    <mergeCell ref="O27:P27"/>
    <mergeCell ref="D24:E24"/>
    <mergeCell ref="D25:E25"/>
    <mergeCell ref="K25:L25"/>
    <mergeCell ref="O25:P25"/>
    <mergeCell ref="D26:E26"/>
    <mergeCell ref="K26:L26"/>
    <mergeCell ref="D15:E15"/>
    <mergeCell ref="C23:E23"/>
    <mergeCell ref="C21:E21"/>
    <mergeCell ref="K21:L21"/>
    <mergeCell ref="O21:P21"/>
    <mergeCell ref="D22:E22"/>
    <mergeCell ref="K23:L23"/>
    <mergeCell ref="O23:P23"/>
  </mergeCells>
  <conditionalFormatting sqref="H15">
    <cfRule type="cellIs" dxfId="67" priority="13" operator="equal">
      <formula>""</formula>
    </cfRule>
  </conditionalFormatting>
  <conditionalFormatting sqref="H21">
    <cfRule type="cellIs" dxfId="66" priority="10" operator="equal">
      <formula>""</formula>
    </cfRule>
  </conditionalFormatting>
  <conditionalFormatting sqref="H23">
    <cfRule type="cellIs" dxfId="65" priority="8" operator="equal">
      <formula>""</formula>
    </cfRule>
  </conditionalFormatting>
  <conditionalFormatting sqref="H25">
    <cfRule type="cellIs" dxfId="64" priority="1" operator="equal">
      <formula>""</formula>
    </cfRule>
  </conditionalFormatting>
  <conditionalFormatting sqref="O21">
    <cfRule type="cellIs" dxfId="63" priority="3" operator="equal">
      <formula>""</formula>
    </cfRule>
  </conditionalFormatting>
  <conditionalFormatting sqref="O23">
    <cfRule type="cellIs" dxfId="62" priority="2" operator="equal">
      <formula>""</formula>
    </cfRule>
  </conditionalFormatting>
  <conditionalFormatting sqref="O25">
    <cfRule type="cellIs" dxfId="61" priority="7" operator="equal">
      <formula>""</formula>
    </cfRule>
  </conditionalFormatting>
  <conditionalFormatting sqref="O27">
    <cfRule type="cellIs" dxfId="60" priority="4" operator="equal">
      <formula>""</formula>
    </cfRule>
  </conditionalFormatting>
  <conditionalFormatting sqref="S4">
    <cfRule type="expression" dxfId="59" priority="15">
      <formula>$B$5-$S$4&gt;7</formula>
    </cfRule>
  </conditionalFormatting>
  <dataValidations count="6">
    <dataValidation type="whole" allowBlank="1" showInputMessage="1" showErrorMessage="1" error="Merci de saisir un nombre d'année cohérent" sqref="H25" xr:uid="{023A75B5-BB43-4771-8F68-BE6B327A6243}">
      <formula1>0</formula1>
      <formula2>50</formula2>
    </dataValidation>
    <dataValidation type="list" allowBlank="1" showInputMessage="1" showErrorMessage="1" sqref="H15" xr:uid="{2888F7CC-5CCA-42B7-9266-3D11A0910163}">
      <formula1>"Protection cellule familiale,Sortie en capital"</formula1>
    </dataValidation>
    <dataValidation type="whole" allowBlank="1" showInputMessage="1" showErrorMessage="1" error="Merci de saisir un age cohérent" sqref="H21" xr:uid="{5E17AE11-E191-42A7-BA20-8223D5564489}">
      <formula1>70</formula1>
      <formula2>120</formula2>
    </dataValidation>
    <dataValidation type="list" allowBlank="1" showInputMessage="1" showErrorMessage="1" sqref="O25:P25" xr:uid="{B2958DEF-2EB9-4CF3-B5E1-5384A6A474DD}">
      <formula1>INDIRECT($O$23)</formula1>
    </dataValidation>
    <dataValidation type="whole" allowBlank="1" showInputMessage="1" showErrorMessage="1" error="Merci de saisir un nombre d'enfant cohérent" sqref="O27:P27" xr:uid="{A2476352-EB56-4F24-B33F-5A97BDE4A53B}">
      <formula1>0</formula1>
      <formula2>20</formula2>
    </dataValidation>
    <dataValidation type="list" allowBlank="1" showInputMessage="1" showErrorMessage="1" sqref="O23:P23" xr:uid="{92939343-B19E-4F14-9F61-BB69603EA9A8}">
      <formula1>Situation</formula1>
    </dataValidation>
  </dataValidations>
  <pageMargins left="0.7" right="0.7" top="0.75" bottom="0.75" header="0.3" footer="0.3"/>
  <pageSetup paperSize="9" orientation="portrait" verticalDpi="0" r:id="rId1"/>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FDEE-3436-4EDC-B6EF-9B7D2DC99996}">
  <sheetPr codeName="Feuil33">
    <tabColor theme="9" tint="-0.249977111117893"/>
  </sheetPr>
  <dimension ref="A5:AL37"/>
  <sheetViews>
    <sheetView showGridLines="0" showRowColHeaders="0" zoomScale="123" zoomScaleNormal="123" workbookViewId="0"/>
  </sheetViews>
  <sheetFormatPr baseColWidth="10" defaultRowHeight="14.4"/>
  <cols>
    <col min="2" max="2" width="11.6640625" customWidth="1"/>
    <col min="3" max="3" width="2.6640625" customWidth="1"/>
    <col min="4" max="4" width="7.88671875" customWidth="1"/>
    <col min="5" max="5" width="3.6640625" customWidth="1"/>
    <col min="6" max="6" width="18.33203125" bestFit="1" customWidth="1"/>
    <col min="7" max="7" width="10" customWidth="1"/>
    <col min="8" max="9" width="1.44140625" customWidth="1"/>
    <col min="10" max="10" width="18.33203125" customWidth="1"/>
    <col min="11" max="11" width="10" customWidth="1"/>
    <col min="12" max="13" width="1.44140625" customWidth="1"/>
    <col min="14" max="14" width="18.33203125" customWidth="1"/>
    <col min="15" max="15" width="10" customWidth="1"/>
    <col min="16" max="16" width="1.44140625" customWidth="1"/>
    <col min="17" max="17" width="6.44140625" customWidth="1"/>
    <col min="18" max="18" width="2.6640625" customWidth="1"/>
    <col min="19" max="19" width="18.33203125" customWidth="1"/>
    <col min="20" max="20" width="10" customWidth="1"/>
    <col min="21" max="22" width="1.44140625" customWidth="1"/>
    <col min="23" max="23" width="27.33203125" bestFit="1" customWidth="1"/>
    <col min="24" max="24" width="10" customWidth="1"/>
    <col min="25" max="25" width="1.44140625" customWidth="1"/>
    <col min="26" max="26" width="12.88671875" customWidth="1"/>
    <col min="27" max="28" width="1.44140625" customWidth="1"/>
    <col min="29" max="29" width="12.88671875" customWidth="1"/>
    <col min="30" max="31" width="1.44140625" customWidth="1"/>
    <col min="32" max="32" width="12.88671875" customWidth="1"/>
    <col min="33" max="34" width="1.44140625" customWidth="1"/>
    <col min="35" max="35" width="12.88671875" customWidth="1"/>
    <col min="36" max="37" width="1.44140625" customWidth="1"/>
    <col min="38" max="38" width="12.88671875" customWidth="1"/>
    <col min="39" max="39" width="8" customWidth="1"/>
  </cols>
  <sheetData>
    <row r="5" spans="2:38">
      <c r="B5" s="1">
        <f ca="1">TODAY()</f>
        <v>46023</v>
      </c>
    </row>
    <row r="12" spans="2:38" ht="15" thickBot="1">
      <c r="F12" s="1068" t="s">
        <v>1694</v>
      </c>
      <c r="G12" s="1068"/>
      <c r="H12" s="1068"/>
      <c r="I12" s="1068"/>
      <c r="J12" s="1068"/>
      <c r="K12" s="1068"/>
      <c r="L12" s="1068"/>
      <c r="M12" s="1068"/>
      <c r="N12" s="1068"/>
      <c r="O12" s="1068"/>
      <c r="S12" s="1068" t="s">
        <v>1695</v>
      </c>
      <c r="T12" s="1068"/>
      <c r="U12" s="1068"/>
      <c r="V12" s="1068"/>
      <c r="W12" s="1068"/>
      <c r="X12" s="1068"/>
    </row>
    <row r="13" spans="2:38" ht="15" customHeight="1">
      <c r="D13" s="621"/>
      <c r="Q13" s="620"/>
      <c r="R13" s="615"/>
    </row>
    <row r="14" spans="2:38">
      <c r="D14" s="621"/>
      <c r="F14" s="256"/>
      <c r="G14" s="256"/>
      <c r="H14" s="256"/>
      <c r="I14" s="256"/>
      <c r="J14" s="256"/>
      <c r="K14" s="256"/>
      <c r="L14" s="256"/>
      <c r="M14" s="256"/>
      <c r="N14" s="256"/>
      <c r="O14" s="256"/>
      <c r="P14" s="256"/>
      <c r="Q14" s="1066" t="str">
        <f>MEPPER2!H15</f>
        <v>Sortie en capital</v>
      </c>
      <c r="R14" s="615"/>
      <c r="S14" s="256"/>
      <c r="T14" s="256"/>
      <c r="U14" s="256"/>
      <c r="V14" s="256"/>
      <c r="W14" s="256"/>
      <c r="X14" s="256"/>
      <c r="Y14" s="256"/>
      <c r="Z14" s="256"/>
      <c r="AA14" s="256"/>
      <c r="AB14" s="256"/>
      <c r="AC14" s="256"/>
      <c r="AD14" s="256"/>
      <c r="AE14" s="256"/>
      <c r="AF14" s="256"/>
      <c r="AG14" s="256"/>
      <c r="AH14" s="256"/>
      <c r="AI14" s="256"/>
      <c r="AJ14" s="256"/>
      <c r="AK14" s="256"/>
      <c r="AL14" s="256"/>
    </row>
    <row r="15" spans="2:38">
      <c r="D15" s="621"/>
      <c r="F15" s="256"/>
      <c r="G15" s="256"/>
      <c r="H15" s="256"/>
      <c r="I15" s="256"/>
      <c r="J15" s="256"/>
      <c r="K15" s="256"/>
      <c r="L15" s="256"/>
      <c r="M15" s="256"/>
      <c r="N15" s="256"/>
      <c r="O15" s="256"/>
      <c r="P15" s="256"/>
      <c r="Q15" s="1066"/>
      <c r="R15" s="615"/>
      <c r="S15" s="256"/>
      <c r="T15" s="256"/>
      <c r="U15" s="256"/>
      <c r="V15" s="256"/>
      <c r="W15" s="256"/>
      <c r="X15" s="256"/>
      <c r="Y15" s="256"/>
      <c r="Z15" s="256"/>
      <c r="AA15" s="256"/>
      <c r="AB15" s="256"/>
      <c r="AC15" s="256"/>
      <c r="AD15" s="256"/>
      <c r="AE15" s="256"/>
      <c r="AF15" s="256"/>
      <c r="AG15" s="256"/>
      <c r="AH15" s="256"/>
      <c r="AI15" s="256"/>
      <c r="AJ15" s="256"/>
      <c r="AK15" s="256"/>
      <c r="AL15" s="256"/>
    </row>
    <row r="16" spans="2:38">
      <c r="D16" s="621"/>
      <c r="F16" s="256"/>
      <c r="G16" s="256"/>
      <c r="H16" s="256"/>
      <c r="I16" s="256"/>
      <c r="J16" s="256"/>
      <c r="K16" s="256"/>
      <c r="L16" s="256"/>
      <c r="M16" s="256"/>
      <c r="N16" s="256"/>
      <c r="O16" s="256"/>
      <c r="P16" s="256"/>
      <c r="Q16" s="1066"/>
      <c r="R16" s="615"/>
      <c r="S16" s="256"/>
      <c r="T16" s="256"/>
      <c r="U16" s="256"/>
      <c r="V16" s="256"/>
      <c r="W16" s="256"/>
      <c r="X16" s="256"/>
      <c r="Y16" s="256"/>
      <c r="Z16" s="256"/>
      <c r="AA16" s="256"/>
      <c r="AB16" s="256"/>
      <c r="AC16" s="256"/>
      <c r="AD16" s="256"/>
      <c r="AE16" s="256"/>
      <c r="AF16" s="256"/>
      <c r="AG16" s="256"/>
      <c r="AH16" s="256"/>
      <c r="AI16" s="256"/>
      <c r="AJ16" s="256"/>
      <c r="AK16" s="256"/>
      <c r="AL16" s="256"/>
    </row>
    <row r="17" spans="1:38">
      <c r="C17" s="1064" t="s">
        <v>1518</v>
      </c>
      <c r="D17" s="1065"/>
      <c r="F17" s="256"/>
      <c r="K17" s="2"/>
      <c r="L17" s="2"/>
      <c r="M17" s="2"/>
      <c r="N17" s="2"/>
      <c r="O17" s="2"/>
      <c r="P17" s="2"/>
      <c r="Q17" s="1066"/>
      <c r="R17" s="615"/>
      <c r="S17" s="35"/>
      <c r="W17" s="1067"/>
      <c r="X17" s="1067"/>
      <c r="Y17" s="1067"/>
      <c r="Z17" s="1067"/>
      <c r="AA17" s="35"/>
      <c r="AC17" s="1067"/>
      <c r="AD17" s="1067"/>
      <c r="AE17" s="1067"/>
      <c r="AF17" s="1067"/>
      <c r="AG17" s="35"/>
    </row>
    <row r="18" spans="1:38">
      <c r="C18" s="1064"/>
      <c r="D18" s="1065"/>
      <c r="F18" s="256"/>
      <c r="Q18" s="1066"/>
      <c r="R18" s="615"/>
    </row>
    <row r="19" spans="1:38">
      <c r="A19" s="42"/>
      <c r="B19" s="42"/>
      <c r="C19" s="1064"/>
      <c r="D19" s="1065"/>
      <c r="E19" s="380"/>
      <c r="F19" s="614"/>
      <c r="G19" s="366"/>
      <c r="H19" s="366"/>
      <c r="I19" s="366"/>
      <c r="K19" s="358"/>
      <c r="L19" s="358"/>
      <c r="M19" s="358"/>
      <c r="N19" s="380"/>
      <c r="O19" s="380"/>
      <c r="P19" s="380"/>
      <c r="Q19" s="1066"/>
      <c r="R19" s="615"/>
      <c r="S19" s="366"/>
      <c r="W19" s="358"/>
      <c r="X19" s="380"/>
      <c r="Y19" s="380"/>
      <c r="Z19" s="614"/>
      <c r="AA19" s="366"/>
      <c r="AC19" s="358"/>
      <c r="AD19" s="380"/>
      <c r="AE19" s="380"/>
      <c r="AF19" s="614"/>
      <c r="AG19" s="366"/>
      <c r="AI19" s="358"/>
      <c r="AJ19" s="380"/>
      <c r="AK19" s="380"/>
      <c r="AL19" s="614"/>
    </row>
    <row r="20" spans="1:38">
      <c r="A20" s="42"/>
      <c r="B20" s="42"/>
      <c r="D20" s="42"/>
      <c r="F20" s="258" t="s">
        <v>1669</v>
      </c>
      <c r="G20" s="616">
        <f>'Sit 1(2)'!E20</f>
        <v>19500</v>
      </c>
      <c r="H20" s="616"/>
      <c r="I20" s="616"/>
      <c r="J20" s="258" t="s">
        <v>1674</v>
      </c>
      <c r="K20" s="616">
        <f ca="1">'Sit 1(2)'!D15</f>
        <v>133000</v>
      </c>
      <c r="L20" s="616"/>
      <c r="M20" s="616"/>
      <c r="N20" s="258" t="s">
        <v>1667</v>
      </c>
      <c r="O20" s="616">
        <f ca="1">'Sit 1(2)'!H15</f>
        <v>184400</v>
      </c>
      <c r="P20" s="616"/>
      <c r="Q20" s="1066"/>
      <c r="R20" s="615"/>
      <c r="S20" s="258" t="s">
        <v>1550</v>
      </c>
      <c r="T20" s="616">
        <f ca="1">'Sit 1(2)'!S14</f>
        <v>12786.317581322895</v>
      </c>
      <c r="U20" s="616"/>
      <c r="V20" s="627"/>
      <c r="W20" s="1062" t="str">
        <f>"En cas de décès prématuré ("&amp;(MEPPER2!H21)&amp;" ans)"</f>
        <v>En cas de décès prématuré (90 ans)</v>
      </c>
      <c r="X20" s="1062"/>
    </row>
    <row r="21" spans="1:38" ht="15" customHeight="1">
      <c r="A21" s="42"/>
      <c r="B21" s="42"/>
      <c r="D21" s="42"/>
      <c r="F21" s="258" t="s">
        <v>298</v>
      </c>
      <c r="G21" s="616">
        <f>'Sit 1(2)'!D20+(MEPPER!O28*MEPPER!O30)</f>
        <v>500</v>
      </c>
      <c r="H21" s="616"/>
      <c r="I21" s="616"/>
      <c r="J21" s="258" t="s">
        <v>1666</v>
      </c>
      <c r="K21" s="616">
        <f ca="1">'Sit 1(2)'!D14</f>
        <v>57000</v>
      </c>
      <c r="L21" s="616"/>
      <c r="M21" s="616"/>
      <c r="N21" s="258" t="s">
        <v>316</v>
      </c>
      <c r="O21" s="616">
        <f ca="1">'Sit 1(2)'!H14</f>
        <v>66217.467828413704</v>
      </c>
      <c r="P21" s="616"/>
      <c r="Q21" s="1066"/>
      <c r="R21" s="615"/>
      <c r="S21" s="258" t="s">
        <v>1670</v>
      </c>
      <c r="T21" s="616">
        <f ca="1">T20-T22</f>
        <v>2100.4479253246645</v>
      </c>
      <c r="U21" s="616"/>
      <c r="V21" s="627"/>
      <c r="W21" s="258" t="s">
        <v>1678</v>
      </c>
      <c r="X21" s="616">
        <f ca="1">'Sit 1(2)'!S16</f>
        <v>264666.02832898009</v>
      </c>
    </row>
    <row r="22" spans="1:38">
      <c r="A22" s="42"/>
      <c r="B22" s="42"/>
      <c r="D22" s="42"/>
      <c r="F22" s="617" t="s">
        <v>1664</v>
      </c>
      <c r="G22" s="618">
        <f>G20+G21</f>
        <v>20000</v>
      </c>
      <c r="H22" s="616"/>
      <c r="I22" s="616"/>
      <c r="J22" s="617" t="s">
        <v>1665</v>
      </c>
      <c r="K22" s="618">
        <f ca="1">'Sit 1(2)'!D13</f>
        <v>190000</v>
      </c>
      <c r="L22" s="616"/>
      <c r="M22" s="616"/>
      <c r="N22" s="617" t="s">
        <v>1668</v>
      </c>
      <c r="O22" s="618">
        <f ca="1">O20+O21</f>
        <v>250617.4678284137</v>
      </c>
      <c r="P22" s="619"/>
      <c r="Q22" s="1066"/>
      <c r="R22" s="615"/>
      <c r="S22" s="617" t="s">
        <v>1470</v>
      </c>
      <c r="T22" s="618">
        <f ca="1">'Sit 1(2)'!S15</f>
        <v>10685.869655998231</v>
      </c>
      <c r="U22" s="616"/>
      <c r="V22" s="627"/>
      <c r="W22" s="199" t="s">
        <v>1679</v>
      </c>
      <c r="X22" s="632">
        <f ca="1">'Sit 1(2)'!R10</f>
        <v>47528.000659361889</v>
      </c>
    </row>
    <row r="23" spans="1:38">
      <c r="A23" s="42"/>
      <c r="B23" s="42"/>
      <c r="D23" s="42"/>
      <c r="E23" s="42"/>
      <c r="F23" s="42"/>
      <c r="G23" s="42"/>
      <c r="H23" s="616"/>
      <c r="I23" s="616"/>
      <c r="K23" s="42"/>
      <c r="L23" s="42"/>
      <c r="M23" s="42"/>
      <c r="N23" s="42"/>
      <c r="Q23" s="42"/>
      <c r="R23" s="42"/>
      <c r="S23" s="42"/>
      <c r="U23" s="616"/>
      <c r="V23" s="616"/>
      <c r="W23" s="42"/>
      <c r="X23" s="42"/>
      <c r="Z23" s="42"/>
      <c r="AA23" s="42"/>
      <c r="AC23" s="42"/>
      <c r="AD23" s="42"/>
      <c r="AF23" s="42"/>
      <c r="AG23" s="42"/>
      <c r="AI23" s="42"/>
      <c r="AJ23" s="42"/>
      <c r="AL23" s="42"/>
    </row>
    <row r="24" spans="1:38">
      <c r="A24" s="42"/>
      <c r="B24" s="42"/>
      <c r="D24" s="42"/>
      <c r="E24" s="42"/>
      <c r="F24" s="42"/>
      <c r="G24" s="42"/>
      <c r="H24" s="42"/>
      <c r="I24" s="42"/>
      <c r="K24" s="42"/>
      <c r="L24" s="42"/>
      <c r="M24" s="42"/>
      <c r="N24" s="42"/>
      <c r="Q24" s="42"/>
      <c r="R24" s="42"/>
      <c r="S24" s="42"/>
      <c r="U24" s="616"/>
      <c r="V24" s="616"/>
      <c r="W24" s="42"/>
      <c r="X24" s="42"/>
      <c r="Z24" s="42"/>
      <c r="AA24" s="42"/>
      <c r="AC24" s="42"/>
      <c r="AD24" s="42"/>
      <c r="AF24" s="42"/>
      <c r="AG24" s="42"/>
      <c r="AI24" s="42"/>
      <c r="AJ24" s="42"/>
      <c r="AL24" s="42"/>
    </row>
    <row r="25" spans="1:38" ht="15" thickBot="1">
      <c r="F25" s="1068" t="s">
        <v>1694</v>
      </c>
      <c r="G25" s="1068"/>
      <c r="H25" s="1068"/>
      <c r="I25" s="1068"/>
      <c r="J25" s="1068"/>
      <c r="K25" s="1068"/>
      <c r="L25" s="1068"/>
      <c r="M25" s="1068"/>
      <c r="N25" s="1068"/>
      <c r="O25" s="1068"/>
      <c r="S25" s="1068" t="s">
        <v>1695</v>
      </c>
      <c r="T25" s="1068"/>
      <c r="U25" s="1068"/>
      <c r="V25" s="1068"/>
      <c r="W25" s="1068"/>
      <c r="X25" s="1068"/>
    </row>
    <row r="26" spans="1:38" ht="15" customHeight="1">
      <c r="D26" s="621"/>
      <c r="Q26" s="620"/>
      <c r="R26" s="615"/>
    </row>
    <row r="27" spans="1:38">
      <c r="D27" s="621"/>
      <c r="F27" s="256"/>
      <c r="G27" s="256"/>
      <c r="H27" s="256"/>
      <c r="I27" s="256"/>
      <c r="J27" s="256"/>
      <c r="K27" s="256"/>
      <c r="L27" s="256"/>
      <c r="M27" s="256"/>
      <c r="N27" s="256"/>
      <c r="O27" s="256"/>
      <c r="P27" s="256"/>
      <c r="Q27" s="1066" t="str">
        <f>Q14</f>
        <v>Sortie en capital</v>
      </c>
      <c r="R27" s="615"/>
      <c r="S27" s="256"/>
      <c r="T27" s="256"/>
      <c r="U27" s="256"/>
      <c r="V27" s="256"/>
      <c r="W27" s="256"/>
      <c r="X27" s="256"/>
      <c r="Y27" s="256"/>
      <c r="Z27" s="256"/>
      <c r="AA27" s="256"/>
      <c r="AB27" s="256"/>
      <c r="AC27" s="256"/>
      <c r="AD27" s="256"/>
      <c r="AE27" s="256"/>
      <c r="AF27" s="256"/>
      <c r="AG27" s="256"/>
      <c r="AH27" s="256"/>
      <c r="AI27" s="256"/>
      <c r="AJ27" s="256"/>
      <c r="AK27" s="256"/>
      <c r="AL27" s="256"/>
    </row>
    <row r="28" spans="1:38">
      <c r="D28" s="621"/>
      <c r="F28" s="256"/>
      <c r="G28" s="256"/>
      <c r="H28" s="256"/>
      <c r="I28" s="256"/>
      <c r="J28" s="256"/>
      <c r="K28" s="256"/>
      <c r="L28" s="256"/>
      <c r="M28" s="256"/>
      <c r="N28" s="256"/>
      <c r="O28" s="256"/>
      <c r="P28" s="256"/>
      <c r="Q28" s="1066"/>
      <c r="R28" s="615"/>
      <c r="S28" s="256"/>
      <c r="T28" s="256"/>
      <c r="U28" s="256"/>
      <c r="V28" s="256"/>
      <c r="W28" s="256"/>
      <c r="X28" s="256"/>
      <c r="Y28" s="256"/>
      <c r="Z28" s="256"/>
      <c r="AA28" s="256"/>
      <c r="AB28" s="256"/>
      <c r="AC28" s="256"/>
      <c r="AD28" s="256"/>
      <c r="AE28" s="256"/>
      <c r="AF28" s="256"/>
      <c r="AG28" s="256"/>
      <c r="AH28" s="256"/>
      <c r="AI28" s="256"/>
      <c r="AJ28" s="256"/>
      <c r="AK28" s="256"/>
      <c r="AL28" s="256"/>
    </row>
    <row r="29" spans="1:38">
      <c r="D29" s="621"/>
      <c r="F29" s="256"/>
      <c r="G29" s="256"/>
      <c r="H29" s="256"/>
      <c r="I29" s="256"/>
      <c r="J29" s="256"/>
      <c r="K29" s="256"/>
      <c r="L29" s="256"/>
      <c r="M29" s="256"/>
      <c r="N29" s="256"/>
      <c r="O29" s="256"/>
      <c r="P29" s="256"/>
      <c r="Q29" s="1066"/>
      <c r="R29" s="615"/>
      <c r="S29" s="256"/>
      <c r="T29" s="256"/>
      <c r="U29" s="256"/>
      <c r="V29" s="256"/>
      <c r="W29" s="256"/>
      <c r="X29" s="256"/>
      <c r="Y29" s="256"/>
      <c r="Z29" s="256"/>
      <c r="AA29" s="256"/>
      <c r="AB29" s="256"/>
      <c r="AC29" s="256"/>
      <c r="AD29" s="256"/>
      <c r="AE29" s="256"/>
      <c r="AF29" s="256"/>
      <c r="AG29" s="256"/>
      <c r="AH29" s="256"/>
      <c r="AI29" s="256"/>
      <c r="AJ29" s="256"/>
      <c r="AK29" s="256"/>
      <c r="AL29" s="256"/>
    </row>
    <row r="30" spans="1:38">
      <c r="C30" s="926" t="s">
        <v>34</v>
      </c>
      <c r="D30" s="1063"/>
      <c r="F30" s="256"/>
      <c r="K30" s="2"/>
      <c r="L30" s="2"/>
      <c r="M30" s="2"/>
      <c r="N30" s="2"/>
      <c r="O30" s="2"/>
      <c r="P30" s="2"/>
      <c r="Q30" s="1066"/>
      <c r="R30" s="615"/>
      <c r="S30" s="35"/>
      <c r="W30" s="1067"/>
      <c r="X30" s="1067"/>
      <c r="Y30" s="1067"/>
      <c r="Z30" s="1067"/>
      <c r="AA30" s="35"/>
      <c r="AC30" s="1067"/>
      <c r="AD30" s="1067"/>
      <c r="AE30" s="1067"/>
      <c r="AF30" s="1067"/>
      <c r="AG30" s="35"/>
    </row>
    <row r="31" spans="1:38">
      <c r="C31" s="926"/>
      <c r="D31" s="1063"/>
      <c r="F31" s="256"/>
      <c r="Q31" s="1066"/>
      <c r="R31" s="615"/>
    </row>
    <row r="32" spans="1:38">
      <c r="A32" s="42"/>
      <c r="B32" s="42"/>
      <c r="C32" s="926"/>
      <c r="D32" s="1063"/>
      <c r="E32" s="380"/>
      <c r="F32" s="614"/>
      <c r="G32" s="366"/>
      <c r="H32" s="366"/>
      <c r="I32" s="366"/>
      <c r="K32" s="358"/>
      <c r="L32" s="358"/>
      <c r="M32" s="358"/>
      <c r="N32" s="380"/>
      <c r="O32" s="380"/>
      <c r="P32" s="380"/>
      <c r="Q32" s="1066"/>
      <c r="R32" s="615"/>
      <c r="S32" s="366"/>
      <c r="W32" s="358"/>
      <c r="X32" s="380"/>
      <c r="Y32" s="380"/>
      <c r="Z32" s="614"/>
      <c r="AA32" s="366"/>
      <c r="AC32" s="358"/>
      <c r="AD32" s="380"/>
      <c r="AE32" s="380"/>
      <c r="AF32" s="614"/>
      <c r="AG32" s="366"/>
      <c r="AI32" s="358"/>
      <c r="AJ32" s="380"/>
      <c r="AK32" s="380"/>
      <c r="AL32" s="614"/>
    </row>
    <row r="33" spans="1:38">
      <c r="A33" s="42"/>
      <c r="B33" s="42"/>
      <c r="D33" s="42"/>
      <c r="F33" s="258" t="s">
        <v>1669</v>
      </c>
      <c r="G33" s="616">
        <f>MEPPER!H30-MEPPER3!G34</f>
        <v>13560</v>
      </c>
      <c r="H33" s="616"/>
      <c r="I33" s="616"/>
      <c r="J33" s="258" t="s">
        <v>1674</v>
      </c>
      <c r="K33" s="616">
        <f ca="1">'Sit 2(2)'!D15+(MEPPER!O28*(1-MEPPER!H16))</f>
        <v>140000</v>
      </c>
      <c r="L33" s="616"/>
      <c r="M33" s="616"/>
      <c r="N33" s="258" t="s">
        <v>1667</v>
      </c>
      <c r="O33" s="616">
        <f ca="1">O35-O34</f>
        <v>129080</v>
      </c>
      <c r="P33" s="616"/>
      <c r="Q33" s="1066"/>
      <c r="R33" s="615"/>
      <c r="S33" s="258" t="s">
        <v>1684</v>
      </c>
      <c r="T33" s="616">
        <f ca="1">'Sit 2(2)'!S14</f>
        <v>8950.4223069260297</v>
      </c>
      <c r="U33" s="616"/>
      <c r="V33" s="627"/>
      <c r="W33" s="1062" t="str">
        <f>W20</f>
        <v>En cas de décès prématuré (90 ans)</v>
      </c>
      <c r="X33" s="1062"/>
    </row>
    <row r="34" spans="1:38" ht="15" customHeight="1">
      <c r="A34" s="42"/>
      <c r="B34" s="42"/>
      <c r="D34" s="42"/>
      <c r="F34" s="258" t="s">
        <v>298</v>
      </c>
      <c r="G34" s="616">
        <f>'Sit 1(2)'!D20+((MEPPER!O28*(1-MEPPER!H16))*MEPPER!O30)</f>
        <v>440</v>
      </c>
      <c r="H34" s="616"/>
      <c r="I34" s="616"/>
      <c r="J34" s="258"/>
      <c r="K34" s="616"/>
      <c r="L34" s="616"/>
      <c r="M34" s="616"/>
      <c r="N34" s="258" t="s">
        <v>316</v>
      </c>
      <c r="O34" s="616">
        <f ca="1">'Sit 2(2)'!H14</f>
        <v>46352.227479889669</v>
      </c>
      <c r="P34" s="616"/>
      <c r="Q34" s="1066"/>
      <c r="R34" s="615"/>
      <c r="S34" s="258" t="s">
        <v>1683</v>
      </c>
      <c r="T34" s="616">
        <f ca="1">T33-T35</f>
        <v>439.7470534844706</v>
      </c>
      <c r="U34" s="616"/>
      <c r="V34" s="627"/>
      <c r="W34" s="258" t="s">
        <v>1678</v>
      </c>
      <c r="X34" s="616">
        <f ca="1">'Sit 2(2)'!S16</f>
        <v>212934.10100880871</v>
      </c>
    </row>
    <row r="35" spans="1:38">
      <c r="A35" s="42"/>
      <c r="B35" s="42"/>
      <c r="D35" s="42"/>
      <c r="F35" s="617" t="s">
        <v>1664</v>
      </c>
      <c r="G35" s="618">
        <f>G33+G34</f>
        <v>14000</v>
      </c>
      <c r="H35" s="616"/>
      <c r="I35" s="616"/>
      <c r="J35" s="617" t="s">
        <v>1665</v>
      </c>
      <c r="K35" s="618">
        <f ca="1">K33</f>
        <v>140000</v>
      </c>
      <c r="L35" s="616"/>
      <c r="M35" s="616"/>
      <c r="N35" s="617" t="s">
        <v>1668</v>
      </c>
      <c r="O35" s="618">
        <f ca="1">'Sit 2(2)'!H13</f>
        <v>175432.22747988967</v>
      </c>
      <c r="P35" s="619"/>
      <c r="Q35" s="1066"/>
      <c r="R35" s="615"/>
      <c r="S35" s="617" t="s">
        <v>1690</v>
      </c>
      <c r="T35" s="618">
        <f ca="1">'Sit 2(2)'!S15</f>
        <v>8510.6752534415591</v>
      </c>
      <c r="U35" s="616"/>
      <c r="V35" s="627"/>
      <c r="W35" s="199" t="s">
        <v>1679</v>
      </c>
      <c r="X35" s="632">
        <f ca="1">'Sit 2(2)'!R10</f>
        <v>28485.342023316582</v>
      </c>
    </row>
    <row r="36" spans="1:38">
      <c r="A36" s="42"/>
      <c r="B36" s="42"/>
      <c r="D36" s="42"/>
      <c r="E36" s="42"/>
      <c r="F36" s="42"/>
      <c r="G36" s="42"/>
      <c r="H36" s="616"/>
      <c r="I36" s="616"/>
      <c r="K36" s="42"/>
      <c r="L36" s="42"/>
      <c r="M36" s="42"/>
      <c r="N36" s="42"/>
      <c r="Q36" s="42"/>
      <c r="R36" s="42"/>
      <c r="S36" s="42"/>
      <c r="U36" s="616"/>
      <c r="V36" s="616"/>
      <c r="W36" s="42"/>
      <c r="X36" s="42"/>
      <c r="Z36" s="42"/>
      <c r="AA36" s="42"/>
      <c r="AC36" s="42"/>
      <c r="AD36" s="42"/>
      <c r="AF36" s="42"/>
      <c r="AG36" s="42"/>
      <c r="AI36" s="42"/>
      <c r="AJ36" s="42"/>
      <c r="AL36" s="42"/>
    </row>
    <row r="37" spans="1:38">
      <c r="A37" s="42"/>
      <c r="B37" s="42"/>
      <c r="D37" s="42"/>
      <c r="E37" s="42"/>
      <c r="F37" s="42"/>
      <c r="G37" s="42"/>
      <c r="H37" s="42"/>
      <c r="I37" s="42"/>
      <c r="K37" s="42"/>
      <c r="L37" s="42"/>
      <c r="M37" s="42"/>
      <c r="N37" s="42"/>
      <c r="Q37" s="42"/>
      <c r="R37" s="42"/>
      <c r="S37" s="42"/>
      <c r="U37" s="616"/>
      <c r="V37" s="616"/>
      <c r="W37" s="42"/>
      <c r="X37" s="42"/>
      <c r="Z37" s="42"/>
      <c r="AA37" s="42"/>
      <c r="AC37" s="42"/>
      <c r="AD37" s="42"/>
      <c r="AF37" s="42"/>
      <c r="AG37" s="42"/>
      <c r="AI37" s="42"/>
      <c r="AJ37" s="42"/>
      <c r="AL37" s="42"/>
    </row>
  </sheetData>
  <sheetProtection selectLockedCells="1"/>
  <mergeCells count="14">
    <mergeCell ref="F12:O12"/>
    <mergeCell ref="F25:O25"/>
    <mergeCell ref="S12:X12"/>
    <mergeCell ref="S25:X25"/>
    <mergeCell ref="AC30:AF30"/>
    <mergeCell ref="AC17:AF17"/>
    <mergeCell ref="W33:X33"/>
    <mergeCell ref="C30:D32"/>
    <mergeCell ref="C17:D19"/>
    <mergeCell ref="W20:X20"/>
    <mergeCell ref="Q27:Q35"/>
    <mergeCell ref="W30:Z30"/>
    <mergeCell ref="W17:Z17"/>
    <mergeCell ref="Q14:Q22"/>
  </mergeCells>
  <pageMargins left="0.7" right="0.7" top="0.75" bottom="0.75" header="0.3" footer="0.3"/>
  <pageSetup paperSize="9" orientation="portrait" verticalDpi="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3F33-4069-4952-96EF-E8AA4506AC28}">
  <sheetPr codeName="Feuil9">
    <tabColor theme="9" tint="-0.249977111117893"/>
    <outlinePr showOutlineSymbols="0"/>
    <pageSetUpPr autoPageBreaks="0" fitToPage="1"/>
  </sheetPr>
  <dimension ref="A2:W110"/>
  <sheetViews>
    <sheetView showGridLines="0" showRowColHeaders="0" showZeros="0" showOutlineSymbols="0" zoomScale="123" zoomScaleNormal="123" workbookViewId="0"/>
  </sheetViews>
  <sheetFormatPr baseColWidth="10" defaultColWidth="11.44140625" defaultRowHeight="14.4"/>
  <cols>
    <col min="1" max="1" width="4.5546875" style="468" customWidth="1"/>
    <col min="2" max="2" width="12.5546875" style="468" customWidth="1"/>
    <col min="3" max="3" width="9" style="468" customWidth="1"/>
    <col min="4" max="4" width="10" style="468" customWidth="1"/>
    <col min="5" max="6" width="8.5546875" style="468" customWidth="1"/>
    <col min="7" max="7" width="11.33203125" style="468" customWidth="1"/>
    <col min="8" max="8" width="10.6640625" style="468" customWidth="1"/>
    <col min="9" max="10" width="0.6640625" style="468" customWidth="1"/>
    <col min="11" max="11" width="4.5546875" style="468" customWidth="1"/>
    <col min="12" max="13" width="11.33203125" style="468" customWidth="1"/>
    <col min="14" max="14" width="10.6640625" style="468" customWidth="1"/>
    <col min="15" max="15" width="9.33203125" style="468" customWidth="1"/>
    <col min="16" max="16" width="10.33203125" style="468" customWidth="1"/>
    <col min="17" max="17" width="11.109375" style="468" customWidth="1"/>
    <col min="18" max="19" width="10.6640625" style="468" customWidth="1"/>
    <col min="20" max="20" width="8" style="468" customWidth="1"/>
    <col min="21" max="21" width="10.6640625" style="468" customWidth="1"/>
    <col min="22" max="22" width="7.88671875" style="468" customWidth="1"/>
    <col min="23" max="23" width="10.6640625" style="468" customWidth="1"/>
    <col min="24" max="16384" width="11.44140625" style="468"/>
  </cols>
  <sheetData>
    <row r="2" spans="1:23" ht="15.75" customHeight="1"/>
    <row r="3" spans="1:23" ht="15.75" customHeight="1">
      <c r="C3" s="486"/>
      <c r="D3" s="930" t="s">
        <v>1671</v>
      </c>
      <c r="E3" s="930"/>
      <c r="F3" s="930"/>
      <c r="G3" s="930"/>
      <c r="H3" s="930"/>
      <c r="I3" s="930"/>
      <c r="J3" s="930"/>
      <c r="K3" s="930"/>
      <c r="L3" s="930"/>
      <c r="M3" s="930"/>
      <c r="N3" s="930"/>
      <c r="O3" s="930"/>
      <c r="P3" s="930"/>
      <c r="Q3" s="930"/>
      <c r="R3" s="930"/>
      <c r="S3" s="486"/>
      <c r="T3" s="486"/>
      <c r="U3" s="486"/>
      <c r="V3" s="486"/>
      <c r="W3" s="486"/>
    </row>
    <row r="5" spans="1:23" ht="14.25" customHeight="1">
      <c r="A5" s="953" t="s">
        <v>1416</v>
      </c>
      <c r="B5" s="954"/>
      <c r="C5" s="946">
        <f ca="1">(YEAR(TODAY()))-MEPPER!H14</f>
        <v>46</v>
      </c>
      <c r="D5" s="947"/>
      <c r="E5" s="469"/>
      <c r="F5" s="944" t="s">
        <v>1475</v>
      </c>
      <c r="G5" s="945"/>
      <c r="H5" s="625">
        <f>MEPPER!Q24</f>
        <v>0.03</v>
      </c>
      <c r="J5" s="470"/>
      <c r="K5" s="944" t="s">
        <v>1464</v>
      </c>
      <c r="L5" s="944"/>
      <c r="M5" s="944"/>
      <c r="N5" s="944"/>
      <c r="O5" s="471">
        <f>MEPPER2!H23</f>
        <v>0.03</v>
      </c>
    </row>
    <row r="6" spans="1:23" ht="14.25" customHeight="1">
      <c r="A6" s="472" t="s">
        <v>1418</v>
      </c>
      <c r="B6" s="473"/>
      <c r="C6" s="948">
        <f>MEPPER!O14</f>
        <v>64</v>
      </c>
      <c r="D6" s="949"/>
      <c r="F6" s="944" t="s">
        <v>1422</v>
      </c>
      <c r="G6" s="945"/>
      <c r="H6" s="474">
        <f>MEPPER!H22</f>
        <v>0.03</v>
      </c>
      <c r="J6" s="470"/>
    </row>
    <row r="7" spans="1:23" ht="14.25" customHeight="1">
      <c r="A7" s="963" t="s">
        <v>1421</v>
      </c>
      <c r="B7" s="964"/>
      <c r="C7" s="965" t="s">
        <v>29</v>
      </c>
      <c r="D7" s="966"/>
      <c r="E7" s="492" t="s">
        <v>1381</v>
      </c>
      <c r="F7" s="622"/>
      <c r="G7" s="622"/>
      <c r="H7" s="622"/>
      <c r="I7" s="469"/>
      <c r="J7" s="470"/>
      <c r="K7" s="953" t="s">
        <v>1472</v>
      </c>
      <c r="L7" s="953"/>
      <c r="M7" s="953"/>
      <c r="N7" s="953"/>
      <c r="O7" s="491">
        <f>C6+MEPPER2!H25</f>
        <v>94</v>
      </c>
      <c r="P7" s="490" t="str">
        <f>"ans soit un fractionnement en "&amp;(O7-C6)&amp;" ans avec épuisement du capital à cette date"</f>
        <v>ans soit un fractionnement en 30 ans avec épuisement du capital à cette date</v>
      </c>
    </row>
    <row r="8" spans="1:23" ht="14.25" customHeight="1">
      <c r="A8" s="469"/>
      <c r="B8" s="469"/>
      <c r="F8" s="622"/>
      <c r="G8" s="622"/>
      <c r="H8" s="622"/>
      <c r="I8" s="469"/>
      <c r="J8" s="470"/>
      <c r="K8" s="73"/>
      <c r="L8" s="73"/>
      <c r="M8" s="73"/>
      <c r="N8" s="73"/>
      <c r="O8" s="73"/>
      <c r="P8" s="73"/>
      <c r="Q8" s="73"/>
      <c r="R8" s="73"/>
      <c r="S8" s="73"/>
    </row>
    <row r="9" spans="1:23">
      <c r="A9" s="953" t="s">
        <v>1389</v>
      </c>
      <c r="B9" s="954"/>
      <c r="C9" s="1075">
        <f>MEPPER!H24</f>
        <v>10000</v>
      </c>
      <c r="D9" s="1076"/>
      <c r="J9" s="476"/>
      <c r="K9" s="953" t="s">
        <v>1672</v>
      </c>
      <c r="L9" s="953"/>
      <c r="M9" s="953"/>
      <c r="N9" s="953"/>
      <c r="O9" s="491">
        <f>MEPPER2!H21</f>
        <v>90</v>
      </c>
      <c r="P9" s="490" t="s">
        <v>51</v>
      </c>
      <c r="T9" s="1069" t="s">
        <v>1676</v>
      </c>
      <c r="U9" s="1070"/>
      <c r="V9" s="628" t="s">
        <v>1632</v>
      </c>
      <c r="W9" s="629" t="s">
        <v>23</v>
      </c>
    </row>
    <row r="10" spans="1:23" ht="16.5" customHeight="1">
      <c r="A10" s="953" t="s">
        <v>1394</v>
      </c>
      <c r="B10" s="954"/>
      <c r="C10" s="1073">
        <f>MEPPER!H16</f>
        <v>0.3</v>
      </c>
      <c r="D10" s="1074"/>
      <c r="F10" s="953" t="s">
        <v>1395</v>
      </c>
      <c r="G10" s="954"/>
      <c r="H10" s="488">
        <f>MEPPER!O16</f>
        <v>0.11</v>
      </c>
      <c r="J10" s="476"/>
      <c r="K10" s="953" t="s">
        <v>1673</v>
      </c>
      <c r="L10" s="953"/>
      <c r="M10" s="953"/>
      <c r="N10" s="953"/>
      <c r="O10" s="624">
        <f ca="1">VLOOKUP(O9,K20:L108,2)</f>
        <v>47528.000659361889</v>
      </c>
      <c r="P10" s="626" t="s">
        <v>1675</v>
      </c>
      <c r="R10" s="624">
        <f ca="1">O10-V10-W10</f>
        <v>47528.000659361889</v>
      </c>
      <c r="T10" s="1071">
        <f ca="1">IF(MEPPER2!O25="Conjoint",O10,IF(MEPPER2!H21&gt;=70,Données!L14))</f>
        <v>47528.000659361889</v>
      </c>
      <c r="U10" s="1072"/>
      <c r="V10" s="630">
        <f ca="1">IF(O10=0,0,IF(MEPPER2!O25="Conjoint",0,(O10-T10)*MEPPER2!O21))</f>
        <v>0</v>
      </c>
      <c r="W10" s="631">
        <v>0</v>
      </c>
    </row>
    <row r="11" spans="1:23" ht="8.25" customHeight="1">
      <c r="A11" s="480"/>
      <c r="B11" s="480"/>
      <c r="C11" s="480"/>
      <c r="D11" s="481"/>
      <c r="E11" s="481"/>
      <c r="F11" s="481"/>
      <c r="G11" s="481"/>
      <c r="H11" s="481"/>
      <c r="I11" s="481"/>
      <c r="J11" s="482"/>
      <c r="K11" s="481"/>
      <c r="L11" s="481"/>
      <c r="M11" s="481"/>
      <c r="N11" s="481"/>
      <c r="O11" s="481"/>
      <c r="P11" s="481"/>
      <c r="Q11" s="481"/>
      <c r="R11" s="481"/>
      <c r="S11" s="481"/>
      <c r="T11" s="481"/>
      <c r="U11" s="481"/>
      <c r="V11" s="481"/>
      <c r="W11" s="481"/>
    </row>
    <row r="12" spans="1:23" ht="8.25" customHeight="1">
      <c r="A12" s="483"/>
      <c r="B12" s="483"/>
      <c r="C12" s="483"/>
      <c r="D12" s="483"/>
      <c r="E12" s="484"/>
      <c r="F12" s="484"/>
      <c r="G12" s="484"/>
      <c r="H12" s="484"/>
      <c r="I12" s="484"/>
      <c r="J12" s="485"/>
      <c r="K12" s="484"/>
      <c r="L12" s="484"/>
      <c r="M12" s="484"/>
      <c r="N12" s="484"/>
      <c r="O12" s="484"/>
      <c r="P12" s="484"/>
      <c r="Q12" s="484"/>
      <c r="R12" s="484"/>
      <c r="S12" s="484"/>
      <c r="T12" s="484"/>
      <c r="U12" s="484"/>
      <c r="V12" s="484"/>
      <c r="W12" s="484"/>
    </row>
    <row r="13" spans="1:23">
      <c r="A13" s="952" t="s">
        <v>1446</v>
      </c>
      <c r="B13" s="952"/>
      <c r="C13" s="952"/>
      <c r="D13" s="500">
        <f ca="1">B109+MEPPER!O28</f>
        <v>190000</v>
      </c>
      <c r="F13" s="942" t="s">
        <v>1424</v>
      </c>
      <c r="G13" s="942"/>
      <c r="H13" s="499">
        <f ca="1">H109</f>
        <v>250617.4678284137</v>
      </c>
      <c r="J13" s="476"/>
      <c r="K13" s="955" t="s">
        <v>1474</v>
      </c>
      <c r="L13" s="955"/>
      <c r="M13" s="955"/>
      <c r="N13" s="955"/>
      <c r="O13" s="955"/>
      <c r="P13" s="955"/>
      <c r="Q13" s="943" t="str">
        <f>"Fractionnement et épuisement à "&amp;O7&amp;" ans"</f>
        <v>Fractionnement et épuisement à 94 ans</v>
      </c>
      <c r="R13" s="943"/>
      <c r="S13" s="943"/>
      <c r="T13" s="943"/>
      <c r="U13" s="943"/>
      <c r="V13" s="943"/>
      <c r="W13" s="943"/>
    </row>
    <row r="14" spans="1:23">
      <c r="A14" s="952" t="s">
        <v>1425</v>
      </c>
      <c r="B14" s="952"/>
      <c r="C14" s="952"/>
      <c r="D14" s="500">
        <f ca="1">C109+MEPPER!O28*MEPPER!H16</f>
        <v>57000</v>
      </c>
      <c r="F14" s="942" t="s">
        <v>1426</v>
      </c>
      <c r="G14" s="942"/>
      <c r="H14" s="499">
        <f ca="1">H13-H7+H8-E109</f>
        <v>66217.467828413704</v>
      </c>
      <c r="J14" s="476"/>
      <c r="K14" s="942" t="s">
        <v>1691</v>
      </c>
      <c r="L14" s="942"/>
      <c r="M14" s="942"/>
      <c r="N14" s="942"/>
      <c r="O14" s="939">
        <f ca="1">H13</f>
        <v>250617.4678284137</v>
      </c>
      <c r="P14" s="939"/>
      <c r="Q14" s="942" t="s">
        <v>1469</v>
      </c>
      <c r="R14" s="942"/>
      <c r="S14" s="499">
        <f ca="1">Q20</f>
        <v>12786.317581322895</v>
      </c>
      <c r="T14" s="942"/>
      <c r="U14" s="942"/>
      <c r="V14" s="942"/>
      <c r="W14" s="499"/>
    </row>
    <row r="15" spans="1:23">
      <c r="A15" s="952" t="s">
        <v>1427</v>
      </c>
      <c r="B15" s="952"/>
      <c r="C15" s="952"/>
      <c r="D15" s="500">
        <f ca="1">D13-D14</f>
        <v>133000</v>
      </c>
      <c r="F15" s="942" t="s">
        <v>1428</v>
      </c>
      <c r="G15" s="942"/>
      <c r="H15" s="499">
        <f ca="1">E109+H7-H8</f>
        <v>184400</v>
      </c>
      <c r="J15" s="476"/>
      <c r="K15" s="942" t="s">
        <v>1692</v>
      </c>
      <c r="L15" s="942"/>
      <c r="M15" s="942"/>
      <c r="N15" s="942"/>
      <c r="O15" s="939">
        <f ca="1">H13-(H14*Données!F36)</f>
        <v>239228.06336192656</v>
      </c>
      <c r="P15" s="939"/>
      <c r="Q15" s="942" t="s">
        <v>1470</v>
      </c>
      <c r="R15" s="942"/>
      <c r="S15" s="499">
        <f ca="1">W20</f>
        <v>10685.869655998231</v>
      </c>
      <c r="T15" s="942"/>
      <c r="U15" s="942"/>
      <c r="V15" s="942"/>
      <c r="W15" s="499"/>
    </row>
    <row r="16" spans="1:23">
      <c r="J16" s="476"/>
      <c r="K16" s="942" t="str">
        <f>IF(OR(C7=Données!H50,C7=Données!H51,C7=Données!H56),"Capital net (PFL 7,5% et PS + CSG déductible)","Capital net (PS et IR)")</f>
        <v>Capital net (PS et IR)</v>
      </c>
      <c r="L16" s="942"/>
      <c r="M16" s="942"/>
      <c r="N16" s="942"/>
      <c r="O16" s="939">
        <f ca="1">O14-((H14*Données!F28)+(H15*H10))</f>
        <v>221857.63194637676</v>
      </c>
      <c r="P16" s="939"/>
      <c r="Q16" s="942" t="s">
        <v>1480</v>
      </c>
      <c r="R16" s="942"/>
      <c r="S16" s="499">
        <f ca="1">W109</f>
        <v>264666.02832898009</v>
      </c>
      <c r="T16" s="633"/>
      <c r="U16" s="942"/>
      <c r="V16" s="942"/>
      <c r="W16" s="499"/>
    </row>
    <row r="17" spans="1:23" ht="8.25" customHeight="1">
      <c r="A17" s="960"/>
      <c r="B17" s="960"/>
      <c r="C17" s="960"/>
      <c r="D17" s="960"/>
      <c r="E17" s="960"/>
      <c r="F17" s="960"/>
      <c r="G17" s="960"/>
      <c r="H17" s="960"/>
      <c r="J17" s="476"/>
    </row>
    <row r="18" spans="1:23" ht="18.75" customHeight="1">
      <c r="A18" s="956" t="s">
        <v>1438</v>
      </c>
      <c r="B18" s="956"/>
      <c r="C18" s="956"/>
      <c r="D18" s="956"/>
      <c r="E18" s="956"/>
      <c r="F18" s="956"/>
      <c r="G18" s="956"/>
      <c r="H18" s="956"/>
      <c r="J18" s="476"/>
      <c r="K18" s="941" t="str">
        <f>"Phase liquidation en capital fractionné "&amp;O7&amp;" ans"</f>
        <v>Phase liquidation en capital fractionné 94 ans</v>
      </c>
      <c r="L18" s="941"/>
      <c r="M18" s="941"/>
      <c r="N18" s="941"/>
      <c r="O18" s="941"/>
      <c r="P18" s="941"/>
      <c r="Q18" s="941"/>
      <c r="R18" s="941"/>
      <c r="S18" s="941"/>
      <c r="T18" s="941"/>
      <c r="U18" s="941"/>
      <c r="V18" s="941"/>
      <c r="W18" s="941"/>
    </row>
    <row r="19" spans="1:23" ht="24.75" customHeight="1">
      <c r="A19" s="501" t="s">
        <v>1429</v>
      </c>
      <c r="B19" s="501" t="s">
        <v>1430</v>
      </c>
      <c r="C19" s="501" t="s">
        <v>1425</v>
      </c>
      <c r="D19" s="501" t="s">
        <v>1431</v>
      </c>
      <c r="E19" s="501" t="s">
        <v>1432</v>
      </c>
      <c r="F19" s="501" t="s">
        <v>1433</v>
      </c>
      <c r="G19" s="501" t="s">
        <v>1434</v>
      </c>
      <c r="H19" s="501" t="s">
        <v>1424</v>
      </c>
      <c r="J19" s="476"/>
      <c r="K19" s="487" t="s">
        <v>1429</v>
      </c>
      <c r="L19" s="487" t="s">
        <v>1453</v>
      </c>
      <c r="M19" s="487" t="s">
        <v>1462</v>
      </c>
      <c r="N19" s="487" t="s">
        <v>1463</v>
      </c>
      <c r="O19" s="487" t="s">
        <v>1454</v>
      </c>
      <c r="P19" s="487" t="s">
        <v>1458</v>
      </c>
      <c r="Q19" s="503" t="s">
        <v>1481</v>
      </c>
      <c r="R19" s="487" t="s">
        <v>1461</v>
      </c>
      <c r="S19" s="487" t="s">
        <v>1456</v>
      </c>
      <c r="T19" s="487" t="s">
        <v>1460</v>
      </c>
      <c r="U19" s="487" t="s">
        <v>1459</v>
      </c>
      <c r="V19" s="487" t="s">
        <v>117</v>
      </c>
      <c r="W19" s="487" t="s">
        <v>1457</v>
      </c>
    </row>
    <row r="20" spans="1:23">
      <c r="A20" s="477">
        <f ca="1">C5</f>
        <v>46</v>
      </c>
      <c r="B20" s="478">
        <f>C9</f>
        <v>10000</v>
      </c>
      <c r="C20" s="478">
        <f>IF(OR($C$7=Données!$H$51,$C$7=Données!$H$54,$C$7=Données!$H$55,$C$7=Données!$H$57),0,B20*'Sit 1(2)'!$C$10)</f>
        <v>3000</v>
      </c>
      <c r="D20" s="478">
        <f>IFERROR(IF($H$5="",B20*'CT à Transf'!$K$28,B20*$H$5),B20*$H$5)</f>
        <v>300</v>
      </c>
      <c r="E20" s="478">
        <f>B20-D20+(MEPPER!O28*(1-MEPPER!O30))</f>
        <v>19500</v>
      </c>
      <c r="F20" s="478">
        <f t="shared" ref="F20:F83" si="0">E20*$H$6</f>
        <v>585</v>
      </c>
      <c r="G20" s="478">
        <f>(E20+F20)+((H7)*(1+H6))</f>
        <v>20085</v>
      </c>
      <c r="H20" s="478">
        <f ca="1">IF(G21&gt;0,0,G20)</f>
        <v>0</v>
      </c>
      <c r="J20" s="476"/>
      <c r="K20" s="477">
        <f>C6</f>
        <v>64</v>
      </c>
      <c r="L20" s="478">
        <f ca="1">IF(K20&lt;=O9,H13,0)</f>
        <v>250617.4678284137</v>
      </c>
      <c r="M20" s="478">
        <f ca="1">IF(K20&gt;=$O$9,0,L20*$O$5)</f>
        <v>7518.5240348524112</v>
      </c>
      <c r="N20" s="478">
        <f ca="1">IF(K20&gt;=$O$9,0,H14+M20)</f>
        <v>73735.991863266114</v>
      </c>
      <c r="O20" s="478">
        <f ca="1">IF(K20&gt;=$O$9,0,H13-H14)</f>
        <v>184400</v>
      </c>
      <c r="P20" s="478">
        <f ca="1">IF(K20&gt;=$O$9,0,N20+O20)</f>
        <v>258135.9918632661</v>
      </c>
      <c r="Q20" s="504">
        <f ca="1">IF(MEPPER2!$H$15="Protection cellule familiale",0,IF(K20=($C$6+($O$7-$C$6)-1),P20,IF(P20&lt;IF(($O$7-$C$6)=0,0,-PMT($O$5,($O$7-$C$6),$H$13)),P20,IF(($O$7-$C$6)=0,0,-PMT($O$5,($O$7-$C$6),$H$13)))))</f>
        <v>12786.317581322895</v>
      </c>
      <c r="R20" s="478">
        <f ca="1">IF(K20&gt;=$O$9,0,IF(L20=ROUND(0,1),0,IF((N20+M20)&lt;(Q20-(O20*Q20/(O20+N20))),(N20+M20),Q20-(O20*Q20/(O20+N20)))))</f>
        <v>3652.384165153404</v>
      </c>
      <c r="S20" s="478">
        <f ca="1">IF((Q20-R20)&gt;O20,O20,Q20-R20)</f>
        <v>9133.9334161694915</v>
      </c>
      <c r="T20" s="478">
        <f ca="1">R20*Données!$F$36</f>
        <v>628.21007640638538</v>
      </c>
      <c r="U20" s="478">
        <f ca="1">R20*Données!$F$28</f>
        <v>467.5051731396357</v>
      </c>
      <c r="V20" s="478">
        <f ca="1">IF(S20=0,0,IF($E$7="C1",(S20*$H$10),IF($E$7="C2",-R20*Données!$G$36*$H$10,0)))</f>
        <v>1004.7326757786441</v>
      </c>
      <c r="W20" s="478">
        <f ca="1">IF(K20&lt;O9,IF(Q20&gt;0,Q20-T20-U20-V20,0),0)</f>
        <v>10685.869655998231</v>
      </c>
    </row>
    <row r="21" spans="1:23">
      <c r="A21" s="477">
        <f ca="1">A20+1</f>
        <v>47</v>
      </c>
      <c r="B21" s="478">
        <f ca="1">IF(A21=$C$6,0,IF(A21&lt;$C$6,$C$9,0))</f>
        <v>10000</v>
      </c>
      <c r="C21" s="478">
        <f ca="1">IF(OR($C$7=Données!$H$51,$C$7=Données!$H$54,$C$7=Données!$H$55,$C$7=Données!$H$57),0,B21*'Sit 1(2)'!$C$10)</f>
        <v>3000</v>
      </c>
      <c r="D21" s="478">
        <f ca="1">IFERROR(IF($H$5="",B21*'CT à Transf'!$K$28,B21*$H$5),B21*$H$5)</f>
        <v>300</v>
      </c>
      <c r="E21" s="478">
        <f ca="1">B21-D21</f>
        <v>9700</v>
      </c>
      <c r="F21" s="478">
        <f t="shared" ca="1" si="0"/>
        <v>291</v>
      </c>
      <c r="G21" s="478">
        <f t="shared" ref="G21:G84" ca="1" si="1">IF(A21&lt;$C$6,(G20*(1+$H$6))+(E21+F21),0)</f>
        <v>30678.55</v>
      </c>
      <c r="H21" s="478">
        <f t="shared" ref="H21:H84" ca="1" si="2">IF(G22&gt;0,0,G21)</f>
        <v>0</v>
      </c>
      <c r="J21" s="476"/>
      <c r="K21" s="477">
        <f>K20+1</f>
        <v>65</v>
      </c>
      <c r="L21" s="478">
        <f ca="1">IF(K21&lt;=$O$9,IF((L20+M20)&lt;=IF(($O$7-$C$6)=0,0,-PMT($O$5,($O$7-$C$6),$H$13))+1,0,L20+M20-Q20),0)</f>
        <v>245349.67428194324</v>
      </c>
      <c r="M21" s="478">
        <f ca="1">IF(K21&gt;=$O$9,0,L21*$O$5)</f>
        <v>7360.4902284582968</v>
      </c>
      <c r="N21" s="493">
        <f ca="1">IF(K21&gt;=$O$9,0,IF((N20-R20+M21)&lt;1,0,N20-R20+M21))</f>
        <v>77444.097926571005</v>
      </c>
      <c r="O21" s="493">
        <f ca="1">IF(K21&gt;=$O$9,0,IF((O20-S20)&lt;1,0,O20-S20))</f>
        <v>175266.06658383051</v>
      </c>
      <c r="P21" s="478">
        <f ca="1">IF(K21&gt;=$O$9,0,N21+O21)</f>
        <v>252710.16451040152</v>
      </c>
      <c r="Q21" s="504">
        <f ca="1">IF(MEPPER2!$H$15="Protection cellule familiale",0,IF(K21=($C$6+($O$7-$C$6)-1),P21,IF(P21&lt;IF(($O$7-$C$6)=0,0,-PMT($O$5,($O$7-$C$6),$H$13)),P21,IF(($O$7-$C$6)=0,0,-PMT($O$5,($O$7-$C$6),$H$13)))))</f>
        <v>12786.317581322895</v>
      </c>
      <c r="R21" s="478">
        <f ca="1">IF(K21&gt;=$O$9,0,IF(L21=ROUND(0,1),0,IF((N21+M21)&lt;(Q21-(O21*Q21/(O21+N21))),(N21+M21),Q21-(O21*Q21/(O21+N21)))))</f>
        <v>3918.4210607699933</v>
      </c>
      <c r="S21" s="478">
        <f t="shared" ref="S21:S84" ca="1" si="3">IF((Q21-R21)&gt;O21,O21,Q21-R21)</f>
        <v>8867.8965205529021</v>
      </c>
      <c r="T21" s="478">
        <f ca="1">R21*Données!$F$36</f>
        <v>673.96842245243886</v>
      </c>
      <c r="U21" s="478">
        <f ca="1">R21*Données!$F$28</f>
        <v>501.55789577855916</v>
      </c>
      <c r="V21" s="478">
        <f ca="1">IF(S21=0,0,IF($E$7="C1",(S21*$H$10),IF($E$7="C2",-R21*Données!$G$36*$H$10,0)))</f>
        <v>975.4686172608192</v>
      </c>
      <c r="W21" s="478">
        <f ca="1">IF(K21&lt;$O$9,IF(Q21&gt;0,Q21-T21-U21-V21,0),0)</f>
        <v>10635.322645831078</v>
      </c>
    </row>
    <row r="22" spans="1:23">
      <c r="A22" s="477">
        <f t="shared" ref="A22:A85" ca="1" si="4">A21+1</f>
        <v>48</v>
      </c>
      <c r="B22" s="478">
        <f t="shared" ref="B22:B85" ca="1" si="5">IF(A22=$C$6,0,IF(A22&lt;$C$6,$C$9,0))</f>
        <v>10000</v>
      </c>
      <c r="C22" s="478">
        <f ca="1">IF(OR($C$7=Données!$H$51,$C$7=Données!$H$54,$C$7=Données!$H$55,$C$7=Données!$H$57),0,B22*'Sit 1(2)'!$C$10)</f>
        <v>3000</v>
      </c>
      <c r="D22" s="478">
        <f ca="1">IFERROR(IF($H$5="",B22*'CT à Transf'!$K$28,B22*$H$5),B22*$H$5)</f>
        <v>300</v>
      </c>
      <c r="E22" s="478">
        <f t="shared" ref="E22:E85" ca="1" si="6">B22-D22</f>
        <v>9700</v>
      </c>
      <c r="F22" s="478">
        <f t="shared" ca="1" si="0"/>
        <v>291</v>
      </c>
      <c r="G22" s="478">
        <f t="shared" ca="1" si="1"/>
        <v>41589.906499999997</v>
      </c>
      <c r="H22" s="478">
        <f t="shared" ca="1" si="2"/>
        <v>0</v>
      </c>
      <c r="J22" s="476"/>
      <c r="K22" s="477">
        <f t="shared" ref="K22:K85" si="7">K21+1</f>
        <v>66</v>
      </c>
      <c r="L22" s="478">
        <f t="shared" ref="L22:L85" ca="1" si="8">IF(K22&lt;=$O$9,IF((L21+M21)&lt;=IF(($O$7-$C$6)=0,0,-PMT($O$5,($O$7-$C$6),$H$13))+1,0,L21+M21-Q21),0)</f>
        <v>239923.84692907866</v>
      </c>
      <c r="M22" s="478">
        <f t="shared" ref="M22:M84" ca="1" si="9">IF(K22&gt;=$O$9,0,L22*$O$5)</f>
        <v>7197.7154078723597</v>
      </c>
      <c r="N22" s="493">
        <f t="shared" ref="N22:N85" ca="1" si="10">IF(K22&gt;=$O$9,0,IF((N21-R21+M22)&lt;1,0,N21-R21+M22))</f>
        <v>80723.392273673366</v>
      </c>
      <c r="O22" s="493">
        <f t="shared" ref="O22:O85" ca="1" si="11">IF(K22&gt;=$O$9,0,IF((O21-S21)&lt;1,0,O21-S21))</f>
        <v>166398.17006327762</v>
      </c>
      <c r="P22" s="478">
        <f t="shared" ref="P22:P85" ca="1" si="12">IF(K22&gt;=$O$9,0,N22+O22)</f>
        <v>247121.56233695097</v>
      </c>
      <c r="Q22" s="504">
        <f ca="1">IF(MEPPER2!$H$15="Protection cellule familiale",0,IF(K22=($C$6+($O$7-$C$6)-1),P22,IF(P22&lt;IF(($O$7-$C$6)=0,0,-PMT($O$5,($O$7-$C$6),$H$13)),P22,IF(($O$7-$C$6)=0,0,-PMT($O$5,($O$7-$C$6),$H$13)))))</f>
        <v>12786.317581322895</v>
      </c>
      <c r="R22" s="478">
        <f t="shared" ref="R22:R85" ca="1" si="13">IF(K22&gt;=$O$9,0,IF(L22=ROUND(0,1),0,IF((N22+M22)&lt;(Q22-(O22*Q22/(O22+N22))),(N22+M22),Q22-(O22*Q22/(O22+N22)))))</f>
        <v>4176.7093089414357</v>
      </c>
      <c r="S22" s="478">
        <f t="shared" ca="1" si="3"/>
        <v>8609.6082723814598</v>
      </c>
      <c r="T22" s="478">
        <f ca="1">R22*Données!$F$36</f>
        <v>718.39400113792692</v>
      </c>
      <c r="U22" s="478">
        <f ca="1">R22*Données!$F$28</f>
        <v>534.61879154450378</v>
      </c>
      <c r="V22" s="478">
        <f ca="1">IF(S22=0,0,IF($E$7="C1",(S22*$H$10),IF($E$7="C2",-R22*Données!$G$36*$H$10,0)))</f>
        <v>947.05690996196063</v>
      </c>
      <c r="W22" s="478">
        <f t="shared" ref="W22:W85" ca="1" si="14">IF(K22&lt;$O$9,IF(Q22&gt;0,Q22-T22-U22-V22,0),0)</f>
        <v>10586.247878678503</v>
      </c>
    </row>
    <row r="23" spans="1:23">
      <c r="A23" s="477">
        <f t="shared" ca="1" si="4"/>
        <v>49</v>
      </c>
      <c r="B23" s="478">
        <f t="shared" ca="1" si="5"/>
        <v>10000</v>
      </c>
      <c r="C23" s="478">
        <f ca="1">IF(OR($C$7=Données!$H$51,$C$7=Données!$H$54,$C$7=Données!$H$55,$C$7=Données!$H$57),0,B23*'Sit 1(2)'!$C$10)</f>
        <v>3000</v>
      </c>
      <c r="D23" s="478">
        <f ca="1">IFERROR(IF($H$5="",B23*'CT à Transf'!$K$28,B23*$H$5),B23*$H$5)</f>
        <v>300</v>
      </c>
      <c r="E23" s="478">
        <f t="shared" ca="1" si="6"/>
        <v>9700</v>
      </c>
      <c r="F23" s="478">
        <f t="shared" ca="1" si="0"/>
        <v>291</v>
      </c>
      <c r="G23" s="478">
        <f t="shared" ca="1" si="1"/>
        <v>52828.603694999998</v>
      </c>
      <c r="H23" s="478">
        <f t="shared" ca="1" si="2"/>
        <v>0</v>
      </c>
      <c r="J23" s="476"/>
      <c r="K23" s="477">
        <f t="shared" si="7"/>
        <v>67</v>
      </c>
      <c r="L23" s="478">
        <f t="shared" ca="1" si="8"/>
        <v>234335.24475562814</v>
      </c>
      <c r="M23" s="478">
        <f t="shared" ca="1" si="9"/>
        <v>7030.0573426688443</v>
      </c>
      <c r="N23" s="493">
        <f t="shared" ca="1" si="10"/>
        <v>83576.740307400774</v>
      </c>
      <c r="O23" s="493">
        <f t="shared" ca="1" si="11"/>
        <v>157788.56179089617</v>
      </c>
      <c r="P23" s="478">
        <f t="shared" ca="1" si="12"/>
        <v>241365.30209829693</v>
      </c>
      <c r="Q23" s="504">
        <f ca="1">IF(MEPPER2!$H$15="Protection cellule familiale",0,IF(K23=($C$6+($O$7-$C$6)-1),P23,IF(P23&lt;IF(($O$7-$C$6)=0,0,-PMT($O$5,($O$7-$C$6),$H$13)),P23,IF(($O$7-$C$6)=0,0,-PMT($O$5,($O$7-$C$6),$H$13)))))</f>
        <v>12786.317581322895</v>
      </c>
      <c r="R23" s="478">
        <f t="shared" ca="1" si="13"/>
        <v>4427.4745984282745</v>
      </c>
      <c r="S23" s="478">
        <f t="shared" ca="1" si="3"/>
        <v>8358.8429828946209</v>
      </c>
      <c r="T23" s="478">
        <f ca="1">R23*Données!$F$36</f>
        <v>761.52563092966318</v>
      </c>
      <c r="U23" s="478">
        <f ca="1">R23*Données!$F$28</f>
        <v>566.71674859881909</v>
      </c>
      <c r="V23" s="478">
        <f ca="1">IF(S23=0,0,IF($E$7="C1",(S23*$H$10),IF($E$7="C2",-R23*Données!$G$36*$H$10,0)))</f>
        <v>919.47272811840833</v>
      </c>
      <c r="W23" s="478">
        <f t="shared" ca="1" si="14"/>
        <v>10538.602473676005</v>
      </c>
    </row>
    <row r="24" spans="1:23">
      <c r="A24" s="477">
        <f t="shared" ca="1" si="4"/>
        <v>50</v>
      </c>
      <c r="B24" s="478">
        <f t="shared" ca="1" si="5"/>
        <v>10000</v>
      </c>
      <c r="C24" s="478">
        <f ca="1">IF(OR($C$7=Données!$H$51,$C$7=Données!$H$54,$C$7=Données!$H$55,$C$7=Données!$H$57),0,B24*'Sit 1(2)'!$C$10)</f>
        <v>3000</v>
      </c>
      <c r="D24" s="478">
        <f ca="1">IFERROR(IF($H$5="",B24*'CT à Transf'!$K$28,B24*$H$5),B24*$H$5)</f>
        <v>300</v>
      </c>
      <c r="E24" s="478">
        <f t="shared" ca="1" si="6"/>
        <v>9700</v>
      </c>
      <c r="F24" s="478">
        <f t="shared" ca="1" si="0"/>
        <v>291</v>
      </c>
      <c r="G24" s="478">
        <f t="shared" ca="1" si="1"/>
        <v>64404.461805849998</v>
      </c>
      <c r="H24" s="478">
        <f t="shared" ca="1" si="2"/>
        <v>0</v>
      </c>
      <c r="J24" s="476"/>
      <c r="K24" s="477">
        <f t="shared" si="7"/>
        <v>68</v>
      </c>
      <c r="L24" s="478">
        <f t="shared" ca="1" si="8"/>
        <v>228578.9845169741</v>
      </c>
      <c r="M24" s="478">
        <f t="shared" ca="1" si="9"/>
        <v>6857.3695355092232</v>
      </c>
      <c r="N24" s="493">
        <f t="shared" ca="1" si="10"/>
        <v>86006.635244481717</v>
      </c>
      <c r="O24" s="493">
        <f t="shared" ca="1" si="11"/>
        <v>149429.71880800155</v>
      </c>
      <c r="P24" s="478">
        <f t="shared" ca="1" si="12"/>
        <v>235436.35405248328</v>
      </c>
      <c r="Q24" s="504">
        <f ca="1">IF(MEPPER2!$H$15="Protection cellule familiale",0,IF(K24=($C$6+($O$7-$C$6)-1),P24,IF(P24&lt;IF(($O$7-$C$6)=0,0,-PMT($O$5,($O$7-$C$6),$H$13)),P24,IF(($O$7-$C$6)=0,0,-PMT($O$5,($O$7-$C$6),$H$13)))))</f>
        <v>12786.317581322895</v>
      </c>
      <c r="R24" s="478">
        <f t="shared" ca="1" si="13"/>
        <v>4670.9360445320017</v>
      </c>
      <c r="S24" s="478">
        <f t="shared" ca="1" si="3"/>
        <v>8115.3815367908937</v>
      </c>
      <c r="T24" s="478">
        <f ca="1">R24*Données!$F$36</f>
        <v>803.40099965950424</v>
      </c>
      <c r="U24" s="478">
        <f ca="1">R24*Données!$F$28</f>
        <v>597.87981370009618</v>
      </c>
      <c r="V24" s="478">
        <f ca="1">IF(S24=0,0,IF($E$7="C1",(S24*$H$10),IF($E$7="C2",-R24*Données!$G$36*$H$10,0)))</f>
        <v>892.69196904699834</v>
      </c>
      <c r="W24" s="478">
        <f t="shared" ca="1" si="14"/>
        <v>10492.344798916296</v>
      </c>
    </row>
    <row r="25" spans="1:23">
      <c r="A25" s="477">
        <f t="shared" ca="1" si="4"/>
        <v>51</v>
      </c>
      <c r="B25" s="478">
        <f t="shared" ca="1" si="5"/>
        <v>10000</v>
      </c>
      <c r="C25" s="478">
        <f ca="1">IF(OR($C$7=Données!$H$51,$C$7=Données!$H$54,$C$7=Données!$H$55,$C$7=Données!$H$57),0,B25*'Sit 1(2)'!$C$10)</f>
        <v>3000</v>
      </c>
      <c r="D25" s="478">
        <f ca="1">IFERROR(IF($H$5="",B25*'CT à Transf'!$K$28,B25*$H$5),B25*$H$5)</f>
        <v>300</v>
      </c>
      <c r="E25" s="478">
        <f t="shared" ca="1" si="6"/>
        <v>9700</v>
      </c>
      <c r="F25" s="478">
        <f t="shared" ca="1" si="0"/>
        <v>291</v>
      </c>
      <c r="G25" s="478">
        <f t="shared" ca="1" si="1"/>
        <v>76327.595660025501</v>
      </c>
      <c r="H25" s="478">
        <f t="shared" ca="1" si="2"/>
        <v>0</v>
      </c>
      <c r="J25" s="476"/>
      <c r="K25" s="477">
        <f t="shared" si="7"/>
        <v>69</v>
      </c>
      <c r="L25" s="478">
        <f t="shared" ca="1" si="8"/>
        <v>222650.03647116045</v>
      </c>
      <c r="M25" s="478">
        <f t="shared" ca="1" si="9"/>
        <v>6679.5010941348128</v>
      </c>
      <c r="N25" s="493">
        <f t="shared" ca="1" si="10"/>
        <v>88015.200294084527</v>
      </c>
      <c r="O25" s="493">
        <f t="shared" ca="1" si="11"/>
        <v>141314.33727121065</v>
      </c>
      <c r="P25" s="478">
        <f t="shared" ca="1" si="12"/>
        <v>229329.53756529518</v>
      </c>
      <c r="Q25" s="504">
        <f ca="1">IF(MEPPER2!$H$15="Protection cellule familiale",0,IF(K25=($C$6+($O$7-$C$6)-1),P25,IF(P25&lt;IF(($O$7-$C$6)=0,0,-PMT($O$5,($O$7-$C$6),$H$13)),P25,IF(($O$7-$C$6)=0,0,-PMT($O$5,($O$7-$C$6),$H$13)))))</f>
        <v>12786.317581322895</v>
      </c>
      <c r="R25" s="478">
        <f t="shared" ca="1" si="13"/>
        <v>4907.3063805550364</v>
      </c>
      <c r="S25" s="478">
        <f t="shared" ca="1" si="3"/>
        <v>7879.011200767859</v>
      </c>
      <c r="T25" s="478">
        <f ca="1">R25*Données!$F$36</f>
        <v>844.05669745546618</v>
      </c>
      <c r="U25" s="478">
        <f ca="1">R25*Données!$F$28</f>
        <v>628.13521671104468</v>
      </c>
      <c r="V25" s="478">
        <f ca="1">IF(S25=0,0,IF($E$7="C1",(S25*$H$10),IF($E$7="C2",-R25*Données!$G$36*$H$10,0)))</f>
        <v>866.69123208446445</v>
      </c>
      <c r="W25" s="478">
        <f t="shared" ca="1" si="14"/>
        <v>10447.43443507192</v>
      </c>
    </row>
    <row r="26" spans="1:23">
      <c r="A26" s="477">
        <f t="shared" ca="1" si="4"/>
        <v>52</v>
      </c>
      <c r="B26" s="478">
        <f t="shared" ca="1" si="5"/>
        <v>10000</v>
      </c>
      <c r="C26" s="478">
        <f ca="1">IF(OR($C$7=Données!$H$51,$C$7=Données!$H$54,$C$7=Données!$H$55,$C$7=Données!$H$57),0,B26*'Sit 1(2)'!$C$10)</f>
        <v>3000</v>
      </c>
      <c r="D26" s="478">
        <f ca="1">IFERROR(IF($H$5="",B26*'CT à Transf'!$K$28,B26*$H$5),B26*$H$5)</f>
        <v>300</v>
      </c>
      <c r="E26" s="478">
        <f t="shared" ca="1" si="6"/>
        <v>9700</v>
      </c>
      <c r="F26" s="478">
        <f t="shared" ca="1" si="0"/>
        <v>291</v>
      </c>
      <c r="G26" s="478">
        <f t="shared" ca="1" si="1"/>
        <v>88608.423529826265</v>
      </c>
      <c r="H26" s="478">
        <f t="shared" ca="1" si="2"/>
        <v>0</v>
      </c>
      <c r="J26" s="476"/>
      <c r="K26" s="477">
        <f t="shared" si="7"/>
        <v>70</v>
      </c>
      <c r="L26" s="478">
        <f t="shared" ca="1" si="8"/>
        <v>216543.21998397238</v>
      </c>
      <c r="M26" s="478">
        <f t="shared" ca="1" si="9"/>
        <v>6496.2965995191707</v>
      </c>
      <c r="N26" s="493">
        <f t="shared" ca="1" si="10"/>
        <v>89604.19051304867</v>
      </c>
      <c r="O26" s="493">
        <f t="shared" ca="1" si="11"/>
        <v>133435.3260704428</v>
      </c>
      <c r="P26" s="478">
        <f t="shared" ca="1" si="12"/>
        <v>223039.51658349147</v>
      </c>
      <c r="Q26" s="504">
        <f ca="1">IF(MEPPER2!$H$15="Protection cellule familiale",0,IF(K26=($C$6+($O$7-$C$6)-1),P26,IF(P26&lt;IF(($O$7-$C$6)=0,0,-PMT($O$5,($O$7-$C$6),$H$13)),P26,IF(($O$7-$C$6)=0,0,-PMT($O$5,($O$7-$C$6),$H$13)))))</f>
        <v>12786.317581322895</v>
      </c>
      <c r="R26" s="478">
        <f t="shared" ca="1" si="13"/>
        <v>5136.792143684198</v>
      </c>
      <c r="S26" s="478">
        <f t="shared" ca="1" si="3"/>
        <v>7649.5254376386974</v>
      </c>
      <c r="T26" s="478">
        <f ca="1">R26*Données!$F$36</f>
        <v>883.52824871368193</v>
      </c>
      <c r="U26" s="478">
        <f ca="1">R26*Données!$F$28</f>
        <v>657.5093943915773</v>
      </c>
      <c r="V26" s="478">
        <f ca="1">IF(S26=0,0,IF($E$7="C1",(S26*$H$10),IF($E$7="C2",-R26*Données!$G$36*$H$10,0)))</f>
        <v>841.44779814025674</v>
      </c>
      <c r="W26" s="478">
        <f t="shared" ca="1" si="14"/>
        <v>10403.832140077378</v>
      </c>
    </row>
    <row r="27" spans="1:23">
      <c r="A27" s="477">
        <f t="shared" ca="1" si="4"/>
        <v>53</v>
      </c>
      <c r="B27" s="478">
        <f t="shared" ca="1" si="5"/>
        <v>10000</v>
      </c>
      <c r="C27" s="478">
        <f ca="1">IF(OR($C$7=Données!$H$51,$C$7=Données!$H$54,$C$7=Données!$H$55,$C$7=Données!$H$57),0,B27*'Sit 1(2)'!$C$10)</f>
        <v>3000</v>
      </c>
      <c r="D27" s="478">
        <f ca="1">IFERROR(IF($H$5="",B27*'CT à Transf'!$K$28,B27*$H$5),B27*$H$5)</f>
        <v>300</v>
      </c>
      <c r="E27" s="478">
        <f t="shared" ca="1" si="6"/>
        <v>9700</v>
      </c>
      <c r="F27" s="478">
        <f t="shared" ca="1" si="0"/>
        <v>291</v>
      </c>
      <c r="G27" s="478">
        <f t="shared" ca="1" si="1"/>
        <v>101257.67623572105</v>
      </c>
      <c r="H27" s="478">
        <f t="shared" ca="1" si="2"/>
        <v>0</v>
      </c>
      <c r="J27" s="476"/>
      <c r="K27" s="477">
        <f t="shared" si="7"/>
        <v>71</v>
      </c>
      <c r="L27" s="478">
        <f t="shared" ca="1" si="8"/>
        <v>210253.19900216867</v>
      </c>
      <c r="M27" s="478">
        <f t="shared" ca="1" si="9"/>
        <v>6307.5959700650601</v>
      </c>
      <c r="N27" s="493">
        <f t="shared" ca="1" si="10"/>
        <v>90774.994339429526</v>
      </c>
      <c r="O27" s="493">
        <f t="shared" ca="1" si="11"/>
        <v>125785.80063280409</v>
      </c>
      <c r="P27" s="478">
        <f t="shared" ca="1" si="12"/>
        <v>216560.79497223362</v>
      </c>
      <c r="Q27" s="504">
        <f ca="1">IF(MEPPER2!$H$15="Protection cellule familiale",0,IF(K27=($C$6+($O$7-$C$6)-1),P27,IF(P27&lt;IF(($O$7-$C$6)=0,0,-PMT($O$5,($O$7-$C$6),$H$13)),P27,IF(($O$7-$C$6)=0,0,-PMT($O$5,($O$7-$C$6),$H$13)))))</f>
        <v>12786.317581322895</v>
      </c>
      <c r="R27" s="478">
        <f t="shared" ca="1" si="13"/>
        <v>5359.5938554600825</v>
      </c>
      <c r="S27" s="478">
        <f t="shared" ca="1" si="3"/>
        <v>7426.7237258628129</v>
      </c>
      <c r="T27" s="478">
        <f ca="1">R27*Données!$F$36</f>
        <v>921.85014313913416</v>
      </c>
      <c r="U27" s="478">
        <f ca="1">R27*Données!$F$28</f>
        <v>686.02801349889057</v>
      </c>
      <c r="V27" s="478">
        <f ca="1">IF(S27=0,0,IF($E$7="C1",(S27*$H$10),IF($E$7="C2",-R27*Données!$G$36*$H$10,0)))</f>
        <v>816.93960984490946</v>
      </c>
      <c r="W27" s="478">
        <f t="shared" ca="1" si="14"/>
        <v>10361.499814839963</v>
      </c>
    </row>
    <row r="28" spans="1:23">
      <c r="A28" s="477">
        <f t="shared" ca="1" si="4"/>
        <v>54</v>
      </c>
      <c r="B28" s="478">
        <f t="shared" ca="1" si="5"/>
        <v>10000</v>
      </c>
      <c r="C28" s="478">
        <f ca="1">IF(OR($C$7=Données!$H$51,$C$7=Données!$H$54,$C$7=Données!$H$55,$C$7=Données!$H$57),0,B28*'Sit 1(2)'!$C$10)</f>
        <v>3000</v>
      </c>
      <c r="D28" s="478">
        <f ca="1">IFERROR(IF($H$5="",B28*'CT à Transf'!$K$28,B28*$H$5),B28*$H$5)</f>
        <v>300</v>
      </c>
      <c r="E28" s="478">
        <f t="shared" ca="1" si="6"/>
        <v>9700</v>
      </c>
      <c r="F28" s="478">
        <f t="shared" ca="1" si="0"/>
        <v>291</v>
      </c>
      <c r="G28" s="478">
        <f t="shared" ca="1" si="1"/>
        <v>114286.40652279269</v>
      </c>
      <c r="H28" s="478">
        <f t="shared" ca="1" si="2"/>
        <v>0</v>
      </c>
      <c r="J28" s="476"/>
      <c r="K28" s="477">
        <f t="shared" si="7"/>
        <v>72</v>
      </c>
      <c r="L28" s="478">
        <f t="shared" ca="1" si="8"/>
        <v>203774.47739091085</v>
      </c>
      <c r="M28" s="478">
        <f t="shared" ca="1" si="9"/>
        <v>6113.2343217273256</v>
      </c>
      <c r="N28" s="493">
        <f t="shared" ca="1" si="10"/>
        <v>91528.634805696769</v>
      </c>
      <c r="O28" s="493">
        <f t="shared" ca="1" si="11"/>
        <v>118359.07690694128</v>
      </c>
      <c r="P28" s="478">
        <f t="shared" ca="1" si="12"/>
        <v>209887.71171263803</v>
      </c>
      <c r="Q28" s="504">
        <f ca="1">IF(MEPPER2!$H$15="Protection cellule familiale",0,IF(K28=($C$6+($O$7-$C$6)-1),P28,IF(P28&lt;IF(($O$7-$C$6)=0,0,-PMT($O$5,($O$7-$C$6),$H$13)),P28,IF(($O$7-$C$6)=0,0,-PMT($O$5,($O$7-$C$6),$H$13)))))</f>
        <v>12786.317581322895</v>
      </c>
      <c r="R28" s="478">
        <f t="shared" ca="1" si="13"/>
        <v>5575.9061969900677</v>
      </c>
      <c r="S28" s="478">
        <f t="shared" ca="1" si="3"/>
        <v>7210.4113843328278</v>
      </c>
      <c r="T28" s="478">
        <f ca="1">R28*Données!$F$36</f>
        <v>959.05586588229153</v>
      </c>
      <c r="U28" s="478">
        <f ca="1">R28*Données!$F$28</f>
        <v>713.71599321472866</v>
      </c>
      <c r="V28" s="478">
        <f ca="1">IF(S28=0,0,IF($E$7="C1",(S28*$H$10),IF($E$7="C2",-R28*Données!$G$36*$H$10,0)))</f>
        <v>793.14525227661102</v>
      </c>
      <c r="W28" s="478">
        <f t="shared" ca="1" si="14"/>
        <v>10320.400469949265</v>
      </c>
    </row>
    <row r="29" spans="1:23">
      <c r="A29" s="477">
        <f t="shared" ca="1" si="4"/>
        <v>55</v>
      </c>
      <c r="B29" s="478">
        <f t="shared" ca="1" si="5"/>
        <v>10000</v>
      </c>
      <c r="C29" s="478">
        <f ca="1">IF(OR($C$7=Données!$H$51,$C$7=Données!$H$54,$C$7=Données!$H$55,$C$7=Données!$H$57),0,B29*'Sit 1(2)'!$C$10)</f>
        <v>3000</v>
      </c>
      <c r="D29" s="478">
        <f ca="1">IFERROR(IF($H$5="",B29*'CT à Transf'!$K$28,B29*$H$5),B29*$H$5)</f>
        <v>300</v>
      </c>
      <c r="E29" s="478">
        <f t="shared" ca="1" si="6"/>
        <v>9700</v>
      </c>
      <c r="F29" s="478">
        <f t="shared" ca="1" si="0"/>
        <v>291</v>
      </c>
      <c r="G29" s="478">
        <f t="shared" ca="1" si="1"/>
        <v>127705.99871847648</v>
      </c>
      <c r="H29" s="478">
        <f t="shared" ca="1" si="2"/>
        <v>0</v>
      </c>
      <c r="J29" s="476"/>
      <c r="K29" s="477">
        <f t="shared" si="7"/>
        <v>73</v>
      </c>
      <c r="L29" s="478">
        <f t="shared" ca="1" si="8"/>
        <v>197101.39413131529</v>
      </c>
      <c r="M29" s="478">
        <f t="shared" ca="1" si="9"/>
        <v>5913.0418239394585</v>
      </c>
      <c r="N29" s="493">
        <f t="shared" ca="1" si="10"/>
        <v>91865.770432646168</v>
      </c>
      <c r="O29" s="493">
        <f t="shared" ca="1" si="11"/>
        <v>111148.66552260845</v>
      </c>
      <c r="P29" s="478">
        <f t="shared" ca="1" si="12"/>
        <v>203014.43595525462</v>
      </c>
      <c r="Q29" s="504">
        <f ca="1">IF(MEPPER2!$H$15="Protection cellule familiale",0,IF(K29=($C$6+($O$7-$C$6)-1),P29,IF(P29&lt;IF(($O$7-$C$6)=0,0,-PMT($O$5,($O$7-$C$6),$H$13)),P29,IF(($O$7-$C$6)=0,0,-PMT($O$5,($O$7-$C$6),$H$13)))))</f>
        <v>12786.317581322895</v>
      </c>
      <c r="R29" s="478">
        <f t="shared" ca="1" si="13"/>
        <v>5785.9181790580151</v>
      </c>
      <c r="S29" s="478">
        <f t="shared" ca="1" si="3"/>
        <v>7000.3994022648803</v>
      </c>
      <c r="T29" s="478">
        <f ca="1">R29*Données!$F$36</f>
        <v>995.17792679797856</v>
      </c>
      <c r="U29" s="478">
        <f ca="1">R29*Données!$F$28</f>
        <v>740.59752691942595</v>
      </c>
      <c r="V29" s="478">
        <f ca="1">IF(S29=0,0,IF($E$7="C1",(S29*$H$10),IF($E$7="C2",-R29*Données!$G$36*$H$10,0)))</f>
        <v>770.0439342491369</v>
      </c>
      <c r="W29" s="478">
        <f t="shared" ca="1" si="14"/>
        <v>10280.498193356354</v>
      </c>
    </row>
    <row r="30" spans="1:23">
      <c r="A30" s="477">
        <f t="shared" ca="1" si="4"/>
        <v>56</v>
      </c>
      <c r="B30" s="478">
        <f t="shared" ca="1" si="5"/>
        <v>10000</v>
      </c>
      <c r="C30" s="478">
        <f ca="1">IF(OR($C$7=Données!$H$51,$C$7=Données!$H$54,$C$7=Données!$H$55,$C$7=Données!$H$57),0,B30*'Sit 1(2)'!$C$10)</f>
        <v>3000</v>
      </c>
      <c r="D30" s="478">
        <f ca="1">IFERROR(IF($H$5="",B30*'CT à Transf'!$K$28,B30*$H$5),B30*$H$5)</f>
        <v>300</v>
      </c>
      <c r="E30" s="478">
        <f t="shared" ca="1" si="6"/>
        <v>9700</v>
      </c>
      <c r="F30" s="478">
        <f t="shared" ca="1" si="0"/>
        <v>291</v>
      </c>
      <c r="G30" s="478">
        <f t="shared" ca="1" si="1"/>
        <v>141528.17868003077</v>
      </c>
      <c r="H30" s="478">
        <f t="shared" ca="1" si="2"/>
        <v>0</v>
      </c>
      <c r="J30" s="476"/>
      <c r="K30" s="477">
        <f t="shared" si="7"/>
        <v>74</v>
      </c>
      <c r="L30" s="478">
        <f t="shared" ca="1" si="8"/>
        <v>190228.11837393185</v>
      </c>
      <c r="M30" s="478">
        <f t="shared" ca="1" si="9"/>
        <v>5706.8435512179549</v>
      </c>
      <c r="N30" s="493">
        <f t="shared" ca="1" si="10"/>
        <v>91786.695804806106</v>
      </c>
      <c r="O30" s="493">
        <f t="shared" ca="1" si="11"/>
        <v>104148.26612034357</v>
      </c>
      <c r="P30" s="478">
        <f t="shared" ca="1" si="12"/>
        <v>195934.96192514966</v>
      </c>
      <c r="Q30" s="504">
        <f ca="1">IF(MEPPER2!$H$15="Protection cellule familiale",0,IF(K30=($C$6+($O$7-$C$6)-1),P30,IF(P30&lt;IF(($O$7-$C$6)=0,0,-PMT($O$5,($O$7-$C$6),$H$13)),P30,IF(($O$7-$C$6)=0,0,-PMT($O$5,($O$7-$C$6),$H$13)))))</f>
        <v>12786.317581322895</v>
      </c>
      <c r="R30" s="478">
        <f t="shared" ca="1" si="13"/>
        <v>5989.8133072793207</v>
      </c>
      <c r="S30" s="478">
        <f t="shared" ca="1" si="3"/>
        <v>6796.5042740435747</v>
      </c>
      <c r="T30" s="478">
        <f ca="1">R30*Données!$F$36</f>
        <v>1030.2478888520432</v>
      </c>
      <c r="U30" s="478">
        <f ca="1">R30*Données!$F$28</f>
        <v>766.69610333175308</v>
      </c>
      <c r="V30" s="478">
        <f ca="1">IF(S30=0,0,IF($E$7="C1",(S30*$H$10),IF($E$7="C2",-R30*Données!$G$36*$H$10,0)))</f>
        <v>747.61547014479322</v>
      </c>
      <c r="W30" s="478">
        <f t="shared" ca="1" si="14"/>
        <v>10241.758118994305</v>
      </c>
    </row>
    <row r="31" spans="1:23">
      <c r="A31" s="477">
        <f t="shared" ca="1" si="4"/>
        <v>57</v>
      </c>
      <c r="B31" s="478">
        <f t="shared" ca="1" si="5"/>
        <v>10000</v>
      </c>
      <c r="C31" s="478">
        <f ca="1">IF(OR($C$7=Données!$H$51,$C$7=Données!$H$54,$C$7=Données!$H$55,$C$7=Données!$H$57),0,B31*'Sit 1(2)'!$C$10)</f>
        <v>3000</v>
      </c>
      <c r="D31" s="478">
        <f ca="1">IFERROR(IF($H$5="",B31*'CT à Transf'!$K$28,B31*$H$5),B31*$H$5)</f>
        <v>300</v>
      </c>
      <c r="E31" s="478">
        <f t="shared" ca="1" si="6"/>
        <v>9700</v>
      </c>
      <c r="F31" s="478">
        <f t="shared" ca="1" si="0"/>
        <v>291</v>
      </c>
      <c r="G31" s="478">
        <f t="shared" ca="1" si="1"/>
        <v>155765.02404043172</v>
      </c>
      <c r="H31" s="478">
        <f t="shared" ca="1" si="2"/>
        <v>0</v>
      </c>
      <c r="J31" s="476"/>
      <c r="K31" s="477">
        <f t="shared" si="7"/>
        <v>75</v>
      </c>
      <c r="L31" s="478">
        <f t="shared" ca="1" si="8"/>
        <v>183148.64434382692</v>
      </c>
      <c r="M31" s="478">
        <f t="shared" ca="1" si="9"/>
        <v>5494.4593303148076</v>
      </c>
      <c r="N31" s="493">
        <f t="shared" ca="1" si="10"/>
        <v>91291.341827841607</v>
      </c>
      <c r="O31" s="493">
        <f t="shared" ca="1" si="11"/>
        <v>97351.761846299996</v>
      </c>
      <c r="P31" s="478">
        <f t="shared" ca="1" si="12"/>
        <v>188643.1036741416</v>
      </c>
      <c r="Q31" s="504">
        <f ca="1">IF(MEPPER2!$H$15="Protection cellule familiale",0,IF(K31=($C$6+($O$7-$C$6)-1),P31,IF(P31&lt;IF(($O$7-$C$6)=0,0,-PMT($O$5,($O$7-$C$6),$H$13)),P31,IF(($O$7-$C$6)=0,0,-PMT($O$5,($O$7-$C$6),$H$13)))))</f>
        <v>12786.317581322895</v>
      </c>
      <c r="R31" s="478">
        <f t="shared" ca="1" si="13"/>
        <v>6187.769742445641</v>
      </c>
      <c r="S31" s="478">
        <f t="shared" ca="1" si="3"/>
        <v>6598.5478388772544</v>
      </c>
      <c r="T31" s="478">
        <f ca="1">R31*Données!$F$36</f>
        <v>1064.2963957006502</v>
      </c>
      <c r="U31" s="478">
        <f ca="1">R31*Données!$F$28</f>
        <v>792.03452703304208</v>
      </c>
      <c r="V31" s="478">
        <f ca="1">IF(S31=0,0,IF($E$7="C1",(S31*$H$10),IF($E$7="C2",-R31*Données!$G$36*$H$10,0)))</f>
        <v>725.84026227649804</v>
      </c>
      <c r="W31" s="478">
        <f t="shared" ca="1" si="14"/>
        <v>10204.146396312704</v>
      </c>
    </row>
    <row r="32" spans="1:23">
      <c r="A32" s="477">
        <f t="shared" ca="1" si="4"/>
        <v>58</v>
      </c>
      <c r="B32" s="478">
        <f t="shared" ca="1" si="5"/>
        <v>10000</v>
      </c>
      <c r="C32" s="478">
        <f ca="1">IF(OR($C$7=Données!$H$51,$C$7=Données!$H$54,$C$7=Données!$H$55,$C$7=Données!$H$57),0,B32*'Sit 1(2)'!$C$10)</f>
        <v>3000</v>
      </c>
      <c r="D32" s="478">
        <f ca="1">IFERROR(IF($H$5="",B32*'CT à Transf'!$K$28,B32*$H$5),B32*$H$5)</f>
        <v>300</v>
      </c>
      <c r="E32" s="478">
        <f t="shared" ca="1" si="6"/>
        <v>9700</v>
      </c>
      <c r="F32" s="478">
        <f t="shared" ca="1" si="0"/>
        <v>291</v>
      </c>
      <c r="G32" s="478">
        <f t="shared" ca="1" si="1"/>
        <v>170428.97476164467</v>
      </c>
      <c r="H32" s="478">
        <f t="shared" ca="1" si="2"/>
        <v>0</v>
      </c>
      <c r="J32" s="476"/>
      <c r="K32" s="477">
        <f t="shared" si="7"/>
        <v>76</v>
      </c>
      <c r="L32" s="478">
        <f t="shared" ca="1" si="8"/>
        <v>175856.78609281883</v>
      </c>
      <c r="M32" s="478">
        <f t="shared" ca="1" si="9"/>
        <v>5275.7035827845648</v>
      </c>
      <c r="N32" s="493">
        <f t="shared" ca="1" si="10"/>
        <v>90379.275668180533</v>
      </c>
      <c r="O32" s="493">
        <f t="shared" ca="1" si="11"/>
        <v>90753.214007422735</v>
      </c>
      <c r="P32" s="478">
        <f t="shared" ca="1" si="12"/>
        <v>181132.48967560328</v>
      </c>
      <c r="Q32" s="504">
        <f ca="1">IF(MEPPER2!$H$15="Protection cellule familiale",0,IF(K32=($C$6+($O$7-$C$6)-1),P32,IF(P32&lt;IF(($O$7-$C$6)=0,0,-PMT($O$5,($O$7-$C$6),$H$13)),P32,IF(($O$7-$C$6)=0,0,-PMT($O$5,($O$7-$C$6),$H$13)))))</f>
        <v>12786.317581322895</v>
      </c>
      <c r="R32" s="478">
        <f t="shared" ca="1" si="13"/>
        <v>6379.9604561993474</v>
      </c>
      <c r="S32" s="478">
        <f t="shared" ca="1" si="3"/>
        <v>6406.357125123548</v>
      </c>
      <c r="T32" s="478">
        <f ca="1">R32*Données!$F$36</f>
        <v>1097.3531984662877</v>
      </c>
      <c r="U32" s="478">
        <f ca="1">R32*Données!$F$28</f>
        <v>816.63493839351645</v>
      </c>
      <c r="V32" s="478">
        <f ca="1">IF(S32=0,0,IF($E$7="C1",(S32*$H$10),IF($E$7="C2",-R32*Données!$G$36*$H$10,0)))</f>
        <v>704.6992837635903</v>
      </c>
      <c r="W32" s="478">
        <f t="shared" ca="1" si="14"/>
        <v>10167.630160699502</v>
      </c>
    </row>
    <row r="33" spans="1:23">
      <c r="A33" s="477">
        <f t="shared" ca="1" si="4"/>
        <v>59</v>
      </c>
      <c r="B33" s="478">
        <f t="shared" ca="1" si="5"/>
        <v>10000</v>
      </c>
      <c r="C33" s="478">
        <f ca="1">IF(OR($C$7=Données!$H$51,$C$7=Données!$H$54,$C$7=Données!$H$55,$C$7=Données!$H$57),0,B33*'Sit 1(2)'!$C$10)</f>
        <v>3000</v>
      </c>
      <c r="D33" s="478">
        <f ca="1">IFERROR(IF($H$5="",B33*'CT à Transf'!$K$28,B33*$H$5),B33*$H$5)</f>
        <v>300</v>
      </c>
      <c r="E33" s="478">
        <f t="shared" ca="1" si="6"/>
        <v>9700</v>
      </c>
      <c r="F33" s="478">
        <f t="shared" ca="1" si="0"/>
        <v>291</v>
      </c>
      <c r="G33" s="478">
        <f t="shared" ca="1" si="1"/>
        <v>185532.84400449402</v>
      </c>
      <c r="H33" s="478">
        <f t="shared" ca="1" si="2"/>
        <v>0</v>
      </c>
      <c r="J33" s="476"/>
      <c r="K33" s="477">
        <f t="shared" si="7"/>
        <v>77</v>
      </c>
      <c r="L33" s="478">
        <f t="shared" ca="1" si="8"/>
        <v>168346.17209428051</v>
      </c>
      <c r="M33" s="478">
        <f t="shared" ca="1" si="9"/>
        <v>5050.3851628284156</v>
      </c>
      <c r="N33" s="493">
        <f t="shared" ca="1" si="10"/>
        <v>89049.700374809603</v>
      </c>
      <c r="O33" s="493">
        <f t="shared" ca="1" si="11"/>
        <v>84346.85688229918</v>
      </c>
      <c r="P33" s="478">
        <f t="shared" ca="1" si="12"/>
        <v>173396.5572571088</v>
      </c>
      <c r="Q33" s="504">
        <f ca="1">IF(MEPPER2!$H$15="Protection cellule familiale",0,IF(K33=($C$6+($O$7-$C$6)-1),P33,IF(P33&lt;IF(($O$7-$C$6)=0,0,-PMT($O$5,($O$7-$C$6),$H$13)),P33,IF(($O$7-$C$6)=0,0,-PMT($O$5,($O$7-$C$6),$H$13)))))</f>
        <v>12786.317581322895</v>
      </c>
      <c r="R33" s="478">
        <f t="shared" ca="1" si="13"/>
        <v>6566.5533821738209</v>
      </c>
      <c r="S33" s="478">
        <f t="shared" ca="1" si="3"/>
        <v>6219.7641991490746</v>
      </c>
      <c r="T33" s="478">
        <f ca="1">R33*Données!$F$36</f>
        <v>1129.4471817338972</v>
      </c>
      <c r="U33" s="478">
        <f ca="1">R33*Données!$F$28</f>
        <v>840.51883291824913</v>
      </c>
      <c r="V33" s="478">
        <f ca="1">IF(S33=0,0,IF($E$7="C1",(S33*$H$10),IF($E$7="C2",-R33*Données!$G$36*$H$10,0)))</f>
        <v>684.17406190639815</v>
      </c>
      <c r="W33" s="478">
        <f t="shared" ca="1" si="14"/>
        <v>10132.177504764351</v>
      </c>
    </row>
    <row r="34" spans="1:23">
      <c r="A34" s="477">
        <f t="shared" ca="1" si="4"/>
        <v>60</v>
      </c>
      <c r="B34" s="478">
        <f t="shared" ca="1" si="5"/>
        <v>10000</v>
      </c>
      <c r="C34" s="478">
        <f ca="1">IF(OR($C$7=Données!$H$51,$C$7=Données!$H$54,$C$7=Données!$H$55,$C$7=Données!$H$57),0,B34*'Sit 1(2)'!$C$10)</f>
        <v>3000</v>
      </c>
      <c r="D34" s="478">
        <f ca="1">IFERROR(IF($H$5="",B34*'CT à Transf'!$K$28,B34*$H$5),B34*$H$5)</f>
        <v>300</v>
      </c>
      <c r="E34" s="478">
        <f t="shared" ca="1" si="6"/>
        <v>9700</v>
      </c>
      <c r="F34" s="478">
        <f t="shared" ca="1" si="0"/>
        <v>291</v>
      </c>
      <c r="G34" s="478">
        <f t="shared" ca="1" si="1"/>
        <v>201089.82932462884</v>
      </c>
      <c r="H34" s="478">
        <f t="shared" ca="1" si="2"/>
        <v>0</v>
      </c>
      <c r="J34" s="476"/>
      <c r="K34" s="477">
        <f t="shared" si="7"/>
        <v>78</v>
      </c>
      <c r="L34" s="478">
        <f t="shared" ca="1" si="8"/>
        <v>160610.23967578603</v>
      </c>
      <c r="M34" s="478">
        <f t="shared" ca="1" si="9"/>
        <v>4818.307190273581</v>
      </c>
      <c r="N34" s="493">
        <f t="shared" ca="1" si="10"/>
        <v>87301.454182909365</v>
      </c>
      <c r="O34" s="493">
        <f t="shared" ca="1" si="11"/>
        <v>78127.092683150113</v>
      </c>
      <c r="P34" s="478">
        <f t="shared" ca="1" si="12"/>
        <v>165428.54686605948</v>
      </c>
      <c r="Q34" s="504">
        <f ca="1">IF(MEPPER2!$H$15="Protection cellule familiale",0,IF(K34=($C$6+($O$7-$C$6)-1),P34,IF(P34&lt;IF(($O$7-$C$6)=0,0,-PMT($O$5,($O$7-$C$6),$H$13)),P34,IF(($O$7-$C$6)=0,0,-PMT($O$5,($O$7-$C$6),$H$13)))))</f>
        <v>12786.317581322895</v>
      </c>
      <c r="R34" s="478">
        <f t="shared" ca="1" si="13"/>
        <v>6747.7115627315598</v>
      </c>
      <c r="S34" s="478">
        <f t="shared" ca="1" si="3"/>
        <v>6038.6060185913357</v>
      </c>
      <c r="T34" s="478">
        <f ca="1">R34*Données!$F$36</f>
        <v>1160.6063887898281</v>
      </c>
      <c r="U34" s="478">
        <f ca="1">R34*Données!$F$28</f>
        <v>863.70708002963966</v>
      </c>
      <c r="V34" s="478">
        <f ca="1">IF(S34=0,0,IF($E$7="C1",(S34*$H$10),IF($E$7="C2",-R34*Données!$G$36*$H$10,0)))</f>
        <v>664.24666204504695</v>
      </c>
      <c r="W34" s="478">
        <f t="shared" ca="1" si="14"/>
        <v>10097.757450458383</v>
      </c>
    </row>
    <row r="35" spans="1:23">
      <c r="A35" s="477">
        <f t="shared" ca="1" si="4"/>
        <v>61</v>
      </c>
      <c r="B35" s="478">
        <f t="shared" ca="1" si="5"/>
        <v>10000</v>
      </c>
      <c r="C35" s="478">
        <f ca="1">IF(OR($C$7=Données!$H$51,$C$7=Données!$H$54,$C$7=Données!$H$55,$C$7=Données!$H$57),0,B35*'Sit 1(2)'!$C$10)</f>
        <v>3000</v>
      </c>
      <c r="D35" s="478">
        <f ca="1">IFERROR(IF($H$5="",B35*'CT à Transf'!$K$28,B35*$H$5),B35*$H$5)</f>
        <v>300</v>
      </c>
      <c r="E35" s="478">
        <f t="shared" ca="1" si="6"/>
        <v>9700</v>
      </c>
      <c r="F35" s="478">
        <f t="shared" ca="1" si="0"/>
        <v>291</v>
      </c>
      <c r="G35" s="478">
        <f t="shared" ca="1" si="1"/>
        <v>217113.52420436771</v>
      </c>
      <c r="H35" s="478">
        <f t="shared" ca="1" si="2"/>
        <v>0</v>
      </c>
      <c r="J35" s="476"/>
      <c r="K35" s="477">
        <f t="shared" si="7"/>
        <v>79</v>
      </c>
      <c r="L35" s="478">
        <f t="shared" ca="1" si="8"/>
        <v>152642.22928473671</v>
      </c>
      <c r="M35" s="478">
        <f t="shared" ca="1" si="9"/>
        <v>4579.266878542101</v>
      </c>
      <c r="N35" s="493">
        <f t="shared" ca="1" si="10"/>
        <v>85133.009498719897</v>
      </c>
      <c r="O35" s="493">
        <f t="shared" ca="1" si="11"/>
        <v>72088.486664558775</v>
      </c>
      <c r="P35" s="478">
        <f t="shared" ca="1" si="12"/>
        <v>157221.49616327867</v>
      </c>
      <c r="Q35" s="504">
        <f ca="1">IF(MEPPER2!$H$15="Protection cellule familiale",0,IF(K35=($C$6+($O$7-$C$6)-1),P35,IF(P35&lt;IF(($O$7-$C$6)=0,0,-PMT($O$5,($O$7-$C$6),$H$13)),P35,IF(($O$7-$C$6)=0,0,-PMT($O$5,($O$7-$C$6),$H$13)))))</f>
        <v>12786.317581322895</v>
      </c>
      <c r="R35" s="478">
        <f t="shared" ca="1" si="13"/>
        <v>6923.593291428394</v>
      </c>
      <c r="S35" s="478">
        <f t="shared" ca="1" si="3"/>
        <v>5862.7242898945015</v>
      </c>
      <c r="T35" s="478">
        <f ca="1">R35*Données!$F$36</f>
        <v>1190.8580461256836</v>
      </c>
      <c r="U35" s="478">
        <f ca="1">R35*Données!$F$28</f>
        <v>886.2199413028344</v>
      </c>
      <c r="V35" s="478">
        <f ca="1">IF(S35=0,0,IF($E$7="C1",(S35*$H$10),IF($E$7="C2",-R35*Données!$G$36*$H$10,0)))</f>
        <v>644.89967188839512</v>
      </c>
      <c r="W35" s="478">
        <f t="shared" ca="1" si="14"/>
        <v>10064.339922005982</v>
      </c>
    </row>
    <row r="36" spans="1:23">
      <c r="A36" s="477">
        <f t="shared" ca="1" si="4"/>
        <v>62</v>
      </c>
      <c r="B36" s="478">
        <f t="shared" ca="1" si="5"/>
        <v>10000</v>
      </c>
      <c r="C36" s="478">
        <f ca="1">IF(OR($C$7=Données!$H$51,$C$7=Données!$H$54,$C$7=Données!$H$55,$C$7=Données!$H$57),0,B36*'Sit 1(2)'!$C$10)</f>
        <v>3000</v>
      </c>
      <c r="D36" s="478">
        <f ca="1">IFERROR(IF($H$5="",B36*'CT à Transf'!$K$28,B36*$H$5),B36*$H$5)</f>
        <v>300</v>
      </c>
      <c r="E36" s="478">
        <f t="shared" ca="1" si="6"/>
        <v>9700</v>
      </c>
      <c r="F36" s="478">
        <f t="shared" ca="1" si="0"/>
        <v>291</v>
      </c>
      <c r="G36" s="478">
        <f t="shared" ca="1" si="1"/>
        <v>233617.92993049874</v>
      </c>
      <c r="H36" s="478">
        <f t="shared" ca="1" si="2"/>
        <v>0</v>
      </c>
      <c r="J36" s="476"/>
      <c r="K36" s="477">
        <f t="shared" si="7"/>
        <v>80</v>
      </c>
      <c r="L36" s="478">
        <f t="shared" ca="1" si="8"/>
        <v>144435.17858195593</v>
      </c>
      <c r="M36" s="478">
        <f t="shared" ca="1" si="9"/>
        <v>4333.0553574586775</v>
      </c>
      <c r="N36" s="493">
        <f t="shared" ca="1" si="10"/>
        <v>82542.471564750187</v>
      </c>
      <c r="O36" s="493">
        <f t="shared" ca="1" si="11"/>
        <v>66225.762374664278</v>
      </c>
      <c r="P36" s="478">
        <f t="shared" ca="1" si="12"/>
        <v>148768.23393941447</v>
      </c>
      <c r="Q36" s="504">
        <f ca="1">IF(MEPPER2!$H$15="Protection cellule familiale",0,IF(K36=($C$6+($O$7-$C$6)-1),P36,IF(P36&lt;IF(($O$7-$C$6)=0,0,-PMT($O$5,($O$7-$C$6),$H$13)),P36,IF(($O$7-$C$6)=0,0,-PMT($O$5,($O$7-$C$6),$H$13)))))</f>
        <v>12786.317581322895</v>
      </c>
      <c r="R36" s="478">
        <f t="shared" ca="1" si="13"/>
        <v>7094.3522513282342</v>
      </c>
      <c r="S36" s="478">
        <f t="shared" ca="1" si="3"/>
        <v>5691.9653299946613</v>
      </c>
      <c r="T36" s="478">
        <f ca="1">R36*Données!$F$36</f>
        <v>1220.2285872284563</v>
      </c>
      <c r="U36" s="478">
        <f ca="1">R36*Données!$F$28</f>
        <v>908.07708817001401</v>
      </c>
      <c r="V36" s="478">
        <f ca="1">IF(S36=0,0,IF($E$7="C1",(S36*$H$10),IF($E$7="C2",-R36*Données!$G$36*$H$10,0)))</f>
        <v>626.11618629941279</v>
      </c>
      <c r="W36" s="478">
        <f t="shared" ca="1" si="14"/>
        <v>10031.895719625014</v>
      </c>
    </row>
    <row r="37" spans="1:23">
      <c r="A37" s="477">
        <f t="shared" ca="1" si="4"/>
        <v>63</v>
      </c>
      <c r="B37" s="478">
        <f t="shared" ca="1" si="5"/>
        <v>10000</v>
      </c>
      <c r="C37" s="478">
        <f ca="1">IF(OR($C$7=Données!$H$51,$C$7=Données!$H$54,$C$7=Données!$H$55,$C$7=Données!$H$57),0,B37*'Sit 1(2)'!$C$10)</f>
        <v>3000</v>
      </c>
      <c r="D37" s="478">
        <f ca="1">IFERROR(IF($H$5="",B37*'CT à Transf'!$K$28,B37*$H$5),B37*$H$5)</f>
        <v>300</v>
      </c>
      <c r="E37" s="478">
        <f t="shared" ca="1" si="6"/>
        <v>9700</v>
      </c>
      <c r="F37" s="478">
        <f t="shared" ca="1" si="0"/>
        <v>291</v>
      </c>
      <c r="G37" s="478">
        <f t="shared" ca="1" si="1"/>
        <v>250617.4678284137</v>
      </c>
      <c r="H37" s="478">
        <f t="shared" ca="1" si="2"/>
        <v>250617.4678284137</v>
      </c>
      <c r="J37" s="476"/>
      <c r="K37" s="477">
        <f t="shared" si="7"/>
        <v>81</v>
      </c>
      <c r="L37" s="478">
        <f t="shared" ca="1" si="8"/>
        <v>135981.91635809172</v>
      </c>
      <c r="M37" s="478">
        <f t="shared" ca="1" si="9"/>
        <v>4079.4574907427514</v>
      </c>
      <c r="N37" s="493">
        <f t="shared" ca="1" si="10"/>
        <v>79527.576804164695</v>
      </c>
      <c r="O37" s="493">
        <f t="shared" ca="1" si="11"/>
        <v>60533.79704466962</v>
      </c>
      <c r="P37" s="478">
        <f t="shared" ca="1" si="12"/>
        <v>140061.37384883431</v>
      </c>
      <c r="Q37" s="504">
        <f ca="1">IF(MEPPER2!$H$15="Protection cellule familiale",0,IF(K37=($C$6+($O$7-$C$6)-1),P37,IF(P37&lt;IF(($O$7-$C$6)=0,0,-PMT($O$5,($O$7-$C$6),$H$13)),P37,IF(($O$7-$C$6)=0,0,-PMT($O$5,($O$7-$C$6),$H$13)))))</f>
        <v>12786.317581322895</v>
      </c>
      <c r="R37" s="478">
        <f t="shared" ca="1" si="13"/>
        <v>7260.1376492892441</v>
      </c>
      <c r="S37" s="478">
        <f t="shared" ca="1" si="3"/>
        <v>5526.1799320336513</v>
      </c>
      <c r="T37" s="478">
        <f ca="1">R37*Données!$F$36</f>
        <v>1248.7436756777499</v>
      </c>
      <c r="U37" s="478">
        <f ca="1">R37*Données!$F$28</f>
        <v>929.29761910902323</v>
      </c>
      <c r="V37" s="478">
        <f ca="1">IF(S37=0,0,IF($E$7="C1",(S37*$H$10),IF($E$7="C2",-R37*Données!$G$36*$H$10,0)))</f>
        <v>607.87979252370167</v>
      </c>
      <c r="W37" s="478">
        <f t="shared" ca="1" si="14"/>
        <v>10000.396494012421</v>
      </c>
    </row>
    <row r="38" spans="1:23">
      <c r="A38" s="477">
        <f t="shared" ca="1" si="4"/>
        <v>64</v>
      </c>
      <c r="B38" s="478">
        <f t="shared" ca="1" si="5"/>
        <v>0</v>
      </c>
      <c r="C38" s="478">
        <f ca="1">IF(OR($C$7=Données!$H$51,$C$7=Données!$H$54,$C$7=Données!$H$55,$C$7=Données!$H$57),0,B38*'Sit 1(2)'!$C$10)</f>
        <v>0</v>
      </c>
      <c r="D38" s="478">
        <f ca="1">IFERROR(IF($H$5="",B38*'CT à Transf'!$K$28,B38*$H$5),B38*$H$5)</f>
        <v>0</v>
      </c>
      <c r="E38" s="478">
        <f t="shared" ca="1" si="6"/>
        <v>0</v>
      </c>
      <c r="F38" s="478">
        <f t="shared" ca="1" si="0"/>
        <v>0</v>
      </c>
      <c r="G38" s="478">
        <f t="shared" ca="1" si="1"/>
        <v>0</v>
      </c>
      <c r="H38" s="478">
        <f t="shared" ca="1" si="2"/>
        <v>0</v>
      </c>
      <c r="J38" s="476"/>
      <c r="K38" s="477">
        <f t="shared" si="7"/>
        <v>82</v>
      </c>
      <c r="L38" s="478">
        <f t="shared" ca="1" si="8"/>
        <v>127275.05626751159</v>
      </c>
      <c r="M38" s="478">
        <f t="shared" ca="1" si="9"/>
        <v>3818.2516880253479</v>
      </c>
      <c r="N38" s="493">
        <f t="shared" ca="1" si="10"/>
        <v>76085.690842900804</v>
      </c>
      <c r="O38" s="493">
        <f t="shared" ca="1" si="11"/>
        <v>55007.61711263597</v>
      </c>
      <c r="P38" s="478">
        <f t="shared" ca="1" si="12"/>
        <v>131093.30795553676</v>
      </c>
      <c r="Q38" s="504">
        <f ca="1">IF(MEPPER2!$H$15="Protection cellule familiale",0,IF(K38=($C$6+($O$7-$C$6)-1),P38,IF(P38&lt;IF(($O$7-$C$6)=0,0,-PMT($O$5,($O$7-$C$6),$H$13)),P38,IF(($O$7-$C$6)=0,0,-PMT($O$5,($O$7-$C$6),$H$13)))))</f>
        <v>12786.317581322895</v>
      </c>
      <c r="R38" s="478">
        <f t="shared" ca="1" si="13"/>
        <v>7421.0943463387675</v>
      </c>
      <c r="S38" s="478">
        <f t="shared" ca="1" si="3"/>
        <v>5365.2232349841279</v>
      </c>
      <c r="T38" s="478">
        <f ca="1">R38*Données!$F$36</f>
        <v>1276.4282275702678</v>
      </c>
      <c r="U38" s="478">
        <f ca="1">R38*Données!$F$28</f>
        <v>949.90007633136224</v>
      </c>
      <c r="V38" s="478">
        <f ca="1">IF(S38=0,0,IF($E$7="C1",(S38*$H$10),IF($E$7="C2",-R38*Données!$G$36*$H$10,0)))</f>
        <v>590.17455584825404</v>
      </c>
      <c r="W38" s="478">
        <f t="shared" ca="1" si="14"/>
        <v>9969.8147215730114</v>
      </c>
    </row>
    <row r="39" spans="1:23">
      <c r="A39" s="477">
        <f t="shared" ca="1" si="4"/>
        <v>65</v>
      </c>
      <c r="B39" s="478">
        <f t="shared" ca="1" si="5"/>
        <v>0</v>
      </c>
      <c r="C39" s="478">
        <f ca="1">IF(OR($C$7=Données!$H$51,$C$7=Données!$H$54,$C$7=Données!$H$55,$C$7=Données!$H$57),0,B39*'Sit 1(2)'!$C$10)</f>
        <v>0</v>
      </c>
      <c r="D39" s="478">
        <f ca="1">IFERROR(IF($H$5="",B39*'CT à Transf'!$K$28,B39*$H$5),B39*$H$5)</f>
        <v>0</v>
      </c>
      <c r="E39" s="478">
        <f t="shared" ca="1" si="6"/>
        <v>0</v>
      </c>
      <c r="F39" s="478">
        <f t="shared" ca="1" si="0"/>
        <v>0</v>
      </c>
      <c r="G39" s="478">
        <f t="shared" ca="1" si="1"/>
        <v>0</v>
      </c>
      <c r="H39" s="478">
        <f t="shared" ca="1" si="2"/>
        <v>0</v>
      </c>
      <c r="J39" s="476"/>
      <c r="K39" s="477">
        <f t="shared" si="7"/>
        <v>83</v>
      </c>
      <c r="L39" s="478">
        <f t="shared" ca="1" si="8"/>
        <v>118306.99037421405</v>
      </c>
      <c r="M39" s="478">
        <f t="shared" ca="1" si="9"/>
        <v>3549.2097112264214</v>
      </c>
      <c r="N39" s="493">
        <f t="shared" ca="1" si="10"/>
        <v>72213.806207788453</v>
      </c>
      <c r="O39" s="493">
        <f t="shared" ca="1" si="11"/>
        <v>49642.393877651841</v>
      </c>
      <c r="P39" s="478">
        <f t="shared" ca="1" si="12"/>
        <v>121856.2000854403</v>
      </c>
      <c r="Q39" s="504">
        <f ca="1">IF(MEPPER2!$H$15="Protection cellule familiale",0,IF(K39=($C$6+($O$7-$C$6)-1),P39,IF(P39&lt;IF(($O$7-$C$6)=0,0,-PMT($O$5,($O$7-$C$6),$H$13)),P39,IF(($O$7-$C$6)=0,0,-PMT($O$5,($O$7-$C$6),$H$13)))))</f>
        <v>12786.317581322895</v>
      </c>
      <c r="R39" s="478">
        <f t="shared" ca="1" si="13"/>
        <v>7577.3629842509281</v>
      </c>
      <c r="S39" s="478">
        <f t="shared" ca="1" si="3"/>
        <v>5208.9545970719673</v>
      </c>
      <c r="T39" s="478">
        <f ca="1">R39*Données!$F$36</f>
        <v>1303.3064332911595</v>
      </c>
      <c r="U39" s="478">
        <f ca="1">R39*Données!$F$28</f>
        <v>969.90246198411887</v>
      </c>
      <c r="V39" s="478">
        <f ca="1">IF(S39=0,0,IF($E$7="C1",(S39*$H$10),IF($E$7="C2",-R39*Données!$G$36*$H$10,0)))</f>
        <v>572.98500567791643</v>
      </c>
      <c r="W39" s="478">
        <f t="shared" ca="1" si="14"/>
        <v>9940.1236803697011</v>
      </c>
    </row>
    <row r="40" spans="1:23">
      <c r="A40" s="477">
        <f t="shared" ca="1" si="4"/>
        <v>66</v>
      </c>
      <c r="B40" s="478">
        <f t="shared" ca="1" si="5"/>
        <v>0</v>
      </c>
      <c r="C40" s="478">
        <f ca="1">IF(OR($C$7=Données!$H$51,$C$7=Données!$H$54,$C$7=Données!$H$55,$C$7=Données!$H$57),0,B40*'Sit 1(2)'!$C$10)</f>
        <v>0</v>
      </c>
      <c r="D40" s="478">
        <f ca="1">IFERROR(IF($H$5="",B40*'CT à Transf'!$K$28,B40*$H$5),B40*$H$5)</f>
        <v>0</v>
      </c>
      <c r="E40" s="478">
        <f t="shared" ca="1" si="6"/>
        <v>0</v>
      </c>
      <c r="F40" s="478">
        <f t="shared" ca="1" si="0"/>
        <v>0</v>
      </c>
      <c r="G40" s="478">
        <f t="shared" ca="1" si="1"/>
        <v>0</v>
      </c>
      <c r="H40" s="478">
        <f t="shared" ca="1" si="2"/>
        <v>0</v>
      </c>
      <c r="J40" s="476"/>
      <c r="K40" s="477">
        <f t="shared" si="7"/>
        <v>84</v>
      </c>
      <c r="L40" s="478">
        <f t="shared" ca="1" si="8"/>
        <v>109069.88250411756</v>
      </c>
      <c r="M40" s="478">
        <f t="shared" ca="1" si="9"/>
        <v>3272.0964751235265</v>
      </c>
      <c r="N40" s="493">
        <f t="shared" ca="1" si="10"/>
        <v>67908.539698661058</v>
      </c>
      <c r="O40" s="493">
        <f t="shared" ca="1" si="11"/>
        <v>44433.439280579871</v>
      </c>
      <c r="P40" s="478">
        <f t="shared" ca="1" si="12"/>
        <v>112341.97897924093</v>
      </c>
      <c r="Q40" s="504">
        <f ca="1">IF(MEPPER2!$H$15="Protection cellule familiale",0,IF(K40=($C$6+($O$7-$C$6)-1),P40,IF(P40&lt;IF(($O$7-$C$6)=0,0,-PMT($O$5,($O$7-$C$6),$H$13)),P40,IF(($O$7-$C$6)=0,0,-PMT($O$5,($O$7-$C$6),$H$13)))))</f>
        <v>12786.317581322895</v>
      </c>
      <c r="R40" s="478">
        <f t="shared" ca="1" si="13"/>
        <v>7729.0801084374898</v>
      </c>
      <c r="S40" s="478">
        <f t="shared" ca="1" si="3"/>
        <v>5057.2374728854056</v>
      </c>
      <c r="T40" s="478">
        <f ca="1">R40*Données!$F$36</f>
        <v>1329.4017786512482</v>
      </c>
      <c r="U40" s="478">
        <f ca="1">R40*Données!$F$28</f>
        <v>989.3222538799987</v>
      </c>
      <c r="V40" s="478">
        <f ca="1">IF(S40=0,0,IF($E$7="C1",(S40*$H$10),IF($E$7="C2",-R40*Données!$G$36*$H$10,0)))</f>
        <v>556.29612201739462</v>
      </c>
      <c r="W40" s="478">
        <f t="shared" ca="1" si="14"/>
        <v>9911.2974267742538</v>
      </c>
    </row>
    <row r="41" spans="1:23">
      <c r="A41" s="477">
        <f t="shared" ca="1" si="4"/>
        <v>67</v>
      </c>
      <c r="B41" s="478">
        <f t="shared" ca="1" si="5"/>
        <v>0</v>
      </c>
      <c r="C41" s="478">
        <f ca="1">IF(OR($C$7=Données!$H$51,$C$7=Données!$H$54,$C$7=Données!$H$55,$C$7=Données!$H$57),0,B41*'Sit 1(2)'!$C$10)</f>
        <v>0</v>
      </c>
      <c r="D41" s="478">
        <f ca="1">IFERROR(IF($H$5="",B41*'CT à Transf'!$K$28,B41*$H$5),B41*$H$5)</f>
        <v>0</v>
      </c>
      <c r="E41" s="478">
        <f t="shared" ca="1" si="6"/>
        <v>0</v>
      </c>
      <c r="F41" s="478">
        <f t="shared" ca="1" si="0"/>
        <v>0</v>
      </c>
      <c r="G41" s="478">
        <f t="shared" ca="1" si="1"/>
        <v>0</v>
      </c>
      <c r="H41" s="478">
        <f t="shared" ca="1" si="2"/>
        <v>0</v>
      </c>
      <c r="J41" s="476"/>
      <c r="K41" s="477">
        <f t="shared" si="7"/>
        <v>85</v>
      </c>
      <c r="L41" s="478">
        <f t="shared" ca="1" si="8"/>
        <v>99555.661397918186</v>
      </c>
      <c r="M41" s="478">
        <f t="shared" ca="1" si="9"/>
        <v>2986.6698419375452</v>
      </c>
      <c r="N41" s="493">
        <f t="shared" ca="1" si="10"/>
        <v>63166.129432161113</v>
      </c>
      <c r="O41" s="493">
        <f t="shared" ca="1" si="11"/>
        <v>39376.201807694466</v>
      </c>
      <c r="P41" s="478">
        <f t="shared" ca="1" si="12"/>
        <v>102542.33123985559</v>
      </c>
      <c r="Q41" s="504">
        <f ca="1">IF(MEPPER2!$H$15="Protection cellule familiale",0,IF(K41=($C$6+($O$7-$C$6)-1),P41,IF(P41&lt;IF(($O$7-$C$6)=0,0,-PMT($O$5,($O$7-$C$6),$H$13)),P41,IF(($O$7-$C$6)=0,0,-PMT($O$5,($O$7-$C$6),$H$13)))))</f>
        <v>12786.317581322895</v>
      </c>
      <c r="R41" s="478">
        <f t="shared" ca="1" si="13"/>
        <v>7876.3782872593956</v>
      </c>
      <c r="S41" s="478">
        <f t="shared" ca="1" si="3"/>
        <v>4909.9392940634998</v>
      </c>
      <c r="T41" s="478">
        <f ca="1">R41*Données!$F$36</f>
        <v>1354.737065408616</v>
      </c>
      <c r="U41" s="478">
        <f ca="1">R41*Données!$F$28</f>
        <v>1008.1764207692027</v>
      </c>
      <c r="V41" s="478">
        <f ca="1">IF(S41=0,0,IF($E$7="C1",(S41*$H$10),IF($E$7="C2",-R41*Données!$G$36*$H$10,0)))</f>
        <v>540.09332234698502</v>
      </c>
      <c r="W41" s="478">
        <f t="shared" ca="1" si="14"/>
        <v>9883.3107727980914</v>
      </c>
    </row>
    <row r="42" spans="1:23">
      <c r="A42" s="477">
        <f t="shared" ca="1" si="4"/>
        <v>68</v>
      </c>
      <c r="B42" s="478">
        <f t="shared" ca="1" si="5"/>
        <v>0</v>
      </c>
      <c r="C42" s="478">
        <f ca="1">IF(OR($C$7=Données!$H$51,$C$7=Données!$H$54,$C$7=Données!$H$55,$C$7=Données!$H$57),0,B42*'Sit 1(2)'!$C$10)</f>
        <v>0</v>
      </c>
      <c r="D42" s="478">
        <f ca="1">IFERROR(IF($H$5="",B42*'CT à Transf'!$K$28,B42*$H$5),B42*$H$5)</f>
        <v>0</v>
      </c>
      <c r="E42" s="478">
        <f t="shared" ca="1" si="6"/>
        <v>0</v>
      </c>
      <c r="F42" s="478">
        <f t="shared" ca="1" si="0"/>
        <v>0</v>
      </c>
      <c r="G42" s="478">
        <f t="shared" ca="1" si="1"/>
        <v>0</v>
      </c>
      <c r="H42" s="478">
        <f t="shared" ca="1" si="2"/>
        <v>0</v>
      </c>
      <c r="J42" s="476"/>
      <c r="K42" s="477">
        <f t="shared" si="7"/>
        <v>86</v>
      </c>
      <c r="L42" s="478">
        <f t="shared" ca="1" si="8"/>
        <v>89756.013658532844</v>
      </c>
      <c r="M42" s="478">
        <f t="shared" ca="1" si="9"/>
        <v>2692.6804097559852</v>
      </c>
      <c r="N42" s="493">
        <f t="shared" ca="1" si="10"/>
        <v>57982.431554657705</v>
      </c>
      <c r="O42" s="493">
        <f t="shared" ca="1" si="11"/>
        <v>34466.262513630965</v>
      </c>
      <c r="P42" s="478">
        <f t="shared" ca="1" si="12"/>
        <v>92448.694068288663</v>
      </c>
      <c r="Q42" s="504">
        <f ca="1">IF(MEPPER2!$H$15="Protection cellule familiale",0,IF(K42=($C$6+($O$7-$C$6)-1),P42,IF(P42&lt;IF(($O$7-$C$6)=0,0,-PMT($O$5,($O$7-$C$6),$H$13)),P42,IF(($O$7-$C$6)=0,0,-PMT($O$5,($O$7-$C$6),$H$13)))))</f>
        <v>12786.317581322895</v>
      </c>
      <c r="R42" s="478">
        <f t="shared" ca="1" si="13"/>
        <v>8019.3862278631859</v>
      </c>
      <c r="S42" s="478">
        <f t="shared" ca="1" si="3"/>
        <v>4766.9313534597095</v>
      </c>
      <c r="T42" s="478">
        <f ca="1">R42*Données!$F$36</f>
        <v>1379.3344311924679</v>
      </c>
      <c r="U42" s="478">
        <f ca="1">R42*Données!$F$28</f>
        <v>1026.4814371664879</v>
      </c>
      <c r="V42" s="478">
        <f ca="1">IF(S42=0,0,IF($E$7="C1",(S42*$H$10),IF($E$7="C2",-R42*Données!$G$36*$H$10,0)))</f>
        <v>524.36244888056808</v>
      </c>
      <c r="W42" s="478">
        <f t="shared" ca="1" si="14"/>
        <v>9856.1392640833692</v>
      </c>
    </row>
    <row r="43" spans="1:23">
      <c r="A43" s="477">
        <f t="shared" ca="1" si="4"/>
        <v>69</v>
      </c>
      <c r="B43" s="478">
        <f t="shared" ca="1" si="5"/>
        <v>0</v>
      </c>
      <c r="C43" s="478">
        <f ca="1">IF(OR($C$7=Données!$H$51,$C$7=Données!$H$54,$C$7=Données!$H$55,$C$7=Données!$H$57),0,B43*'Sit 1(2)'!$C$10)</f>
        <v>0</v>
      </c>
      <c r="D43" s="478">
        <f ca="1">IFERROR(IF($H$5="",B43*'CT à Transf'!$K$28,B43*$H$5),B43*$H$5)</f>
        <v>0</v>
      </c>
      <c r="E43" s="478">
        <f t="shared" ca="1" si="6"/>
        <v>0</v>
      </c>
      <c r="F43" s="478">
        <f t="shared" ca="1" si="0"/>
        <v>0</v>
      </c>
      <c r="G43" s="478">
        <f t="shared" ca="1" si="1"/>
        <v>0</v>
      </c>
      <c r="H43" s="478">
        <f t="shared" ca="1" si="2"/>
        <v>0</v>
      </c>
      <c r="J43" s="476"/>
      <c r="K43" s="477">
        <f t="shared" si="7"/>
        <v>87</v>
      </c>
      <c r="L43" s="478">
        <f t="shared" ca="1" si="8"/>
        <v>79662.376486965921</v>
      </c>
      <c r="M43" s="478">
        <f t="shared" ca="1" si="9"/>
        <v>2389.8712946089777</v>
      </c>
      <c r="N43" s="493">
        <f t="shared" ca="1" si="10"/>
        <v>52352.916621403499</v>
      </c>
      <c r="O43" s="493">
        <f t="shared" ca="1" si="11"/>
        <v>29699.331160171256</v>
      </c>
      <c r="P43" s="478">
        <f t="shared" ca="1" si="12"/>
        <v>82052.247781574755</v>
      </c>
      <c r="Q43" s="504">
        <f ca="1">IF(MEPPER2!$H$15="Protection cellule familiale",0,IF(K43=($C$6+($O$7-$C$6)-1),P43,IF(P43&lt;IF(($O$7-$C$6)=0,0,-PMT($O$5,($O$7-$C$6),$H$13)),P43,IF(($O$7-$C$6)=0,0,-PMT($O$5,($O$7-$C$6),$H$13)))))</f>
        <v>12786.317581322895</v>
      </c>
      <c r="R43" s="478">
        <f t="shared" ca="1" si="13"/>
        <v>8158.2288886435672</v>
      </c>
      <c r="S43" s="478">
        <f t="shared" ca="1" si="3"/>
        <v>4628.0886926793282</v>
      </c>
      <c r="T43" s="478">
        <f ca="1">R43*Données!$F$36</f>
        <v>1403.2153688466935</v>
      </c>
      <c r="U43" s="478">
        <f ca="1">R43*Données!$F$28</f>
        <v>1044.2532977463766</v>
      </c>
      <c r="V43" s="478">
        <f ca="1">IF(S43=0,0,IF($E$7="C1",(S43*$H$10),IF($E$7="C2",-R43*Données!$G$36*$H$10,0)))</f>
        <v>509.08975619472614</v>
      </c>
      <c r="W43" s="478">
        <f t="shared" ca="1" si="14"/>
        <v>9829.7591585351001</v>
      </c>
    </row>
    <row r="44" spans="1:23">
      <c r="A44" s="477">
        <f t="shared" ca="1" si="4"/>
        <v>70</v>
      </c>
      <c r="B44" s="478">
        <f t="shared" ca="1" si="5"/>
        <v>0</v>
      </c>
      <c r="C44" s="478">
        <f ca="1">IF(OR($C$7=Données!$H$51,$C$7=Données!$H$54,$C$7=Données!$H$55,$C$7=Données!$H$57),0,B44*'Sit 1(2)'!$C$10)</f>
        <v>0</v>
      </c>
      <c r="D44" s="478">
        <f ca="1">IFERROR(IF($H$5="",B44*'CT à Transf'!$K$28,B44*$H$5),B44*$H$5)</f>
        <v>0</v>
      </c>
      <c r="E44" s="478">
        <f t="shared" ca="1" si="6"/>
        <v>0</v>
      </c>
      <c r="F44" s="478">
        <f t="shared" ca="1" si="0"/>
        <v>0</v>
      </c>
      <c r="G44" s="478">
        <f t="shared" ca="1" si="1"/>
        <v>0</v>
      </c>
      <c r="H44" s="478">
        <f t="shared" ca="1" si="2"/>
        <v>0</v>
      </c>
      <c r="J44" s="476"/>
      <c r="K44" s="477">
        <f t="shared" si="7"/>
        <v>88</v>
      </c>
      <c r="L44" s="478">
        <f t="shared" ca="1" si="8"/>
        <v>69265.930200252013</v>
      </c>
      <c r="M44" s="478">
        <f t="shared" ca="1" si="9"/>
        <v>2077.9779060075603</v>
      </c>
      <c r="N44" s="493">
        <f t="shared" ca="1" si="10"/>
        <v>46272.665638767496</v>
      </c>
      <c r="O44" s="493">
        <f t="shared" ca="1" si="11"/>
        <v>25071.242467491928</v>
      </c>
      <c r="P44" s="478">
        <f t="shared" ca="1" si="12"/>
        <v>71343.90810625942</v>
      </c>
      <c r="Q44" s="504">
        <f ca="1">IF(MEPPER2!$H$15="Protection cellule familiale",0,IF(K44=($C$6+($O$7-$C$6)-1),P44,IF(P44&lt;IF(($O$7-$C$6)=0,0,-PMT($O$5,($O$7-$C$6),$H$13)),P44,IF(($O$7-$C$6)=0,0,-PMT($O$5,($O$7-$C$6),$H$13)))))</f>
        <v>12786.317581322895</v>
      </c>
      <c r="R44" s="478">
        <f t="shared" ca="1" si="13"/>
        <v>8293.0275884303446</v>
      </c>
      <c r="S44" s="478">
        <f t="shared" ca="1" si="3"/>
        <v>4493.2899928925508</v>
      </c>
      <c r="T44" s="478">
        <f ca="1">R44*Données!$F$36</f>
        <v>1426.4007452100191</v>
      </c>
      <c r="U44" s="478">
        <f ca="1">R44*Données!$F$28</f>
        <v>1061.5075313190841</v>
      </c>
      <c r="V44" s="478">
        <f ca="1">IF(S44=0,0,IF($E$7="C1",(S44*$H$10),IF($E$7="C2",-R44*Données!$G$36*$H$10,0)))</f>
        <v>494.26189921818059</v>
      </c>
      <c r="W44" s="478">
        <f t="shared" ca="1" si="14"/>
        <v>9804.1474055756116</v>
      </c>
    </row>
    <row r="45" spans="1:23">
      <c r="A45" s="477">
        <f t="shared" ca="1" si="4"/>
        <v>71</v>
      </c>
      <c r="B45" s="478">
        <f t="shared" ca="1" si="5"/>
        <v>0</v>
      </c>
      <c r="C45" s="478">
        <f ca="1">IF(OR($C$7=Données!$H$51,$C$7=Données!$H$54,$C$7=Données!$H$55,$C$7=Données!$H$57),0,B45*'Sit 1(2)'!$C$10)</f>
        <v>0</v>
      </c>
      <c r="D45" s="478">
        <f ca="1">IFERROR(IF($H$5="",B45*'CT à Transf'!$K$28,B45*$H$5),B45*$H$5)</f>
        <v>0</v>
      </c>
      <c r="E45" s="478">
        <f t="shared" ca="1" si="6"/>
        <v>0</v>
      </c>
      <c r="F45" s="478">
        <f t="shared" ca="1" si="0"/>
        <v>0</v>
      </c>
      <c r="G45" s="478">
        <f t="shared" ca="1" si="1"/>
        <v>0</v>
      </c>
      <c r="H45" s="478">
        <f t="shared" ca="1" si="2"/>
        <v>0</v>
      </c>
      <c r="J45" s="476"/>
      <c r="K45" s="477">
        <f t="shared" si="7"/>
        <v>89</v>
      </c>
      <c r="L45" s="478">
        <f t="shared" ca="1" si="8"/>
        <v>58557.590524936684</v>
      </c>
      <c r="M45" s="478">
        <f t="shared" ca="1" si="9"/>
        <v>1756.7277157481005</v>
      </c>
      <c r="N45" s="493">
        <f t="shared" ca="1" si="10"/>
        <v>39736.365766085248</v>
      </c>
      <c r="O45" s="493">
        <f t="shared" ca="1" si="11"/>
        <v>20577.952474599377</v>
      </c>
      <c r="P45" s="478">
        <f t="shared" ca="1" si="12"/>
        <v>60314.318240684624</v>
      </c>
      <c r="Q45" s="504">
        <f ca="1">IF(MEPPER2!$H$15="Protection cellule familiale",0,IF(K45=($C$6+($O$7-$C$6)-1),P45,IF(P45&lt;IF(($O$7-$C$6)=0,0,-PMT($O$5,($O$7-$C$6),$H$13)),P45,IF(($O$7-$C$6)=0,0,-PMT($O$5,($O$7-$C$6),$H$13)))))</f>
        <v>12786.317581322895</v>
      </c>
      <c r="R45" s="478">
        <f t="shared" ca="1" si="13"/>
        <v>8423.9001124951756</v>
      </c>
      <c r="S45" s="478">
        <f t="shared" ca="1" si="3"/>
        <v>4362.4174688277199</v>
      </c>
      <c r="T45" s="478">
        <f ca="1">R45*Données!$F$36</f>
        <v>1448.91081934917</v>
      </c>
      <c r="U45" s="478">
        <f ca="1">R45*Données!$F$28</f>
        <v>1078.2592143993825</v>
      </c>
      <c r="V45" s="478">
        <f ca="1">IF(S45=0,0,IF($E$7="C1",(S45*$H$10),IF($E$7="C2",-R45*Données!$G$36*$H$10,0)))</f>
        <v>479.86592157104917</v>
      </c>
      <c r="W45" s="478">
        <f t="shared" ca="1" si="14"/>
        <v>9779.2816260032941</v>
      </c>
    </row>
    <row r="46" spans="1:23">
      <c r="A46" s="477">
        <f t="shared" ca="1" si="4"/>
        <v>72</v>
      </c>
      <c r="B46" s="478">
        <f t="shared" ca="1" si="5"/>
        <v>0</v>
      </c>
      <c r="C46" s="478">
        <f ca="1">IF(OR($C$7=Données!$H$51,$C$7=Données!$H$54,$C$7=Données!$H$55,$C$7=Données!$H$57),0,B46*'Sit 1(2)'!$C$10)</f>
        <v>0</v>
      </c>
      <c r="D46" s="478">
        <f ca="1">IFERROR(IF($H$5="",B46*'CT à Transf'!$K$28,B46*$H$5),B46*$H$5)</f>
        <v>0</v>
      </c>
      <c r="E46" s="478">
        <f t="shared" ca="1" si="6"/>
        <v>0</v>
      </c>
      <c r="F46" s="478">
        <f t="shared" ca="1" si="0"/>
        <v>0</v>
      </c>
      <c r="G46" s="478">
        <f t="shared" ca="1" si="1"/>
        <v>0</v>
      </c>
      <c r="H46" s="478">
        <f t="shared" ca="1" si="2"/>
        <v>0</v>
      </c>
      <c r="J46" s="476"/>
      <c r="K46" s="477">
        <f t="shared" si="7"/>
        <v>90</v>
      </c>
      <c r="L46" s="478">
        <f t="shared" ca="1" si="8"/>
        <v>47528.000659361889</v>
      </c>
      <c r="M46" s="478">
        <f t="shared" si="9"/>
        <v>0</v>
      </c>
      <c r="N46" s="493">
        <f t="shared" si="10"/>
        <v>0</v>
      </c>
      <c r="O46" s="493">
        <f t="shared" si="11"/>
        <v>0</v>
      </c>
      <c r="P46" s="478">
        <f t="shared" si="12"/>
        <v>0</v>
      </c>
      <c r="Q46" s="504">
        <f ca="1">IF(MEPPER2!$H$15="Protection cellule familiale",0,IF(K46=($C$6+($O$7-$C$6)-1),P46,IF(P46&lt;IF(($O$7-$C$6)=0,0,-PMT($O$5,($O$7-$C$6),$H$13)),P46,IF(($O$7-$C$6)=0,0,-PMT($O$5,($O$7-$C$6),$H$13)))))</f>
        <v>0</v>
      </c>
      <c r="R46" s="478">
        <f t="shared" si="13"/>
        <v>0</v>
      </c>
      <c r="S46" s="478">
        <f t="shared" ca="1" si="3"/>
        <v>0</v>
      </c>
      <c r="T46" s="478">
        <f>R46*Données!$F$36</f>
        <v>0</v>
      </c>
      <c r="U46" s="478">
        <f>R46*Données!$F$28</f>
        <v>0</v>
      </c>
      <c r="V46" s="478">
        <f ca="1">IF(S46=0,0,IF($E$7="C1",(S46*$H$10),IF($E$7="C2",-R46*Données!$G$36*$H$10,0)))</f>
        <v>0</v>
      </c>
      <c r="W46" s="478">
        <f t="shared" si="14"/>
        <v>0</v>
      </c>
    </row>
    <row r="47" spans="1:23">
      <c r="A47" s="477">
        <f t="shared" ca="1" si="4"/>
        <v>73</v>
      </c>
      <c r="B47" s="478">
        <f t="shared" ca="1" si="5"/>
        <v>0</v>
      </c>
      <c r="C47" s="478">
        <f ca="1">IF(OR($C$7=Données!$H$51,$C$7=Données!$H$54,$C$7=Données!$H$55,$C$7=Données!$H$57),0,B47*'Sit 1(2)'!$C$10)</f>
        <v>0</v>
      </c>
      <c r="D47" s="478">
        <f ca="1">IFERROR(IF($H$5="",B47*'CT à Transf'!$K$28,B47*$H$5),B47*$H$5)</f>
        <v>0</v>
      </c>
      <c r="E47" s="478">
        <f t="shared" ca="1" si="6"/>
        <v>0</v>
      </c>
      <c r="F47" s="478">
        <f t="shared" ca="1" si="0"/>
        <v>0</v>
      </c>
      <c r="G47" s="478">
        <f t="shared" ca="1" si="1"/>
        <v>0</v>
      </c>
      <c r="H47" s="478">
        <f t="shared" ca="1" si="2"/>
        <v>0</v>
      </c>
      <c r="J47" s="476"/>
      <c r="K47" s="477">
        <f t="shared" si="7"/>
        <v>91</v>
      </c>
      <c r="L47" s="478">
        <f t="shared" si="8"/>
        <v>0</v>
      </c>
      <c r="M47" s="478">
        <f t="shared" si="9"/>
        <v>0</v>
      </c>
      <c r="N47" s="493">
        <f t="shared" si="10"/>
        <v>0</v>
      </c>
      <c r="O47" s="493">
        <f t="shared" si="11"/>
        <v>0</v>
      </c>
      <c r="P47" s="478">
        <f t="shared" si="12"/>
        <v>0</v>
      </c>
      <c r="Q47" s="504">
        <f ca="1">IF(MEPPER2!$H$15="Protection cellule familiale",0,IF(K47=($C$6+($O$7-$C$6)-1),P47,IF(P47&lt;IF(($O$7-$C$6)=0,0,-PMT($O$5,($O$7-$C$6),$H$13)),P47,IF(($O$7-$C$6)=0,0,-PMT($O$5,($O$7-$C$6),$H$13)))))</f>
        <v>0</v>
      </c>
      <c r="R47" s="478">
        <f t="shared" si="13"/>
        <v>0</v>
      </c>
      <c r="S47" s="478">
        <f t="shared" ca="1" si="3"/>
        <v>0</v>
      </c>
      <c r="T47" s="478">
        <f>R47*Données!$F$36</f>
        <v>0</v>
      </c>
      <c r="U47" s="478">
        <f>R47*Données!$F$28</f>
        <v>0</v>
      </c>
      <c r="V47" s="478">
        <f ca="1">IF(S47=0,0,IF($E$7="C1",(S47*$H$10),IF($E$7="C2",-R47*Données!$G$36*$H$10,0)))</f>
        <v>0</v>
      </c>
      <c r="W47" s="478">
        <f t="shared" si="14"/>
        <v>0</v>
      </c>
    </row>
    <row r="48" spans="1:23">
      <c r="A48" s="477">
        <f t="shared" ca="1" si="4"/>
        <v>74</v>
      </c>
      <c r="B48" s="478">
        <f t="shared" ca="1" si="5"/>
        <v>0</v>
      </c>
      <c r="C48" s="478">
        <f ca="1">IF(OR($C$7=Données!$H$51,$C$7=Données!$H$54,$C$7=Données!$H$55,$C$7=Données!$H$57),0,B48*'Sit 1(2)'!$C$10)</f>
        <v>0</v>
      </c>
      <c r="D48" s="478">
        <f ca="1">IFERROR(IF($H$5="",B48*'CT à Transf'!$K$28,B48*$H$5),B48*$H$5)</f>
        <v>0</v>
      </c>
      <c r="E48" s="478">
        <f t="shared" ca="1" si="6"/>
        <v>0</v>
      </c>
      <c r="F48" s="478">
        <f t="shared" ca="1" si="0"/>
        <v>0</v>
      </c>
      <c r="G48" s="478">
        <f t="shared" ca="1" si="1"/>
        <v>0</v>
      </c>
      <c r="H48" s="478">
        <f t="shared" ca="1" si="2"/>
        <v>0</v>
      </c>
      <c r="J48" s="476"/>
      <c r="K48" s="477">
        <f t="shared" si="7"/>
        <v>92</v>
      </c>
      <c r="L48" s="478">
        <f t="shared" si="8"/>
        <v>0</v>
      </c>
      <c r="M48" s="478">
        <f t="shared" si="9"/>
        <v>0</v>
      </c>
      <c r="N48" s="493">
        <f t="shared" si="10"/>
        <v>0</v>
      </c>
      <c r="O48" s="493">
        <f t="shared" si="11"/>
        <v>0</v>
      </c>
      <c r="P48" s="478">
        <f t="shared" si="12"/>
        <v>0</v>
      </c>
      <c r="Q48" s="504">
        <f ca="1">IF(MEPPER2!$H$15="Protection cellule familiale",0,IF(K48=($C$6+($O$7-$C$6)-1),P48,IF(P48&lt;IF(($O$7-$C$6)=0,0,-PMT($O$5,($O$7-$C$6),$H$13)),P48,IF(($O$7-$C$6)=0,0,-PMT($O$5,($O$7-$C$6),$H$13)))))</f>
        <v>0</v>
      </c>
      <c r="R48" s="478">
        <f t="shared" si="13"/>
        <v>0</v>
      </c>
      <c r="S48" s="478">
        <f t="shared" ca="1" si="3"/>
        <v>0</v>
      </c>
      <c r="T48" s="478">
        <f>R48*Données!$F$36</f>
        <v>0</v>
      </c>
      <c r="U48" s="478">
        <f>R48*Données!$F$28</f>
        <v>0</v>
      </c>
      <c r="V48" s="478">
        <f ca="1">IF(S48=0,0,IF($E$7="C1",(S48*$H$10),IF($E$7="C2",-R48*Données!$G$36*$H$10,0)))</f>
        <v>0</v>
      </c>
      <c r="W48" s="478">
        <f t="shared" si="14"/>
        <v>0</v>
      </c>
    </row>
    <row r="49" spans="1:23">
      <c r="A49" s="477">
        <f t="shared" ca="1" si="4"/>
        <v>75</v>
      </c>
      <c r="B49" s="478">
        <f t="shared" ca="1" si="5"/>
        <v>0</v>
      </c>
      <c r="C49" s="478">
        <f ca="1">IF(OR($C$7=Données!$H$51,$C$7=Données!$H$54,$C$7=Données!$H$55,$C$7=Données!$H$57),0,B49*'Sit 1(2)'!$C$10)</f>
        <v>0</v>
      </c>
      <c r="D49" s="478">
        <f ca="1">IFERROR(IF($H$5="",B49*'CT à Transf'!$K$28,B49*$H$5),B49*$H$5)</f>
        <v>0</v>
      </c>
      <c r="E49" s="478">
        <f t="shared" ca="1" si="6"/>
        <v>0</v>
      </c>
      <c r="F49" s="478">
        <f t="shared" ca="1" si="0"/>
        <v>0</v>
      </c>
      <c r="G49" s="478">
        <f t="shared" ca="1" si="1"/>
        <v>0</v>
      </c>
      <c r="H49" s="478">
        <f t="shared" ca="1" si="2"/>
        <v>0</v>
      </c>
      <c r="J49" s="476"/>
      <c r="K49" s="477">
        <f t="shared" si="7"/>
        <v>93</v>
      </c>
      <c r="L49" s="478">
        <f t="shared" si="8"/>
        <v>0</v>
      </c>
      <c r="M49" s="478">
        <f t="shared" si="9"/>
        <v>0</v>
      </c>
      <c r="N49" s="493">
        <f t="shared" si="10"/>
        <v>0</v>
      </c>
      <c r="O49" s="493">
        <f t="shared" si="11"/>
        <v>0</v>
      </c>
      <c r="P49" s="478">
        <f t="shared" si="12"/>
        <v>0</v>
      </c>
      <c r="Q49" s="504">
        <f>IF(MEPPER2!$H$15="Protection cellule familiale",0,IF(K49=($C$6+($O$7-$C$6)-1),P49,IF(P49&lt;IF(($O$7-$C$6)=0,0,-PMT($O$5,($O$7-$C$6),$H$13)),P49,IF(($O$7-$C$6)=0,0,-PMT($O$5,($O$7-$C$6),$H$13)))))</f>
        <v>0</v>
      </c>
      <c r="R49" s="478">
        <f t="shared" si="13"/>
        <v>0</v>
      </c>
      <c r="S49" s="478">
        <f t="shared" si="3"/>
        <v>0</v>
      </c>
      <c r="T49" s="478">
        <f>R49*Données!$F$36</f>
        <v>0</v>
      </c>
      <c r="U49" s="478">
        <f>R49*Données!$F$28</f>
        <v>0</v>
      </c>
      <c r="V49" s="478">
        <f>IF(S49=0,0,IF($E$7="C1",(S49*$H$10),IF($E$7="C2",-R49*Données!$G$36*$H$10,0)))</f>
        <v>0</v>
      </c>
      <c r="W49" s="478">
        <f t="shared" si="14"/>
        <v>0</v>
      </c>
    </row>
    <row r="50" spans="1:23">
      <c r="A50" s="477">
        <f t="shared" ca="1" si="4"/>
        <v>76</v>
      </c>
      <c r="B50" s="478">
        <f t="shared" ca="1" si="5"/>
        <v>0</v>
      </c>
      <c r="C50" s="478">
        <f ca="1">IF(OR($C$7=Données!$H$51,$C$7=Données!$H$54,$C$7=Données!$H$55,$C$7=Données!$H$57),0,B50*'Sit 1(2)'!$C$10)</f>
        <v>0</v>
      </c>
      <c r="D50" s="478">
        <f ca="1">IFERROR(IF($H$5="",B50*'CT à Transf'!$K$28,B50*$H$5),B50*$H$5)</f>
        <v>0</v>
      </c>
      <c r="E50" s="478">
        <f t="shared" ca="1" si="6"/>
        <v>0</v>
      </c>
      <c r="F50" s="478">
        <f t="shared" ca="1" si="0"/>
        <v>0</v>
      </c>
      <c r="G50" s="478">
        <f t="shared" ca="1" si="1"/>
        <v>0</v>
      </c>
      <c r="H50" s="478">
        <f t="shared" ca="1" si="2"/>
        <v>0</v>
      </c>
      <c r="J50" s="476"/>
      <c r="K50" s="477">
        <f t="shared" si="7"/>
        <v>94</v>
      </c>
      <c r="L50" s="478">
        <f t="shared" si="8"/>
        <v>0</v>
      </c>
      <c r="M50" s="478">
        <f t="shared" si="9"/>
        <v>0</v>
      </c>
      <c r="N50" s="493">
        <f t="shared" si="10"/>
        <v>0</v>
      </c>
      <c r="O50" s="493">
        <f t="shared" si="11"/>
        <v>0</v>
      </c>
      <c r="P50" s="478">
        <f t="shared" si="12"/>
        <v>0</v>
      </c>
      <c r="Q50" s="504">
        <f ca="1">IF(MEPPER2!$H$15="Protection cellule familiale",0,IF(K50=($C$6+($O$7-$C$6)-1),P50,IF(P50&lt;IF(($O$7-$C$6)=0,0,-PMT($O$5,($O$7-$C$6),$H$13)),P50,IF(($O$7-$C$6)=0,0,-PMT($O$5,($O$7-$C$6),$H$13)))))</f>
        <v>0</v>
      </c>
      <c r="R50" s="478">
        <f t="shared" si="13"/>
        <v>0</v>
      </c>
      <c r="S50" s="478">
        <f t="shared" ca="1" si="3"/>
        <v>0</v>
      </c>
      <c r="T50" s="478">
        <f>R50*Données!$F$36</f>
        <v>0</v>
      </c>
      <c r="U50" s="478">
        <f>R50*Données!$F$28</f>
        <v>0</v>
      </c>
      <c r="V50" s="478">
        <f ca="1">IF(S50=0,0,IF($E$7="C1",(S50*$H$10),IF($E$7="C2",-R50*Données!$G$36*$H$10,0)))</f>
        <v>0</v>
      </c>
      <c r="W50" s="478">
        <f t="shared" si="14"/>
        <v>0</v>
      </c>
    </row>
    <row r="51" spans="1:23">
      <c r="A51" s="477">
        <f t="shared" ca="1" si="4"/>
        <v>77</v>
      </c>
      <c r="B51" s="478">
        <f t="shared" ca="1" si="5"/>
        <v>0</v>
      </c>
      <c r="C51" s="478">
        <f ca="1">IF(OR($C$7=Données!$H$51,$C$7=Données!$H$54,$C$7=Données!$H$55,$C$7=Données!$H$57),0,B51*'Sit 1(2)'!$C$10)</f>
        <v>0</v>
      </c>
      <c r="D51" s="478">
        <f ca="1">IFERROR(IF($H$5="",B51*'CT à Transf'!$K$28,B51*$H$5),B51*$H$5)</f>
        <v>0</v>
      </c>
      <c r="E51" s="478">
        <f t="shared" ca="1" si="6"/>
        <v>0</v>
      </c>
      <c r="F51" s="478">
        <f t="shared" ca="1" si="0"/>
        <v>0</v>
      </c>
      <c r="G51" s="478">
        <f t="shared" ca="1" si="1"/>
        <v>0</v>
      </c>
      <c r="H51" s="478">
        <f t="shared" ca="1" si="2"/>
        <v>0</v>
      </c>
      <c r="J51" s="476"/>
      <c r="K51" s="477">
        <f t="shared" si="7"/>
        <v>95</v>
      </c>
      <c r="L51" s="478">
        <f t="shared" si="8"/>
        <v>0</v>
      </c>
      <c r="M51" s="478">
        <f t="shared" si="9"/>
        <v>0</v>
      </c>
      <c r="N51" s="493">
        <f t="shared" si="10"/>
        <v>0</v>
      </c>
      <c r="O51" s="493">
        <f t="shared" si="11"/>
        <v>0</v>
      </c>
      <c r="P51" s="478">
        <f t="shared" si="12"/>
        <v>0</v>
      </c>
      <c r="Q51" s="504">
        <f ca="1">IF(MEPPER2!$H$15="Protection cellule familiale",0,IF(K51=($C$6+($O$7-$C$6)-1),P51,IF(P51&lt;IF(($O$7-$C$6)=0,0,-PMT($O$5,($O$7-$C$6),$H$13)),P51,IF(($O$7-$C$6)=0,0,-PMT($O$5,($O$7-$C$6),$H$13)))))</f>
        <v>0</v>
      </c>
      <c r="R51" s="478">
        <f t="shared" si="13"/>
        <v>0</v>
      </c>
      <c r="S51" s="478">
        <f t="shared" ca="1" si="3"/>
        <v>0</v>
      </c>
      <c r="T51" s="478">
        <f>R51*Données!$F$36</f>
        <v>0</v>
      </c>
      <c r="U51" s="478">
        <f>R51*Données!$F$28</f>
        <v>0</v>
      </c>
      <c r="V51" s="478">
        <f ca="1">IF(S51=0,0,IF($E$7="C1",(S51*$H$10),IF($E$7="C2",-R51*Données!$G$36*$H$10,0)))</f>
        <v>0</v>
      </c>
      <c r="W51" s="478">
        <f t="shared" si="14"/>
        <v>0</v>
      </c>
    </row>
    <row r="52" spans="1:23">
      <c r="A52" s="477">
        <f t="shared" ca="1" si="4"/>
        <v>78</v>
      </c>
      <c r="B52" s="478">
        <f t="shared" ca="1" si="5"/>
        <v>0</v>
      </c>
      <c r="C52" s="478">
        <f ca="1">IF(OR($C$7=Données!$H$51,$C$7=Données!$H$54,$C$7=Données!$H$55,$C$7=Données!$H$57),0,B52*'Sit 1(2)'!$C$10)</f>
        <v>0</v>
      </c>
      <c r="D52" s="478">
        <f ca="1">IFERROR(IF($H$5="",B52*'CT à Transf'!$K$28,B52*$H$5),B52*$H$5)</f>
        <v>0</v>
      </c>
      <c r="E52" s="478">
        <f t="shared" ca="1" si="6"/>
        <v>0</v>
      </c>
      <c r="F52" s="478">
        <f t="shared" ca="1" si="0"/>
        <v>0</v>
      </c>
      <c r="G52" s="478">
        <f t="shared" ca="1" si="1"/>
        <v>0</v>
      </c>
      <c r="H52" s="478">
        <f t="shared" ca="1" si="2"/>
        <v>0</v>
      </c>
      <c r="J52" s="476"/>
      <c r="K52" s="477">
        <f t="shared" si="7"/>
        <v>96</v>
      </c>
      <c r="L52" s="478">
        <f t="shared" si="8"/>
        <v>0</v>
      </c>
      <c r="M52" s="478">
        <f t="shared" si="9"/>
        <v>0</v>
      </c>
      <c r="N52" s="493">
        <f t="shared" si="10"/>
        <v>0</v>
      </c>
      <c r="O52" s="493">
        <f t="shared" si="11"/>
        <v>0</v>
      </c>
      <c r="P52" s="478">
        <f t="shared" si="12"/>
        <v>0</v>
      </c>
      <c r="Q52" s="504">
        <f ca="1">IF(MEPPER2!$H$15="Protection cellule familiale",0,IF(K52=($C$6+($O$7-$C$6)-1),P52,IF(P52&lt;IF(($O$7-$C$6)=0,0,-PMT($O$5,($O$7-$C$6),$H$13)),P52,IF(($O$7-$C$6)=0,0,-PMT($O$5,($O$7-$C$6),$H$13)))))</f>
        <v>0</v>
      </c>
      <c r="R52" s="478">
        <f t="shared" si="13"/>
        <v>0</v>
      </c>
      <c r="S52" s="478">
        <f t="shared" ca="1" si="3"/>
        <v>0</v>
      </c>
      <c r="T52" s="478">
        <f>R52*Données!$F$36</f>
        <v>0</v>
      </c>
      <c r="U52" s="478">
        <f>R52*Données!$F$28</f>
        <v>0</v>
      </c>
      <c r="V52" s="478">
        <f ca="1">IF(S52=0,0,IF($E$7="C1",(S52*$H$10),IF($E$7="C2",-R52*Données!$G$36*$H$10,0)))</f>
        <v>0</v>
      </c>
      <c r="W52" s="478">
        <f t="shared" si="14"/>
        <v>0</v>
      </c>
    </row>
    <row r="53" spans="1:23">
      <c r="A53" s="477">
        <f t="shared" ca="1" si="4"/>
        <v>79</v>
      </c>
      <c r="B53" s="478">
        <f t="shared" ca="1" si="5"/>
        <v>0</v>
      </c>
      <c r="C53" s="478">
        <f ca="1">IF(OR($C$7=Données!$H$51,$C$7=Données!$H$54,$C$7=Données!$H$55,$C$7=Données!$H$57),0,B53*'Sit 1(2)'!$C$10)</f>
        <v>0</v>
      </c>
      <c r="D53" s="478">
        <f ca="1">IFERROR(IF($H$5="",B53*'CT à Transf'!$K$28,B53*$H$5),B53*$H$5)</f>
        <v>0</v>
      </c>
      <c r="E53" s="478">
        <f t="shared" ca="1" si="6"/>
        <v>0</v>
      </c>
      <c r="F53" s="478">
        <f t="shared" ca="1" si="0"/>
        <v>0</v>
      </c>
      <c r="G53" s="478">
        <f t="shared" ca="1" si="1"/>
        <v>0</v>
      </c>
      <c r="H53" s="478">
        <f t="shared" ca="1" si="2"/>
        <v>0</v>
      </c>
      <c r="J53" s="476"/>
      <c r="K53" s="477">
        <f t="shared" si="7"/>
        <v>97</v>
      </c>
      <c r="L53" s="478">
        <f t="shared" si="8"/>
        <v>0</v>
      </c>
      <c r="M53" s="478">
        <f t="shared" si="9"/>
        <v>0</v>
      </c>
      <c r="N53" s="493">
        <f t="shared" si="10"/>
        <v>0</v>
      </c>
      <c r="O53" s="493">
        <f t="shared" si="11"/>
        <v>0</v>
      </c>
      <c r="P53" s="478">
        <f t="shared" si="12"/>
        <v>0</v>
      </c>
      <c r="Q53" s="504">
        <f ca="1">IF(MEPPER2!$H$15="Protection cellule familiale",0,IF(K53=($C$6+($O$7-$C$6)-1),P53,IF(P53&lt;IF(($O$7-$C$6)=0,0,-PMT($O$5,($O$7-$C$6),$H$13)),P53,IF(($O$7-$C$6)=0,0,-PMT($O$5,($O$7-$C$6),$H$13)))))</f>
        <v>0</v>
      </c>
      <c r="R53" s="478">
        <f t="shared" si="13"/>
        <v>0</v>
      </c>
      <c r="S53" s="478">
        <f t="shared" ca="1" si="3"/>
        <v>0</v>
      </c>
      <c r="T53" s="478">
        <f>R53*Données!$F$36</f>
        <v>0</v>
      </c>
      <c r="U53" s="478">
        <f>R53*Données!$F$28</f>
        <v>0</v>
      </c>
      <c r="V53" s="478">
        <f ca="1">IF(S53=0,0,IF($E$7="C1",(S53*$H$10),IF($E$7="C2",-R53*Données!$G$36*$H$10,0)))</f>
        <v>0</v>
      </c>
      <c r="W53" s="478">
        <f t="shared" si="14"/>
        <v>0</v>
      </c>
    </row>
    <row r="54" spans="1:23">
      <c r="A54" s="477">
        <f t="shared" ca="1" si="4"/>
        <v>80</v>
      </c>
      <c r="B54" s="478">
        <f t="shared" ca="1" si="5"/>
        <v>0</v>
      </c>
      <c r="C54" s="478">
        <f ca="1">IF(OR($C$7=Données!$H$51,$C$7=Données!$H$54,$C$7=Données!$H$55,$C$7=Données!$H$57),0,B54*'Sit 1(2)'!$C$10)</f>
        <v>0</v>
      </c>
      <c r="D54" s="478">
        <f ca="1">IFERROR(IF($H$5="",B54*'CT à Transf'!$K$28,B54*$H$5),B54*$H$5)</f>
        <v>0</v>
      </c>
      <c r="E54" s="478">
        <f t="shared" ca="1" si="6"/>
        <v>0</v>
      </c>
      <c r="F54" s="478">
        <f t="shared" ca="1" si="0"/>
        <v>0</v>
      </c>
      <c r="G54" s="478">
        <f t="shared" ca="1" si="1"/>
        <v>0</v>
      </c>
      <c r="H54" s="478">
        <f t="shared" ca="1" si="2"/>
        <v>0</v>
      </c>
      <c r="J54" s="476"/>
      <c r="K54" s="477">
        <f t="shared" si="7"/>
        <v>98</v>
      </c>
      <c r="L54" s="478">
        <f t="shared" si="8"/>
        <v>0</v>
      </c>
      <c r="M54" s="478">
        <f t="shared" si="9"/>
        <v>0</v>
      </c>
      <c r="N54" s="493">
        <f t="shared" si="10"/>
        <v>0</v>
      </c>
      <c r="O54" s="493">
        <f t="shared" si="11"/>
        <v>0</v>
      </c>
      <c r="P54" s="478">
        <f t="shared" si="12"/>
        <v>0</v>
      </c>
      <c r="Q54" s="504">
        <f ca="1">IF(MEPPER2!$H$15="Protection cellule familiale",0,IF(K54=($C$6+($O$7-$C$6)-1),P54,IF(P54&lt;IF(($O$7-$C$6)=0,0,-PMT($O$5,($O$7-$C$6),$H$13)),P54,IF(($O$7-$C$6)=0,0,-PMT($O$5,($O$7-$C$6),$H$13)))))</f>
        <v>0</v>
      </c>
      <c r="R54" s="478">
        <f t="shared" si="13"/>
        <v>0</v>
      </c>
      <c r="S54" s="478">
        <f t="shared" ca="1" si="3"/>
        <v>0</v>
      </c>
      <c r="T54" s="478">
        <f>R54*Données!$F$36</f>
        <v>0</v>
      </c>
      <c r="U54" s="478">
        <f>R54*Données!$F$28</f>
        <v>0</v>
      </c>
      <c r="V54" s="478">
        <f ca="1">IF(S54=0,0,IF($E$7="C1",(S54*$H$10),IF($E$7="C2",-R54*Données!$G$36*$H$10,0)))</f>
        <v>0</v>
      </c>
      <c r="W54" s="478">
        <f t="shared" si="14"/>
        <v>0</v>
      </c>
    </row>
    <row r="55" spans="1:23">
      <c r="A55" s="477">
        <f t="shared" ca="1" si="4"/>
        <v>81</v>
      </c>
      <c r="B55" s="478">
        <f t="shared" ca="1" si="5"/>
        <v>0</v>
      </c>
      <c r="C55" s="478">
        <f ca="1">IF(OR($C$7=Données!$H$51,$C$7=Données!$H$54,$C$7=Données!$H$55,$C$7=Données!$H$57),0,B55*'Sit 1(2)'!$C$10)</f>
        <v>0</v>
      </c>
      <c r="D55" s="478">
        <f ca="1">IFERROR(IF($H$5="",B55*'CT à Transf'!$K$28,B55*$H$5),B55*$H$5)</f>
        <v>0</v>
      </c>
      <c r="E55" s="478">
        <f t="shared" ca="1" si="6"/>
        <v>0</v>
      </c>
      <c r="F55" s="478">
        <f t="shared" ca="1" si="0"/>
        <v>0</v>
      </c>
      <c r="G55" s="478">
        <f t="shared" ca="1" si="1"/>
        <v>0</v>
      </c>
      <c r="H55" s="478">
        <f t="shared" ca="1" si="2"/>
        <v>0</v>
      </c>
      <c r="J55" s="476"/>
      <c r="K55" s="477">
        <f t="shared" si="7"/>
        <v>99</v>
      </c>
      <c r="L55" s="478">
        <f t="shared" si="8"/>
        <v>0</v>
      </c>
      <c r="M55" s="478">
        <f t="shared" si="9"/>
        <v>0</v>
      </c>
      <c r="N55" s="493">
        <f t="shared" si="10"/>
        <v>0</v>
      </c>
      <c r="O55" s="493">
        <f t="shared" si="11"/>
        <v>0</v>
      </c>
      <c r="P55" s="478">
        <f t="shared" si="12"/>
        <v>0</v>
      </c>
      <c r="Q55" s="504">
        <f ca="1">IF(MEPPER2!$H$15="Protection cellule familiale",0,IF(K55=($C$6+($O$7-$C$6)-1),P55,IF(P55&lt;IF(($O$7-$C$6)=0,0,-PMT($O$5,($O$7-$C$6),$H$13)),P55,IF(($O$7-$C$6)=0,0,-PMT($O$5,($O$7-$C$6),$H$13)))))</f>
        <v>0</v>
      </c>
      <c r="R55" s="478">
        <f t="shared" si="13"/>
        <v>0</v>
      </c>
      <c r="S55" s="478">
        <f t="shared" ca="1" si="3"/>
        <v>0</v>
      </c>
      <c r="T55" s="478">
        <f>R55*Données!$F$36</f>
        <v>0</v>
      </c>
      <c r="U55" s="478">
        <f>R55*Données!$F$28</f>
        <v>0</v>
      </c>
      <c r="V55" s="478">
        <f ca="1">IF(S55=0,0,IF($E$7="C1",(S55*$H$10),IF($E$7="C2",-R55*Données!$G$36*$H$10,0)))</f>
        <v>0</v>
      </c>
      <c r="W55" s="478">
        <f t="shared" si="14"/>
        <v>0</v>
      </c>
    </row>
    <row r="56" spans="1:23">
      <c r="A56" s="477">
        <f t="shared" ca="1" si="4"/>
        <v>82</v>
      </c>
      <c r="B56" s="478">
        <f t="shared" ca="1" si="5"/>
        <v>0</v>
      </c>
      <c r="C56" s="478">
        <f ca="1">IF(OR($C$7=Données!$H$51,$C$7=Données!$H$54,$C$7=Données!$H$55,$C$7=Données!$H$57),0,B56*'Sit 1(2)'!$C$10)</f>
        <v>0</v>
      </c>
      <c r="D56" s="478">
        <f ca="1">IFERROR(IF($H$5="",B56*'CT à Transf'!$K$28,B56*$H$5),B56*$H$5)</f>
        <v>0</v>
      </c>
      <c r="E56" s="478">
        <f t="shared" ca="1" si="6"/>
        <v>0</v>
      </c>
      <c r="F56" s="478">
        <f t="shared" ca="1" si="0"/>
        <v>0</v>
      </c>
      <c r="G56" s="478">
        <f t="shared" ca="1" si="1"/>
        <v>0</v>
      </c>
      <c r="H56" s="478">
        <f t="shared" ca="1" si="2"/>
        <v>0</v>
      </c>
      <c r="J56" s="476"/>
      <c r="K56" s="477">
        <f t="shared" si="7"/>
        <v>100</v>
      </c>
      <c r="L56" s="478">
        <f t="shared" si="8"/>
        <v>0</v>
      </c>
      <c r="M56" s="478">
        <f t="shared" si="9"/>
        <v>0</v>
      </c>
      <c r="N56" s="493">
        <f t="shared" si="10"/>
        <v>0</v>
      </c>
      <c r="O56" s="493">
        <f t="shared" si="11"/>
        <v>0</v>
      </c>
      <c r="P56" s="478">
        <f t="shared" si="12"/>
        <v>0</v>
      </c>
      <c r="Q56" s="504">
        <f ca="1">IF(MEPPER2!$H$15="Protection cellule familiale",0,IF(K56=($C$6+($O$7-$C$6)-1),P56,IF(P56&lt;IF(($O$7-$C$6)=0,0,-PMT($O$5,($O$7-$C$6),$H$13)),P56,IF(($O$7-$C$6)=0,0,-PMT($O$5,($O$7-$C$6),$H$13)))))</f>
        <v>0</v>
      </c>
      <c r="R56" s="478">
        <f t="shared" si="13"/>
        <v>0</v>
      </c>
      <c r="S56" s="478">
        <f t="shared" ca="1" si="3"/>
        <v>0</v>
      </c>
      <c r="T56" s="478">
        <f>R56*Données!$F$36</f>
        <v>0</v>
      </c>
      <c r="U56" s="478">
        <f>R56*Données!$F$28</f>
        <v>0</v>
      </c>
      <c r="V56" s="478">
        <f ca="1">IF(S56=0,0,IF($E$7="C1",(S56*$H$10),IF($E$7="C2",-R56*Données!$G$36*$H$10,0)))</f>
        <v>0</v>
      </c>
      <c r="W56" s="478">
        <f t="shared" si="14"/>
        <v>0</v>
      </c>
    </row>
    <row r="57" spans="1:23">
      <c r="A57" s="477">
        <f t="shared" ca="1" si="4"/>
        <v>83</v>
      </c>
      <c r="B57" s="478">
        <f t="shared" ca="1" si="5"/>
        <v>0</v>
      </c>
      <c r="C57" s="478">
        <f ca="1">IF(OR($C$7=Données!$H$51,$C$7=Données!$H$54,$C$7=Données!$H$55,$C$7=Données!$H$57),0,B57*'Sit 1(2)'!$C$10)</f>
        <v>0</v>
      </c>
      <c r="D57" s="478">
        <f ca="1">IFERROR(IF($H$5="",B57*'CT à Transf'!$K$28,B57*$H$5),B57*$H$5)</f>
        <v>0</v>
      </c>
      <c r="E57" s="478">
        <f t="shared" ca="1" si="6"/>
        <v>0</v>
      </c>
      <c r="F57" s="478">
        <f t="shared" ca="1" si="0"/>
        <v>0</v>
      </c>
      <c r="G57" s="478">
        <f t="shared" ca="1" si="1"/>
        <v>0</v>
      </c>
      <c r="H57" s="478">
        <f t="shared" ca="1" si="2"/>
        <v>0</v>
      </c>
      <c r="J57" s="476"/>
      <c r="K57" s="477">
        <f t="shared" si="7"/>
        <v>101</v>
      </c>
      <c r="L57" s="478">
        <f t="shared" si="8"/>
        <v>0</v>
      </c>
      <c r="M57" s="478">
        <f t="shared" si="9"/>
        <v>0</v>
      </c>
      <c r="N57" s="493">
        <f t="shared" si="10"/>
        <v>0</v>
      </c>
      <c r="O57" s="493">
        <f t="shared" si="11"/>
        <v>0</v>
      </c>
      <c r="P57" s="478">
        <f t="shared" si="12"/>
        <v>0</v>
      </c>
      <c r="Q57" s="504">
        <f ca="1">IF(MEPPER2!$H$15="Protection cellule familiale",0,IF(K57=($C$6+($O$7-$C$6)-1),P57,IF(P57&lt;IF(($O$7-$C$6)=0,0,-PMT($O$5,($O$7-$C$6),$H$13)),P57,IF(($O$7-$C$6)=0,0,-PMT($O$5,($O$7-$C$6),$H$13)))))</f>
        <v>0</v>
      </c>
      <c r="R57" s="478">
        <f t="shared" si="13"/>
        <v>0</v>
      </c>
      <c r="S57" s="478">
        <f t="shared" ca="1" si="3"/>
        <v>0</v>
      </c>
      <c r="T57" s="478">
        <f>R57*Données!$F$36</f>
        <v>0</v>
      </c>
      <c r="U57" s="478">
        <f>R57*Données!$F$28</f>
        <v>0</v>
      </c>
      <c r="V57" s="478">
        <f ca="1">IF(S57=0,0,IF($E$7="C1",(S57*$H$10),IF($E$7="C2",-R57*Données!$G$36*$H$10,0)))</f>
        <v>0</v>
      </c>
      <c r="W57" s="478">
        <f t="shared" si="14"/>
        <v>0</v>
      </c>
    </row>
    <row r="58" spans="1:23">
      <c r="A58" s="477">
        <f t="shared" ca="1" si="4"/>
        <v>84</v>
      </c>
      <c r="B58" s="478">
        <f t="shared" ca="1" si="5"/>
        <v>0</v>
      </c>
      <c r="C58" s="478">
        <f ca="1">IF(OR($C$7=Données!$H$51,$C$7=Données!$H$54,$C$7=Données!$H$55,$C$7=Données!$H$57),0,B58*'Sit 1(2)'!$C$10)</f>
        <v>0</v>
      </c>
      <c r="D58" s="478">
        <f ca="1">IFERROR(IF($H$5="",B58*'CT à Transf'!$K$28,B58*$H$5),B58*$H$5)</f>
        <v>0</v>
      </c>
      <c r="E58" s="478">
        <f t="shared" ca="1" si="6"/>
        <v>0</v>
      </c>
      <c r="F58" s="478">
        <f t="shared" ca="1" si="0"/>
        <v>0</v>
      </c>
      <c r="G58" s="478">
        <f t="shared" ca="1" si="1"/>
        <v>0</v>
      </c>
      <c r="H58" s="478">
        <f t="shared" ca="1" si="2"/>
        <v>0</v>
      </c>
      <c r="J58" s="476"/>
      <c r="K58" s="477">
        <f t="shared" si="7"/>
        <v>102</v>
      </c>
      <c r="L58" s="478">
        <f t="shared" si="8"/>
        <v>0</v>
      </c>
      <c r="M58" s="478">
        <f t="shared" si="9"/>
        <v>0</v>
      </c>
      <c r="N58" s="493">
        <f t="shared" si="10"/>
        <v>0</v>
      </c>
      <c r="O58" s="493">
        <f t="shared" si="11"/>
        <v>0</v>
      </c>
      <c r="P58" s="478">
        <f t="shared" si="12"/>
        <v>0</v>
      </c>
      <c r="Q58" s="504">
        <f ca="1">IF(MEPPER2!$H$15="Protection cellule familiale",0,IF(K58=($C$6+($O$7-$C$6)-1),P58,IF(P58&lt;IF(($O$7-$C$6)=0,0,-PMT($O$5,($O$7-$C$6),$H$13)),P58,IF(($O$7-$C$6)=0,0,-PMT($O$5,($O$7-$C$6),$H$13)))))</f>
        <v>0</v>
      </c>
      <c r="R58" s="478">
        <f t="shared" si="13"/>
        <v>0</v>
      </c>
      <c r="S58" s="478">
        <f t="shared" ca="1" si="3"/>
        <v>0</v>
      </c>
      <c r="T58" s="478">
        <f>R58*Données!$F$36</f>
        <v>0</v>
      </c>
      <c r="U58" s="478">
        <f>R58*Données!$F$28</f>
        <v>0</v>
      </c>
      <c r="V58" s="478">
        <f ca="1">IF(S58=0,0,IF($E$7="C1",(S58*$H$10),IF($E$7="C2",-R58*Données!$G$36*$H$10,0)))</f>
        <v>0</v>
      </c>
      <c r="W58" s="478">
        <f t="shared" si="14"/>
        <v>0</v>
      </c>
    </row>
    <row r="59" spans="1:23">
      <c r="A59" s="477">
        <f t="shared" ca="1" si="4"/>
        <v>85</v>
      </c>
      <c r="B59" s="478">
        <f t="shared" ca="1" si="5"/>
        <v>0</v>
      </c>
      <c r="C59" s="478">
        <f ca="1">IF(OR($C$7=Données!$H$51,$C$7=Données!$H$54,$C$7=Données!$H$55,$C$7=Données!$H$57),0,B59*'Sit 1(2)'!$C$10)</f>
        <v>0</v>
      </c>
      <c r="D59" s="478">
        <f ca="1">IFERROR(IF($H$5="",B59*'CT à Transf'!$K$28,B59*$H$5),B59*$H$5)</f>
        <v>0</v>
      </c>
      <c r="E59" s="478">
        <f t="shared" ca="1" si="6"/>
        <v>0</v>
      </c>
      <c r="F59" s="478">
        <f t="shared" ca="1" si="0"/>
        <v>0</v>
      </c>
      <c r="G59" s="478">
        <f t="shared" ca="1" si="1"/>
        <v>0</v>
      </c>
      <c r="H59" s="478">
        <f t="shared" ca="1" si="2"/>
        <v>0</v>
      </c>
      <c r="J59" s="476"/>
      <c r="K59" s="477">
        <f t="shared" si="7"/>
        <v>103</v>
      </c>
      <c r="L59" s="478">
        <f t="shared" si="8"/>
        <v>0</v>
      </c>
      <c r="M59" s="478">
        <f t="shared" si="9"/>
        <v>0</v>
      </c>
      <c r="N59" s="493">
        <f t="shared" si="10"/>
        <v>0</v>
      </c>
      <c r="O59" s="493">
        <f t="shared" si="11"/>
        <v>0</v>
      </c>
      <c r="P59" s="478">
        <f t="shared" si="12"/>
        <v>0</v>
      </c>
      <c r="Q59" s="504">
        <f ca="1">IF(MEPPER2!$H$15="Protection cellule familiale",0,IF(K59=($C$6+($O$7-$C$6)-1),P59,IF(P59&lt;IF(($O$7-$C$6)=0,0,-PMT($O$5,($O$7-$C$6),$H$13)),P59,IF(($O$7-$C$6)=0,0,-PMT($O$5,($O$7-$C$6),$H$13)))))</f>
        <v>0</v>
      </c>
      <c r="R59" s="478">
        <f t="shared" si="13"/>
        <v>0</v>
      </c>
      <c r="S59" s="478">
        <f t="shared" ca="1" si="3"/>
        <v>0</v>
      </c>
      <c r="T59" s="478">
        <f>R59*Données!$F$36</f>
        <v>0</v>
      </c>
      <c r="U59" s="478">
        <f>R59*Données!$F$28</f>
        <v>0</v>
      </c>
      <c r="V59" s="478">
        <f ca="1">IF(S59=0,0,IF($E$7="C1",(S59*$H$10),IF($E$7="C2",-R59*Données!$G$36*$H$10,0)))</f>
        <v>0</v>
      </c>
      <c r="W59" s="478">
        <f t="shared" si="14"/>
        <v>0</v>
      </c>
    </row>
    <row r="60" spans="1:23">
      <c r="A60" s="477">
        <f t="shared" ca="1" si="4"/>
        <v>86</v>
      </c>
      <c r="B60" s="478">
        <f t="shared" ca="1" si="5"/>
        <v>0</v>
      </c>
      <c r="C60" s="478">
        <f ca="1">IF(OR($C$7=Données!$H$51,$C$7=Données!$H$54,$C$7=Données!$H$55,$C$7=Données!$H$57),0,B60*'Sit 1(2)'!$C$10)</f>
        <v>0</v>
      </c>
      <c r="D60" s="478">
        <f ca="1">IFERROR(IF($H$5="",B60*'CT à Transf'!$K$28,B60*$H$5),B60*$H$5)</f>
        <v>0</v>
      </c>
      <c r="E60" s="478">
        <f t="shared" ca="1" si="6"/>
        <v>0</v>
      </c>
      <c r="F60" s="478">
        <f t="shared" ca="1" si="0"/>
        <v>0</v>
      </c>
      <c r="G60" s="478">
        <f t="shared" ca="1" si="1"/>
        <v>0</v>
      </c>
      <c r="H60" s="478">
        <f t="shared" ca="1" si="2"/>
        <v>0</v>
      </c>
      <c r="J60" s="476"/>
      <c r="K60" s="477">
        <f t="shared" si="7"/>
        <v>104</v>
      </c>
      <c r="L60" s="478">
        <f t="shared" si="8"/>
        <v>0</v>
      </c>
      <c r="M60" s="478">
        <f t="shared" si="9"/>
        <v>0</v>
      </c>
      <c r="N60" s="493">
        <f t="shared" si="10"/>
        <v>0</v>
      </c>
      <c r="O60" s="493">
        <f t="shared" si="11"/>
        <v>0</v>
      </c>
      <c r="P60" s="478">
        <f t="shared" si="12"/>
        <v>0</v>
      </c>
      <c r="Q60" s="504">
        <f ca="1">IF(MEPPER2!$H$15="Protection cellule familiale",0,IF(K60=($C$6+($O$7-$C$6)-1),P60,IF(P60&lt;IF(($O$7-$C$6)=0,0,-PMT($O$5,($O$7-$C$6),$H$13)),P60,IF(($O$7-$C$6)=0,0,-PMT($O$5,($O$7-$C$6),$H$13)))))</f>
        <v>0</v>
      </c>
      <c r="R60" s="478">
        <f t="shared" si="13"/>
        <v>0</v>
      </c>
      <c r="S60" s="478">
        <f t="shared" ca="1" si="3"/>
        <v>0</v>
      </c>
      <c r="T60" s="478">
        <f>R60*Données!$F$36</f>
        <v>0</v>
      </c>
      <c r="U60" s="478">
        <f>R60*Données!$F$28</f>
        <v>0</v>
      </c>
      <c r="V60" s="478">
        <f ca="1">IF(S60=0,0,IF($E$7="C1",(S60*$H$10),IF($E$7="C2",-R60*Données!$G$36*$H$10,0)))</f>
        <v>0</v>
      </c>
      <c r="W60" s="478">
        <f t="shared" si="14"/>
        <v>0</v>
      </c>
    </row>
    <row r="61" spans="1:23">
      <c r="A61" s="477">
        <f t="shared" ca="1" si="4"/>
        <v>87</v>
      </c>
      <c r="B61" s="478">
        <f t="shared" ca="1" si="5"/>
        <v>0</v>
      </c>
      <c r="C61" s="478">
        <f ca="1">IF(OR($C$7=Données!$H$51,$C$7=Données!$H$54,$C$7=Données!$H$55,$C$7=Données!$H$57),0,B61*'Sit 1(2)'!$C$10)</f>
        <v>0</v>
      </c>
      <c r="D61" s="478">
        <f ca="1">IFERROR(IF($H$5="",B61*'CT à Transf'!$K$28,B61*$H$5),B61*$H$5)</f>
        <v>0</v>
      </c>
      <c r="E61" s="478">
        <f t="shared" ca="1" si="6"/>
        <v>0</v>
      </c>
      <c r="F61" s="478">
        <f t="shared" ca="1" si="0"/>
        <v>0</v>
      </c>
      <c r="G61" s="478">
        <f t="shared" ca="1" si="1"/>
        <v>0</v>
      </c>
      <c r="H61" s="478">
        <f t="shared" ca="1" si="2"/>
        <v>0</v>
      </c>
      <c r="J61" s="476"/>
      <c r="K61" s="477">
        <f t="shared" si="7"/>
        <v>105</v>
      </c>
      <c r="L61" s="478">
        <f t="shared" si="8"/>
        <v>0</v>
      </c>
      <c r="M61" s="478">
        <f t="shared" si="9"/>
        <v>0</v>
      </c>
      <c r="N61" s="493">
        <f t="shared" si="10"/>
        <v>0</v>
      </c>
      <c r="O61" s="493">
        <f t="shared" si="11"/>
        <v>0</v>
      </c>
      <c r="P61" s="478">
        <f t="shared" si="12"/>
        <v>0</v>
      </c>
      <c r="Q61" s="504">
        <f ca="1">IF(MEPPER2!$H$15="Protection cellule familiale",0,IF(K61=($C$6+($O$7-$C$6)-1),P61,IF(P61&lt;IF(($O$7-$C$6)=0,0,-PMT($O$5,($O$7-$C$6),$H$13)),P61,IF(($O$7-$C$6)=0,0,-PMT($O$5,($O$7-$C$6),$H$13)))))</f>
        <v>0</v>
      </c>
      <c r="R61" s="478">
        <f t="shared" si="13"/>
        <v>0</v>
      </c>
      <c r="S61" s="478">
        <f t="shared" ca="1" si="3"/>
        <v>0</v>
      </c>
      <c r="T61" s="478">
        <f>R61*Données!$F$36</f>
        <v>0</v>
      </c>
      <c r="U61" s="478">
        <f>R61*Données!$F$28</f>
        <v>0</v>
      </c>
      <c r="V61" s="478">
        <f ca="1">IF(S61=0,0,IF($E$7="C1",(S61*$H$10),IF($E$7="C2",-R61*Données!$G$36*$H$10,0)))</f>
        <v>0</v>
      </c>
      <c r="W61" s="478">
        <f t="shared" si="14"/>
        <v>0</v>
      </c>
    </row>
    <row r="62" spans="1:23">
      <c r="A62" s="477">
        <f t="shared" ca="1" si="4"/>
        <v>88</v>
      </c>
      <c r="B62" s="478">
        <f t="shared" ca="1" si="5"/>
        <v>0</v>
      </c>
      <c r="C62" s="478">
        <f ca="1">IF(OR($C$7=Données!$H$51,$C$7=Données!$H$54,$C$7=Données!$H$55,$C$7=Données!$H$57),0,B62*'Sit 1(2)'!$C$10)</f>
        <v>0</v>
      </c>
      <c r="D62" s="478">
        <f ca="1">IFERROR(IF($H$5="",B62*'CT à Transf'!$K$28,B62*$H$5),B62*$H$5)</f>
        <v>0</v>
      </c>
      <c r="E62" s="478">
        <f t="shared" ca="1" si="6"/>
        <v>0</v>
      </c>
      <c r="F62" s="478">
        <f t="shared" ca="1" si="0"/>
        <v>0</v>
      </c>
      <c r="G62" s="478">
        <f t="shared" ca="1" si="1"/>
        <v>0</v>
      </c>
      <c r="H62" s="478">
        <f t="shared" ca="1" si="2"/>
        <v>0</v>
      </c>
      <c r="J62" s="476"/>
      <c r="K62" s="477">
        <f t="shared" si="7"/>
        <v>106</v>
      </c>
      <c r="L62" s="478">
        <f t="shared" si="8"/>
        <v>0</v>
      </c>
      <c r="M62" s="478">
        <f t="shared" si="9"/>
        <v>0</v>
      </c>
      <c r="N62" s="493">
        <f t="shared" si="10"/>
        <v>0</v>
      </c>
      <c r="O62" s="493">
        <f t="shared" si="11"/>
        <v>0</v>
      </c>
      <c r="P62" s="478">
        <f t="shared" si="12"/>
        <v>0</v>
      </c>
      <c r="Q62" s="504">
        <f ca="1">IF(MEPPER2!$H$15="Protection cellule familiale",0,IF(K62=($C$6+($O$7-$C$6)-1),P62,IF(P62&lt;IF(($O$7-$C$6)=0,0,-PMT($O$5,($O$7-$C$6),$H$13)),P62,IF(($O$7-$C$6)=0,0,-PMT($O$5,($O$7-$C$6),$H$13)))))</f>
        <v>0</v>
      </c>
      <c r="R62" s="478">
        <f t="shared" si="13"/>
        <v>0</v>
      </c>
      <c r="S62" s="478">
        <f t="shared" ca="1" si="3"/>
        <v>0</v>
      </c>
      <c r="T62" s="478">
        <f>R62*Données!$F$36</f>
        <v>0</v>
      </c>
      <c r="U62" s="478">
        <f>R62*Données!$F$28</f>
        <v>0</v>
      </c>
      <c r="V62" s="478">
        <f ca="1">IF(S62=0,0,IF($E$7="C1",(S62*$H$10),IF($E$7="C2",-R62*Données!$G$36*$H$10,0)))</f>
        <v>0</v>
      </c>
      <c r="W62" s="478">
        <f t="shared" si="14"/>
        <v>0</v>
      </c>
    </row>
    <row r="63" spans="1:23">
      <c r="A63" s="477">
        <f t="shared" ca="1" si="4"/>
        <v>89</v>
      </c>
      <c r="B63" s="478">
        <f t="shared" ca="1" si="5"/>
        <v>0</v>
      </c>
      <c r="C63" s="478">
        <f ca="1">IF(OR($C$7=Données!$H$51,$C$7=Données!$H$54,$C$7=Données!$H$55,$C$7=Données!$H$57),0,B63*'Sit 1(2)'!$C$10)</f>
        <v>0</v>
      </c>
      <c r="D63" s="478">
        <f ca="1">IFERROR(IF($H$5="",B63*'CT à Transf'!$K$28,B63*$H$5),B63*$H$5)</f>
        <v>0</v>
      </c>
      <c r="E63" s="478">
        <f t="shared" ca="1" si="6"/>
        <v>0</v>
      </c>
      <c r="F63" s="478">
        <f t="shared" ca="1" si="0"/>
        <v>0</v>
      </c>
      <c r="G63" s="478">
        <f t="shared" ca="1" si="1"/>
        <v>0</v>
      </c>
      <c r="H63" s="478">
        <f t="shared" ca="1" si="2"/>
        <v>0</v>
      </c>
      <c r="J63" s="476"/>
      <c r="K63" s="477">
        <f t="shared" si="7"/>
        <v>107</v>
      </c>
      <c r="L63" s="478">
        <f t="shared" si="8"/>
        <v>0</v>
      </c>
      <c r="M63" s="478">
        <f t="shared" si="9"/>
        <v>0</v>
      </c>
      <c r="N63" s="493">
        <f t="shared" si="10"/>
        <v>0</v>
      </c>
      <c r="O63" s="493">
        <f t="shared" si="11"/>
        <v>0</v>
      </c>
      <c r="P63" s="478">
        <f t="shared" si="12"/>
        <v>0</v>
      </c>
      <c r="Q63" s="504">
        <f ca="1">IF(MEPPER2!$H$15="Protection cellule familiale",0,IF(K63=($C$6+($O$7-$C$6)-1),P63,IF(P63&lt;IF(($O$7-$C$6)=0,0,-PMT($O$5,($O$7-$C$6),$H$13)),P63,IF(($O$7-$C$6)=0,0,-PMT($O$5,($O$7-$C$6),$H$13)))))</f>
        <v>0</v>
      </c>
      <c r="R63" s="478">
        <f t="shared" si="13"/>
        <v>0</v>
      </c>
      <c r="S63" s="478">
        <f t="shared" ca="1" si="3"/>
        <v>0</v>
      </c>
      <c r="T63" s="478">
        <f>R63*Données!$F$36</f>
        <v>0</v>
      </c>
      <c r="U63" s="478">
        <f>R63*Données!$F$28</f>
        <v>0</v>
      </c>
      <c r="V63" s="478">
        <f ca="1">IF(S63=0,0,IF($E$7="C1",(S63*$H$10),IF($E$7="C2",-R63*Données!$G$36*$H$10,0)))</f>
        <v>0</v>
      </c>
      <c r="W63" s="478">
        <f t="shared" si="14"/>
        <v>0</v>
      </c>
    </row>
    <row r="64" spans="1:23">
      <c r="A64" s="477">
        <f t="shared" ca="1" si="4"/>
        <v>90</v>
      </c>
      <c r="B64" s="478">
        <f t="shared" ca="1" si="5"/>
        <v>0</v>
      </c>
      <c r="C64" s="478">
        <f ca="1">IF(OR($C$7=Données!$H$51,$C$7=Données!$H$54,$C$7=Données!$H$55,$C$7=Données!$H$57),0,B64*'Sit 1(2)'!$C$10)</f>
        <v>0</v>
      </c>
      <c r="D64" s="478">
        <f ca="1">IFERROR(IF($H$5="",B64*'CT à Transf'!$K$28,B64*$H$5),B64*$H$5)</f>
        <v>0</v>
      </c>
      <c r="E64" s="478">
        <f t="shared" ca="1" si="6"/>
        <v>0</v>
      </c>
      <c r="F64" s="478">
        <f t="shared" ca="1" si="0"/>
        <v>0</v>
      </c>
      <c r="G64" s="478">
        <f t="shared" ca="1" si="1"/>
        <v>0</v>
      </c>
      <c r="H64" s="478">
        <f t="shared" ca="1" si="2"/>
        <v>0</v>
      </c>
      <c r="J64" s="476"/>
      <c r="K64" s="477">
        <f t="shared" si="7"/>
        <v>108</v>
      </c>
      <c r="L64" s="478">
        <f t="shared" si="8"/>
        <v>0</v>
      </c>
      <c r="M64" s="478">
        <f t="shared" si="9"/>
        <v>0</v>
      </c>
      <c r="N64" s="493">
        <f t="shared" si="10"/>
        <v>0</v>
      </c>
      <c r="O64" s="493">
        <f t="shared" si="11"/>
        <v>0</v>
      </c>
      <c r="P64" s="478">
        <f t="shared" si="12"/>
        <v>0</v>
      </c>
      <c r="Q64" s="504">
        <f ca="1">IF(MEPPER2!$H$15="Protection cellule familiale",0,IF(K64=($C$6+($O$7-$C$6)-1),P64,IF(P64&lt;IF(($O$7-$C$6)=0,0,-PMT($O$5,($O$7-$C$6),$H$13)),P64,IF(($O$7-$C$6)=0,0,-PMT($O$5,($O$7-$C$6),$H$13)))))</f>
        <v>0</v>
      </c>
      <c r="R64" s="478">
        <f t="shared" si="13"/>
        <v>0</v>
      </c>
      <c r="S64" s="478">
        <f t="shared" ca="1" si="3"/>
        <v>0</v>
      </c>
      <c r="T64" s="478">
        <f>R64*Données!$F$36</f>
        <v>0</v>
      </c>
      <c r="U64" s="478">
        <f>R64*Données!$F$28</f>
        <v>0</v>
      </c>
      <c r="V64" s="478">
        <f ca="1">IF(S64=0,0,IF($E$7="C1",(S64*$H$10),IF($E$7="C2",-R64*Données!$G$36*$H$10,0)))</f>
        <v>0</v>
      </c>
      <c r="W64" s="478">
        <f t="shared" si="14"/>
        <v>0</v>
      </c>
    </row>
    <row r="65" spans="1:23">
      <c r="A65" s="477">
        <f t="shared" ca="1" si="4"/>
        <v>91</v>
      </c>
      <c r="B65" s="478">
        <f t="shared" ca="1" si="5"/>
        <v>0</v>
      </c>
      <c r="C65" s="478">
        <f ca="1">IF(OR($C$7=Données!$H$51,$C$7=Données!$H$54,$C$7=Données!$H$55,$C$7=Données!$H$57),0,B65*'Sit 1(2)'!$C$10)</f>
        <v>0</v>
      </c>
      <c r="D65" s="478">
        <f ca="1">IFERROR(IF($H$5="",B65*'CT à Transf'!$K$28,B65*$H$5),B65*$H$5)</f>
        <v>0</v>
      </c>
      <c r="E65" s="478">
        <f t="shared" ca="1" si="6"/>
        <v>0</v>
      </c>
      <c r="F65" s="478">
        <f t="shared" ca="1" si="0"/>
        <v>0</v>
      </c>
      <c r="G65" s="478">
        <f t="shared" ca="1" si="1"/>
        <v>0</v>
      </c>
      <c r="H65" s="478">
        <f t="shared" ca="1" si="2"/>
        <v>0</v>
      </c>
      <c r="J65" s="476"/>
      <c r="K65" s="477">
        <f t="shared" si="7"/>
        <v>109</v>
      </c>
      <c r="L65" s="478">
        <f t="shared" si="8"/>
        <v>0</v>
      </c>
      <c r="M65" s="478">
        <f t="shared" si="9"/>
        <v>0</v>
      </c>
      <c r="N65" s="493">
        <f t="shared" si="10"/>
        <v>0</v>
      </c>
      <c r="O65" s="493">
        <f t="shared" si="11"/>
        <v>0</v>
      </c>
      <c r="P65" s="478">
        <f t="shared" si="12"/>
        <v>0</v>
      </c>
      <c r="Q65" s="504">
        <f ca="1">IF(MEPPER2!$H$15="Protection cellule familiale",0,IF(K65=($C$6+($O$7-$C$6)-1),P65,IF(P65&lt;IF(($O$7-$C$6)=0,0,-PMT($O$5,($O$7-$C$6),$H$13)),P65,IF(($O$7-$C$6)=0,0,-PMT($O$5,($O$7-$C$6),$H$13)))))</f>
        <v>0</v>
      </c>
      <c r="R65" s="478">
        <f t="shared" si="13"/>
        <v>0</v>
      </c>
      <c r="S65" s="478">
        <f t="shared" ca="1" si="3"/>
        <v>0</v>
      </c>
      <c r="T65" s="478">
        <f>R65*Données!$F$36</f>
        <v>0</v>
      </c>
      <c r="U65" s="478">
        <f>R65*Données!$F$28</f>
        <v>0</v>
      </c>
      <c r="V65" s="478">
        <f ca="1">IF(S65=0,0,IF($E$7="C1",(S65*$H$10),IF($E$7="C2",-R65*Données!$G$36*$H$10,0)))</f>
        <v>0</v>
      </c>
      <c r="W65" s="478">
        <f t="shared" si="14"/>
        <v>0</v>
      </c>
    </row>
    <row r="66" spans="1:23">
      <c r="A66" s="477">
        <f t="shared" ca="1" si="4"/>
        <v>92</v>
      </c>
      <c r="B66" s="478">
        <f t="shared" ca="1" si="5"/>
        <v>0</v>
      </c>
      <c r="C66" s="478">
        <f ca="1">IF(OR($C$7=Données!$H$51,$C$7=Données!$H$54,$C$7=Données!$H$55,$C$7=Données!$H$57),0,B66*'Sit 1(2)'!$C$10)</f>
        <v>0</v>
      </c>
      <c r="D66" s="478">
        <f ca="1">IFERROR(IF($H$5="",B66*'CT à Transf'!$K$28,B66*$H$5),B66*$H$5)</f>
        <v>0</v>
      </c>
      <c r="E66" s="478">
        <f t="shared" ca="1" si="6"/>
        <v>0</v>
      </c>
      <c r="F66" s="478">
        <f t="shared" ca="1" si="0"/>
        <v>0</v>
      </c>
      <c r="G66" s="478">
        <f t="shared" ca="1" si="1"/>
        <v>0</v>
      </c>
      <c r="H66" s="478">
        <f t="shared" ca="1" si="2"/>
        <v>0</v>
      </c>
      <c r="J66" s="476"/>
      <c r="K66" s="477">
        <f t="shared" si="7"/>
        <v>110</v>
      </c>
      <c r="L66" s="478">
        <f t="shared" si="8"/>
        <v>0</v>
      </c>
      <c r="M66" s="478">
        <f t="shared" si="9"/>
        <v>0</v>
      </c>
      <c r="N66" s="493">
        <f t="shared" si="10"/>
        <v>0</v>
      </c>
      <c r="O66" s="493">
        <f t="shared" si="11"/>
        <v>0</v>
      </c>
      <c r="P66" s="478">
        <f t="shared" si="12"/>
        <v>0</v>
      </c>
      <c r="Q66" s="504">
        <f ca="1">IF(MEPPER2!$H$15="Protection cellule familiale",0,IF(K66=($C$6+($O$7-$C$6)-1),P66,IF(P66&lt;IF(($O$7-$C$6)=0,0,-PMT($O$5,($O$7-$C$6),$H$13)),P66,IF(($O$7-$C$6)=0,0,-PMT($O$5,($O$7-$C$6),$H$13)))))</f>
        <v>0</v>
      </c>
      <c r="R66" s="478">
        <f t="shared" si="13"/>
        <v>0</v>
      </c>
      <c r="S66" s="478">
        <f t="shared" ca="1" si="3"/>
        <v>0</v>
      </c>
      <c r="T66" s="478">
        <f>R66*Données!$F$36</f>
        <v>0</v>
      </c>
      <c r="U66" s="478">
        <f>R66*Données!$F$28</f>
        <v>0</v>
      </c>
      <c r="V66" s="478">
        <f ca="1">IF(S66=0,0,IF($E$7="C1",(S66*$H$10),IF($E$7="C2",-R66*Données!$G$36*$H$10,0)))</f>
        <v>0</v>
      </c>
      <c r="W66" s="478">
        <f t="shared" si="14"/>
        <v>0</v>
      </c>
    </row>
    <row r="67" spans="1:23">
      <c r="A67" s="477">
        <f t="shared" ca="1" si="4"/>
        <v>93</v>
      </c>
      <c r="B67" s="478">
        <f t="shared" ca="1" si="5"/>
        <v>0</v>
      </c>
      <c r="C67" s="478">
        <f ca="1">IF(OR($C$7=Données!$H$51,$C$7=Données!$H$54,$C$7=Données!$H$55,$C$7=Données!$H$57),0,B67*'Sit 1(2)'!$C$10)</f>
        <v>0</v>
      </c>
      <c r="D67" s="478">
        <f ca="1">IFERROR(IF($H$5="",B67*'CT à Transf'!$K$28,B67*$H$5),B67*$H$5)</f>
        <v>0</v>
      </c>
      <c r="E67" s="478">
        <f t="shared" ca="1" si="6"/>
        <v>0</v>
      </c>
      <c r="F67" s="478">
        <f t="shared" ca="1" si="0"/>
        <v>0</v>
      </c>
      <c r="G67" s="478">
        <f t="shared" ca="1" si="1"/>
        <v>0</v>
      </c>
      <c r="H67" s="478">
        <f t="shared" ca="1" si="2"/>
        <v>0</v>
      </c>
      <c r="J67" s="476"/>
      <c r="K67" s="477">
        <f t="shared" si="7"/>
        <v>111</v>
      </c>
      <c r="L67" s="478">
        <f t="shared" si="8"/>
        <v>0</v>
      </c>
      <c r="M67" s="478">
        <f t="shared" si="9"/>
        <v>0</v>
      </c>
      <c r="N67" s="493">
        <f t="shared" si="10"/>
        <v>0</v>
      </c>
      <c r="O67" s="493">
        <f t="shared" si="11"/>
        <v>0</v>
      </c>
      <c r="P67" s="478">
        <f t="shared" si="12"/>
        <v>0</v>
      </c>
      <c r="Q67" s="504">
        <f ca="1">IF(MEPPER2!$H$15="Protection cellule familiale",0,IF(K67=($C$6+($O$7-$C$6)-1),P67,IF(P67&lt;IF(($O$7-$C$6)=0,0,-PMT($O$5,($O$7-$C$6),$H$13)),P67,IF(($O$7-$C$6)=0,0,-PMT($O$5,($O$7-$C$6),$H$13)))))</f>
        <v>0</v>
      </c>
      <c r="R67" s="478">
        <f t="shared" si="13"/>
        <v>0</v>
      </c>
      <c r="S67" s="478">
        <f t="shared" ca="1" si="3"/>
        <v>0</v>
      </c>
      <c r="T67" s="478">
        <f>R67*Données!$F$36</f>
        <v>0</v>
      </c>
      <c r="U67" s="478">
        <f>R67*Données!$F$28</f>
        <v>0</v>
      </c>
      <c r="V67" s="478">
        <f ca="1">IF(S67=0,0,IF($E$7="C1",(S67*$H$10),IF($E$7="C2",-R67*Données!$G$36*$H$10,0)))</f>
        <v>0</v>
      </c>
      <c r="W67" s="478">
        <f t="shared" si="14"/>
        <v>0</v>
      </c>
    </row>
    <row r="68" spans="1:23">
      <c r="A68" s="477">
        <f t="shared" ca="1" si="4"/>
        <v>94</v>
      </c>
      <c r="B68" s="478">
        <f t="shared" ca="1" si="5"/>
        <v>0</v>
      </c>
      <c r="C68" s="478">
        <f ca="1">IF(OR($C$7=Données!$H$51,$C$7=Données!$H$54,$C$7=Données!$H$55,$C$7=Données!$H$57),0,B68*'Sit 1(2)'!$C$10)</f>
        <v>0</v>
      </c>
      <c r="D68" s="478">
        <f ca="1">IFERROR(IF($H$5="",B68*'CT à Transf'!$K$28,B68*$H$5),B68*$H$5)</f>
        <v>0</v>
      </c>
      <c r="E68" s="478">
        <f t="shared" ca="1" si="6"/>
        <v>0</v>
      </c>
      <c r="F68" s="478">
        <f t="shared" ca="1" si="0"/>
        <v>0</v>
      </c>
      <c r="G68" s="478">
        <f t="shared" ca="1" si="1"/>
        <v>0</v>
      </c>
      <c r="H68" s="478">
        <f t="shared" ca="1" si="2"/>
        <v>0</v>
      </c>
      <c r="J68" s="476"/>
      <c r="K68" s="477">
        <f t="shared" si="7"/>
        <v>112</v>
      </c>
      <c r="L68" s="478">
        <f t="shared" si="8"/>
        <v>0</v>
      </c>
      <c r="M68" s="478">
        <f t="shared" si="9"/>
        <v>0</v>
      </c>
      <c r="N68" s="493">
        <f t="shared" si="10"/>
        <v>0</v>
      </c>
      <c r="O68" s="493">
        <f t="shared" si="11"/>
        <v>0</v>
      </c>
      <c r="P68" s="478">
        <f t="shared" si="12"/>
        <v>0</v>
      </c>
      <c r="Q68" s="504">
        <f ca="1">IF(MEPPER2!$H$15="Protection cellule familiale",0,IF(K68=($C$6+($O$7-$C$6)-1),P68,IF(P68&lt;IF(($O$7-$C$6)=0,0,-PMT($O$5,($O$7-$C$6),$H$13)),P68,IF(($O$7-$C$6)=0,0,-PMT($O$5,($O$7-$C$6),$H$13)))))</f>
        <v>0</v>
      </c>
      <c r="R68" s="478">
        <f t="shared" si="13"/>
        <v>0</v>
      </c>
      <c r="S68" s="478">
        <f t="shared" ca="1" si="3"/>
        <v>0</v>
      </c>
      <c r="T68" s="478">
        <f>R68*Données!$F$36</f>
        <v>0</v>
      </c>
      <c r="U68" s="478">
        <f>R68*Données!$F$28</f>
        <v>0</v>
      </c>
      <c r="V68" s="478">
        <f ca="1">IF(S68=0,0,IF($E$7="C1",(S68*$H$10),IF($E$7="C2",-R68*Données!$G$36*$H$10,0)))</f>
        <v>0</v>
      </c>
      <c r="W68" s="478">
        <f t="shared" si="14"/>
        <v>0</v>
      </c>
    </row>
    <row r="69" spans="1:23">
      <c r="A69" s="477">
        <f t="shared" ca="1" si="4"/>
        <v>95</v>
      </c>
      <c r="B69" s="478">
        <f t="shared" ca="1" si="5"/>
        <v>0</v>
      </c>
      <c r="C69" s="478">
        <f ca="1">IF(OR($C$7=Données!$H$51,$C$7=Données!$H$54,$C$7=Données!$H$55,$C$7=Données!$H$57),0,B69*'Sit 1(2)'!$C$10)</f>
        <v>0</v>
      </c>
      <c r="D69" s="478">
        <f ca="1">IFERROR(IF($H$5="",B69*'CT à Transf'!$K$28,B69*$H$5),B69*$H$5)</f>
        <v>0</v>
      </c>
      <c r="E69" s="478">
        <f t="shared" ca="1" si="6"/>
        <v>0</v>
      </c>
      <c r="F69" s="478">
        <f t="shared" ca="1" si="0"/>
        <v>0</v>
      </c>
      <c r="G69" s="478">
        <f t="shared" ca="1" si="1"/>
        <v>0</v>
      </c>
      <c r="H69" s="478">
        <f t="shared" ca="1" si="2"/>
        <v>0</v>
      </c>
      <c r="J69" s="476"/>
      <c r="K69" s="477">
        <f t="shared" si="7"/>
        <v>113</v>
      </c>
      <c r="L69" s="478">
        <f t="shared" si="8"/>
        <v>0</v>
      </c>
      <c r="M69" s="478">
        <f t="shared" si="9"/>
        <v>0</v>
      </c>
      <c r="N69" s="493">
        <f t="shared" si="10"/>
        <v>0</v>
      </c>
      <c r="O69" s="493">
        <f t="shared" si="11"/>
        <v>0</v>
      </c>
      <c r="P69" s="478">
        <f t="shared" si="12"/>
        <v>0</v>
      </c>
      <c r="Q69" s="504">
        <f ca="1">IF(MEPPER2!$H$15="Protection cellule familiale",0,IF(K69=($C$6+($O$7-$C$6)-1),P69,IF(P69&lt;IF(($O$7-$C$6)=0,0,-PMT($O$5,($O$7-$C$6),$H$13)),P69,IF(($O$7-$C$6)=0,0,-PMT($O$5,($O$7-$C$6),$H$13)))))</f>
        <v>0</v>
      </c>
      <c r="R69" s="478">
        <f t="shared" si="13"/>
        <v>0</v>
      </c>
      <c r="S69" s="478">
        <f t="shared" ca="1" si="3"/>
        <v>0</v>
      </c>
      <c r="T69" s="478">
        <f>R69*Données!$F$36</f>
        <v>0</v>
      </c>
      <c r="U69" s="478">
        <f>R69*Données!$F$28</f>
        <v>0</v>
      </c>
      <c r="V69" s="478">
        <f ca="1">IF(S69=0,0,IF($E$7="C1",(S69*$H$10),IF($E$7="C2",-R69*Données!$G$36*$H$10,0)))</f>
        <v>0</v>
      </c>
      <c r="W69" s="478">
        <f t="shared" si="14"/>
        <v>0</v>
      </c>
    </row>
    <row r="70" spans="1:23">
      <c r="A70" s="477">
        <f t="shared" ca="1" si="4"/>
        <v>96</v>
      </c>
      <c r="B70" s="478">
        <f t="shared" ca="1" si="5"/>
        <v>0</v>
      </c>
      <c r="C70" s="478">
        <f ca="1">IF(OR($C$7=Données!$H$51,$C$7=Données!$H$54,$C$7=Données!$H$55,$C$7=Données!$H$57),0,B70*'Sit 1(2)'!$C$10)</f>
        <v>0</v>
      </c>
      <c r="D70" s="478">
        <f ca="1">IFERROR(IF($H$5="",B70*'CT à Transf'!$K$28,B70*$H$5),B70*$H$5)</f>
        <v>0</v>
      </c>
      <c r="E70" s="478">
        <f t="shared" ca="1" si="6"/>
        <v>0</v>
      </c>
      <c r="F70" s="478">
        <f t="shared" ca="1" si="0"/>
        <v>0</v>
      </c>
      <c r="G70" s="478">
        <f t="shared" ca="1" si="1"/>
        <v>0</v>
      </c>
      <c r="H70" s="478">
        <f t="shared" ca="1" si="2"/>
        <v>0</v>
      </c>
      <c r="J70" s="476"/>
      <c r="K70" s="477">
        <f t="shared" si="7"/>
        <v>114</v>
      </c>
      <c r="L70" s="478">
        <f t="shared" si="8"/>
        <v>0</v>
      </c>
      <c r="M70" s="478">
        <f t="shared" si="9"/>
        <v>0</v>
      </c>
      <c r="N70" s="493">
        <f t="shared" si="10"/>
        <v>0</v>
      </c>
      <c r="O70" s="493">
        <f t="shared" si="11"/>
        <v>0</v>
      </c>
      <c r="P70" s="478">
        <f t="shared" si="12"/>
        <v>0</v>
      </c>
      <c r="Q70" s="504">
        <f ca="1">IF(MEPPER2!$H$15="Protection cellule familiale",0,IF(K70=($C$6+($O$7-$C$6)-1),P70,IF(P70&lt;IF(($O$7-$C$6)=0,0,-PMT($O$5,($O$7-$C$6),$H$13)),P70,IF(($O$7-$C$6)=0,0,-PMT($O$5,($O$7-$C$6),$H$13)))))</f>
        <v>0</v>
      </c>
      <c r="R70" s="478">
        <f t="shared" si="13"/>
        <v>0</v>
      </c>
      <c r="S70" s="478">
        <f t="shared" ca="1" si="3"/>
        <v>0</v>
      </c>
      <c r="T70" s="478">
        <f>R70*Données!$F$36</f>
        <v>0</v>
      </c>
      <c r="U70" s="478">
        <f>R70*Données!$F$28</f>
        <v>0</v>
      </c>
      <c r="V70" s="478">
        <f ca="1">IF(S70=0,0,IF($E$7="C1",(S70*$H$10),IF($E$7="C2",-R70*Données!$G$36*$H$10,0)))</f>
        <v>0</v>
      </c>
      <c r="W70" s="478">
        <f t="shared" si="14"/>
        <v>0</v>
      </c>
    </row>
    <row r="71" spans="1:23">
      <c r="A71" s="477">
        <f t="shared" ca="1" si="4"/>
        <v>97</v>
      </c>
      <c r="B71" s="478">
        <f t="shared" ca="1" si="5"/>
        <v>0</v>
      </c>
      <c r="C71" s="478">
        <f ca="1">IF(OR($C$7=Données!$H$51,$C$7=Données!$H$54,$C$7=Données!$H$55,$C$7=Données!$H$57),0,B71*'Sit 1(2)'!$C$10)</f>
        <v>0</v>
      </c>
      <c r="D71" s="478">
        <f ca="1">IFERROR(IF($H$5="",B71*'CT à Transf'!$K$28,B71*$H$5),B71*$H$5)</f>
        <v>0</v>
      </c>
      <c r="E71" s="478">
        <f t="shared" ca="1" si="6"/>
        <v>0</v>
      </c>
      <c r="F71" s="478">
        <f t="shared" ca="1" si="0"/>
        <v>0</v>
      </c>
      <c r="G71" s="478">
        <f t="shared" ca="1" si="1"/>
        <v>0</v>
      </c>
      <c r="H71" s="478">
        <f t="shared" ca="1" si="2"/>
        <v>0</v>
      </c>
      <c r="J71" s="476"/>
      <c r="K71" s="477">
        <f t="shared" si="7"/>
        <v>115</v>
      </c>
      <c r="L71" s="478">
        <f t="shared" si="8"/>
        <v>0</v>
      </c>
      <c r="M71" s="478">
        <f t="shared" si="9"/>
        <v>0</v>
      </c>
      <c r="N71" s="493">
        <f t="shared" si="10"/>
        <v>0</v>
      </c>
      <c r="O71" s="493">
        <f t="shared" si="11"/>
        <v>0</v>
      </c>
      <c r="P71" s="478">
        <f t="shared" si="12"/>
        <v>0</v>
      </c>
      <c r="Q71" s="504">
        <f ca="1">IF(MEPPER2!$H$15="Protection cellule familiale",0,IF(K71=($C$6+($O$7-$C$6)-1),P71,IF(P71&lt;IF(($O$7-$C$6)=0,0,-PMT($O$5,($O$7-$C$6),$H$13)),P71,IF(($O$7-$C$6)=0,0,-PMT($O$5,($O$7-$C$6),$H$13)))))</f>
        <v>0</v>
      </c>
      <c r="R71" s="478">
        <f t="shared" si="13"/>
        <v>0</v>
      </c>
      <c r="S71" s="478">
        <f t="shared" ca="1" si="3"/>
        <v>0</v>
      </c>
      <c r="T71" s="478">
        <f>R71*Données!$F$36</f>
        <v>0</v>
      </c>
      <c r="U71" s="478">
        <f>R71*Données!$F$28</f>
        <v>0</v>
      </c>
      <c r="V71" s="478">
        <f ca="1">IF(S71=0,0,IF($E$7="C1",(S71*$H$10),IF($E$7="C2",-R71*Données!$G$36*$H$10,0)))</f>
        <v>0</v>
      </c>
      <c r="W71" s="478">
        <f t="shared" si="14"/>
        <v>0</v>
      </c>
    </row>
    <row r="72" spans="1:23">
      <c r="A72" s="477">
        <f t="shared" ca="1" si="4"/>
        <v>98</v>
      </c>
      <c r="B72" s="478">
        <f t="shared" ca="1" si="5"/>
        <v>0</v>
      </c>
      <c r="C72" s="478">
        <f ca="1">IF(OR($C$7=Données!$H$51,$C$7=Données!$H$54,$C$7=Données!$H$55,$C$7=Données!$H$57),0,B72*'Sit 1(2)'!$C$10)</f>
        <v>0</v>
      </c>
      <c r="D72" s="478">
        <f ca="1">IFERROR(IF($H$5="",B72*'CT à Transf'!$K$28,B72*$H$5),B72*$H$5)</f>
        <v>0</v>
      </c>
      <c r="E72" s="478">
        <f t="shared" ca="1" si="6"/>
        <v>0</v>
      </c>
      <c r="F72" s="478">
        <f t="shared" ca="1" si="0"/>
        <v>0</v>
      </c>
      <c r="G72" s="478">
        <f t="shared" ca="1" si="1"/>
        <v>0</v>
      </c>
      <c r="H72" s="478">
        <f t="shared" ca="1" si="2"/>
        <v>0</v>
      </c>
      <c r="J72" s="476"/>
      <c r="K72" s="477">
        <f t="shared" si="7"/>
        <v>116</v>
      </c>
      <c r="L72" s="478">
        <f t="shared" si="8"/>
        <v>0</v>
      </c>
      <c r="M72" s="478">
        <f t="shared" si="9"/>
        <v>0</v>
      </c>
      <c r="N72" s="493">
        <f t="shared" si="10"/>
        <v>0</v>
      </c>
      <c r="O72" s="493">
        <f t="shared" si="11"/>
        <v>0</v>
      </c>
      <c r="P72" s="478">
        <f t="shared" si="12"/>
        <v>0</v>
      </c>
      <c r="Q72" s="504">
        <f ca="1">IF(MEPPER2!$H$15="Protection cellule familiale",0,IF(K72=($C$6+($O$7-$C$6)-1),P72,IF(P72&lt;IF(($O$7-$C$6)=0,0,-PMT($O$5,($O$7-$C$6),$H$13)),P72,IF(($O$7-$C$6)=0,0,-PMT($O$5,($O$7-$C$6),$H$13)))))</f>
        <v>0</v>
      </c>
      <c r="R72" s="478">
        <f t="shared" si="13"/>
        <v>0</v>
      </c>
      <c r="S72" s="478">
        <f t="shared" ca="1" si="3"/>
        <v>0</v>
      </c>
      <c r="T72" s="478">
        <f>R72*Données!$F$36</f>
        <v>0</v>
      </c>
      <c r="U72" s="478">
        <f>R72*Données!$F$28</f>
        <v>0</v>
      </c>
      <c r="V72" s="478">
        <f ca="1">IF(S72=0,0,IF($E$7="C1",(S72*$H$10),IF($E$7="C2",-R72*Données!$G$36*$H$10,0)))</f>
        <v>0</v>
      </c>
      <c r="W72" s="478">
        <f t="shared" si="14"/>
        <v>0</v>
      </c>
    </row>
    <row r="73" spans="1:23">
      <c r="A73" s="477">
        <f t="shared" ca="1" si="4"/>
        <v>99</v>
      </c>
      <c r="B73" s="478">
        <f t="shared" ca="1" si="5"/>
        <v>0</v>
      </c>
      <c r="C73" s="478">
        <f ca="1">IF(OR($C$7=Données!$H$51,$C$7=Données!$H$54,$C$7=Données!$H$55,$C$7=Données!$H$57),0,B73*'Sit 1(2)'!$C$10)</f>
        <v>0</v>
      </c>
      <c r="D73" s="478">
        <f ca="1">IFERROR(IF($H$5="",B73*'CT à Transf'!$K$28,B73*$H$5),B73*$H$5)</f>
        <v>0</v>
      </c>
      <c r="E73" s="478">
        <f t="shared" ca="1" si="6"/>
        <v>0</v>
      </c>
      <c r="F73" s="478">
        <f t="shared" ca="1" si="0"/>
        <v>0</v>
      </c>
      <c r="G73" s="478">
        <f t="shared" ca="1" si="1"/>
        <v>0</v>
      </c>
      <c r="H73" s="478">
        <f t="shared" ca="1" si="2"/>
        <v>0</v>
      </c>
      <c r="J73" s="476"/>
      <c r="K73" s="477">
        <f t="shared" si="7"/>
        <v>117</v>
      </c>
      <c r="L73" s="478">
        <f t="shared" si="8"/>
        <v>0</v>
      </c>
      <c r="M73" s="478">
        <f t="shared" si="9"/>
        <v>0</v>
      </c>
      <c r="N73" s="493">
        <f t="shared" si="10"/>
        <v>0</v>
      </c>
      <c r="O73" s="493">
        <f t="shared" si="11"/>
        <v>0</v>
      </c>
      <c r="P73" s="478">
        <f t="shared" si="12"/>
        <v>0</v>
      </c>
      <c r="Q73" s="504">
        <f ca="1">IF(MEPPER2!$H$15="Protection cellule familiale",0,IF(K73=($C$6+($O$7-$C$6)-1),P73,IF(P73&lt;IF(($O$7-$C$6)=0,0,-PMT($O$5,($O$7-$C$6),$H$13)),P73,IF(($O$7-$C$6)=0,0,-PMT($O$5,($O$7-$C$6),$H$13)))))</f>
        <v>0</v>
      </c>
      <c r="R73" s="478">
        <f t="shared" si="13"/>
        <v>0</v>
      </c>
      <c r="S73" s="478">
        <f t="shared" ca="1" si="3"/>
        <v>0</v>
      </c>
      <c r="T73" s="478">
        <f>R73*Données!$F$36</f>
        <v>0</v>
      </c>
      <c r="U73" s="478">
        <f>R73*Données!$F$28</f>
        <v>0</v>
      </c>
      <c r="V73" s="478">
        <f ca="1">IF(S73=0,0,IF($E$7="C1",(S73*$H$10),IF($E$7="C2",-R73*Données!$G$36*$H$10,0)))</f>
        <v>0</v>
      </c>
      <c r="W73" s="478">
        <f t="shared" si="14"/>
        <v>0</v>
      </c>
    </row>
    <row r="74" spans="1:23">
      <c r="A74" s="477">
        <f t="shared" ca="1" si="4"/>
        <v>100</v>
      </c>
      <c r="B74" s="478">
        <f t="shared" ca="1" si="5"/>
        <v>0</v>
      </c>
      <c r="C74" s="478">
        <f ca="1">IF(OR($C$7=Données!$H$51,$C$7=Données!$H$54,$C$7=Données!$H$55,$C$7=Données!$H$57),0,B74*'Sit 1(2)'!$C$10)</f>
        <v>0</v>
      </c>
      <c r="D74" s="478">
        <f ca="1">IFERROR(IF($H$5="",B74*'CT à Transf'!$K$28,B74*$H$5),B74*$H$5)</f>
        <v>0</v>
      </c>
      <c r="E74" s="478">
        <f t="shared" ca="1" si="6"/>
        <v>0</v>
      </c>
      <c r="F74" s="478">
        <f t="shared" ca="1" si="0"/>
        <v>0</v>
      </c>
      <c r="G74" s="478">
        <f t="shared" ca="1" si="1"/>
        <v>0</v>
      </c>
      <c r="H74" s="478">
        <f t="shared" ca="1" si="2"/>
        <v>0</v>
      </c>
      <c r="J74" s="476"/>
      <c r="K74" s="477">
        <f t="shared" si="7"/>
        <v>118</v>
      </c>
      <c r="L74" s="478">
        <f t="shared" si="8"/>
        <v>0</v>
      </c>
      <c r="M74" s="478">
        <f t="shared" si="9"/>
        <v>0</v>
      </c>
      <c r="N74" s="493">
        <f t="shared" si="10"/>
        <v>0</v>
      </c>
      <c r="O74" s="493">
        <f t="shared" si="11"/>
        <v>0</v>
      </c>
      <c r="P74" s="478">
        <f t="shared" si="12"/>
        <v>0</v>
      </c>
      <c r="Q74" s="504">
        <f ca="1">IF(MEPPER2!$H$15="Protection cellule familiale",0,IF(K74=($C$6+($O$7-$C$6)-1),P74,IF(P74&lt;IF(($O$7-$C$6)=0,0,-PMT($O$5,($O$7-$C$6),$H$13)),P74,IF(($O$7-$C$6)=0,0,-PMT($O$5,($O$7-$C$6),$H$13)))))</f>
        <v>0</v>
      </c>
      <c r="R74" s="478">
        <f t="shared" si="13"/>
        <v>0</v>
      </c>
      <c r="S74" s="478">
        <f t="shared" ca="1" si="3"/>
        <v>0</v>
      </c>
      <c r="T74" s="478">
        <f>R74*Données!$F$36</f>
        <v>0</v>
      </c>
      <c r="U74" s="478">
        <f>R74*Données!$F$28</f>
        <v>0</v>
      </c>
      <c r="V74" s="478">
        <f ca="1">IF(S74=0,0,IF($E$7="C1",(S74*$H$10),IF($E$7="C2",-R74*Données!$G$36*$H$10,0)))</f>
        <v>0</v>
      </c>
      <c r="W74" s="478">
        <f t="shared" si="14"/>
        <v>0</v>
      </c>
    </row>
    <row r="75" spans="1:23">
      <c r="A75" s="477">
        <f t="shared" ca="1" si="4"/>
        <v>101</v>
      </c>
      <c r="B75" s="478">
        <f t="shared" ca="1" si="5"/>
        <v>0</v>
      </c>
      <c r="C75" s="478">
        <f ca="1">IF(OR($C$7=Données!$H$51,$C$7=Données!$H$54,$C$7=Données!$H$55,$C$7=Données!$H$57),0,B75*'Sit 1(2)'!$C$10)</f>
        <v>0</v>
      </c>
      <c r="D75" s="478">
        <f ca="1">IFERROR(IF($H$5="",B75*'CT à Transf'!$K$28,B75*$H$5),B75*$H$5)</f>
        <v>0</v>
      </c>
      <c r="E75" s="478">
        <f t="shared" ca="1" si="6"/>
        <v>0</v>
      </c>
      <c r="F75" s="478">
        <f t="shared" ca="1" si="0"/>
        <v>0</v>
      </c>
      <c r="G75" s="478">
        <f t="shared" ca="1" si="1"/>
        <v>0</v>
      </c>
      <c r="H75" s="478">
        <f t="shared" ca="1" si="2"/>
        <v>0</v>
      </c>
      <c r="J75" s="476"/>
      <c r="K75" s="477">
        <f t="shared" si="7"/>
        <v>119</v>
      </c>
      <c r="L75" s="478">
        <f t="shared" si="8"/>
        <v>0</v>
      </c>
      <c r="M75" s="478">
        <f t="shared" si="9"/>
        <v>0</v>
      </c>
      <c r="N75" s="493">
        <f t="shared" si="10"/>
        <v>0</v>
      </c>
      <c r="O75" s="493">
        <f t="shared" si="11"/>
        <v>0</v>
      </c>
      <c r="P75" s="478">
        <f t="shared" si="12"/>
        <v>0</v>
      </c>
      <c r="Q75" s="504">
        <f ca="1">IF(MEPPER2!$H$15="Protection cellule familiale",0,IF(K75=($C$6+($O$7-$C$6)-1),P75,IF(P75&lt;IF(($O$7-$C$6)=0,0,-PMT($O$5,($O$7-$C$6),$H$13)),P75,IF(($O$7-$C$6)=0,0,-PMT($O$5,($O$7-$C$6),$H$13)))))</f>
        <v>0</v>
      </c>
      <c r="R75" s="478">
        <f t="shared" si="13"/>
        <v>0</v>
      </c>
      <c r="S75" s="478">
        <f t="shared" ca="1" si="3"/>
        <v>0</v>
      </c>
      <c r="T75" s="478">
        <f>R75*Données!$F$36</f>
        <v>0</v>
      </c>
      <c r="U75" s="478">
        <f>R75*Données!$F$28</f>
        <v>0</v>
      </c>
      <c r="V75" s="478">
        <f ca="1">IF(S75=0,0,IF($E$7="C1",(S75*$H$10),IF($E$7="C2",-R75*Données!$G$36*$H$10,0)))</f>
        <v>0</v>
      </c>
      <c r="W75" s="478">
        <f t="shared" si="14"/>
        <v>0</v>
      </c>
    </row>
    <row r="76" spans="1:23">
      <c r="A76" s="477">
        <f t="shared" ca="1" si="4"/>
        <v>102</v>
      </c>
      <c r="B76" s="478">
        <f t="shared" ca="1" si="5"/>
        <v>0</v>
      </c>
      <c r="C76" s="478">
        <f ca="1">IF(OR($C$7=Données!$H$51,$C$7=Données!$H$54,$C$7=Données!$H$55,$C$7=Données!$H$57),0,B76*'Sit 1(2)'!$C$10)</f>
        <v>0</v>
      </c>
      <c r="D76" s="478">
        <f ca="1">IFERROR(IF($H$5="",B76*'CT à Transf'!$K$28,B76*$H$5),B76*$H$5)</f>
        <v>0</v>
      </c>
      <c r="E76" s="478">
        <f t="shared" ca="1" si="6"/>
        <v>0</v>
      </c>
      <c r="F76" s="478">
        <f t="shared" ca="1" si="0"/>
        <v>0</v>
      </c>
      <c r="G76" s="478">
        <f t="shared" ca="1" si="1"/>
        <v>0</v>
      </c>
      <c r="H76" s="478">
        <f t="shared" ca="1" si="2"/>
        <v>0</v>
      </c>
      <c r="J76" s="476"/>
      <c r="K76" s="477">
        <f t="shared" si="7"/>
        <v>120</v>
      </c>
      <c r="L76" s="478">
        <f t="shared" si="8"/>
        <v>0</v>
      </c>
      <c r="M76" s="478">
        <f t="shared" si="9"/>
        <v>0</v>
      </c>
      <c r="N76" s="493">
        <f t="shared" si="10"/>
        <v>0</v>
      </c>
      <c r="O76" s="493">
        <f t="shared" si="11"/>
        <v>0</v>
      </c>
      <c r="P76" s="478">
        <f t="shared" si="12"/>
        <v>0</v>
      </c>
      <c r="Q76" s="504">
        <f ca="1">IF(MEPPER2!$H$15="Protection cellule familiale",0,IF(K76=($C$6+($O$7-$C$6)-1),P76,IF(P76&lt;IF(($O$7-$C$6)=0,0,-PMT($O$5,($O$7-$C$6),$H$13)),P76,IF(($O$7-$C$6)=0,0,-PMT($O$5,($O$7-$C$6),$H$13)))))</f>
        <v>0</v>
      </c>
      <c r="R76" s="478">
        <f t="shared" si="13"/>
        <v>0</v>
      </c>
      <c r="S76" s="478">
        <f t="shared" ca="1" si="3"/>
        <v>0</v>
      </c>
      <c r="T76" s="478">
        <f>R76*Données!$F$36</f>
        <v>0</v>
      </c>
      <c r="U76" s="478">
        <f>R76*Données!$F$28</f>
        <v>0</v>
      </c>
      <c r="V76" s="478">
        <f ca="1">IF(S76=0,0,IF($E$7="C1",(S76*$H$10),IF($E$7="C2",-R76*Données!$G$36*$H$10,0)))</f>
        <v>0</v>
      </c>
      <c r="W76" s="478">
        <f t="shared" si="14"/>
        <v>0</v>
      </c>
    </row>
    <row r="77" spans="1:23">
      <c r="A77" s="477">
        <f t="shared" ca="1" si="4"/>
        <v>103</v>
      </c>
      <c r="B77" s="478">
        <f t="shared" ca="1" si="5"/>
        <v>0</v>
      </c>
      <c r="C77" s="478">
        <f ca="1">IF(OR($C$7=Données!$H$51,$C$7=Données!$H$54,$C$7=Données!$H$55,$C$7=Données!$H$57),0,B77*'Sit 1(2)'!$C$10)</f>
        <v>0</v>
      </c>
      <c r="D77" s="478">
        <f ca="1">IFERROR(IF($H$5="",B77*'CT à Transf'!$K$28,B77*$H$5),B77*$H$5)</f>
        <v>0</v>
      </c>
      <c r="E77" s="478">
        <f t="shared" ca="1" si="6"/>
        <v>0</v>
      </c>
      <c r="F77" s="478">
        <f t="shared" ca="1" si="0"/>
        <v>0</v>
      </c>
      <c r="G77" s="478">
        <f t="shared" ca="1" si="1"/>
        <v>0</v>
      </c>
      <c r="H77" s="478">
        <f t="shared" ca="1" si="2"/>
        <v>0</v>
      </c>
      <c r="J77" s="476"/>
      <c r="K77" s="477">
        <f t="shared" si="7"/>
        <v>121</v>
      </c>
      <c r="L77" s="478">
        <f t="shared" si="8"/>
        <v>0</v>
      </c>
      <c r="M77" s="478">
        <f t="shared" si="9"/>
        <v>0</v>
      </c>
      <c r="N77" s="493">
        <f t="shared" si="10"/>
        <v>0</v>
      </c>
      <c r="O77" s="493">
        <f t="shared" si="11"/>
        <v>0</v>
      </c>
      <c r="P77" s="478">
        <f t="shared" si="12"/>
        <v>0</v>
      </c>
      <c r="Q77" s="504">
        <f ca="1">IF(MEPPER2!$H$15="Protection cellule familiale",0,IF(K77=($C$6+($O$7-$C$6)-1),P77,IF(P77&lt;IF(($O$7-$C$6)=0,0,-PMT($O$5,($O$7-$C$6),$H$13)),P77,IF(($O$7-$C$6)=0,0,-PMT($O$5,($O$7-$C$6),$H$13)))))</f>
        <v>0</v>
      </c>
      <c r="R77" s="478">
        <f t="shared" si="13"/>
        <v>0</v>
      </c>
      <c r="S77" s="478">
        <f t="shared" ca="1" si="3"/>
        <v>0</v>
      </c>
      <c r="T77" s="478">
        <f>R77*Données!$F$36</f>
        <v>0</v>
      </c>
      <c r="U77" s="478">
        <f>R77*Données!$F$28</f>
        <v>0</v>
      </c>
      <c r="V77" s="478">
        <f ca="1">IF(S77=0,0,IF($E$7="C1",(S77*$H$10),IF($E$7="C2",-R77*Données!$G$36*$H$10,0)))</f>
        <v>0</v>
      </c>
      <c r="W77" s="478">
        <f t="shared" si="14"/>
        <v>0</v>
      </c>
    </row>
    <row r="78" spans="1:23">
      <c r="A78" s="477">
        <f t="shared" ca="1" si="4"/>
        <v>104</v>
      </c>
      <c r="B78" s="478">
        <f t="shared" ca="1" si="5"/>
        <v>0</v>
      </c>
      <c r="C78" s="478">
        <f ca="1">IF(OR($C$7=Données!$H$51,$C$7=Données!$H$54,$C$7=Données!$H$55,$C$7=Données!$H$57),0,B78*'Sit 1(2)'!$C$10)</f>
        <v>0</v>
      </c>
      <c r="D78" s="478">
        <f ca="1">IFERROR(IF($H$5="",B78*'CT à Transf'!$K$28,B78*$H$5),B78*$H$5)</f>
        <v>0</v>
      </c>
      <c r="E78" s="478">
        <f t="shared" ca="1" si="6"/>
        <v>0</v>
      </c>
      <c r="F78" s="478">
        <f t="shared" ca="1" si="0"/>
        <v>0</v>
      </c>
      <c r="G78" s="478">
        <f t="shared" ca="1" si="1"/>
        <v>0</v>
      </c>
      <c r="H78" s="478">
        <f t="shared" ca="1" si="2"/>
        <v>0</v>
      </c>
      <c r="J78" s="476"/>
      <c r="K78" s="477">
        <f t="shared" si="7"/>
        <v>122</v>
      </c>
      <c r="L78" s="478">
        <f t="shared" si="8"/>
        <v>0</v>
      </c>
      <c r="M78" s="478">
        <f t="shared" si="9"/>
        <v>0</v>
      </c>
      <c r="N78" s="493">
        <f t="shared" si="10"/>
        <v>0</v>
      </c>
      <c r="O78" s="493">
        <f t="shared" si="11"/>
        <v>0</v>
      </c>
      <c r="P78" s="478">
        <f t="shared" si="12"/>
        <v>0</v>
      </c>
      <c r="Q78" s="504">
        <f ca="1">IF(MEPPER2!$H$15="Protection cellule familiale",0,IF(K78=($C$6+($O$7-$C$6)-1),P78,IF(P78&lt;IF(($O$7-$C$6)=0,0,-PMT($O$5,($O$7-$C$6),$H$13)),P78,IF(($O$7-$C$6)=0,0,-PMT($O$5,($O$7-$C$6),$H$13)))))</f>
        <v>0</v>
      </c>
      <c r="R78" s="478">
        <f t="shared" si="13"/>
        <v>0</v>
      </c>
      <c r="S78" s="478">
        <f t="shared" ca="1" si="3"/>
        <v>0</v>
      </c>
      <c r="T78" s="478">
        <f>R78*Données!$F$36</f>
        <v>0</v>
      </c>
      <c r="U78" s="478">
        <f>R78*Données!$F$28</f>
        <v>0</v>
      </c>
      <c r="V78" s="478">
        <f ca="1">IF(S78=0,0,IF($E$7="C1",(S78*$H$10),IF($E$7="C2",-R78*Données!$G$36*$H$10,0)))</f>
        <v>0</v>
      </c>
      <c r="W78" s="478">
        <f t="shared" si="14"/>
        <v>0</v>
      </c>
    </row>
    <row r="79" spans="1:23">
      <c r="A79" s="477">
        <f t="shared" ca="1" si="4"/>
        <v>105</v>
      </c>
      <c r="B79" s="478">
        <f t="shared" ca="1" si="5"/>
        <v>0</v>
      </c>
      <c r="C79" s="478">
        <f ca="1">IF(OR($C$7=Données!$H$51,$C$7=Données!$H$54,$C$7=Données!$H$55,$C$7=Données!$H$57),0,B79*'Sit 1(2)'!$C$10)</f>
        <v>0</v>
      </c>
      <c r="D79" s="478">
        <f ca="1">IFERROR(IF($H$5="",B79*'CT à Transf'!$K$28,B79*$H$5),B79*$H$5)</f>
        <v>0</v>
      </c>
      <c r="E79" s="478">
        <f t="shared" ca="1" si="6"/>
        <v>0</v>
      </c>
      <c r="F79" s="478">
        <f t="shared" ca="1" si="0"/>
        <v>0</v>
      </c>
      <c r="G79" s="478">
        <f t="shared" ca="1" si="1"/>
        <v>0</v>
      </c>
      <c r="H79" s="478">
        <f t="shared" ca="1" si="2"/>
        <v>0</v>
      </c>
      <c r="J79" s="476"/>
      <c r="K79" s="477">
        <f t="shared" si="7"/>
        <v>123</v>
      </c>
      <c r="L79" s="478">
        <f t="shared" si="8"/>
        <v>0</v>
      </c>
      <c r="M79" s="478">
        <f t="shared" si="9"/>
        <v>0</v>
      </c>
      <c r="N79" s="493">
        <f t="shared" si="10"/>
        <v>0</v>
      </c>
      <c r="O79" s="493">
        <f t="shared" si="11"/>
        <v>0</v>
      </c>
      <c r="P79" s="478">
        <f t="shared" si="12"/>
        <v>0</v>
      </c>
      <c r="Q79" s="504">
        <f ca="1">IF(MEPPER2!$H$15="Protection cellule familiale",0,IF(K79=($C$6+($O$7-$C$6)-1),P79,IF(P79&lt;IF(($O$7-$C$6)=0,0,-PMT($O$5,($O$7-$C$6),$H$13)),P79,IF(($O$7-$C$6)=0,0,-PMT($O$5,($O$7-$C$6),$H$13)))))</f>
        <v>0</v>
      </c>
      <c r="R79" s="478">
        <f t="shared" si="13"/>
        <v>0</v>
      </c>
      <c r="S79" s="478">
        <f t="shared" ca="1" si="3"/>
        <v>0</v>
      </c>
      <c r="T79" s="478">
        <f>R79*Données!$F$36</f>
        <v>0</v>
      </c>
      <c r="U79" s="478">
        <f>R79*Données!$F$28</f>
        <v>0</v>
      </c>
      <c r="V79" s="478">
        <f ca="1">IF(S79=0,0,IF($E$7="C1",(S79*$H$10),IF($E$7="C2",-R79*Données!$G$36*$H$10,0)))</f>
        <v>0</v>
      </c>
      <c r="W79" s="478">
        <f t="shared" si="14"/>
        <v>0</v>
      </c>
    </row>
    <row r="80" spans="1:23">
      <c r="A80" s="477">
        <f t="shared" ca="1" si="4"/>
        <v>106</v>
      </c>
      <c r="B80" s="478">
        <f t="shared" ca="1" si="5"/>
        <v>0</v>
      </c>
      <c r="C80" s="478">
        <f ca="1">IF(OR($C$7=Données!$H$51,$C$7=Données!$H$54,$C$7=Données!$H$55,$C$7=Données!$H$57),0,B80*'Sit 1(2)'!$C$10)</f>
        <v>0</v>
      </c>
      <c r="D80" s="478">
        <f ca="1">IFERROR(IF($H$5="",B80*'CT à Transf'!$K$28,B80*$H$5),B80*$H$5)</f>
        <v>0</v>
      </c>
      <c r="E80" s="478">
        <f t="shared" ca="1" si="6"/>
        <v>0</v>
      </c>
      <c r="F80" s="478">
        <f t="shared" ca="1" si="0"/>
        <v>0</v>
      </c>
      <c r="G80" s="478">
        <f t="shared" ca="1" si="1"/>
        <v>0</v>
      </c>
      <c r="H80" s="478">
        <f t="shared" ca="1" si="2"/>
        <v>0</v>
      </c>
      <c r="J80" s="476"/>
      <c r="K80" s="477">
        <f t="shared" si="7"/>
        <v>124</v>
      </c>
      <c r="L80" s="478">
        <f t="shared" si="8"/>
        <v>0</v>
      </c>
      <c r="M80" s="478">
        <f t="shared" si="9"/>
        <v>0</v>
      </c>
      <c r="N80" s="493">
        <f t="shared" si="10"/>
        <v>0</v>
      </c>
      <c r="O80" s="493">
        <f t="shared" si="11"/>
        <v>0</v>
      </c>
      <c r="P80" s="478">
        <f t="shared" si="12"/>
        <v>0</v>
      </c>
      <c r="Q80" s="504">
        <f ca="1">IF(MEPPER2!$H$15="Protection cellule familiale",0,IF(K80=($C$6+($O$7-$C$6)-1),P80,IF(P80&lt;IF(($O$7-$C$6)=0,0,-PMT($O$5,($O$7-$C$6),$H$13)),P80,IF(($O$7-$C$6)=0,0,-PMT($O$5,($O$7-$C$6),$H$13)))))</f>
        <v>0</v>
      </c>
      <c r="R80" s="478">
        <f t="shared" si="13"/>
        <v>0</v>
      </c>
      <c r="S80" s="478">
        <f t="shared" ca="1" si="3"/>
        <v>0</v>
      </c>
      <c r="T80" s="478">
        <f>R80*Données!$F$36</f>
        <v>0</v>
      </c>
      <c r="U80" s="478">
        <f>R80*Données!$F$28</f>
        <v>0</v>
      </c>
      <c r="V80" s="478">
        <f ca="1">IF(S80=0,0,IF($E$7="C1",(S80*$H$10),IF($E$7="C2",-R80*Données!$G$36*$H$10,0)))</f>
        <v>0</v>
      </c>
      <c r="W80" s="478">
        <f t="shared" si="14"/>
        <v>0</v>
      </c>
    </row>
    <row r="81" spans="1:23">
      <c r="A81" s="477">
        <f t="shared" ca="1" si="4"/>
        <v>107</v>
      </c>
      <c r="B81" s="478">
        <f t="shared" ca="1" si="5"/>
        <v>0</v>
      </c>
      <c r="C81" s="478">
        <f ca="1">IF(OR($C$7=Données!$H$51,$C$7=Données!$H$54,$C$7=Données!$H$55,$C$7=Données!$H$57),0,B81*'Sit 1(2)'!$C$10)</f>
        <v>0</v>
      </c>
      <c r="D81" s="478">
        <f ca="1">IFERROR(IF($H$5="",B81*'CT à Transf'!$K$28,B81*$H$5),B81*$H$5)</f>
        <v>0</v>
      </c>
      <c r="E81" s="478">
        <f t="shared" ca="1" si="6"/>
        <v>0</v>
      </c>
      <c r="F81" s="478">
        <f t="shared" ca="1" si="0"/>
        <v>0</v>
      </c>
      <c r="G81" s="478">
        <f t="shared" ca="1" si="1"/>
        <v>0</v>
      </c>
      <c r="H81" s="478">
        <f t="shared" ca="1" si="2"/>
        <v>0</v>
      </c>
      <c r="J81" s="476"/>
      <c r="K81" s="477">
        <f t="shared" si="7"/>
        <v>125</v>
      </c>
      <c r="L81" s="478">
        <f t="shared" si="8"/>
        <v>0</v>
      </c>
      <c r="M81" s="478">
        <f t="shared" si="9"/>
        <v>0</v>
      </c>
      <c r="N81" s="493">
        <f t="shared" si="10"/>
        <v>0</v>
      </c>
      <c r="O81" s="493">
        <f t="shared" si="11"/>
        <v>0</v>
      </c>
      <c r="P81" s="478">
        <f t="shared" si="12"/>
        <v>0</v>
      </c>
      <c r="Q81" s="504">
        <f ca="1">IF(MEPPER2!$H$15="Protection cellule familiale",0,IF(K81=($C$6+($O$7-$C$6)-1),P81,IF(P81&lt;IF(($O$7-$C$6)=0,0,-PMT($O$5,($O$7-$C$6),$H$13)),P81,IF(($O$7-$C$6)=0,0,-PMT($O$5,($O$7-$C$6),$H$13)))))</f>
        <v>0</v>
      </c>
      <c r="R81" s="478">
        <f t="shared" si="13"/>
        <v>0</v>
      </c>
      <c r="S81" s="478">
        <f t="shared" ca="1" si="3"/>
        <v>0</v>
      </c>
      <c r="T81" s="478">
        <f>R81*Données!$F$36</f>
        <v>0</v>
      </c>
      <c r="U81" s="478">
        <f>R81*Données!$F$28</f>
        <v>0</v>
      </c>
      <c r="V81" s="478">
        <f ca="1">IF(S81=0,0,IF($E$7="C1",(S81*$H$10),IF($E$7="C2",-R81*Données!$G$36*$H$10,0)))</f>
        <v>0</v>
      </c>
      <c r="W81" s="478">
        <f t="shared" si="14"/>
        <v>0</v>
      </c>
    </row>
    <row r="82" spans="1:23">
      <c r="A82" s="477">
        <f t="shared" ca="1" si="4"/>
        <v>108</v>
      </c>
      <c r="B82" s="478">
        <f t="shared" ca="1" si="5"/>
        <v>0</v>
      </c>
      <c r="C82" s="478">
        <f ca="1">IF(OR($C$7=Données!$H$51,$C$7=Données!$H$54,$C$7=Données!$H$55,$C$7=Données!$H$57),0,B82*'Sit 1(2)'!$C$10)</f>
        <v>0</v>
      </c>
      <c r="D82" s="478">
        <f ca="1">IFERROR(IF($H$5="",B82*'CT à Transf'!$K$28,B82*$H$5),B82*$H$5)</f>
        <v>0</v>
      </c>
      <c r="E82" s="478">
        <f t="shared" ca="1" si="6"/>
        <v>0</v>
      </c>
      <c r="F82" s="478">
        <f t="shared" ca="1" si="0"/>
        <v>0</v>
      </c>
      <c r="G82" s="478">
        <f t="shared" ca="1" si="1"/>
        <v>0</v>
      </c>
      <c r="H82" s="478">
        <f t="shared" ca="1" si="2"/>
        <v>0</v>
      </c>
      <c r="J82" s="476"/>
      <c r="K82" s="477">
        <f t="shared" si="7"/>
        <v>126</v>
      </c>
      <c r="L82" s="478">
        <f t="shared" si="8"/>
        <v>0</v>
      </c>
      <c r="M82" s="478">
        <f t="shared" si="9"/>
        <v>0</v>
      </c>
      <c r="N82" s="493">
        <f t="shared" si="10"/>
        <v>0</v>
      </c>
      <c r="O82" s="493">
        <f t="shared" si="11"/>
        <v>0</v>
      </c>
      <c r="P82" s="478">
        <f t="shared" si="12"/>
        <v>0</v>
      </c>
      <c r="Q82" s="504">
        <f ca="1">IF(MEPPER2!$H$15="Protection cellule familiale",0,IF(K82=($C$6+($O$7-$C$6)-1),P82,IF(P82&lt;IF(($O$7-$C$6)=0,0,-PMT($O$5,($O$7-$C$6),$H$13)),P82,IF(($O$7-$C$6)=0,0,-PMT($O$5,($O$7-$C$6),$H$13)))))</f>
        <v>0</v>
      </c>
      <c r="R82" s="478">
        <f t="shared" si="13"/>
        <v>0</v>
      </c>
      <c r="S82" s="478">
        <f t="shared" ca="1" si="3"/>
        <v>0</v>
      </c>
      <c r="T82" s="478">
        <f>R82*Données!$F$36</f>
        <v>0</v>
      </c>
      <c r="U82" s="478">
        <f>R82*Données!$F$28</f>
        <v>0</v>
      </c>
      <c r="V82" s="478">
        <f ca="1">IF(S82=0,0,IF($E$7="C1",(S82*$H$10),IF($E$7="C2",-R82*Données!$G$36*$H$10,0)))</f>
        <v>0</v>
      </c>
      <c r="W82" s="478">
        <f t="shared" si="14"/>
        <v>0</v>
      </c>
    </row>
    <row r="83" spans="1:23">
      <c r="A83" s="477">
        <f t="shared" ca="1" si="4"/>
        <v>109</v>
      </c>
      <c r="B83" s="478">
        <f t="shared" ca="1" si="5"/>
        <v>0</v>
      </c>
      <c r="C83" s="478">
        <f ca="1">IF(OR($C$7=Données!$H$51,$C$7=Données!$H$54,$C$7=Données!$H$55,$C$7=Données!$H$57),0,B83*'Sit 1(2)'!$C$10)</f>
        <v>0</v>
      </c>
      <c r="D83" s="478">
        <f ca="1">IFERROR(IF($H$5="",B83*'CT à Transf'!$K$28,B83*$H$5),B83*$H$5)</f>
        <v>0</v>
      </c>
      <c r="E83" s="478">
        <f t="shared" ca="1" si="6"/>
        <v>0</v>
      </c>
      <c r="F83" s="478">
        <f t="shared" ca="1" si="0"/>
        <v>0</v>
      </c>
      <c r="G83" s="478">
        <f t="shared" ca="1" si="1"/>
        <v>0</v>
      </c>
      <c r="H83" s="478">
        <f t="shared" ca="1" si="2"/>
        <v>0</v>
      </c>
      <c r="J83" s="476"/>
      <c r="K83" s="477">
        <f t="shared" si="7"/>
        <v>127</v>
      </c>
      <c r="L83" s="478">
        <f t="shared" si="8"/>
        <v>0</v>
      </c>
      <c r="M83" s="478">
        <f t="shared" si="9"/>
        <v>0</v>
      </c>
      <c r="N83" s="493">
        <f t="shared" si="10"/>
        <v>0</v>
      </c>
      <c r="O83" s="493">
        <f t="shared" si="11"/>
        <v>0</v>
      </c>
      <c r="P83" s="478">
        <f t="shared" si="12"/>
        <v>0</v>
      </c>
      <c r="Q83" s="504">
        <f ca="1">IF(MEPPER2!$H$15="Protection cellule familiale",0,IF(K83=($C$6+($O$7-$C$6)-1),P83,IF(P83&lt;IF(($O$7-$C$6)=0,0,-PMT($O$5,($O$7-$C$6),$H$13)),P83,IF(($O$7-$C$6)=0,0,-PMT($O$5,($O$7-$C$6),$H$13)))))</f>
        <v>0</v>
      </c>
      <c r="R83" s="478">
        <f t="shared" si="13"/>
        <v>0</v>
      </c>
      <c r="S83" s="478">
        <f t="shared" ca="1" si="3"/>
        <v>0</v>
      </c>
      <c r="T83" s="478">
        <f>R83*Données!$F$36</f>
        <v>0</v>
      </c>
      <c r="U83" s="478">
        <f>R83*Données!$F$28</f>
        <v>0</v>
      </c>
      <c r="V83" s="478">
        <f ca="1">IF(S83=0,0,IF($E$7="C1",(S83*$H$10),IF($E$7="C2",-R83*Données!$G$36*$H$10,0)))</f>
        <v>0</v>
      </c>
      <c r="W83" s="478">
        <f t="shared" si="14"/>
        <v>0</v>
      </c>
    </row>
    <row r="84" spans="1:23">
      <c r="A84" s="477">
        <f t="shared" ca="1" si="4"/>
        <v>110</v>
      </c>
      <c r="B84" s="478">
        <f t="shared" ca="1" si="5"/>
        <v>0</v>
      </c>
      <c r="C84" s="478">
        <f ca="1">IF(OR($C$7=Données!$H$51,$C$7=Données!$H$54,$C$7=Données!$H$55,$C$7=Données!$H$57),0,B84*'Sit 1(2)'!$C$10)</f>
        <v>0</v>
      </c>
      <c r="D84" s="478">
        <f ca="1">IFERROR(IF($H$5="",B84*'CT à Transf'!$K$28,B84*$H$5),B84*$H$5)</f>
        <v>0</v>
      </c>
      <c r="E84" s="478">
        <f t="shared" ca="1" si="6"/>
        <v>0</v>
      </c>
      <c r="F84" s="478">
        <f t="shared" ref="F84:F108" ca="1" si="15">E84*$H$6</f>
        <v>0</v>
      </c>
      <c r="G84" s="478">
        <f t="shared" ca="1" si="1"/>
        <v>0</v>
      </c>
      <c r="H84" s="478">
        <f t="shared" ca="1" si="2"/>
        <v>0</v>
      </c>
      <c r="J84" s="476"/>
      <c r="K84" s="477">
        <f t="shared" si="7"/>
        <v>128</v>
      </c>
      <c r="L84" s="478">
        <f t="shared" si="8"/>
        <v>0</v>
      </c>
      <c r="M84" s="478">
        <f t="shared" si="9"/>
        <v>0</v>
      </c>
      <c r="N84" s="493">
        <f t="shared" si="10"/>
        <v>0</v>
      </c>
      <c r="O84" s="493">
        <f t="shared" si="11"/>
        <v>0</v>
      </c>
      <c r="P84" s="478">
        <f t="shared" si="12"/>
        <v>0</v>
      </c>
      <c r="Q84" s="504">
        <f ca="1">IF(MEPPER2!$H$15="Protection cellule familiale",0,IF(K84=($C$6+($O$7-$C$6)-1),P84,IF(P84&lt;IF(($O$7-$C$6)=0,0,-PMT($O$5,($O$7-$C$6),$H$13)),P84,IF(($O$7-$C$6)=0,0,-PMT($O$5,($O$7-$C$6),$H$13)))))</f>
        <v>0</v>
      </c>
      <c r="R84" s="478">
        <f t="shared" si="13"/>
        <v>0</v>
      </c>
      <c r="S84" s="478">
        <f t="shared" ca="1" si="3"/>
        <v>0</v>
      </c>
      <c r="T84" s="478">
        <f>R84*Données!$F$36</f>
        <v>0</v>
      </c>
      <c r="U84" s="478">
        <f>R84*Données!$F$28</f>
        <v>0</v>
      </c>
      <c r="V84" s="478">
        <f ca="1">IF(S84=0,0,IF($E$7="C1",(S84*$H$10),IF($E$7="C2",-R84*Données!$G$36*$H$10,0)))</f>
        <v>0</v>
      </c>
      <c r="W84" s="478">
        <f t="shared" si="14"/>
        <v>0</v>
      </c>
    </row>
    <row r="85" spans="1:23">
      <c r="A85" s="477">
        <f t="shared" ca="1" si="4"/>
        <v>111</v>
      </c>
      <c r="B85" s="478">
        <f t="shared" ca="1" si="5"/>
        <v>0</v>
      </c>
      <c r="C85" s="478">
        <f ca="1">IF(OR($C$7=Données!$H$51,$C$7=Données!$H$54,$C$7=Données!$H$55,$C$7=Données!$H$57),0,B85*'Sit 1(2)'!$C$10)</f>
        <v>0</v>
      </c>
      <c r="D85" s="478">
        <f ca="1">IFERROR(IF($H$5="",B85*'CT à Transf'!$K$28,B85*$H$5),B85*$H$5)</f>
        <v>0</v>
      </c>
      <c r="E85" s="478">
        <f t="shared" ca="1" si="6"/>
        <v>0</v>
      </c>
      <c r="F85" s="478">
        <f t="shared" ca="1" si="15"/>
        <v>0</v>
      </c>
      <c r="G85" s="478">
        <f t="shared" ref="G85:G108" ca="1" si="16">IF(A85&lt;$C$6,(G84*(1+$H$6))+(E85+F85),0)</f>
        <v>0</v>
      </c>
      <c r="H85" s="478">
        <f t="shared" ref="H85:H108" ca="1" si="17">IF(G86&gt;0,0,G85)</f>
        <v>0</v>
      </c>
      <c r="J85" s="476"/>
      <c r="K85" s="477">
        <f t="shared" si="7"/>
        <v>129</v>
      </c>
      <c r="L85" s="478">
        <f t="shared" si="8"/>
        <v>0</v>
      </c>
      <c r="M85" s="478">
        <f t="shared" ref="M85:M108" si="18">IF(K85&gt;=$O$9,0,L85*$O$5)</f>
        <v>0</v>
      </c>
      <c r="N85" s="493">
        <f t="shared" si="10"/>
        <v>0</v>
      </c>
      <c r="O85" s="493">
        <f t="shared" si="11"/>
        <v>0</v>
      </c>
      <c r="P85" s="478">
        <f t="shared" si="12"/>
        <v>0</v>
      </c>
      <c r="Q85" s="504">
        <f ca="1">IF(MEPPER2!$H$15="Protection cellule familiale",0,IF(K85=($C$6+($O$7-$C$6)-1),P85,IF(P85&lt;IF(($O$7-$C$6)=0,0,-PMT($O$5,($O$7-$C$6),$H$13)),P85,IF(($O$7-$C$6)=0,0,-PMT($O$5,($O$7-$C$6),$H$13)))))</f>
        <v>0</v>
      </c>
      <c r="R85" s="478">
        <f t="shared" si="13"/>
        <v>0</v>
      </c>
      <c r="S85" s="478">
        <f t="shared" ref="S85:S108" ca="1" si="19">IF((Q85-R85)&gt;O85,O85,Q85-R85)</f>
        <v>0</v>
      </c>
      <c r="T85" s="478">
        <f>R85*Données!$F$36</f>
        <v>0</v>
      </c>
      <c r="U85" s="478">
        <f>R85*Données!$F$28</f>
        <v>0</v>
      </c>
      <c r="V85" s="478">
        <f ca="1">IF(S85=0,0,IF($E$7="C1",(S85*$H$10),IF($E$7="C2",-R85*Données!$G$36*$H$10,0)))</f>
        <v>0</v>
      </c>
      <c r="W85" s="478">
        <f t="shared" si="14"/>
        <v>0</v>
      </c>
    </row>
    <row r="86" spans="1:23">
      <c r="A86" s="477">
        <f t="shared" ref="A86:A108" ca="1" si="20">A85+1</f>
        <v>112</v>
      </c>
      <c r="B86" s="478">
        <f t="shared" ref="B86:B108" ca="1" si="21">IF(A86=$C$6,0,IF(A86&lt;$C$6,$C$9,0))</f>
        <v>0</v>
      </c>
      <c r="C86" s="478">
        <f ca="1">IF(OR($C$7=Données!$H$51,$C$7=Données!$H$54,$C$7=Données!$H$55,$C$7=Données!$H$57),0,B86*'Sit 1(2)'!$C$10)</f>
        <v>0</v>
      </c>
      <c r="D86" s="478">
        <f ca="1">IFERROR(IF($H$5="",B86*'CT à Transf'!$K$28,B86*$H$5),B86*$H$5)</f>
        <v>0</v>
      </c>
      <c r="E86" s="478">
        <f t="shared" ref="E86:E108" ca="1" si="22">B86-D86</f>
        <v>0</v>
      </c>
      <c r="F86" s="478">
        <f t="shared" ca="1" si="15"/>
        <v>0</v>
      </c>
      <c r="G86" s="478">
        <f t="shared" ca="1" si="16"/>
        <v>0</v>
      </c>
      <c r="H86" s="478">
        <f t="shared" ca="1" si="17"/>
        <v>0</v>
      </c>
      <c r="J86" s="476"/>
      <c r="K86" s="477">
        <f t="shared" ref="K86:K108" si="23">K85+1</f>
        <v>130</v>
      </c>
      <c r="L86" s="478">
        <f t="shared" ref="L86:L108" si="24">IF(K86&lt;=$O$9,IF((L85+M85)&lt;=IF(($O$7-$C$6)=0,0,-PMT($O$5,($O$7-$C$6),$H$13))+1,0,L85+M85-Q85),0)</f>
        <v>0</v>
      </c>
      <c r="M86" s="478">
        <f t="shared" si="18"/>
        <v>0</v>
      </c>
      <c r="N86" s="493">
        <f t="shared" ref="N86:N108" si="25">IF(K86&gt;=$O$9,0,IF((N85-R85+M86)&lt;1,0,N85-R85+M86))</f>
        <v>0</v>
      </c>
      <c r="O86" s="493">
        <f t="shared" ref="O86:O108" si="26">IF(K86&gt;=$O$9,0,IF((O85-S85)&lt;1,0,O85-S85))</f>
        <v>0</v>
      </c>
      <c r="P86" s="478">
        <f t="shared" ref="P86:P108" si="27">IF(K86&gt;=$O$9,0,N86+O86)</f>
        <v>0</v>
      </c>
      <c r="Q86" s="504">
        <f ca="1">IF(MEPPER2!$H$15="Protection cellule familiale",0,IF(K86=($C$6+($O$7-$C$6)-1),P86,IF(P86&lt;IF(($O$7-$C$6)=0,0,-PMT($O$5,($O$7-$C$6),$H$13)),P86,IF(($O$7-$C$6)=0,0,-PMT($O$5,($O$7-$C$6),$H$13)))))</f>
        <v>0</v>
      </c>
      <c r="R86" s="478">
        <f t="shared" ref="R86:R108" si="28">IF(K86&gt;=$O$9,0,IF(L86=ROUND(0,1),0,IF((N86+M86)&lt;(Q86-(O86*Q86/(O86+N86))),(N86+M86),Q86-(O86*Q86/(O86+N86)))))</f>
        <v>0</v>
      </c>
      <c r="S86" s="478">
        <f t="shared" ca="1" si="19"/>
        <v>0</v>
      </c>
      <c r="T86" s="478">
        <f>R86*Données!$F$36</f>
        <v>0</v>
      </c>
      <c r="U86" s="478">
        <f>R86*Données!$F$28</f>
        <v>0</v>
      </c>
      <c r="V86" s="478">
        <f ca="1">IF(S86=0,0,IF($E$7="C1",(S86*$H$10),IF($E$7="C2",-R86*Données!$G$36*$H$10,0)))</f>
        <v>0</v>
      </c>
      <c r="W86" s="478">
        <f t="shared" ref="W86:W108" si="29">IF(K86&lt;$O$9,IF(Q86&gt;0,Q86-T86-U86-V86,0),0)</f>
        <v>0</v>
      </c>
    </row>
    <row r="87" spans="1:23">
      <c r="A87" s="477">
        <f t="shared" ca="1" si="20"/>
        <v>113</v>
      </c>
      <c r="B87" s="478">
        <f t="shared" ca="1" si="21"/>
        <v>0</v>
      </c>
      <c r="C87" s="478">
        <f ca="1">IF(OR($C$7=Données!$H$51,$C$7=Données!$H$54,$C$7=Données!$H$55,$C$7=Données!$H$57),0,B87*'Sit 1(2)'!$C$10)</f>
        <v>0</v>
      </c>
      <c r="D87" s="478">
        <f ca="1">IFERROR(IF($H$5="",B87*'CT à Transf'!$K$28,B87*$H$5),B87*$H$5)</f>
        <v>0</v>
      </c>
      <c r="E87" s="478">
        <f t="shared" ca="1" si="22"/>
        <v>0</v>
      </c>
      <c r="F87" s="478">
        <f t="shared" ca="1" si="15"/>
        <v>0</v>
      </c>
      <c r="G87" s="478">
        <f t="shared" ca="1" si="16"/>
        <v>0</v>
      </c>
      <c r="H87" s="478">
        <f t="shared" ca="1" si="17"/>
        <v>0</v>
      </c>
      <c r="J87" s="476"/>
      <c r="K87" s="477">
        <f t="shared" si="23"/>
        <v>131</v>
      </c>
      <c r="L87" s="478">
        <f t="shared" si="24"/>
        <v>0</v>
      </c>
      <c r="M87" s="478">
        <f t="shared" si="18"/>
        <v>0</v>
      </c>
      <c r="N87" s="493">
        <f t="shared" si="25"/>
        <v>0</v>
      </c>
      <c r="O87" s="493">
        <f t="shared" si="26"/>
        <v>0</v>
      </c>
      <c r="P87" s="478">
        <f t="shared" si="27"/>
        <v>0</v>
      </c>
      <c r="Q87" s="504">
        <f ca="1">IF(MEPPER2!$H$15="Protection cellule familiale",0,IF(K87=($C$6+($O$7-$C$6)-1),P87,IF(P87&lt;IF(($O$7-$C$6)=0,0,-PMT($O$5,($O$7-$C$6),$H$13)),P87,IF(($O$7-$C$6)=0,0,-PMT($O$5,($O$7-$C$6),$H$13)))))</f>
        <v>0</v>
      </c>
      <c r="R87" s="478">
        <f t="shared" si="28"/>
        <v>0</v>
      </c>
      <c r="S87" s="478">
        <f t="shared" ca="1" si="19"/>
        <v>0</v>
      </c>
      <c r="T87" s="478">
        <f>R87*Données!$F$36</f>
        <v>0</v>
      </c>
      <c r="U87" s="478">
        <f>R87*Données!$F$28</f>
        <v>0</v>
      </c>
      <c r="V87" s="478">
        <f ca="1">IF(S87=0,0,IF($E$7="C1",(S87*$H$10),IF($E$7="C2",-R87*Données!$G$36*$H$10,0)))</f>
        <v>0</v>
      </c>
      <c r="W87" s="478">
        <f t="shared" si="29"/>
        <v>0</v>
      </c>
    </row>
    <row r="88" spans="1:23">
      <c r="A88" s="477">
        <f t="shared" ca="1" si="20"/>
        <v>114</v>
      </c>
      <c r="B88" s="478">
        <f t="shared" ca="1" si="21"/>
        <v>0</v>
      </c>
      <c r="C88" s="478">
        <f ca="1">IF(OR($C$7=Données!$H$51,$C$7=Données!$H$54,$C$7=Données!$H$55,$C$7=Données!$H$57),0,B88*'Sit 1(2)'!$C$10)</f>
        <v>0</v>
      </c>
      <c r="D88" s="478">
        <f ca="1">IFERROR(IF($H$5="",B88*'CT à Transf'!$K$28,B88*$H$5),B88*$H$5)</f>
        <v>0</v>
      </c>
      <c r="E88" s="478">
        <f t="shared" ca="1" si="22"/>
        <v>0</v>
      </c>
      <c r="F88" s="478">
        <f t="shared" ca="1" si="15"/>
        <v>0</v>
      </c>
      <c r="G88" s="478">
        <f t="shared" ca="1" si="16"/>
        <v>0</v>
      </c>
      <c r="H88" s="478">
        <f t="shared" ca="1" si="17"/>
        <v>0</v>
      </c>
      <c r="J88" s="476"/>
      <c r="K88" s="477">
        <f t="shared" si="23"/>
        <v>132</v>
      </c>
      <c r="L88" s="478">
        <f t="shared" si="24"/>
        <v>0</v>
      </c>
      <c r="M88" s="478">
        <f t="shared" si="18"/>
        <v>0</v>
      </c>
      <c r="N88" s="493">
        <f t="shared" si="25"/>
        <v>0</v>
      </c>
      <c r="O88" s="493">
        <f t="shared" si="26"/>
        <v>0</v>
      </c>
      <c r="P88" s="478">
        <f t="shared" si="27"/>
        <v>0</v>
      </c>
      <c r="Q88" s="504">
        <f ca="1">IF(MEPPER2!$H$15="Protection cellule familiale",0,IF(K88=($C$6+($O$7-$C$6)-1),P88,IF(P88&lt;IF(($O$7-$C$6)=0,0,-PMT($O$5,($O$7-$C$6),$H$13)),P88,IF(($O$7-$C$6)=0,0,-PMT($O$5,($O$7-$C$6),$H$13)))))</f>
        <v>0</v>
      </c>
      <c r="R88" s="478">
        <f t="shared" si="28"/>
        <v>0</v>
      </c>
      <c r="S88" s="478">
        <f t="shared" ca="1" si="19"/>
        <v>0</v>
      </c>
      <c r="T88" s="478">
        <f>R88*Données!$F$36</f>
        <v>0</v>
      </c>
      <c r="U88" s="478">
        <f>R88*Données!$F$28</f>
        <v>0</v>
      </c>
      <c r="V88" s="478">
        <f ca="1">IF(S88=0,0,IF($E$7="C1",(S88*$H$10),IF($E$7="C2",-R88*Données!$G$36*$H$10,0)))</f>
        <v>0</v>
      </c>
      <c r="W88" s="478">
        <f t="shared" si="29"/>
        <v>0</v>
      </c>
    </row>
    <row r="89" spans="1:23">
      <c r="A89" s="477">
        <f t="shared" ca="1" si="20"/>
        <v>115</v>
      </c>
      <c r="B89" s="478">
        <f t="shared" ca="1" si="21"/>
        <v>0</v>
      </c>
      <c r="C89" s="478">
        <f ca="1">IF(OR($C$7=Données!$H$51,$C$7=Données!$H$54,$C$7=Données!$H$55,$C$7=Données!$H$57),0,B89*'Sit 1(2)'!$C$10)</f>
        <v>0</v>
      </c>
      <c r="D89" s="478">
        <f ca="1">IFERROR(IF($H$5="",B89*'CT à Transf'!$K$28,B89*$H$5),B89*$H$5)</f>
        <v>0</v>
      </c>
      <c r="E89" s="478">
        <f t="shared" ca="1" si="22"/>
        <v>0</v>
      </c>
      <c r="F89" s="478">
        <f t="shared" ca="1" si="15"/>
        <v>0</v>
      </c>
      <c r="G89" s="478">
        <f t="shared" ca="1" si="16"/>
        <v>0</v>
      </c>
      <c r="H89" s="478">
        <f t="shared" ca="1" si="17"/>
        <v>0</v>
      </c>
      <c r="J89" s="476"/>
      <c r="K89" s="477">
        <f t="shared" si="23"/>
        <v>133</v>
      </c>
      <c r="L89" s="478">
        <f t="shared" si="24"/>
        <v>0</v>
      </c>
      <c r="M89" s="478">
        <f t="shared" si="18"/>
        <v>0</v>
      </c>
      <c r="N89" s="493">
        <f t="shared" si="25"/>
        <v>0</v>
      </c>
      <c r="O89" s="493">
        <f t="shared" si="26"/>
        <v>0</v>
      </c>
      <c r="P89" s="478">
        <f t="shared" si="27"/>
        <v>0</v>
      </c>
      <c r="Q89" s="504">
        <f ca="1">IF(MEPPER2!$H$15="Protection cellule familiale",0,IF(K89=($C$6+($O$7-$C$6)-1),P89,IF(P89&lt;IF(($O$7-$C$6)=0,0,-PMT($O$5,($O$7-$C$6),$H$13)),P89,IF(($O$7-$C$6)=0,0,-PMT($O$5,($O$7-$C$6),$H$13)))))</f>
        <v>0</v>
      </c>
      <c r="R89" s="478">
        <f t="shared" si="28"/>
        <v>0</v>
      </c>
      <c r="S89" s="478">
        <f t="shared" ca="1" si="19"/>
        <v>0</v>
      </c>
      <c r="T89" s="478">
        <f>R89*Données!$F$36</f>
        <v>0</v>
      </c>
      <c r="U89" s="478">
        <f>R89*Données!$F$28</f>
        <v>0</v>
      </c>
      <c r="V89" s="478">
        <f ca="1">IF(S89=0,0,IF($E$7="C1",(S89*$H$10),IF($E$7="C2",-R89*Données!$G$36*$H$10,0)))</f>
        <v>0</v>
      </c>
      <c r="W89" s="478">
        <f t="shared" si="29"/>
        <v>0</v>
      </c>
    </row>
    <row r="90" spans="1:23">
      <c r="A90" s="477">
        <f t="shared" ca="1" si="20"/>
        <v>116</v>
      </c>
      <c r="B90" s="478">
        <f t="shared" ca="1" si="21"/>
        <v>0</v>
      </c>
      <c r="C90" s="478">
        <f ca="1">IF(OR($C$7=Données!$H$51,$C$7=Données!$H$54,$C$7=Données!$H$55,$C$7=Données!$H$57),0,B90*'Sit 1(2)'!$C$10)</f>
        <v>0</v>
      </c>
      <c r="D90" s="478">
        <f ca="1">IFERROR(IF($H$5="",B90*'CT à Transf'!$K$28,B90*$H$5),B90*$H$5)</f>
        <v>0</v>
      </c>
      <c r="E90" s="478">
        <f t="shared" ca="1" si="22"/>
        <v>0</v>
      </c>
      <c r="F90" s="478">
        <f t="shared" ca="1" si="15"/>
        <v>0</v>
      </c>
      <c r="G90" s="478">
        <f t="shared" ca="1" si="16"/>
        <v>0</v>
      </c>
      <c r="H90" s="478">
        <f t="shared" ca="1" si="17"/>
        <v>0</v>
      </c>
      <c r="J90" s="476"/>
      <c r="K90" s="477">
        <f t="shared" si="23"/>
        <v>134</v>
      </c>
      <c r="L90" s="478">
        <f t="shared" si="24"/>
        <v>0</v>
      </c>
      <c r="M90" s="478">
        <f t="shared" si="18"/>
        <v>0</v>
      </c>
      <c r="N90" s="493">
        <f t="shared" si="25"/>
        <v>0</v>
      </c>
      <c r="O90" s="493">
        <f t="shared" si="26"/>
        <v>0</v>
      </c>
      <c r="P90" s="478">
        <f t="shared" si="27"/>
        <v>0</v>
      </c>
      <c r="Q90" s="504">
        <f ca="1">IF(MEPPER2!$H$15="Protection cellule familiale",0,IF(K90=($C$6+($O$7-$C$6)-1),P90,IF(P90&lt;IF(($O$7-$C$6)=0,0,-PMT($O$5,($O$7-$C$6),$H$13)),P90,IF(($O$7-$C$6)=0,0,-PMT($O$5,($O$7-$C$6),$H$13)))))</f>
        <v>0</v>
      </c>
      <c r="R90" s="478">
        <f t="shared" si="28"/>
        <v>0</v>
      </c>
      <c r="S90" s="478">
        <f t="shared" ca="1" si="19"/>
        <v>0</v>
      </c>
      <c r="T90" s="478">
        <f>R90*Données!$F$36</f>
        <v>0</v>
      </c>
      <c r="U90" s="478">
        <f>R90*Données!$F$28</f>
        <v>0</v>
      </c>
      <c r="V90" s="478">
        <f ca="1">IF(S90=0,0,IF($E$7="C1",(S90*$H$10),IF($E$7="C2",-R90*Données!$G$36*$H$10,0)))</f>
        <v>0</v>
      </c>
      <c r="W90" s="478">
        <f t="shared" si="29"/>
        <v>0</v>
      </c>
    </row>
    <row r="91" spans="1:23">
      <c r="A91" s="477">
        <f t="shared" ca="1" si="20"/>
        <v>117</v>
      </c>
      <c r="B91" s="478">
        <f t="shared" ca="1" si="21"/>
        <v>0</v>
      </c>
      <c r="C91" s="478">
        <f ca="1">IF(OR($C$7=Données!$H$51,$C$7=Données!$H$54,$C$7=Données!$H$55,$C$7=Données!$H$57),0,B91*'Sit 1(2)'!$C$10)</f>
        <v>0</v>
      </c>
      <c r="D91" s="478">
        <f ca="1">IFERROR(IF($H$5="",B91*'CT à Transf'!$K$28,B91*$H$5),B91*$H$5)</f>
        <v>0</v>
      </c>
      <c r="E91" s="478">
        <f t="shared" ca="1" si="22"/>
        <v>0</v>
      </c>
      <c r="F91" s="478">
        <f t="shared" ca="1" si="15"/>
        <v>0</v>
      </c>
      <c r="G91" s="478">
        <f t="shared" ca="1" si="16"/>
        <v>0</v>
      </c>
      <c r="H91" s="478">
        <f t="shared" ca="1" si="17"/>
        <v>0</v>
      </c>
      <c r="J91" s="476"/>
      <c r="K91" s="477">
        <f t="shared" si="23"/>
        <v>135</v>
      </c>
      <c r="L91" s="478">
        <f t="shared" si="24"/>
        <v>0</v>
      </c>
      <c r="M91" s="478">
        <f t="shared" si="18"/>
        <v>0</v>
      </c>
      <c r="N91" s="493">
        <f t="shared" si="25"/>
        <v>0</v>
      </c>
      <c r="O91" s="493">
        <f t="shared" si="26"/>
        <v>0</v>
      </c>
      <c r="P91" s="478">
        <f t="shared" si="27"/>
        <v>0</v>
      </c>
      <c r="Q91" s="504">
        <f ca="1">IF(MEPPER2!$H$15="Protection cellule familiale",0,IF(K91=($C$6+($O$7-$C$6)-1),P91,IF(P91&lt;IF(($O$7-$C$6)=0,0,-PMT($O$5,($O$7-$C$6),$H$13)),P91,IF(($O$7-$C$6)=0,0,-PMT($O$5,($O$7-$C$6),$H$13)))))</f>
        <v>0</v>
      </c>
      <c r="R91" s="478">
        <f t="shared" si="28"/>
        <v>0</v>
      </c>
      <c r="S91" s="478">
        <f t="shared" ca="1" si="19"/>
        <v>0</v>
      </c>
      <c r="T91" s="478">
        <f>R91*Données!$F$36</f>
        <v>0</v>
      </c>
      <c r="U91" s="478">
        <f>R91*Données!$F$28</f>
        <v>0</v>
      </c>
      <c r="V91" s="478">
        <f ca="1">IF(S91=0,0,IF($E$7="C1",(S91*$H$10),IF($E$7="C2",-R91*Données!$G$36*$H$10,0)))</f>
        <v>0</v>
      </c>
      <c r="W91" s="478">
        <f t="shared" si="29"/>
        <v>0</v>
      </c>
    </row>
    <row r="92" spans="1:23">
      <c r="A92" s="477">
        <f t="shared" ca="1" si="20"/>
        <v>118</v>
      </c>
      <c r="B92" s="478">
        <f t="shared" ca="1" si="21"/>
        <v>0</v>
      </c>
      <c r="C92" s="478">
        <f ca="1">IF(OR($C$7=Données!$H$51,$C$7=Données!$H$54,$C$7=Données!$H$55,$C$7=Données!$H$57),0,B92*'Sit 1(2)'!$C$10)</f>
        <v>0</v>
      </c>
      <c r="D92" s="478">
        <f ca="1">IFERROR(IF($H$5="",B92*'CT à Transf'!$K$28,B92*$H$5),B92*$H$5)</f>
        <v>0</v>
      </c>
      <c r="E92" s="478">
        <f t="shared" ca="1" si="22"/>
        <v>0</v>
      </c>
      <c r="F92" s="478">
        <f t="shared" ca="1" si="15"/>
        <v>0</v>
      </c>
      <c r="G92" s="478">
        <f t="shared" ca="1" si="16"/>
        <v>0</v>
      </c>
      <c r="H92" s="478">
        <f t="shared" ca="1" si="17"/>
        <v>0</v>
      </c>
      <c r="J92" s="476"/>
      <c r="K92" s="477">
        <f t="shared" si="23"/>
        <v>136</v>
      </c>
      <c r="L92" s="478">
        <f t="shared" si="24"/>
        <v>0</v>
      </c>
      <c r="M92" s="478">
        <f t="shared" si="18"/>
        <v>0</v>
      </c>
      <c r="N92" s="493">
        <f t="shared" si="25"/>
        <v>0</v>
      </c>
      <c r="O92" s="493">
        <f t="shared" si="26"/>
        <v>0</v>
      </c>
      <c r="P92" s="478">
        <f t="shared" si="27"/>
        <v>0</v>
      </c>
      <c r="Q92" s="504">
        <f ca="1">IF(MEPPER2!$H$15="Protection cellule familiale",0,IF(K92=($C$6+($O$7-$C$6)-1),P92,IF(P92&lt;IF(($O$7-$C$6)=0,0,-PMT($O$5,($O$7-$C$6),$H$13)),P92,IF(($O$7-$C$6)=0,0,-PMT($O$5,($O$7-$C$6),$H$13)))))</f>
        <v>0</v>
      </c>
      <c r="R92" s="478">
        <f t="shared" si="28"/>
        <v>0</v>
      </c>
      <c r="S92" s="478">
        <f t="shared" ca="1" si="19"/>
        <v>0</v>
      </c>
      <c r="T92" s="478">
        <f>R92*Données!$F$36</f>
        <v>0</v>
      </c>
      <c r="U92" s="478">
        <f>R92*Données!$F$28</f>
        <v>0</v>
      </c>
      <c r="V92" s="478">
        <f ca="1">IF(S92=0,0,IF($E$7="C1",(S92*$H$10),IF($E$7="C2",-R92*Données!$G$36*$H$10,0)))</f>
        <v>0</v>
      </c>
      <c r="W92" s="478">
        <f t="shared" si="29"/>
        <v>0</v>
      </c>
    </row>
    <row r="93" spans="1:23">
      <c r="A93" s="477">
        <f t="shared" ca="1" si="20"/>
        <v>119</v>
      </c>
      <c r="B93" s="478">
        <f t="shared" ca="1" si="21"/>
        <v>0</v>
      </c>
      <c r="C93" s="478">
        <f ca="1">IF(OR($C$7=Données!$H$51,$C$7=Données!$H$54,$C$7=Données!$H$55,$C$7=Données!$H$57),0,B93*'Sit 1(2)'!$C$10)</f>
        <v>0</v>
      </c>
      <c r="D93" s="478">
        <f ca="1">IFERROR(IF($H$5="",B93*'CT à Transf'!$K$28,B93*$H$5),B93*$H$5)</f>
        <v>0</v>
      </c>
      <c r="E93" s="478">
        <f t="shared" ca="1" si="22"/>
        <v>0</v>
      </c>
      <c r="F93" s="478">
        <f t="shared" ca="1" si="15"/>
        <v>0</v>
      </c>
      <c r="G93" s="478">
        <f t="shared" ca="1" si="16"/>
        <v>0</v>
      </c>
      <c r="H93" s="478">
        <f t="shared" ca="1" si="17"/>
        <v>0</v>
      </c>
      <c r="J93" s="476"/>
      <c r="K93" s="477">
        <f t="shared" si="23"/>
        <v>137</v>
      </c>
      <c r="L93" s="478">
        <f t="shared" si="24"/>
        <v>0</v>
      </c>
      <c r="M93" s="478">
        <f t="shared" si="18"/>
        <v>0</v>
      </c>
      <c r="N93" s="493">
        <f t="shared" si="25"/>
        <v>0</v>
      </c>
      <c r="O93" s="493">
        <f t="shared" si="26"/>
        <v>0</v>
      </c>
      <c r="P93" s="478">
        <f t="shared" si="27"/>
        <v>0</v>
      </c>
      <c r="Q93" s="504">
        <f ca="1">IF(MEPPER2!$H$15="Protection cellule familiale",0,IF(K93=($C$6+($O$7-$C$6)-1),P93,IF(P93&lt;IF(($O$7-$C$6)=0,0,-PMT($O$5,($O$7-$C$6),$H$13)),P93,IF(($O$7-$C$6)=0,0,-PMT($O$5,($O$7-$C$6),$H$13)))))</f>
        <v>0</v>
      </c>
      <c r="R93" s="478">
        <f t="shared" si="28"/>
        <v>0</v>
      </c>
      <c r="S93" s="478">
        <f t="shared" ca="1" si="19"/>
        <v>0</v>
      </c>
      <c r="T93" s="478">
        <f>R93*Données!$F$36</f>
        <v>0</v>
      </c>
      <c r="U93" s="478">
        <f>R93*Données!$F$28</f>
        <v>0</v>
      </c>
      <c r="V93" s="478">
        <f ca="1">IF(S93=0,0,IF($E$7="C1",(S93*$H$10),IF($E$7="C2",-R93*Données!$G$36*$H$10,0)))</f>
        <v>0</v>
      </c>
      <c r="W93" s="478">
        <f t="shared" si="29"/>
        <v>0</v>
      </c>
    </row>
    <row r="94" spans="1:23">
      <c r="A94" s="477">
        <f t="shared" ca="1" si="20"/>
        <v>120</v>
      </c>
      <c r="B94" s="478">
        <f t="shared" ca="1" si="21"/>
        <v>0</v>
      </c>
      <c r="C94" s="478">
        <f ca="1">IF(OR($C$7=Données!$H$51,$C$7=Données!$H$54,$C$7=Données!$H$55,$C$7=Données!$H$57),0,B94*'Sit 1(2)'!$C$10)</f>
        <v>0</v>
      </c>
      <c r="D94" s="478">
        <f ca="1">IFERROR(IF($H$5="",B94*'CT à Transf'!$K$28,B94*$H$5),B94*$H$5)</f>
        <v>0</v>
      </c>
      <c r="E94" s="478">
        <f t="shared" ca="1" si="22"/>
        <v>0</v>
      </c>
      <c r="F94" s="478">
        <f t="shared" ca="1" si="15"/>
        <v>0</v>
      </c>
      <c r="G94" s="478">
        <f t="shared" ca="1" si="16"/>
        <v>0</v>
      </c>
      <c r="H94" s="478">
        <f t="shared" ca="1" si="17"/>
        <v>0</v>
      </c>
      <c r="J94" s="476"/>
      <c r="K94" s="477">
        <f t="shared" si="23"/>
        <v>138</v>
      </c>
      <c r="L94" s="478">
        <f t="shared" si="24"/>
        <v>0</v>
      </c>
      <c r="M94" s="478">
        <f t="shared" si="18"/>
        <v>0</v>
      </c>
      <c r="N94" s="493">
        <f t="shared" si="25"/>
        <v>0</v>
      </c>
      <c r="O94" s="493">
        <f t="shared" si="26"/>
        <v>0</v>
      </c>
      <c r="P94" s="478">
        <f t="shared" si="27"/>
        <v>0</v>
      </c>
      <c r="Q94" s="504">
        <f ca="1">IF(MEPPER2!$H$15="Protection cellule familiale",0,IF(K94=($C$6+($O$7-$C$6)-1),P94,IF(P94&lt;IF(($O$7-$C$6)=0,0,-PMT($O$5,($O$7-$C$6),$H$13)),P94,IF(($O$7-$C$6)=0,0,-PMT($O$5,($O$7-$C$6),$H$13)))))</f>
        <v>0</v>
      </c>
      <c r="R94" s="478">
        <f t="shared" si="28"/>
        <v>0</v>
      </c>
      <c r="S94" s="478">
        <f t="shared" ca="1" si="19"/>
        <v>0</v>
      </c>
      <c r="T94" s="478">
        <f>R94*Données!$F$36</f>
        <v>0</v>
      </c>
      <c r="U94" s="478">
        <f>R94*Données!$F$28</f>
        <v>0</v>
      </c>
      <c r="V94" s="478">
        <f ca="1">IF(S94=0,0,IF($E$7="C1",(S94*$H$10),IF($E$7="C2",-R94*Données!$G$36*$H$10,0)))</f>
        <v>0</v>
      </c>
      <c r="W94" s="478">
        <f t="shared" si="29"/>
        <v>0</v>
      </c>
    </row>
    <row r="95" spans="1:23">
      <c r="A95" s="477">
        <f t="shared" ca="1" si="20"/>
        <v>121</v>
      </c>
      <c r="B95" s="478">
        <f t="shared" ca="1" si="21"/>
        <v>0</v>
      </c>
      <c r="C95" s="478">
        <f ca="1">IF(OR($C$7=Données!$H$51,$C$7=Données!$H$54,$C$7=Données!$H$55,$C$7=Données!$H$57),0,B95*'Sit 1(2)'!$C$10)</f>
        <v>0</v>
      </c>
      <c r="D95" s="478">
        <f ca="1">IFERROR(IF($H$5="",B95*'CT à Transf'!$K$28,B95*$H$5),B95*$H$5)</f>
        <v>0</v>
      </c>
      <c r="E95" s="478">
        <f t="shared" ca="1" si="22"/>
        <v>0</v>
      </c>
      <c r="F95" s="478">
        <f t="shared" ca="1" si="15"/>
        <v>0</v>
      </c>
      <c r="G95" s="478">
        <f t="shared" ca="1" si="16"/>
        <v>0</v>
      </c>
      <c r="H95" s="478">
        <f t="shared" ca="1" si="17"/>
        <v>0</v>
      </c>
      <c r="J95" s="476"/>
      <c r="K95" s="477">
        <f t="shared" si="23"/>
        <v>139</v>
      </c>
      <c r="L95" s="478">
        <f t="shared" si="24"/>
        <v>0</v>
      </c>
      <c r="M95" s="478">
        <f t="shared" si="18"/>
        <v>0</v>
      </c>
      <c r="N95" s="493">
        <f t="shared" si="25"/>
        <v>0</v>
      </c>
      <c r="O95" s="493">
        <f t="shared" si="26"/>
        <v>0</v>
      </c>
      <c r="P95" s="478">
        <f t="shared" si="27"/>
        <v>0</v>
      </c>
      <c r="Q95" s="504">
        <f ca="1">IF(MEPPER2!$H$15="Protection cellule familiale",0,IF(K95=($C$6+($O$7-$C$6)-1),P95,IF(P95&lt;IF(($O$7-$C$6)=0,0,-PMT($O$5,($O$7-$C$6),$H$13)),P95,IF(($O$7-$C$6)=0,0,-PMT($O$5,($O$7-$C$6),$H$13)))))</f>
        <v>0</v>
      </c>
      <c r="R95" s="478">
        <f t="shared" si="28"/>
        <v>0</v>
      </c>
      <c r="S95" s="478">
        <f t="shared" ca="1" si="19"/>
        <v>0</v>
      </c>
      <c r="T95" s="478">
        <f>R95*Données!$F$36</f>
        <v>0</v>
      </c>
      <c r="U95" s="478">
        <f>R95*Données!$F$28</f>
        <v>0</v>
      </c>
      <c r="V95" s="478">
        <f ca="1">IF(S95=0,0,IF($E$7="C1",(S95*$H$10),IF($E$7="C2",-R95*Données!$G$36*$H$10,0)))</f>
        <v>0</v>
      </c>
      <c r="W95" s="478">
        <f t="shared" si="29"/>
        <v>0</v>
      </c>
    </row>
    <row r="96" spans="1:23">
      <c r="A96" s="477">
        <f t="shared" ca="1" si="20"/>
        <v>122</v>
      </c>
      <c r="B96" s="478">
        <f t="shared" ca="1" si="21"/>
        <v>0</v>
      </c>
      <c r="C96" s="478">
        <f ca="1">IF(OR($C$7=Données!$H$51,$C$7=Données!$H$54,$C$7=Données!$H$55,$C$7=Données!$H$57),0,B96*'Sit 1(2)'!$C$10)</f>
        <v>0</v>
      </c>
      <c r="D96" s="478">
        <f ca="1">IFERROR(IF($H$5="",B96*'CT à Transf'!$K$28,B96*$H$5),B96*$H$5)</f>
        <v>0</v>
      </c>
      <c r="E96" s="478">
        <f t="shared" ca="1" si="22"/>
        <v>0</v>
      </c>
      <c r="F96" s="478">
        <f t="shared" ca="1" si="15"/>
        <v>0</v>
      </c>
      <c r="G96" s="478">
        <f t="shared" ca="1" si="16"/>
        <v>0</v>
      </c>
      <c r="H96" s="478">
        <f t="shared" ca="1" si="17"/>
        <v>0</v>
      </c>
      <c r="J96" s="476"/>
      <c r="K96" s="477">
        <f t="shared" si="23"/>
        <v>140</v>
      </c>
      <c r="L96" s="478">
        <f t="shared" si="24"/>
        <v>0</v>
      </c>
      <c r="M96" s="478">
        <f t="shared" si="18"/>
        <v>0</v>
      </c>
      <c r="N96" s="493">
        <f t="shared" si="25"/>
        <v>0</v>
      </c>
      <c r="O96" s="493">
        <f t="shared" si="26"/>
        <v>0</v>
      </c>
      <c r="P96" s="478">
        <f t="shared" si="27"/>
        <v>0</v>
      </c>
      <c r="Q96" s="504">
        <f ca="1">IF(MEPPER2!$H$15="Protection cellule familiale",0,IF(K96=($C$6+($O$7-$C$6)-1),P96,IF(P96&lt;IF(($O$7-$C$6)=0,0,-PMT($O$5,($O$7-$C$6),$H$13)),P96,IF(($O$7-$C$6)=0,0,-PMT($O$5,($O$7-$C$6),$H$13)))))</f>
        <v>0</v>
      </c>
      <c r="R96" s="478">
        <f t="shared" si="28"/>
        <v>0</v>
      </c>
      <c r="S96" s="478">
        <f t="shared" ca="1" si="19"/>
        <v>0</v>
      </c>
      <c r="T96" s="478">
        <f>R96*Données!$F$36</f>
        <v>0</v>
      </c>
      <c r="U96" s="478">
        <f>R96*Données!$F$28</f>
        <v>0</v>
      </c>
      <c r="V96" s="478">
        <f ca="1">IF(S96=0,0,IF($E$7="C1",(S96*$H$10),IF($E$7="C2",-R96*Données!$G$36*$H$10,0)))</f>
        <v>0</v>
      </c>
      <c r="W96" s="478">
        <f t="shared" si="29"/>
        <v>0</v>
      </c>
    </row>
    <row r="97" spans="1:23">
      <c r="A97" s="477">
        <f t="shared" ca="1" si="20"/>
        <v>123</v>
      </c>
      <c r="B97" s="478">
        <f t="shared" ca="1" si="21"/>
        <v>0</v>
      </c>
      <c r="C97" s="478">
        <f ca="1">IF(OR($C$7=Données!$H$51,$C$7=Données!$H$54,$C$7=Données!$H$55,$C$7=Données!$H$57),0,B97*'Sit 1(2)'!$C$10)</f>
        <v>0</v>
      </c>
      <c r="D97" s="478">
        <f ca="1">IFERROR(IF($H$5="",B97*'CT à Transf'!$K$28,B97*$H$5),B97*$H$5)</f>
        <v>0</v>
      </c>
      <c r="E97" s="478">
        <f t="shared" ca="1" si="22"/>
        <v>0</v>
      </c>
      <c r="F97" s="478">
        <f t="shared" ca="1" si="15"/>
        <v>0</v>
      </c>
      <c r="G97" s="478">
        <f t="shared" ca="1" si="16"/>
        <v>0</v>
      </c>
      <c r="H97" s="478">
        <f t="shared" ca="1" si="17"/>
        <v>0</v>
      </c>
      <c r="J97" s="476"/>
      <c r="K97" s="477">
        <f t="shared" si="23"/>
        <v>141</v>
      </c>
      <c r="L97" s="478">
        <f t="shared" si="24"/>
        <v>0</v>
      </c>
      <c r="M97" s="478">
        <f t="shared" si="18"/>
        <v>0</v>
      </c>
      <c r="N97" s="493">
        <f t="shared" si="25"/>
        <v>0</v>
      </c>
      <c r="O97" s="493">
        <f t="shared" si="26"/>
        <v>0</v>
      </c>
      <c r="P97" s="478">
        <f t="shared" si="27"/>
        <v>0</v>
      </c>
      <c r="Q97" s="504">
        <f ca="1">IF(MEPPER2!$H$15="Protection cellule familiale",0,IF(K97=($C$6+($O$7-$C$6)-1),P97,IF(P97&lt;IF(($O$7-$C$6)=0,0,-PMT($O$5,($O$7-$C$6),$H$13)),P97,IF(($O$7-$C$6)=0,0,-PMT($O$5,($O$7-$C$6),$H$13)))))</f>
        <v>0</v>
      </c>
      <c r="R97" s="478">
        <f t="shared" si="28"/>
        <v>0</v>
      </c>
      <c r="S97" s="478">
        <f t="shared" ca="1" si="19"/>
        <v>0</v>
      </c>
      <c r="T97" s="478">
        <f>R97*Données!$F$36</f>
        <v>0</v>
      </c>
      <c r="U97" s="478">
        <f>R97*Données!$F$28</f>
        <v>0</v>
      </c>
      <c r="V97" s="478">
        <f ca="1">IF(S97=0,0,IF($E$7="C1",(S97*$H$10),IF($E$7="C2",-R97*Données!$G$36*$H$10,0)))</f>
        <v>0</v>
      </c>
      <c r="W97" s="478">
        <f t="shared" si="29"/>
        <v>0</v>
      </c>
    </row>
    <row r="98" spans="1:23">
      <c r="A98" s="477">
        <f t="shared" ca="1" si="20"/>
        <v>124</v>
      </c>
      <c r="B98" s="478">
        <f t="shared" ca="1" si="21"/>
        <v>0</v>
      </c>
      <c r="C98" s="478">
        <f ca="1">IF(OR($C$7=Données!$H$51,$C$7=Données!$H$54,$C$7=Données!$H$55,$C$7=Données!$H$57),0,B98*'Sit 1(2)'!$C$10)</f>
        <v>0</v>
      </c>
      <c r="D98" s="478">
        <f ca="1">IFERROR(IF($H$5="",B98*'CT à Transf'!$K$28,B98*$H$5),B98*$H$5)</f>
        <v>0</v>
      </c>
      <c r="E98" s="478">
        <f t="shared" ca="1" si="22"/>
        <v>0</v>
      </c>
      <c r="F98" s="478">
        <f t="shared" ca="1" si="15"/>
        <v>0</v>
      </c>
      <c r="G98" s="478">
        <f t="shared" ca="1" si="16"/>
        <v>0</v>
      </c>
      <c r="H98" s="478">
        <f t="shared" ca="1" si="17"/>
        <v>0</v>
      </c>
      <c r="J98" s="476"/>
      <c r="K98" s="477">
        <f t="shared" si="23"/>
        <v>142</v>
      </c>
      <c r="L98" s="478">
        <f t="shared" si="24"/>
        <v>0</v>
      </c>
      <c r="M98" s="478">
        <f t="shared" si="18"/>
        <v>0</v>
      </c>
      <c r="N98" s="493">
        <f t="shared" si="25"/>
        <v>0</v>
      </c>
      <c r="O98" s="493">
        <f t="shared" si="26"/>
        <v>0</v>
      </c>
      <c r="P98" s="478">
        <f t="shared" si="27"/>
        <v>0</v>
      </c>
      <c r="Q98" s="504">
        <f ca="1">IF(MEPPER2!$H$15="Protection cellule familiale",0,IF(K98=($C$6+($O$7-$C$6)-1),P98,IF(P98&lt;IF(($O$7-$C$6)=0,0,-PMT($O$5,($O$7-$C$6),$H$13)),P98,IF(($O$7-$C$6)=0,0,-PMT($O$5,($O$7-$C$6),$H$13)))))</f>
        <v>0</v>
      </c>
      <c r="R98" s="478">
        <f t="shared" si="28"/>
        <v>0</v>
      </c>
      <c r="S98" s="478">
        <f t="shared" ca="1" si="19"/>
        <v>0</v>
      </c>
      <c r="T98" s="478">
        <f>R98*Données!$F$36</f>
        <v>0</v>
      </c>
      <c r="U98" s="478">
        <f>R98*Données!$F$28</f>
        <v>0</v>
      </c>
      <c r="V98" s="478">
        <f ca="1">IF(S98=0,0,IF($E$7="C1",(S98*$H$10),IF($E$7="C2",-R98*Données!$G$36*$H$10,0)))</f>
        <v>0</v>
      </c>
      <c r="W98" s="478">
        <f t="shared" si="29"/>
        <v>0</v>
      </c>
    </row>
    <row r="99" spans="1:23">
      <c r="A99" s="477">
        <f t="shared" ca="1" si="20"/>
        <v>125</v>
      </c>
      <c r="B99" s="478">
        <f t="shared" ca="1" si="21"/>
        <v>0</v>
      </c>
      <c r="C99" s="478">
        <f ca="1">IF(OR($C$7=Données!$H$51,$C$7=Données!$H$54,$C$7=Données!$H$55,$C$7=Données!$H$57),0,B99*'Sit 1(2)'!$C$10)</f>
        <v>0</v>
      </c>
      <c r="D99" s="478">
        <f ca="1">IFERROR(IF($H$5="",B99*'CT à Transf'!$K$28,B99*$H$5),B99*$H$5)</f>
        <v>0</v>
      </c>
      <c r="E99" s="478">
        <f t="shared" ca="1" si="22"/>
        <v>0</v>
      </c>
      <c r="F99" s="478">
        <f t="shared" ca="1" si="15"/>
        <v>0</v>
      </c>
      <c r="G99" s="478">
        <f t="shared" ca="1" si="16"/>
        <v>0</v>
      </c>
      <c r="H99" s="478">
        <f t="shared" ca="1" si="17"/>
        <v>0</v>
      </c>
      <c r="J99" s="476"/>
      <c r="K99" s="477">
        <f t="shared" si="23"/>
        <v>143</v>
      </c>
      <c r="L99" s="478">
        <f t="shared" si="24"/>
        <v>0</v>
      </c>
      <c r="M99" s="478">
        <f t="shared" si="18"/>
        <v>0</v>
      </c>
      <c r="N99" s="493">
        <f t="shared" si="25"/>
        <v>0</v>
      </c>
      <c r="O99" s="493">
        <f t="shared" si="26"/>
        <v>0</v>
      </c>
      <c r="P99" s="478">
        <f t="shared" si="27"/>
        <v>0</v>
      </c>
      <c r="Q99" s="504">
        <f ca="1">IF(MEPPER2!$H$15="Protection cellule familiale",0,IF(K99=($C$6+($O$7-$C$6)-1),P99,IF(P99&lt;IF(($O$7-$C$6)=0,0,-PMT($O$5,($O$7-$C$6),$H$13)),P99,IF(($O$7-$C$6)=0,0,-PMT($O$5,($O$7-$C$6),$H$13)))))</f>
        <v>0</v>
      </c>
      <c r="R99" s="478">
        <f t="shared" si="28"/>
        <v>0</v>
      </c>
      <c r="S99" s="478">
        <f t="shared" ca="1" si="19"/>
        <v>0</v>
      </c>
      <c r="T99" s="478">
        <f>R99*Données!$F$36</f>
        <v>0</v>
      </c>
      <c r="U99" s="478">
        <f>R99*Données!$F$28</f>
        <v>0</v>
      </c>
      <c r="V99" s="478">
        <f ca="1">IF(S99=0,0,IF($E$7="C1",(S99*$H$10),IF($E$7="C2",-R99*Données!$G$36*$H$10,0)))</f>
        <v>0</v>
      </c>
      <c r="W99" s="478">
        <f t="shared" si="29"/>
        <v>0</v>
      </c>
    </row>
    <row r="100" spans="1:23">
      <c r="A100" s="477">
        <f t="shared" ca="1" si="20"/>
        <v>126</v>
      </c>
      <c r="B100" s="478">
        <f t="shared" ca="1" si="21"/>
        <v>0</v>
      </c>
      <c r="C100" s="478">
        <f ca="1">IF(OR($C$7=Données!$H$51,$C$7=Données!$H$54,$C$7=Données!$H$55,$C$7=Données!$H$57),0,B100*'Sit 1(2)'!$C$10)</f>
        <v>0</v>
      </c>
      <c r="D100" s="478">
        <f ca="1">IFERROR(IF($H$5="",B100*'CT à Transf'!$K$28,B100*$H$5),B100*$H$5)</f>
        <v>0</v>
      </c>
      <c r="E100" s="478">
        <f t="shared" ca="1" si="22"/>
        <v>0</v>
      </c>
      <c r="F100" s="478">
        <f t="shared" ca="1" si="15"/>
        <v>0</v>
      </c>
      <c r="G100" s="478">
        <f t="shared" ca="1" si="16"/>
        <v>0</v>
      </c>
      <c r="H100" s="478">
        <f t="shared" ca="1" si="17"/>
        <v>0</v>
      </c>
      <c r="J100" s="476"/>
      <c r="K100" s="477">
        <f t="shared" si="23"/>
        <v>144</v>
      </c>
      <c r="L100" s="478">
        <f t="shared" si="24"/>
        <v>0</v>
      </c>
      <c r="M100" s="478">
        <f t="shared" si="18"/>
        <v>0</v>
      </c>
      <c r="N100" s="493">
        <f t="shared" si="25"/>
        <v>0</v>
      </c>
      <c r="O100" s="493">
        <f t="shared" si="26"/>
        <v>0</v>
      </c>
      <c r="P100" s="478">
        <f t="shared" si="27"/>
        <v>0</v>
      </c>
      <c r="Q100" s="504">
        <f ca="1">IF(MEPPER2!$H$15="Protection cellule familiale",0,IF(K100=($C$6+($O$7-$C$6)-1),P100,IF(P100&lt;IF(($O$7-$C$6)=0,0,-PMT($O$5,($O$7-$C$6),$H$13)),P100,IF(($O$7-$C$6)=0,0,-PMT($O$5,($O$7-$C$6),$H$13)))))</f>
        <v>0</v>
      </c>
      <c r="R100" s="478">
        <f t="shared" si="28"/>
        <v>0</v>
      </c>
      <c r="S100" s="478">
        <f t="shared" ca="1" si="19"/>
        <v>0</v>
      </c>
      <c r="T100" s="478">
        <f>R100*Données!$F$36</f>
        <v>0</v>
      </c>
      <c r="U100" s="478">
        <f>R100*Données!$F$28</f>
        <v>0</v>
      </c>
      <c r="V100" s="478">
        <f ca="1">IF(S100=0,0,IF($E$7="C1",(S100*$H$10),IF($E$7="C2",-R100*Données!$G$36*$H$10,0)))</f>
        <v>0</v>
      </c>
      <c r="W100" s="478">
        <f t="shared" si="29"/>
        <v>0</v>
      </c>
    </row>
    <row r="101" spans="1:23">
      <c r="A101" s="477">
        <f t="shared" ca="1" si="20"/>
        <v>127</v>
      </c>
      <c r="B101" s="478">
        <f t="shared" ca="1" si="21"/>
        <v>0</v>
      </c>
      <c r="C101" s="478">
        <f ca="1">IF(OR($C$7=Données!$H$51,$C$7=Données!$H$54,$C$7=Données!$H$55,$C$7=Données!$H$57),0,B101*'Sit 1(2)'!$C$10)</f>
        <v>0</v>
      </c>
      <c r="D101" s="478">
        <f ca="1">IFERROR(IF($H$5="",B101*'CT à Transf'!$K$28,B101*$H$5),B101*$H$5)</f>
        <v>0</v>
      </c>
      <c r="E101" s="478">
        <f t="shared" ca="1" si="22"/>
        <v>0</v>
      </c>
      <c r="F101" s="478">
        <f t="shared" ca="1" si="15"/>
        <v>0</v>
      </c>
      <c r="G101" s="478">
        <f t="shared" ca="1" si="16"/>
        <v>0</v>
      </c>
      <c r="H101" s="478">
        <f t="shared" ca="1" si="17"/>
        <v>0</v>
      </c>
      <c r="J101" s="476"/>
      <c r="K101" s="477">
        <f t="shared" si="23"/>
        <v>145</v>
      </c>
      <c r="L101" s="478">
        <f t="shared" si="24"/>
        <v>0</v>
      </c>
      <c r="M101" s="478">
        <f t="shared" si="18"/>
        <v>0</v>
      </c>
      <c r="N101" s="493">
        <f t="shared" si="25"/>
        <v>0</v>
      </c>
      <c r="O101" s="493">
        <f t="shared" si="26"/>
        <v>0</v>
      </c>
      <c r="P101" s="478">
        <f t="shared" si="27"/>
        <v>0</v>
      </c>
      <c r="Q101" s="504">
        <f ca="1">IF(MEPPER2!$H$15="Protection cellule familiale",0,IF(K101=($C$6+($O$7-$C$6)-1),P101,IF(P101&lt;IF(($O$7-$C$6)=0,0,-PMT($O$5,($O$7-$C$6),$H$13)),P101,IF(($O$7-$C$6)=0,0,-PMT($O$5,($O$7-$C$6),$H$13)))))</f>
        <v>0</v>
      </c>
      <c r="R101" s="478">
        <f t="shared" si="28"/>
        <v>0</v>
      </c>
      <c r="S101" s="478">
        <f t="shared" ca="1" si="19"/>
        <v>0</v>
      </c>
      <c r="T101" s="478">
        <f>R101*Données!$F$36</f>
        <v>0</v>
      </c>
      <c r="U101" s="478">
        <f>R101*Données!$F$28</f>
        <v>0</v>
      </c>
      <c r="V101" s="478">
        <f ca="1">IF(S101=0,0,IF($E$7="C1",(S101*$H$10),IF($E$7="C2",-R101*Données!$G$36*$H$10,0)))</f>
        <v>0</v>
      </c>
      <c r="W101" s="478">
        <f t="shared" si="29"/>
        <v>0</v>
      </c>
    </row>
    <row r="102" spans="1:23">
      <c r="A102" s="477">
        <f t="shared" ca="1" si="20"/>
        <v>128</v>
      </c>
      <c r="B102" s="478">
        <f t="shared" ca="1" si="21"/>
        <v>0</v>
      </c>
      <c r="C102" s="478">
        <f ca="1">IF(OR($C$7=Données!$H$51,$C$7=Données!$H$54,$C$7=Données!$H$55,$C$7=Données!$H$57),0,B102*'Sit 1(2)'!$C$10)</f>
        <v>0</v>
      </c>
      <c r="D102" s="478">
        <f ca="1">IFERROR(IF($H$5="",B102*'CT à Transf'!$K$28,B102*$H$5),B102*$H$5)</f>
        <v>0</v>
      </c>
      <c r="E102" s="478">
        <f t="shared" ca="1" si="22"/>
        <v>0</v>
      </c>
      <c r="F102" s="478">
        <f t="shared" ca="1" si="15"/>
        <v>0</v>
      </c>
      <c r="G102" s="478">
        <f t="shared" ca="1" si="16"/>
        <v>0</v>
      </c>
      <c r="H102" s="478">
        <f t="shared" ca="1" si="17"/>
        <v>0</v>
      </c>
      <c r="J102" s="476"/>
      <c r="K102" s="477">
        <f t="shared" si="23"/>
        <v>146</v>
      </c>
      <c r="L102" s="478">
        <f t="shared" si="24"/>
        <v>0</v>
      </c>
      <c r="M102" s="478">
        <f t="shared" si="18"/>
        <v>0</v>
      </c>
      <c r="N102" s="493">
        <f t="shared" si="25"/>
        <v>0</v>
      </c>
      <c r="O102" s="493">
        <f t="shared" si="26"/>
        <v>0</v>
      </c>
      <c r="P102" s="478">
        <f t="shared" si="27"/>
        <v>0</v>
      </c>
      <c r="Q102" s="504">
        <f ca="1">IF(MEPPER2!$H$15="Protection cellule familiale",0,IF(K102=($C$6+($O$7-$C$6)-1),P102,IF(P102&lt;IF(($O$7-$C$6)=0,0,-PMT($O$5,($O$7-$C$6),$H$13)),P102,IF(($O$7-$C$6)=0,0,-PMT($O$5,($O$7-$C$6),$H$13)))))</f>
        <v>0</v>
      </c>
      <c r="R102" s="478">
        <f t="shared" si="28"/>
        <v>0</v>
      </c>
      <c r="S102" s="478">
        <f t="shared" ca="1" si="19"/>
        <v>0</v>
      </c>
      <c r="T102" s="478">
        <f>R102*Données!$F$36</f>
        <v>0</v>
      </c>
      <c r="U102" s="478">
        <f>R102*Données!$F$28</f>
        <v>0</v>
      </c>
      <c r="V102" s="478">
        <f ca="1">IF(S102=0,0,IF($E$7="C1",(S102*$H$10),IF($E$7="C2",-R102*Données!$G$36*$H$10,0)))</f>
        <v>0</v>
      </c>
      <c r="W102" s="478">
        <f t="shared" si="29"/>
        <v>0</v>
      </c>
    </row>
    <row r="103" spans="1:23">
      <c r="A103" s="477">
        <f t="shared" ca="1" si="20"/>
        <v>129</v>
      </c>
      <c r="B103" s="478">
        <f t="shared" ca="1" si="21"/>
        <v>0</v>
      </c>
      <c r="C103" s="478">
        <f ca="1">IF(OR($C$7=Données!$H$51,$C$7=Données!$H$54,$C$7=Données!$H$55,$C$7=Données!$H$57),0,B103*'Sit 1(2)'!$C$10)</f>
        <v>0</v>
      </c>
      <c r="D103" s="478">
        <f ca="1">IFERROR(IF($H$5="",B103*'CT à Transf'!$K$28,B103*$H$5),B103*$H$5)</f>
        <v>0</v>
      </c>
      <c r="E103" s="478">
        <f t="shared" ca="1" si="22"/>
        <v>0</v>
      </c>
      <c r="F103" s="478">
        <f t="shared" ca="1" si="15"/>
        <v>0</v>
      </c>
      <c r="G103" s="478">
        <f t="shared" ca="1" si="16"/>
        <v>0</v>
      </c>
      <c r="H103" s="478">
        <f t="shared" ca="1" si="17"/>
        <v>0</v>
      </c>
      <c r="J103" s="476"/>
      <c r="K103" s="477">
        <f t="shared" si="23"/>
        <v>147</v>
      </c>
      <c r="L103" s="478">
        <f t="shared" si="24"/>
        <v>0</v>
      </c>
      <c r="M103" s="478">
        <f t="shared" si="18"/>
        <v>0</v>
      </c>
      <c r="N103" s="493">
        <f t="shared" si="25"/>
        <v>0</v>
      </c>
      <c r="O103" s="493">
        <f t="shared" si="26"/>
        <v>0</v>
      </c>
      <c r="P103" s="478">
        <f t="shared" si="27"/>
        <v>0</v>
      </c>
      <c r="Q103" s="504">
        <f ca="1">IF(MEPPER2!$H$15="Protection cellule familiale",0,IF(K103=($C$6+($O$7-$C$6)-1),P103,IF(P103&lt;IF(($O$7-$C$6)=0,0,-PMT($O$5,($O$7-$C$6),$H$13)),P103,IF(($O$7-$C$6)=0,0,-PMT($O$5,($O$7-$C$6),$H$13)))))</f>
        <v>0</v>
      </c>
      <c r="R103" s="478">
        <f t="shared" si="28"/>
        <v>0</v>
      </c>
      <c r="S103" s="478">
        <f t="shared" ca="1" si="19"/>
        <v>0</v>
      </c>
      <c r="T103" s="478">
        <f>R103*Données!$F$36</f>
        <v>0</v>
      </c>
      <c r="U103" s="478">
        <f>R103*Données!$F$28</f>
        <v>0</v>
      </c>
      <c r="V103" s="478">
        <f ca="1">IF(S103=0,0,IF($E$7="C1",(S103*$H$10),IF($E$7="C2",-R103*Données!$G$36*$H$10,0)))</f>
        <v>0</v>
      </c>
      <c r="W103" s="478">
        <f t="shared" si="29"/>
        <v>0</v>
      </c>
    </row>
    <row r="104" spans="1:23">
      <c r="A104" s="477">
        <f t="shared" ca="1" si="20"/>
        <v>130</v>
      </c>
      <c r="B104" s="478">
        <f t="shared" ca="1" si="21"/>
        <v>0</v>
      </c>
      <c r="C104" s="478">
        <f ca="1">IF(OR($C$7=Données!$H$51,$C$7=Données!$H$54,$C$7=Données!$H$55,$C$7=Données!$H$57),0,B104*'Sit 1(2)'!$C$10)</f>
        <v>0</v>
      </c>
      <c r="D104" s="478">
        <f ca="1">IFERROR(IF($H$5="",B104*'CT à Transf'!$K$28,B104*$H$5),B104*$H$5)</f>
        <v>0</v>
      </c>
      <c r="E104" s="478">
        <f t="shared" ca="1" si="22"/>
        <v>0</v>
      </c>
      <c r="F104" s="478">
        <f t="shared" ca="1" si="15"/>
        <v>0</v>
      </c>
      <c r="G104" s="478">
        <f t="shared" ca="1" si="16"/>
        <v>0</v>
      </c>
      <c r="H104" s="478">
        <f t="shared" ca="1" si="17"/>
        <v>0</v>
      </c>
      <c r="J104" s="476"/>
      <c r="K104" s="477">
        <f t="shared" si="23"/>
        <v>148</v>
      </c>
      <c r="L104" s="478">
        <f t="shared" si="24"/>
        <v>0</v>
      </c>
      <c r="M104" s="478">
        <f t="shared" si="18"/>
        <v>0</v>
      </c>
      <c r="N104" s="493">
        <f t="shared" si="25"/>
        <v>0</v>
      </c>
      <c r="O104" s="493">
        <f t="shared" si="26"/>
        <v>0</v>
      </c>
      <c r="P104" s="478">
        <f t="shared" si="27"/>
        <v>0</v>
      </c>
      <c r="Q104" s="504">
        <f ca="1">IF(MEPPER2!$H$15="Protection cellule familiale",0,IF(K104=($C$6+($O$7-$C$6)-1),P104,IF(P104&lt;IF(($O$7-$C$6)=0,0,-PMT($O$5,($O$7-$C$6),$H$13)),P104,IF(($O$7-$C$6)=0,0,-PMT($O$5,($O$7-$C$6),$H$13)))))</f>
        <v>0</v>
      </c>
      <c r="R104" s="478">
        <f t="shared" si="28"/>
        <v>0</v>
      </c>
      <c r="S104" s="478">
        <f t="shared" ca="1" si="19"/>
        <v>0</v>
      </c>
      <c r="T104" s="478">
        <f>R104*Données!$F$36</f>
        <v>0</v>
      </c>
      <c r="U104" s="478">
        <f>R104*Données!$F$28</f>
        <v>0</v>
      </c>
      <c r="V104" s="478">
        <f ca="1">IF(S104=0,0,IF($E$7="C1",(S104*$H$10),IF($E$7="C2",-R104*Données!$G$36*$H$10,0)))</f>
        <v>0</v>
      </c>
      <c r="W104" s="478">
        <f t="shared" si="29"/>
        <v>0</v>
      </c>
    </row>
    <row r="105" spans="1:23">
      <c r="A105" s="477">
        <f t="shared" ca="1" si="20"/>
        <v>131</v>
      </c>
      <c r="B105" s="478">
        <f t="shared" ca="1" si="21"/>
        <v>0</v>
      </c>
      <c r="C105" s="478">
        <f ca="1">IF(OR($C$7=Données!$H$51,$C$7=Données!$H$54,$C$7=Données!$H$55,$C$7=Données!$H$57),0,B105*'Sit 1(2)'!$C$10)</f>
        <v>0</v>
      </c>
      <c r="D105" s="478">
        <f ca="1">IFERROR(IF($H$5="",B105*'CT à Transf'!$K$28,B105*$H$5),B105*$H$5)</f>
        <v>0</v>
      </c>
      <c r="E105" s="478">
        <f t="shared" ca="1" si="22"/>
        <v>0</v>
      </c>
      <c r="F105" s="478">
        <f t="shared" ca="1" si="15"/>
        <v>0</v>
      </c>
      <c r="G105" s="478">
        <f t="shared" ca="1" si="16"/>
        <v>0</v>
      </c>
      <c r="H105" s="478">
        <f t="shared" ca="1" si="17"/>
        <v>0</v>
      </c>
      <c r="J105" s="476"/>
      <c r="K105" s="477">
        <f t="shared" si="23"/>
        <v>149</v>
      </c>
      <c r="L105" s="478">
        <f t="shared" si="24"/>
        <v>0</v>
      </c>
      <c r="M105" s="478">
        <f t="shared" si="18"/>
        <v>0</v>
      </c>
      <c r="N105" s="493">
        <f t="shared" si="25"/>
        <v>0</v>
      </c>
      <c r="O105" s="493">
        <f t="shared" si="26"/>
        <v>0</v>
      </c>
      <c r="P105" s="478">
        <f t="shared" si="27"/>
        <v>0</v>
      </c>
      <c r="Q105" s="504">
        <f ca="1">IF(MEPPER2!$H$15="Protection cellule familiale",0,IF(K105=($C$6+($O$7-$C$6)-1),P105,IF(P105&lt;IF(($O$7-$C$6)=0,0,-PMT($O$5,($O$7-$C$6),$H$13)),P105,IF(($O$7-$C$6)=0,0,-PMT($O$5,($O$7-$C$6),$H$13)))))</f>
        <v>0</v>
      </c>
      <c r="R105" s="478">
        <f t="shared" si="28"/>
        <v>0</v>
      </c>
      <c r="S105" s="478">
        <f t="shared" ca="1" si="19"/>
        <v>0</v>
      </c>
      <c r="T105" s="478">
        <f>R105*Données!$F$36</f>
        <v>0</v>
      </c>
      <c r="U105" s="478">
        <f>R105*Données!$F$28</f>
        <v>0</v>
      </c>
      <c r="V105" s="478">
        <f ca="1">IF(S105=0,0,IF($E$7="C1",(S105*$H$10),IF($E$7="C2",-R105*Données!$G$36*$H$10,0)))</f>
        <v>0</v>
      </c>
      <c r="W105" s="478">
        <f t="shared" si="29"/>
        <v>0</v>
      </c>
    </row>
    <row r="106" spans="1:23">
      <c r="A106" s="477">
        <f t="shared" ca="1" si="20"/>
        <v>132</v>
      </c>
      <c r="B106" s="478">
        <f t="shared" ca="1" si="21"/>
        <v>0</v>
      </c>
      <c r="C106" s="478">
        <f ca="1">IF(OR($C$7=Données!$H$51,$C$7=Données!$H$54,$C$7=Données!$H$55,$C$7=Données!$H$57),0,B106*'Sit 1(2)'!$C$10)</f>
        <v>0</v>
      </c>
      <c r="D106" s="478">
        <f ca="1">IFERROR(IF($H$5="",B106*'CT à Transf'!$K$28,B106*$H$5),B106*$H$5)</f>
        <v>0</v>
      </c>
      <c r="E106" s="478">
        <f t="shared" ca="1" si="22"/>
        <v>0</v>
      </c>
      <c r="F106" s="478">
        <f t="shared" ca="1" si="15"/>
        <v>0</v>
      </c>
      <c r="G106" s="478">
        <f t="shared" ca="1" si="16"/>
        <v>0</v>
      </c>
      <c r="H106" s="478">
        <f t="shared" ca="1" si="17"/>
        <v>0</v>
      </c>
      <c r="J106" s="476"/>
      <c r="K106" s="477">
        <f t="shared" si="23"/>
        <v>150</v>
      </c>
      <c r="L106" s="478">
        <f t="shared" si="24"/>
        <v>0</v>
      </c>
      <c r="M106" s="478">
        <f t="shared" si="18"/>
        <v>0</v>
      </c>
      <c r="N106" s="493">
        <f t="shared" si="25"/>
        <v>0</v>
      </c>
      <c r="O106" s="493">
        <f t="shared" si="26"/>
        <v>0</v>
      </c>
      <c r="P106" s="478">
        <f t="shared" si="27"/>
        <v>0</v>
      </c>
      <c r="Q106" s="504">
        <f ca="1">IF(MEPPER2!$H$15="Protection cellule familiale",0,IF(K106=($C$6+($O$7-$C$6)-1),P106,IF(P106&lt;IF(($O$7-$C$6)=0,0,-PMT($O$5,($O$7-$C$6),$H$13)),P106,IF(($O$7-$C$6)=0,0,-PMT($O$5,($O$7-$C$6),$H$13)))))</f>
        <v>0</v>
      </c>
      <c r="R106" s="478">
        <f t="shared" si="28"/>
        <v>0</v>
      </c>
      <c r="S106" s="478">
        <f t="shared" ca="1" si="19"/>
        <v>0</v>
      </c>
      <c r="T106" s="478">
        <f>R106*Données!$F$36</f>
        <v>0</v>
      </c>
      <c r="U106" s="478">
        <f>R106*Données!$F$28</f>
        <v>0</v>
      </c>
      <c r="V106" s="478">
        <f ca="1">IF(S106=0,0,IF($E$7="C1",(S106*$H$10),IF($E$7="C2",-R106*Données!$G$36*$H$10,0)))</f>
        <v>0</v>
      </c>
      <c r="W106" s="478">
        <f t="shared" si="29"/>
        <v>0</v>
      </c>
    </row>
    <row r="107" spans="1:23">
      <c r="A107" s="477">
        <f t="shared" ca="1" si="20"/>
        <v>133</v>
      </c>
      <c r="B107" s="478">
        <f t="shared" ca="1" si="21"/>
        <v>0</v>
      </c>
      <c r="C107" s="478">
        <f ca="1">IF(OR($C$7=Données!$H$51,$C$7=Données!$H$54,$C$7=Données!$H$55,$C$7=Données!$H$57),0,B107*'Sit 1(2)'!$C$10)</f>
        <v>0</v>
      </c>
      <c r="D107" s="478">
        <f ca="1">IFERROR(IF($H$5="",B107*'CT à Transf'!$K$28,B107*$H$5),B107*$H$5)</f>
        <v>0</v>
      </c>
      <c r="E107" s="478">
        <f t="shared" ca="1" si="22"/>
        <v>0</v>
      </c>
      <c r="F107" s="478">
        <f t="shared" ca="1" si="15"/>
        <v>0</v>
      </c>
      <c r="G107" s="478">
        <f t="shared" ca="1" si="16"/>
        <v>0</v>
      </c>
      <c r="H107" s="478">
        <f t="shared" ca="1" si="17"/>
        <v>0</v>
      </c>
      <c r="J107" s="476"/>
      <c r="K107" s="477">
        <f t="shared" si="23"/>
        <v>151</v>
      </c>
      <c r="L107" s="478">
        <f t="shared" si="24"/>
        <v>0</v>
      </c>
      <c r="M107" s="478">
        <f t="shared" si="18"/>
        <v>0</v>
      </c>
      <c r="N107" s="493">
        <f t="shared" si="25"/>
        <v>0</v>
      </c>
      <c r="O107" s="493">
        <f t="shared" si="26"/>
        <v>0</v>
      </c>
      <c r="P107" s="478">
        <f t="shared" si="27"/>
        <v>0</v>
      </c>
      <c r="Q107" s="504">
        <f ca="1">IF(MEPPER2!$H$15="Protection cellule familiale",0,IF(K107=($C$6+($O$7-$C$6)-1),P107,IF(P107&lt;IF(($O$7-$C$6)=0,0,-PMT($O$5,($O$7-$C$6),$H$13)),P107,IF(($O$7-$C$6)=0,0,-PMT($O$5,($O$7-$C$6),$H$13)))))</f>
        <v>0</v>
      </c>
      <c r="R107" s="478">
        <f t="shared" si="28"/>
        <v>0</v>
      </c>
      <c r="S107" s="478">
        <f t="shared" ca="1" si="19"/>
        <v>0</v>
      </c>
      <c r="T107" s="478">
        <f>R107*Données!$F$36</f>
        <v>0</v>
      </c>
      <c r="U107" s="478">
        <f>R107*Données!$F$28</f>
        <v>0</v>
      </c>
      <c r="V107" s="478">
        <f ca="1">IF(S107=0,0,IF($E$7="C1",(S107*$H$10),IF($E$7="C2",-R107*Données!$G$36*$H$10,0)))</f>
        <v>0</v>
      </c>
      <c r="W107" s="478">
        <f t="shared" si="29"/>
        <v>0</v>
      </c>
    </row>
    <row r="108" spans="1:23">
      <c r="A108" s="477">
        <f t="shared" ca="1" si="20"/>
        <v>134</v>
      </c>
      <c r="B108" s="478">
        <f t="shared" ca="1" si="21"/>
        <v>0</v>
      </c>
      <c r="C108" s="478">
        <f ca="1">IF(OR($C$7=Données!$H$51,$C$7=Données!$H$54,$C$7=Données!$H$55,$C$7=Données!$H$57),0,B108*'Sit 1(2)'!$C$10)</f>
        <v>0</v>
      </c>
      <c r="D108" s="478">
        <f ca="1">IFERROR(IF($H$5="",B108*'CT à Transf'!$K$28,B108*$H$5),B108*$H$5)</f>
        <v>0</v>
      </c>
      <c r="E108" s="478">
        <f t="shared" ca="1" si="22"/>
        <v>0</v>
      </c>
      <c r="F108" s="478">
        <f t="shared" ca="1" si="15"/>
        <v>0</v>
      </c>
      <c r="G108" s="478">
        <f t="shared" ca="1" si="16"/>
        <v>0</v>
      </c>
      <c r="H108" s="478">
        <f t="shared" ca="1" si="17"/>
        <v>0</v>
      </c>
      <c r="J108" s="476"/>
      <c r="K108" s="477">
        <f t="shared" si="23"/>
        <v>152</v>
      </c>
      <c r="L108" s="478">
        <f t="shared" si="24"/>
        <v>0</v>
      </c>
      <c r="M108" s="478">
        <f t="shared" si="18"/>
        <v>0</v>
      </c>
      <c r="N108" s="493">
        <f t="shared" si="25"/>
        <v>0</v>
      </c>
      <c r="O108" s="493">
        <f t="shared" si="26"/>
        <v>0</v>
      </c>
      <c r="P108" s="478">
        <f t="shared" si="27"/>
        <v>0</v>
      </c>
      <c r="Q108" s="504">
        <f ca="1">IF(MEPPER2!$H$15="Protection cellule familiale",0,IF(K108=($C$6+($O$7-$C$6)-1),P108,IF(P108&lt;IF(($O$7-$C$6)=0,0,-PMT($O$5,($O$7-$C$6),$H$13)),P108,IF(($O$7-$C$6)=0,0,-PMT($O$5,($O$7-$C$6),$H$13)))))</f>
        <v>0</v>
      </c>
      <c r="R108" s="478">
        <f t="shared" si="28"/>
        <v>0</v>
      </c>
      <c r="S108" s="478">
        <f t="shared" ca="1" si="19"/>
        <v>0</v>
      </c>
      <c r="T108" s="478">
        <f>R108*Données!$F$36</f>
        <v>0</v>
      </c>
      <c r="U108" s="478">
        <f>R108*Données!$F$28</f>
        <v>0</v>
      </c>
      <c r="V108" s="478">
        <f ca="1">IF(S108=0,0,IF($E$7="C1",(S108*$H$10),IF($E$7="C2",-R108*Données!$G$36*$H$10,0)))</f>
        <v>0</v>
      </c>
      <c r="W108" s="478">
        <f t="shared" si="29"/>
        <v>0</v>
      </c>
    </row>
    <row r="109" spans="1:23">
      <c r="A109" s="494"/>
      <c r="B109" s="495">
        <f ca="1">SUM(B20:B108)</f>
        <v>180000</v>
      </c>
      <c r="C109" s="495">
        <f ca="1">SUM(C20:C108)</f>
        <v>54000</v>
      </c>
      <c r="D109" s="495">
        <f ca="1">SUM(D20:D108)</f>
        <v>5400</v>
      </c>
      <c r="E109" s="495">
        <f ca="1">SUM(E20:E108)</f>
        <v>184400</v>
      </c>
      <c r="F109" s="496"/>
      <c r="G109" s="497"/>
      <c r="H109" s="495">
        <f ca="1">SUM(H20:H108)</f>
        <v>250617.4678284137</v>
      </c>
      <c r="I109" s="495">
        <f t="shared" ref="I109:J109" si="30">SUM(I20:I108)</f>
        <v>0</v>
      </c>
      <c r="J109" s="495">
        <f t="shared" si="30"/>
        <v>0</v>
      </c>
      <c r="K109" s="484"/>
      <c r="L109" s="495"/>
      <c r="M109" s="495"/>
      <c r="N109" s="495"/>
      <c r="O109" s="495"/>
      <c r="P109" s="495"/>
      <c r="Q109" s="495"/>
      <c r="R109" s="495"/>
      <c r="S109" s="495"/>
      <c r="T109" s="495"/>
      <c r="U109" s="495"/>
      <c r="V109" s="495"/>
      <c r="W109" s="495">
        <f t="shared" ref="W109" ca="1" si="31">SUM(W20:W108)</f>
        <v>264666.02832898009</v>
      </c>
    </row>
    <row r="110" spans="1:23">
      <c r="A110" s="479"/>
      <c r="B110" s="479"/>
      <c r="C110" s="479"/>
      <c r="D110" s="479"/>
      <c r="E110" s="479"/>
      <c r="F110" s="479"/>
      <c r="G110" s="479"/>
      <c r="H110" s="479"/>
    </row>
  </sheetData>
  <sheetProtection selectLockedCells="1"/>
  <mergeCells count="43">
    <mergeCell ref="D3:R3"/>
    <mergeCell ref="A5:B5"/>
    <mergeCell ref="C5:D5"/>
    <mergeCell ref="F5:G5"/>
    <mergeCell ref="K5:N5"/>
    <mergeCell ref="K7:N7"/>
    <mergeCell ref="A9:B9"/>
    <mergeCell ref="C9:D9"/>
    <mergeCell ref="C6:D6"/>
    <mergeCell ref="F6:G6"/>
    <mergeCell ref="A7:B7"/>
    <mergeCell ref="C7:D7"/>
    <mergeCell ref="K9:N9"/>
    <mergeCell ref="A10:B10"/>
    <mergeCell ref="C10:D10"/>
    <mergeCell ref="F10:G10"/>
    <mergeCell ref="A13:C13"/>
    <mergeCell ref="F13:G13"/>
    <mergeCell ref="A14:C14"/>
    <mergeCell ref="F14:G14"/>
    <mergeCell ref="K14:N14"/>
    <mergeCell ref="O14:P14"/>
    <mergeCell ref="Q14:R14"/>
    <mergeCell ref="A15:C15"/>
    <mergeCell ref="F15:G15"/>
    <mergeCell ref="K15:N15"/>
    <mergeCell ref="O15:P15"/>
    <mergeCell ref="Q15:R15"/>
    <mergeCell ref="A17:H17"/>
    <mergeCell ref="A18:H18"/>
    <mergeCell ref="K18:W18"/>
    <mergeCell ref="K16:N16"/>
    <mergeCell ref="O16:P16"/>
    <mergeCell ref="Q16:R16"/>
    <mergeCell ref="U16:V16"/>
    <mergeCell ref="K10:N10"/>
    <mergeCell ref="T9:U9"/>
    <mergeCell ref="T10:U10"/>
    <mergeCell ref="T14:V14"/>
    <mergeCell ref="T15:V15"/>
    <mergeCell ref="K13:P13"/>
    <mergeCell ref="Q13:S13"/>
    <mergeCell ref="T13:W13"/>
  </mergeCells>
  <conditionalFormatting sqref="K18:W108">
    <cfRule type="expression" dxfId="57" priority="4">
      <formula>$E$7=""</formula>
    </cfRule>
  </conditionalFormatting>
  <conditionalFormatting sqref="T10">
    <cfRule type="expression" dxfId="56" priority="3">
      <formula>$E$7=""</formula>
    </cfRule>
  </conditionalFormatting>
  <conditionalFormatting sqref="V10">
    <cfRule type="expression" dxfId="55" priority="2">
      <formula>$E$7=""</formula>
    </cfRule>
  </conditionalFormatting>
  <pageMargins left="0.25" right="0.25" top="0.75" bottom="0.75" header="0.3" footer="0.3"/>
  <pageSetup paperSize="9" scale="35"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5563E737-F1E6-49DC-A2FE-F60D9664B74B}">
            <xm:f>MEPPER2!$H$15="Protection cellule familiale"</xm:f>
            <x14:dxf>
              <font>
                <color theme="0"/>
              </font>
            </x14:dxf>
          </x14:cfRule>
          <xm:sqref>K7:U7</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1ECD6-F4D5-4A9B-90B8-F386E575775C}">
  <sheetPr codeName="Feuil10">
    <tabColor theme="9" tint="-0.249977111117893"/>
    <outlinePr showOutlineSymbols="0"/>
    <pageSetUpPr autoPageBreaks="0" fitToPage="1"/>
  </sheetPr>
  <dimension ref="A2:X110"/>
  <sheetViews>
    <sheetView showGridLines="0" showRowColHeaders="0" showZeros="0" showOutlineSymbols="0" zoomScale="123" zoomScaleNormal="123" workbookViewId="0"/>
  </sheetViews>
  <sheetFormatPr baseColWidth="10" defaultColWidth="11.44140625" defaultRowHeight="14.4"/>
  <cols>
    <col min="1" max="1" width="4.5546875" style="468" customWidth="1"/>
    <col min="2" max="2" width="12.5546875" style="468" customWidth="1"/>
    <col min="3" max="3" width="9" style="468" customWidth="1"/>
    <col min="4" max="4" width="10" style="468" customWidth="1"/>
    <col min="5" max="6" width="8.5546875" style="468" customWidth="1"/>
    <col min="7" max="7" width="11.33203125" style="468" customWidth="1"/>
    <col min="8" max="8" width="10.6640625" style="468" customWidth="1"/>
    <col min="9" max="10" width="0.6640625" style="468" customWidth="1"/>
    <col min="11" max="11" width="4.5546875" style="468" customWidth="1"/>
    <col min="12" max="13" width="11.33203125" style="468" customWidth="1"/>
    <col min="14" max="14" width="10.6640625" style="468" customWidth="1"/>
    <col min="15" max="15" width="9.33203125" style="468" customWidth="1"/>
    <col min="16" max="16" width="10.33203125" style="468" customWidth="1"/>
    <col min="17" max="17" width="11.109375" style="468" customWidth="1"/>
    <col min="18" max="19" width="10.6640625" style="468" customWidth="1"/>
    <col min="20" max="20" width="8.5546875" style="468" customWidth="1"/>
    <col min="21" max="21" width="10.6640625" style="468" customWidth="1"/>
    <col min="22" max="22" width="8.44140625" style="468" customWidth="1"/>
    <col min="23" max="23" width="10.6640625" style="468" customWidth="1"/>
    <col min="24" max="16384" width="11.44140625" style="468"/>
  </cols>
  <sheetData>
    <row r="2" spans="1:23" ht="15.75" customHeight="1"/>
    <row r="3" spans="1:23" ht="15.75" customHeight="1">
      <c r="C3" s="486"/>
      <c r="D3" s="930" t="s">
        <v>1671</v>
      </c>
      <c r="E3" s="930"/>
      <c r="F3" s="930"/>
      <c r="G3" s="930"/>
      <c r="H3" s="930"/>
      <c r="I3" s="930"/>
      <c r="J3" s="930"/>
      <c r="K3" s="930"/>
      <c r="L3" s="930"/>
      <c r="M3" s="930"/>
      <c r="N3" s="930"/>
      <c r="O3" s="930"/>
      <c r="P3" s="930"/>
      <c r="Q3" s="930"/>
      <c r="R3" s="930"/>
      <c r="S3" s="486"/>
      <c r="T3" s="486"/>
      <c r="U3" s="486"/>
      <c r="V3" s="486"/>
      <c r="W3" s="486"/>
    </row>
    <row r="5" spans="1:23" ht="14.25" customHeight="1">
      <c r="A5" s="953" t="s">
        <v>1416</v>
      </c>
      <c r="B5" s="954"/>
      <c r="C5" s="946">
        <f ca="1">(YEAR(TODAY()))-MEPPER!H14</f>
        <v>46</v>
      </c>
      <c r="D5" s="947"/>
      <c r="E5" s="469"/>
      <c r="F5" s="944" t="s">
        <v>1475</v>
      </c>
      <c r="G5" s="945"/>
      <c r="H5" s="625">
        <f>MEPPER!Q24</f>
        <v>0.03</v>
      </c>
      <c r="J5" s="470"/>
      <c r="K5" s="944" t="s">
        <v>1464</v>
      </c>
      <c r="L5" s="944"/>
      <c r="M5" s="944"/>
      <c r="N5" s="944"/>
      <c r="O5" s="471">
        <f>MEPPER2!H23</f>
        <v>0.03</v>
      </c>
    </row>
    <row r="6" spans="1:23" ht="14.25" customHeight="1">
      <c r="A6" s="472" t="s">
        <v>1418</v>
      </c>
      <c r="B6" s="473"/>
      <c r="C6" s="948">
        <f>MEPPER!O14</f>
        <v>64</v>
      </c>
      <c r="D6" s="949"/>
      <c r="F6" s="944" t="s">
        <v>1422</v>
      </c>
      <c r="G6" s="945"/>
      <c r="H6" s="474">
        <f>MEPPER!H22</f>
        <v>0.03</v>
      </c>
      <c r="J6" s="470"/>
      <c r="K6" s="944" t="s">
        <v>1685</v>
      </c>
      <c r="L6" s="944"/>
      <c r="M6" s="944"/>
      <c r="N6" s="944"/>
      <c r="O6" s="491">
        <f ca="1">C6-C5</f>
        <v>18</v>
      </c>
      <c r="P6" s="490" t="s">
        <v>51</v>
      </c>
    </row>
    <row r="7" spans="1:23" ht="14.25" customHeight="1">
      <c r="A7" s="963" t="s">
        <v>1421</v>
      </c>
      <c r="B7" s="964"/>
      <c r="C7" s="965" t="str">
        <f>Données!H58</f>
        <v>Assurance vie</v>
      </c>
      <c r="D7" s="966"/>
      <c r="F7" s="622"/>
      <c r="G7" s="622"/>
      <c r="H7" s="622"/>
      <c r="I7" s="469"/>
      <c r="J7" s="470"/>
      <c r="K7" s="953" t="s">
        <v>1472</v>
      </c>
      <c r="L7" s="953"/>
      <c r="M7" s="953"/>
      <c r="N7" s="953"/>
      <c r="O7" s="491">
        <f>C6+MEPPER2!H25</f>
        <v>94</v>
      </c>
      <c r="P7" s="490" t="str">
        <f>"ans soit un fractionnement en "&amp;(O7-C6)&amp;" ans avec épuisement du capital à cette date"</f>
        <v>ans soit un fractionnement en 30 ans avec épuisement du capital à cette date</v>
      </c>
    </row>
    <row r="8" spans="1:23" ht="14.25" customHeight="1">
      <c r="A8" s="469"/>
      <c r="B8" s="469"/>
      <c r="F8" s="622"/>
      <c r="G8" s="622"/>
      <c r="H8" s="622"/>
      <c r="I8" s="469"/>
      <c r="J8" s="470"/>
      <c r="K8" s="73"/>
      <c r="L8" s="73"/>
      <c r="M8" s="73"/>
      <c r="N8" s="73"/>
      <c r="O8" s="73"/>
      <c r="P8" s="73"/>
      <c r="Q8" s="73"/>
      <c r="R8" s="73"/>
      <c r="S8" s="73"/>
    </row>
    <row r="9" spans="1:23">
      <c r="A9" s="953" t="s">
        <v>1389</v>
      </c>
      <c r="B9" s="954"/>
      <c r="C9" s="1075">
        <f>MEPPER!H24*(1-MEPPER!H16)</f>
        <v>7000</v>
      </c>
      <c r="D9" s="1076"/>
      <c r="J9" s="476"/>
      <c r="K9" s="953" t="s">
        <v>1672</v>
      </c>
      <c r="L9" s="953"/>
      <c r="M9" s="953"/>
      <c r="N9" s="953"/>
      <c r="O9" s="491">
        <f>MEPPER2!H21</f>
        <v>90</v>
      </c>
      <c r="P9" s="490" t="s">
        <v>51</v>
      </c>
      <c r="T9" s="1069" t="s">
        <v>1676</v>
      </c>
      <c r="U9" s="1070"/>
      <c r="V9" s="628" t="s">
        <v>1693</v>
      </c>
      <c r="W9" s="629" t="s">
        <v>23</v>
      </c>
    </row>
    <row r="10" spans="1:23" ht="16.5" customHeight="1">
      <c r="A10" s="72"/>
      <c r="B10" s="72"/>
      <c r="C10" s="72"/>
      <c r="D10" s="72"/>
      <c r="F10" s="953" t="s">
        <v>1395</v>
      </c>
      <c r="G10" s="954"/>
      <c r="H10" s="488">
        <f>MEPPER!O16</f>
        <v>0.11</v>
      </c>
      <c r="J10" s="476"/>
      <c r="K10" s="953" t="s">
        <v>1673</v>
      </c>
      <c r="L10" s="953"/>
      <c r="M10" s="953"/>
      <c r="N10" s="953"/>
      <c r="O10" s="624">
        <f ca="1">VLOOKUP(O9,K20:L108,2)</f>
        <v>33269.600461553244</v>
      </c>
      <c r="P10" s="626" t="s">
        <v>1675</v>
      </c>
      <c r="R10" s="624">
        <f ca="1">O10-V10-W10</f>
        <v>28485.342023316582</v>
      </c>
      <c r="T10" s="1077">
        <f ca="1">IF(MEPPER2!O25="Conjoint",O10,Données!L13*MEPPER2!O27)</f>
        <v>33269.600461553244</v>
      </c>
      <c r="U10" s="1078"/>
      <c r="V10" s="635">
        <f ca="1">IF(O10=0,0,IF(MEPPER2!O25="Conjoint",0,IF((O10-T10)&lt;0,0,IF(O10&lt;(MEPPER2!O27*Données!K17),(O10-T10)*Données!L16,((O10-(MEPPER2!O27*Données!K17))*Données!L17)+(((MEPPER2!O27*Données!K17)-T10)*Données!L16)))))</f>
        <v>0</v>
      </c>
      <c r="W10" s="636">
        <f ca="1">Données!F36*IF(MEPPER2!H21&gt;C6,VLOOKUP(MEPPER2!H21-1,K20:O108,5),0)</f>
        <v>4784.258438236664</v>
      </c>
    </row>
    <row r="11" spans="1:23" ht="8.25" customHeight="1">
      <c r="A11" s="480"/>
      <c r="B11" s="480"/>
      <c r="C11" s="480"/>
      <c r="D11" s="481"/>
      <c r="E11" s="481"/>
      <c r="F11" s="481"/>
      <c r="G11" s="481"/>
      <c r="H11" s="481"/>
      <c r="I11" s="481"/>
      <c r="J11" s="482"/>
      <c r="K11" s="481"/>
      <c r="L11" s="481"/>
      <c r="M11" s="481"/>
      <c r="N11" s="481"/>
      <c r="O11" s="481"/>
      <c r="P11" s="481"/>
      <c r="Q11" s="481"/>
      <c r="R11" s="481"/>
      <c r="S11" s="481"/>
      <c r="T11" s="481"/>
      <c r="U11" s="481"/>
      <c r="V11" s="481"/>
      <c r="W11" s="481"/>
    </row>
    <row r="12" spans="1:23" ht="8.25" customHeight="1">
      <c r="A12" s="483"/>
      <c r="B12" s="483"/>
      <c r="C12" s="483"/>
      <c r="D12" s="483"/>
      <c r="E12" s="484"/>
      <c r="F12" s="484"/>
      <c r="G12" s="484"/>
      <c r="H12" s="484"/>
      <c r="I12" s="484"/>
      <c r="J12" s="485"/>
      <c r="K12" s="484"/>
      <c r="L12" s="484"/>
      <c r="M12" s="484"/>
      <c r="N12" s="484"/>
      <c r="O12" s="484"/>
      <c r="P12" s="484"/>
      <c r="Q12" s="484"/>
      <c r="R12" s="484"/>
      <c r="S12" s="484"/>
      <c r="T12" s="484"/>
      <c r="U12" s="484"/>
      <c r="V12" s="484"/>
      <c r="W12" s="484"/>
    </row>
    <row r="13" spans="1:23">
      <c r="A13" s="952" t="s">
        <v>1446</v>
      </c>
      <c r="B13" s="952"/>
      <c r="C13" s="952"/>
      <c r="D13" s="500">
        <f ca="1">B109+(MEPPER!O28*(1-MEPPER!H16))</f>
        <v>133000</v>
      </c>
      <c r="F13" s="942" t="s">
        <v>1424</v>
      </c>
      <c r="G13" s="942"/>
      <c r="H13" s="499">
        <f ca="1">H109</f>
        <v>175432.22747988967</v>
      </c>
      <c r="J13" s="476"/>
      <c r="K13" s="955" t="s">
        <v>1474</v>
      </c>
      <c r="L13" s="955"/>
      <c r="M13" s="955"/>
      <c r="N13" s="955"/>
      <c r="O13" s="955"/>
      <c r="P13" s="955"/>
      <c r="Q13" s="943" t="str">
        <f>"Rachat partiel et épuisement à "&amp;O7&amp;" ans"</f>
        <v>Rachat partiel et épuisement à 94 ans</v>
      </c>
      <c r="R13" s="943"/>
      <c r="S13" s="943"/>
      <c r="T13" s="943"/>
      <c r="U13" s="943"/>
      <c r="V13" s="943"/>
      <c r="W13" s="943"/>
    </row>
    <row r="14" spans="1:23">
      <c r="A14" s="952"/>
      <c r="B14" s="952"/>
      <c r="C14" s="952"/>
      <c r="D14" s="500">
        <v>0</v>
      </c>
      <c r="F14" s="942" t="s">
        <v>1426</v>
      </c>
      <c r="G14" s="942"/>
      <c r="H14" s="499">
        <f ca="1">H13-H7+H8-E109</f>
        <v>46352.227479889669</v>
      </c>
      <c r="J14" s="476"/>
      <c r="K14" s="942" t="s">
        <v>1691</v>
      </c>
      <c r="L14" s="942"/>
      <c r="M14" s="942"/>
      <c r="N14" s="942"/>
      <c r="O14" s="939">
        <f ca="1">H13</f>
        <v>175432.22747988967</v>
      </c>
      <c r="P14" s="939"/>
      <c r="Q14" s="942" t="s">
        <v>1689</v>
      </c>
      <c r="R14" s="942"/>
      <c r="S14" s="499">
        <f ca="1">R20</f>
        <v>8950.4223069260297</v>
      </c>
      <c r="T14" s="942"/>
      <c r="U14" s="942"/>
      <c r="V14" s="942"/>
      <c r="W14" s="499"/>
    </row>
    <row r="15" spans="1:23">
      <c r="A15" s="952" t="s">
        <v>1427</v>
      </c>
      <c r="B15" s="952"/>
      <c r="C15" s="952"/>
      <c r="D15" s="500">
        <f ca="1">D13-D14</f>
        <v>133000</v>
      </c>
      <c r="F15" s="942" t="s">
        <v>1428</v>
      </c>
      <c r="G15" s="942"/>
      <c r="H15" s="499">
        <f ca="1">E109+H7-H8</f>
        <v>129080</v>
      </c>
      <c r="J15" s="476"/>
      <c r="K15" s="942" t="s">
        <v>1692</v>
      </c>
      <c r="L15" s="942"/>
      <c r="M15" s="942"/>
      <c r="N15" s="942"/>
      <c r="O15" s="939">
        <f ca="1">H13-(H14*Données!F36)</f>
        <v>167459.64435334865</v>
      </c>
      <c r="P15" s="939"/>
      <c r="Q15" s="942" t="s">
        <v>1690</v>
      </c>
      <c r="R15" s="942"/>
      <c r="S15" s="499">
        <f ca="1">X20</f>
        <v>8510.6752534415591</v>
      </c>
      <c r="T15" s="942"/>
      <c r="U15" s="942"/>
      <c r="V15" s="942"/>
      <c r="W15" s="499"/>
    </row>
    <row r="16" spans="1:23">
      <c r="J16" s="476"/>
      <c r="K16" s="942" t="str">
        <f>IF(OR(C7=Données!H50,C7=Données!H51,C7=Données!H56),"Capital net (PFL 7,5% et PS + CSG déductible)","Capital net (PS et IR)")</f>
        <v>Capital net (PS et IR)</v>
      </c>
      <c r="L16" s="942"/>
      <c r="M16" s="942"/>
      <c r="N16" s="942"/>
      <c r="O16" s="939">
        <f ca="1">O15-IF(O6&lt;=8,IF($H$10&gt;Données!$F$14,H14*Données!$F$28,H14*$H$10),IF($H$10&gt;Données!$F$13,MAX((H14-MEPPER2!$Q$23)*Données!$L$15,MAX((S20-MEPPER2!$Q$23)*$H$10,0)),0))</f>
        <v>164673.22729235693</v>
      </c>
      <c r="P16" s="939"/>
      <c r="Q16" s="942" t="s">
        <v>1480</v>
      </c>
      <c r="R16" s="942"/>
      <c r="S16" s="499">
        <f ca="1">X109</f>
        <v>212934.10100880871</v>
      </c>
      <c r="T16" s="633"/>
      <c r="U16" s="942"/>
      <c r="V16" s="942"/>
      <c r="W16" s="499"/>
    </row>
    <row r="17" spans="1:24" ht="8.25" customHeight="1">
      <c r="A17" s="960"/>
      <c r="B17" s="960"/>
      <c r="C17" s="960"/>
      <c r="D17" s="960"/>
      <c r="E17" s="960"/>
      <c r="F17" s="960"/>
      <c r="G17" s="960"/>
      <c r="H17" s="960"/>
      <c r="J17" s="476"/>
    </row>
    <row r="18" spans="1:24" ht="18.75" customHeight="1">
      <c r="A18" s="956" t="s">
        <v>1438</v>
      </c>
      <c r="B18" s="956"/>
      <c r="C18" s="956"/>
      <c r="D18" s="956"/>
      <c r="E18" s="956"/>
      <c r="F18" s="956"/>
      <c r="G18" s="956"/>
      <c r="H18" s="956"/>
      <c r="J18" s="476"/>
      <c r="K18" s="941" t="str">
        <f>"Phase liquidation en capital fractionné "&amp;O7&amp;" ans"</f>
        <v>Phase liquidation en capital fractionné 94 ans</v>
      </c>
      <c r="L18" s="941"/>
      <c r="M18" s="941"/>
      <c r="N18" s="941"/>
      <c r="O18" s="941"/>
      <c r="P18" s="941"/>
      <c r="Q18" s="941"/>
      <c r="R18" s="941"/>
      <c r="S18" s="941"/>
      <c r="T18" s="941"/>
      <c r="U18" s="941"/>
      <c r="V18" s="941"/>
      <c r="W18" s="941"/>
      <c r="X18" s="941"/>
    </row>
    <row r="19" spans="1:24" ht="24.75" customHeight="1">
      <c r="A19" s="501" t="s">
        <v>1429</v>
      </c>
      <c r="B19" s="501" t="s">
        <v>1430</v>
      </c>
      <c r="C19" s="501" t="s">
        <v>1425</v>
      </c>
      <c r="D19" s="501" t="s">
        <v>1431</v>
      </c>
      <c r="E19" s="501" t="s">
        <v>1432</v>
      </c>
      <c r="F19" s="501" t="s">
        <v>1433</v>
      </c>
      <c r="G19" s="501" t="s">
        <v>1434</v>
      </c>
      <c r="H19" s="501" t="s">
        <v>1424</v>
      </c>
      <c r="J19" s="476"/>
      <c r="K19" s="487" t="s">
        <v>1429</v>
      </c>
      <c r="L19" s="487" t="s">
        <v>1453</v>
      </c>
      <c r="M19" s="487" t="s">
        <v>1685</v>
      </c>
      <c r="N19" s="487" t="s">
        <v>1462</v>
      </c>
      <c r="O19" s="487" t="s">
        <v>1463</v>
      </c>
      <c r="P19" s="487" t="s">
        <v>1454</v>
      </c>
      <c r="Q19" s="487" t="s">
        <v>1458</v>
      </c>
      <c r="R19" s="503" t="s">
        <v>1481</v>
      </c>
      <c r="S19" s="487" t="s">
        <v>1461</v>
      </c>
      <c r="T19" s="487" t="s">
        <v>1456</v>
      </c>
      <c r="U19" s="487" t="s">
        <v>1687</v>
      </c>
      <c r="V19" s="487" t="s">
        <v>1688</v>
      </c>
      <c r="W19" s="487" t="s">
        <v>1686</v>
      </c>
      <c r="X19" s="487" t="s">
        <v>1457</v>
      </c>
    </row>
    <row r="20" spans="1:24">
      <c r="A20" s="477">
        <f ca="1">C5</f>
        <v>46</v>
      </c>
      <c r="B20" s="478">
        <f>C9</f>
        <v>7000</v>
      </c>
      <c r="C20" s="478">
        <v>0</v>
      </c>
      <c r="D20" s="478">
        <f>IFERROR(IF($H$5="",B20*'CT à Transf'!$K$28,B20*$H$5),B20*$H$5)</f>
        <v>210</v>
      </c>
      <c r="E20" s="478">
        <f>B20-D20+((MEPPER!O28*(1-MEPPER!H16))*(1-MEPPER!O30))</f>
        <v>13650</v>
      </c>
      <c r="F20" s="478">
        <f t="shared" ref="F20:F83" si="0">E20*$H$6</f>
        <v>409.5</v>
      </c>
      <c r="G20" s="478">
        <f>(E20+F20)+((H7)*(1+H6))</f>
        <v>14059.5</v>
      </c>
      <c r="H20" s="478">
        <f ca="1">IF(G21&gt;0,0,G20)</f>
        <v>0</v>
      </c>
      <c r="J20" s="476"/>
      <c r="K20" s="477">
        <f>C6</f>
        <v>64</v>
      </c>
      <c r="L20" s="478">
        <f ca="1">IF(K20&lt;=O9,H13,0)</f>
        <v>175432.22747988967</v>
      </c>
      <c r="M20" s="634">
        <f ca="1">O6</f>
        <v>18</v>
      </c>
      <c r="N20" s="478">
        <f t="shared" ref="N20:N51" ca="1" si="1">IF(K20&gt;=$O$9,0,L20*$O$5)</f>
        <v>5262.9668243966898</v>
      </c>
      <c r="O20" s="478">
        <f ca="1">IF(N20=0,H14,IF(K20&gt;=$O$9,0,H14+N20))</f>
        <v>51615.194304286357</v>
      </c>
      <c r="P20" s="478">
        <f ca="1">IF(K20&gt;=$O$9,0,H13-H14)</f>
        <v>129080</v>
      </c>
      <c r="Q20" s="478">
        <f t="shared" ref="Q20:Q51" ca="1" si="2">IF(K20&gt;=$O$9,0,O20+P20)</f>
        <v>180695.19430428636</v>
      </c>
      <c r="R20" s="504">
        <f ca="1">IF(MEPPER2!$H$15="Protection cellule familiale",0,IF(K20=($C$6+($O$7-$C$6)-1),Q20,IF(Q20&lt;IF(($O$7-$C$6)=0,0,-PMT($O$5,($O$7-$C$6),$H$13)),Q20,IF(($O$7-$C$6)=0,0,-PMT($O$5,($O$7-$C$6),$H$13)))))</f>
        <v>8950.4223069260297</v>
      </c>
      <c r="S20" s="478">
        <f t="shared" ref="S20:S51" ca="1" si="3">IF(K20&gt;=$O$9,0,IF(L20=ROUND(0,1),0,IF((O20+N20)&lt;(R20-(P20*R20/(P20+O20))),(O20+N20),R20-(P20*R20/(P20+O20)))))</f>
        <v>2556.6689156073871</v>
      </c>
      <c r="T20" s="478">
        <f ca="1">IF((R20-S20)&gt;P20,P20,R20-S20)</f>
        <v>6393.7533913186426</v>
      </c>
      <c r="U20" s="478">
        <f ca="1">S20*Données!$F$36</f>
        <v>439.74705348447054</v>
      </c>
      <c r="V20" s="478">
        <f ca="1">IF(M20&lt;=8,IF($H$10&gt;Données!$F$14,S20*Données!$F$28,0),IF($H$10&gt;Données!$F$13,MAX((S20-MEPPER2!$Q$23)*Données!$L$15,0),0))</f>
        <v>0</v>
      </c>
      <c r="W20" s="478">
        <f ca="1">IF(M20&lt;=8,IF($H$10&lt;=Données!$F$14,S20*$H$10,0),IF($H$10&lt;Données!$F$14,MAX((S20-MEPPER2!$Q$23)*$H$10,0),0))</f>
        <v>0</v>
      </c>
      <c r="X20" s="478">
        <f ca="1">IF(K20&lt;O9,IF(R20&gt;0,R20-U20-V20-W20,0),0)</f>
        <v>8510.6752534415591</v>
      </c>
    </row>
    <row r="21" spans="1:24">
      <c r="A21" s="477">
        <f ca="1">A20+1</f>
        <v>47</v>
      </c>
      <c r="B21" s="478">
        <f ca="1">IF(A21=$C$6,0,IF(A21&lt;$C$6,$C$9,0))</f>
        <v>7000</v>
      </c>
      <c r="C21" s="478">
        <v>0</v>
      </c>
      <c r="D21" s="478">
        <f ca="1">IFERROR(IF($H$5="",B21*'CT à Transf'!$K$28,B21*$H$5),B21*$H$5)</f>
        <v>210</v>
      </c>
      <c r="E21" s="478">
        <f ca="1">B21-D21</f>
        <v>6790</v>
      </c>
      <c r="F21" s="478">
        <f t="shared" ca="1" si="0"/>
        <v>203.7</v>
      </c>
      <c r="G21" s="478">
        <f t="shared" ref="G21:G84" ca="1" si="4">IF(A21&lt;$C$6,(G20*(1+$H$6))+(E21+F21),0)</f>
        <v>21474.985000000001</v>
      </c>
      <c r="H21" s="478">
        <f t="shared" ref="H21:H84" ca="1" si="5">IF(G22&gt;0,0,G21)</f>
        <v>0</v>
      </c>
      <c r="J21" s="476"/>
      <c r="K21" s="477">
        <f>K20+1</f>
        <v>65</v>
      </c>
      <c r="L21" s="478">
        <f t="shared" ref="L21:L52" ca="1" si="6">IF(K21&lt;=$O$9,IF((L20+N20)&lt;=IF(($O$7-$C$6)=0,0,-PMT($O$5,($O$7-$C$6),$H$13))+1,0,L20+N20-R20),0)</f>
        <v>171744.77199736034</v>
      </c>
      <c r="M21" s="634">
        <f ca="1">IF(L21=0,0,M20+1)</f>
        <v>19</v>
      </c>
      <c r="N21" s="478">
        <f t="shared" ca="1" si="1"/>
        <v>5152.3431599208097</v>
      </c>
      <c r="O21" s="493">
        <f t="shared" ref="O21:O48" ca="1" si="7">IF(AND(N21=0,$O$9&lt;K21),O20,IF(K21&gt;=$O$9,0,IF((O20-S20+N21)&lt;1,0,O20-S20+N21)))</f>
        <v>54210.868548599785</v>
      </c>
      <c r="P21" s="493">
        <f t="shared" ref="P21:P52" ca="1" si="8">IF(K21&gt;=$O$9,0,IF((P20-T20)&lt;1,0,P20-T20))</f>
        <v>122686.24660868135</v>
      </c>
      <c r="Q21" s="478">
        <f t="shared" ca="1" si="2"/>
        <v>176897.11515728114</v>
      </c>
      <c r="R21" s="504">
        <f ca="1">IF(MEPPER2!$H$15="Protection cellule familiale",0,IF(K21=($C$6+($O$7-$C$6)-1),Q21,IF(Q21&lt;IF(($O$7-$C$6)=0,0,-PMT($O$5,($O$7-$C$6),$H$13)),Q21,IF(($O$7-$C$6)=0,0,-PMT($O$5,($O$7-$C$6),$H$13)))))</f>
        <v>8950.4223069260297</v>
      </c>
      <c r="S21" s="478">
        <f t="shared" ca="1" si="3"/>
        <v>2742.8947425389988</v>
      </c>
      <c r="T21" s="478">
        <f t="shared" ref="T21:T84" ca="1" si="9">IF((R21-S21)&gt;P21,P21,R21-S21)</f>
        <v>6207.5275643870309</v>
      </c>
      <c r="U21" s="478">
        <f ca="1">S21*Données!$F$36</f>
        <v>471.77789571670775</v>
      </c>
      <c r="V21" s="478">
        <f ca="1">IF(M21&lt;=8,IF($H$10&gt;Données!$F$14,S21*Données!$F$28,0),IF($H$10&gt;Données!$F$13,MAX((S21-MEPPER2!$Q$23)*Données!$L$15,0),0))</f>
        <v>0</v>
      </c>
      <c r="W21" s="478">
        <f ca="1">IF(M21&lt;=8,IF($H$10&lt;=Données!$F$14,S21*$H$10,0),IF($H$10&lt;Données!$F$14,MAX((S21-MEPPER2!$Q$23)*$H$10,0),0))</f>
        <v>0</v>
      </c>
      <c r="X21" s="478">
        <f t="shared" ref="X21:X52" ca="1" si="10">IF(K21&lt;$O$9,IF(R21&gt;0,R21-U21-V21-W21,0),0)</f>
        <v>8478.6444112093213</v>
      </c>
    </row>
    <row r="22" spans="1:24">
      <c r="A22" s="477">
        <f t="shared" ref="A22:A85" ca="1" si="11">A21+1</f>
        <v>48</v>
      </c>
      <c r="B22" s="478">
        <f t="shared" ref="B22:B85" ca="1" si="12">IF(A22=$C$6,0,IF(A22&lt;$C$6,$C$9,0))</f>
        <v>7000</v>
      </c>
      <c r="C22" s="478">
        <v>0</v>
      </c>
      <c r="D22" s="478">
        <f ca="1">IFERROR(IF($H$5="",B22*'CT à Transf'!$K$28,B22*$H$5),B22*$H$5)</f>
        <v>210</v>
      </c>
      <c r="E22" s="478">
        <f t="shared" ref="E22:E85" ca="1" si="13">B22-D22</f>
        <v>6790</v>
      </c>
      <c r="F22" s="478">
        <f t="shared" ca="1" si="0"/>
        <v>203.7</v>
      </c>
      <c r="G22" s="478">
        <f t="shared" ca="1" si="4"/>
        <v>29112.934550000002</v>
      </c>
      <c r="H22" s="478">
        <f t="shared" ca="1" si="5"/>
        <v>0</v>
      </c>
      <c r="J22" s="476"/>
      <c r="K22" s="477">
        <f t="shared" ref="K22:K85" si="14">K21+1</f>
        <v>66</v>
      </c>
      <c r="L22" s="478">
        <f t="shared" ca="1" si="6"/>
        <v>167946.69285035512</v>
      </c>
      <c r="M22" s="634">
        <f t="shared" ref="M22:M85" ca="1" si="15">IF(L22=0,0,M21+1)</f>
        <v>20</v>
      </c>
      <c r="N22" s="478">
        <f t="shared" ca="1" si="1"/>
        <v>5038.4007855106529</v>
      </c>
      <c r="O22" s="493">
        <f t="shared" ca="1" si="7"/>
        <v>56506.374591571439</v>
      </c>
      <c r="P22" s="493">
        <f t="shared" ca="1" si="8"/>
        <v>116478.71904429432</v>
      </c>
      <c r="Q22" s="478">
        <f t="shared" ca="1" si="2"/>
        <v>172985.09363586578</v>
      </c>
      <c r="R22" s="504">
        <f ca="1">IF(MEPPER2!$H$15="Protection cellule familiale",0,IF(K22=($C$6+($O$7-$C$6)-1),Q22,IF(Q22&lt;IF(($O$7-$C$6)=0,0,-PMT($O$5,($O$7-$C$6),$H$13)),Q22,IF(($O$7-$C$6)=0,0,-PMT($O$5,($O$7-$C$6),$H$13)))))</f>
        <v>8950.4223069260297</v>
      </c>
      <c r="S22" s="478">
        <f t="shared" ca="1" si="3"/>
        <v>2923.6965162590095</v>
      </c>
      <c r="T22" s="478">
        <f t="shared" ca="1" si="9"/>
        <v>6026.7257906670202</v>
      </c>
      <c r="U22" s="478">
        <f ca="1">S22*Données!$F$36</f>
        <v>502.87580079654958</v>
      </c>
      <c r="V22" s="478">
        <f ca="1">IF(M22&lt;=8,IF($H$10&gt;Données!$F$14,S22*Données!$F$28,0),IF($H$10&gt;Données!$F$13,MAX((S22-MEPPER2!$Q$23)*Données!$L$15,0),0))</f>
        <v>0</v>
      </c>
      <c r="W22" s="478">
        <f ca="1">IF(M22&lt;=8,IF($H$10&lt;=Données!$F$14,S22*$H$10,0),IF($H$10&lt;Données!$F$14,MAX((S22-MEPPER2!$Q$23)*$H$10,0),0))</f>
        <v>0</v>
      </c>
      <c r="X22" s="478">
        <f t="shared" ca="1" si="10"/>
        <v>8447.5465061294799</v>
      </c>
    </row>
    <row r="23" spans="1:24">
      <c r="A23" s="477">
        <f t="shared" ca="1" si="11"/>
        <v>49</v>
      </c>
      <c r="B23" s="478">
        <f t="shared" ca="1" si="12"/>
        <v>7000</v>
      </c>
      <c r="C23" s="478">
        <v>0</v>
      </c>
      <c r="D23" s="478">
        <f ca="1">IFERROR(IF($H$5="",B23*'CT à Transf'!$K$28,B23*$H$5),B23*$H$5)</f>
        <v>210</v>
      </c>
      <c r="E23" s="478">
        <f t="shared" ca="1" si="13"/>
        <v>6790</v>
      </c>
      <c r="F23" s="478">
        <f t="shared" ca="1" si="0"/>
        <v>203.7</v>
      </c>
      <c r="G23" s="478">
        <f t="shared" ca="1" si="4"/>
        <v>36980.022586500003</v>
      </c>
      <c r="H23" s="478">
        <f t="shared" ca="1" si="5"/>
        <v>0</v>
      </c>
      <c r="J23" s="476"/>
      <c r="K23" s="477">
        <f t="shared" si="14"/>
        <v>67</v>
      </c>
      <c r="L23" s="478">
        <f t="shared" ca="1" si="6"/>
        <v>164034.67132893976</v>
      </c>
      <c r="M23" s="634">
        <f t="shared" ca="1" si="15"/>
        <v>21</v>
      </c>
      <c r="N23" s="478">
        <f t="shared" ca="1" si="1"/>
        <v>4921.0401398681925</v>
      </c>
      <c r="O23" s="493">
        <f t="shared" ca="1" si="7"/>
        <v>58503.718215180626</v>
      </c>
      <c r="P23" s="493">
        <f t="shared" ca="1" si="8"/>
        <v>110451.9932536273</v>
      </c>
      <c r="Q23" s="478">
        <f t="shared" ca="1" si="2"/>
        <v>168955.71146880792</v>
      </c>
      <c r="R23" s="504">
        <f ca="1">IF(MEPPER2!$H$15="Protection cellule familiale",0,IF(K23=($C$6+($O$7-$C$6)-1),Q23,IF(Q23&lt;IF(($O$7-$C$6)=0,0,-PMT($O$5,($O$7-$C$6),$H$13)),Q23,IF(($O$7-$C$6)=0,0,-PMT($O$5,($O$7-$C$6),$H$13)))))</f>
        <v>8950.4223069260297</v>
      </c>
      <c r="S23" s="478">
        <f t="shared" ca="1" si="3"/>
        <v>3099.232218899796</v>
      </c>
      <c r="T23" s="478">
        <f t="shared" ca="1" si="9"/>
        <v>5851.1900880262338</v>
      </c>
      <c r="U23" s="478">
        <f ca="1">S23*Données!$F$36</f>
        <v>533.06794165076485</v>
      </c>
      <c r="V23" s="478">
        <f ca="1">IF(M23&lt;=8,IF($H$10&gt;Données!$F$14,S23*Données!$F$28,0),IF($H$10&gt;Données!$F$13,MAX((S23-MEPPER2!$Q$23)*Données!$L$15,0),0))</f>
        <v>0</v>
      </c>
      <c r="W23" s="478">
        <f ca="1">IF(M23&lt;=8,IF($H$10&lt;=Données!$F$14,S23*$H$10,0),IF($H$10&lt;Données!$F$14,MAX((S23-MEPPER2!$Q$23)*$H$10,0),0))</f>
        <v>0</v>
      </c>
      <c r="X23" s="478">
        <f t="shared" ca="1" si="10"/>
        <v>8417.3543652752651</v>
      </c>
    </row>
    <row r="24" spans="1:24">
      <c r="A24" s="477">
        <f t="shared" ca="1" si="11"/>
        <v>50</v>
      </c>
      <c r="B24" s="478">
        <f t="shared" ca="1" si="12"/>
        <v>7000</v>
      </c>
      <c r="C24" s="478">
        <v>0</v>
      </c>
      <c r="D24" s="478">
        <f ca="1">IFERROR(IF($H$5="",B24*'CT à Transf'!$K$28,B24*$H$5),B24*$H$5)</f>
        <v>210</v>
      </c>
      <c r="E24" s="478">
        <f t="shared" ca="1" si="13"/>
        <v>6790</v>
      </c>
      <c r="F24" s="478">
        <f t="shared" ca="1" si="0"/>
        <v>203.7</v>
      </c>
      <c r="G24" s="478">
        <f t="shared" ca="1" si="4"/>
        <v>45083.123264095004</v>
      </c>
      <c r="H24" s="478">
        <f t="shared" ca="1" si="5"/>
        <v>0</v>
      </c>
      <c r="J24" s="476"/>
      <c r="K24" s="477">
        <f t="shared" si="14"/>
        <v>68</v>
      </c>
      <c r="L24" s="478">
        <f t="shared" ca="1" si="6"/>
        <v>160005.28916188193</v>
      </c>
      <c r="M24" s="634">
        <f t="shared" ca="1" si="15"/>
        <v>22</v>
      </c>
      <c r="N24" s="478">
        <f t="shared" ca="1" si="1"/>
        <v>4800.1586748564578</v>
      </c>
      <c r="O24" s="493">
        <f t="shared" ca="1" si="7"/>
        <v>60204.644671137292</v>
      </c>
      <c r="P24" s="493">
        <f t="shared" ca="1" si="8"/>
        <v>104600.80316560106</v>
      </c>
      <c r="Q24" s="478">
        <f t="shared" ca="1" si="2"/>
        <v>164805.44783673834</v>
      </c>
      <c r="R24" s="504">
        <f ca="1">IF(MEPPER2!$H$15="Protection cellule familiale",0,IF(K24=($C$6+($O$7-$C$6)-1),Q24,IF(Q24&lt;IF(($O$7-$C$6)=0,0,-PMT($O$5,($O$7-$C$6),$H$13)),Q24,IF(($O$7-$C$6)=0,0,-PMT($O$5,($O$7-$C$6),$H$13)))))</f>
        <v>8950.4223069260297</v>
      </c>
      <c r="S24" s="478">
        <f t="shared" ca="1" si="3"/>
        <v>3269.6552311724054</v>
      </c>
      <c r="T24" s="478">
        <f t="shared" ca="1" si="9"/>
        <v>5680.7670757536243</v>
      </c>
      <c r="U24" s="478">
        <f ca="1">S24*Données!$F$36</f>
        <v>562.38069976165366</v>
      </c>
      <c r="V24" s="478">
        <f ca="1">IF(M24&lt;=8,IF($H$10&gt;Données!$F$14,S24*Données!$F$28,0),IF($H$10&gt;Données!$F$13,MAX((S24-MEPPER2!$Q$23)*Données!$L$15,0),0))</f>
        <v>0</v>
      </c>
      <c r="W24" s="478">
        <f ca="1">IF(M24&lt;=8,IF($H$10&lt;=Données!$F$14,S24*$H$10,0),IF($H$10&lt;Données!$F$14,MAX((S24-MEPPER2!$Q$23)*$H$10,0),0))</f>
        <v>0</v>
      </c>
      <c r="X24" s="478">
        <f t="shared" ca="1" si="10"/>
        <v>8388.0416071643758</v>
      </c>
    </row>
    <row r="25" spans="1:24">
      <c r="A25" s="477">
        <f t="shared" ca="1" si="11"/>
        <v>51</v>
      </c>
      <c r="B25" s="478">
        <f t="shared" ca="1" si="12"/>
        <v>7000</v>
      </c>
      <c r="C25" s="478">
        <v>0</v>
      </c>
      <c r="D25" s="478">
        <f ca="1">IFERROR(IF($H$5="",B25*'CT à Transf'!$K$28,B25*$H$5),B25*$H$5)</f>
        <v>210</v>
      </c>
      <c r="E25" s="478">
        <f t="shared" ca="1" si="13"/>
        <v>6790</v>
      </c>
      <c r="F25" s="478">
        <f t="shared" ca="1" si="0"/>
        <v>203.7</v>
      </c>
      <c r="G25" s="478">
        <f t="shared" ca="1" si="4"/>
        <v>53429.316962017852</v>
      </c>
      <c r="H25" s="478">
        <f t="shared" ca="1" si="5"/>
        <v>0</v>
      </c>
      <c r="J25" s="476"/>
      <c r="K25" s="477">
        <f t="shared" si="14"/>
        <v>69</v>
      </c>
      <c r="L25" s="478">
        <f t="shared" ca="1" si="6"/>
        <v>155855.02552981235</v>
      </c>
      <c r="M25" s="634">
        <f t="shared" ca="1" si="15"/>
        <v>23</v>
      </c>
      <c r="N25" s="478">
        <f t="shared" ca="1" si="1"/>
        <v>4675.6507658943701</v>
      </c>
      <c r="O25" s="493">
        <f t="shared" ca="1" si="7"/>
        <v>61610.64020585925</v>
      </c>
      <c r="P25" s="493">
        <f t="shared" ca="1" si="8"/>
        <v>98920.036089847432</v>
      </c>
      <c r="Q25" s="478">
        <f t="shared" ca="1" si="2"/>
        <v>160530.67629570668</v>
      </c>
      <c r="R25" s="504">
        <f ca="1">IF(MEPPER2!$H$15="Protection cellule familiale",0,IF(K25=($C$6+($O$7-$C$6)-1),Q25,IF(Q25&lt;IF(($O$7-$C$6)=0,0,-PMT($O$5,($O$7-$C$6),$H$13)),Q25,IF(($O$7-$C$6)=0,0,-PMT($O$5,($O$7-$C$6),$H$13)))))</f>
        <v>8950.4223069260297</v>
      </c>
      <c r="S25" s="478">
        <f t="shared" ca="1" si="3"/>
        <v>3435.1144663885298</v>
      </c>
      <c r="T25" s="478">
        <f t="shared" ca="1" si="9"/>
        <v>5515.3078405374999</v>
      </c>
      <c r="U25" s="478">
        <f ca="1">S25*Données!$F$36</f>
        <v>590.83968821882706</v>
      </c>
      <c r="V25" s="478">
        <f ca="1">IF(M25&lt;=8,IF($H$10&gt;Données!$F$14,S25*Données!$F$28,0),IF($H$10&gt;Données!$F$13,MAX((S25-MEPPER2!$Q$23)*Données!$L$15,0),0))</f>
        <v>0</v>
      </c>
      <c r="W25" s="478">
        <f ca="1">IF(M25&lt;=8,IF($H$10&lt;=Données!$F$14,S25*$H$10,0),IF($H$10&lt;Données!$F$14,MAX((S25-MEPPER2!$Q$23)*$H$10,0),0))</f>
        <v>0</v>
      </c>
      <c r="X25" s="478">
        <f t="shared" ca="1" si="10"/>
        <v>8359.5826187072034</v>
      </c>
    </row>
    <row r="26" spans="1:24">
      <c r="A26" s="477">
        <f t="shared" ca="1" si="11"/>
        <v>52</v>
      </c>
      <c r="B26" s="478">
        <f t="shared" ca="1" si="12"/>
        <v>7000</v>
      </c>
      <c r="C26" s="478">
        <v>0</v>
      </c>
      <c r="D26" s="478">
        <f ca="1">IFERROR(IF($H$5="",B26*'CT à Transf'!$K$28,B26*$H$5),B26*$H$5)</f>
        <v>210</v>
      </c>
      <c r="E26" s="478">
        <f t="shared" ca="1" si="13"/>
        <v>6790</v>
      </c>
      <c r="F26" s="478">
        <f t="shared" ca="1" si="0"/>
        <v>203.7</v>
      </c>
      <c r="G26" s="478">
        <f t="shared" ca="1" si="4"/>
        <v>62025.89647087839</v>
      </c>
      <c r="H26" s="478">
        <f t="shared" ca="1" si="5"/>
        <v>0</v>
      </c>
      <c r="J26" s="476"/>
      <c r="K26" s="477">
        <f t="shared" si="14"/>
        <v>70</v>
      </c>
      <c r="L26" s="478">
        <f t="shared" ca="1" si="6"/>
        <v>151580.25398878069</v>
      </c>
      <c r="M26" s="634">
        <f t="shared" ca="1" si="15"/>
        <v>24</v>
      </c>
      <c r="N26" s="478">
        <f t="shared" ca="1" si="1"/>
        <v>4547.4076196634205</v>
      </c>
      <c r="O26" s="493">
        <f t="shared" ca="1" si="7"/>
        <v>62722.933359134142</v>
      </c>
      <c r="P26" s="493">
        <f t="shared" ca="1" si="8"/>
        <v>93404.728249309934</v>
      </c>
      <c r="Q26" s="478">
        <f t="shared" ca="1" si="2"/>
        <v>156127.66160844406</v>
      </c>
      <c r="R26" s="504">
        <f ca="1">IF(MEPPER2!$H$15="Protection cellule familiale",0,IF(K26=($C$6+($O$7-$C$6)-1),Q26,IF(Q26&lt;IF(($O$7-$C$6)=0,0,-PMT($O$5,($O$7-$C$6),$H$13)),Q26,IF(($O$7-$C$6)=0,0,-PMT($O$5,($O$7-$C$6),$H$13)))))</f>
        <v>8950.4223069260297</v>
      </c>
      <c r="S26" s="478">
        <f t="shared" ca="1" si="3"/>
        <v>3595.7545005789425</v>
      </c>
      <c r="T26" s="478">
        <f t="shared" ca="1" si="9"/>
        <v>5354.6678063470872</v>
      </c>
      <c r="U26" s="478">
        <f ca="1">S26*Données!$F$36</f>
        <v>618.4697740995781</v>
      </c>
      <c r="V26" s="478">
        <f ca="1">IF(M26&lt;=8,IF($H$10&gt;Données!$F$14,S26*Données!$F$28,0),IF($H$10&gt;Données!$F$13,MAX((S26-MEPPER2!$Q$23)*Données!$L$15,0),0))</f>
        <v>0</v>
      </c>
      <c r="W26" s="478">
        <f ca="1">IF(M26&lt;=8,IF($H$10&lt;=Données!$F$14,S26*$H$10,0),IF($H$10&lt;Données!$F$14,MAX((S26-MEPPER2!$Q$23)*$H$10,0),0))</f>
        <v>0</v>
      </c>
      <c r="X26" s="478">
        <f t="shared" ca="1" si="10"/>
        <v>8331.9525328264517</v>
      </c>
    </row>
    <row r="27" spans="1:24">
      <c r="A27" s="477">
        <f t="shared" ca="1" si="11"/>
        <v>53</v>
      </c>
      <c r="B27" s="478">
        <f t="shared" ca="1" si="12"/>
        <v>7000</v>
      </c>
      <c r="C27" s="478">
        <v>0</v>
      </c>
      <c r="D27" s="478">
        <f ca="1">IFERROR(IF($H$5="",B27*'CT à Transf'!$K$28,B27*$H$5),B27*$H$5)</f>
        <v>210</v>
      </c>
      <c r="E27" s="478">
        <f t="shared" ca="1" si="13"/>
        <v>6790</v>
      </c>
      <c r="F27" s="478">
        <f t="shared" ca="1" si="0"/>
        <v>203.7</v>
      </c>
      <c r="G27" s="478">
        <f t="shared" ca="1" si="4"/>
        <v>70880.373365004751</v>
      </c>
      <c r="H27" s="478">
        <f t="shared" ca="1" si="5"/>
        <v>0</v>
      </c>
      <c r="J27" s="476"/>
      <c r="K27" s="477">
        <f t="shared" si="14"/>
        <v>71</v>
      </c>
      <c r="L27" s="478">
        <f t="shared" ca="1" si="6"/>
        <v>147177.2393015181</v>
      </c>
      <c r="M27" s="634">
        <f t="shared" ca="1" si="15"/>
        <v>25</v>
      </c>
      <c r="N27" s="478">
        <f t="shared" ca="1" si="1"/>
        <v>4415.3171790455426</v>
      </c>
      <c r="O27" s="493">
        <f t="shared" ca="1" si="7"/>
        <v>63542.496037600744</v>
      </c>
      <c r="P27" s="493">
        <f t="shared" ca="1" si="8"/>
        <v>88050.060442962844</v>
      </c>
      <c r="Q27" s="478">
        <f t="shared" ca="1" si="2"/>
        <v>151592.55648056359</v>
      </c>
      <c r="R27" s="504">
        <f ca="1">IF(MEPPER2!$H$15="Protection cellule familiale",0,IF(K27=($C$6+($O$7-$C$6)-1),Q27,IF(Q27&lt;IF(($O$7-$C$6)=0,0,-PMT($O$5,($O$7-$C$6),$H$13)),Q27,IF(($O$7-$C$6)=0,0,-PMT($O$5,($O$7-$C$6),$H$13)))))</f>
        <v>8950.4223069260297</v>
      </c>
      <c r="S27" s="478">
        <f t="shared" ca="1" si="3"/>
        <v>3751.7156988220622</v>
      </c>
      <c r="T27" s="478">
        <f t="shared" ca="1" si="9"/>
        <v>5198.7066081039675</v>
      </c>
      <c r="U27" s="478">
        <f ca="1">S27*Données!$F$36</f>
        <v>645.29510019739462</v>
      </c>
      <c r="V27" s="478">
        <f ca="1">IF(M27&lt;=8,IF($H$10&gt;Données!$F$14,S27*Données!$F$28,0),IF($H$10&gt;Données!$F$13,MAX((S27-MEPPER2!$Q$23)*Données!$L$15,0),0))</f>
        <v>0</v>
      </c>
      <c r="W27" s="478">
        <f ca="1">IF(M27&lt;=8,IF($H$10&lt;=Données!$F$14,S27*$H$10,0),IF($H$10&lt;Données!$F$14,MAX((S27-MEPPER2!$Q$23)*$H$10,0),0))</f>
        <v>0</v>
      </c>
      <c r="X27" s="478">
        <f t="shared" ca="1" si="10"/>
        <v>8305.1272067286354</v>
      </c>
    </row>
    <row r="28" spans="1:24">
      <c r="A28" s="477">
        <f t="shared" ca="1" si="11"/>
        <v>54</v>
      </c>
      <c r="B28" s="478">
        <f t="shared" ca="1" si="12"/>
        <v>7000</v>
      </c>
      <c r="C28" s="478">
        <v>0</v>
      </c>
      <c r="D28" s="478">
        <f ca="1">IFERROR(IF($H$5="",B28*'CT à Transf'!$K$28,B28*$H$5),B28*$H$5)</f>
        <v>210</v>
      </c>
      <c r="E28" s="478">
        <f t="shared" ca="1" si="13"/>
        <v>6790</v>
      </c>
      <c r="F28" s="478">
        <f t="shared" ca="1" si="0"/>
        <v>203.7</v>
      </c>
      <c r="G28" s="478">
        <f t="shared" ca="1" si="4"/>
        <v>80000.484565954888</v>
      </c>
      <c r="H28" s="478">
        <f t="shared" ca="1" si="5"/>
        <v>0</v>
      </c>
      <c r="J28" s="476"/>
      <c r="K28" s="477">
        <f t="shared" si="14"/>
        <v>72</v>
      </c>
      <c r="L28" s="478">
        <f t="shared" ca="1" si="6"/>
        <v>142642.13417363763</v>
      </c>
      <c r="M28" s="634">
        <f t="shared" ca="1" si="15"/>
        <v>26</v>
      </c>
      <c r="N28" s="478">
        <f t="shared" ca="1" si="1"/>
        <v>4279.2640252091287</v>
      </c>
      <c r="O28" s="493">
        <f t="shared" ca="1" si="7"/>
        <v>64070.044363987814</v>
      </c>
      <c r="P28" s="493">
        <f t="shared" ca="1" si="8"/>
        <v>82851.353834858877</v>
      </c>
      <c r="Q28" s="478">
        <f t="shared" ca="1" si="2"/>
        <v>146921.3981988467</v>
      </c>
      <c r="R28" s="504">
        <f ca="1">IF(MEPPER2!$H$15="Protection cellule familiale",0,IF(K28=($C$6+($O$7-$C$6)-1),Q28,IF(Q28&lt;IF(($O$7-$C$6)=0,0,-PMT($O$5,($O$7-$C$6),$H$13)),Q28,IF(($O$7-$C$6)=0,0,-PMT($O$5,($O$7-$C$6),$H$13)))))</f>
        <v>8950.4223069260297</v>
      </c>
      <c r="S28" s="478">
        <f t="shared" ca="1" si="3"/>
        <v>3903.1343378930515</v>
      </c>
      <c r="T28" s="478">
        <f t="shared" ca="1" si="9"/>
        <v>5047.2879690329783</v>
      </c>
      <c r="U28" s="478">
        <f ca="1">S28*Données!$F$36</f>
        <v>671.33910611760484</v>
      </c>
      <c r="V28" s="478">
        <f ca="1">IF(M28&lt;=8,IF($H$10&gt;Données!$F$14,S28*Données!$F$28,0),IF($H$10&gt;Données!$F$13,MAX((S28-MEPPER2!$Q$23)*Données!$L$15,0),0))</f>
        <v>0</v>
      </c>
      <c r="W28" s="478">
        <f ca="1">IF(M28&lt;=8,IF($H$10&lt;=Données!$F$14,S28*$H$10,0),IF($H$10&lt;Données!$F$14,MAX((S28-MEPPER2!$Q$23)*$H$10,0),0))</f>
        <v>0</v>
      </c>
      <c r="X28" s="478">
        <f t="shared" ca="1" si="10"/>
        <v>8279.0832008084253</v>
      </c>
    </row>
    <row r="29" spans="1:24">
      <c r="A29" s="477">
        <f t="shared" ca="1" si="11"/>
        <v>55</v>
      </c>
      <c r="B29" s="478">
        <f t="shared" ca="1" si="12"/>
        <v>7000</v>
      </c>
      <c r="C29" s="478">
        <v>0</v>
      </c>
      <c r="D29" s="478">
        <f ca="1">IFERROR(IF($H$5="",B29*'CT à Transf'!$K$28,B29*$H$5),B29*$H$5)</f>
        <v>210</v>
      </c>
      <c r="E29" s="478">
        <f t="shared" ca="1" si="13"/>
        <v>6790</v>
      </c>
      <c r="F29" s="478">
        <f t="shared" ca="1" si="0"/>
        <v>203.7</v>
      </c>
      <c r="G29" s="478">
        <f t="shared" ca="1" si="4"/>
        <v>89394.199102933533</v>
      </c>
      <c r="H29" s="478">
        <f t="shared" ca="1" si="5"/>
        <v>0</v>
      </c>
      <c r="J29" s="476"/>
      <c r="K29" s="477">
        <f t="shared" si="14"/>
        <v>73</v>
      </c>
      <c r="L29" s="478">
        <f t="shared" ca="1" si="6"/>
        <v>137970.97589192074</v>
      </c>
      <c r="M29" s="634">
        <f t="shared" ca="1" si="15"/>
        <v>27</v>
      </c>
      <c r="N29" s="478">
        <f t="shared" ca="1" si="1"/>
        <v>4139.1292767576224</v>
      </c>
      <c r="O29" s="493">
        <f t="shared" ca="1" si="7"/>
        <v>64306.039302852383</v>
      </c>
      <c r="P29" s="493">
        <f t="shared" ca="1" si="8"/>
        <v>77804.065865825905</v>
      </c>
      <c r="Q29" s="478">
        <f t="shared" ca="1" si="2"/>
        <v>142110.10516867827</v>
      </c>
      <c r="R29" s="504">
        <f ca="1">IF(MEPPER2!$H$15="Protection cellule familiale",0,IF(K29=($C$6+($O$7-$C$6)-1),Q29,IF(Q29&lt;IF(($O$7-$C$6)=0,0,-PMT($O$5,($O$7-$C$6),$H$13)),Q29,IF(($O$7-$C$6)=0,0,-PMT($O$5,($O$7-$C$6),$H$13)))))</f>
        <v>8950.4223069260297</v>
      </c>
      <c r="S29" s="478">
        <f t="shared" ca="1" si="3"/>
        <v>4050.1427253406137</v>
      </c>
      <c r="T29" s="478">
        <f t="shared" ca="1" si="9"/>
        <v>4900.2795815854161</v>
      </c>
      <c r="U29" s="478">
        <f ca="1">S29*Données!$F$36</f>
        <v>696.62454875858555</v>
      </c>
      <c r="V29" s="478">
        <f ca="1">IF(M29&lt;=8,IF($H$10&gt;Données!$F$14,S29*Données!$F$28,0),IF($H$10&gt;Données!$F$13,MAX((S29-MEPPER2!$Q$23)*Données!$L$15,0),0))</f>
        <v>0</v>
      </c>
      <c r="W29" s="478">
        <f ca="1">IF(M29&lt;=8,IF($H$10&lt;=Données!$F$14,S29*$H$10,0),IF($H$10&lt;Données!$F$14,MAX((S29-MEPPER2!$Q$23)*$H$10,0),0))</f>
        <v>0</v>
      </c>
      <c r="X29" s="478">
        <f t="shared" ca="1" si="10"/>
        <v>8253.797758167444</v>
      </c>
    </row>
    <row r="30" spans="1:24">
      <c r="A30" s="477">
        <f t="shared" ca="1" si="11"/>
        <v>56</v>
      </c>
      <c r="B30" s="478">
        <f t="shared" ca="1" si="12"/>
        <v>7000</v>
      </c>
      <c r="C30" s="478">
        <v>0</v>
      </c>
      <c r="D30" s="478">
        <f ca="1">IFERROR(IF($H$5="",B30*'CT à Transf'!$K$28,B30*$H$5),B30*$H$5)</f>
        <v>210</v>
      </c>
      <c r="E30" s="478">
        <f t="shared" ca="1" si="13"/>
        <v>6790</v>
      </c>
      <c r="F30" s="478">
        <f t="shared" ca="1" si="0"/>
        <v>203.7</v>
      </c>
      <c r="G30" s="478">
        <f t="shared" ca="1" si="4"/>
        <v>99069.725076021539</v>
      </c>
      <c r="H30" s="478">
        <f t="shared" ca="1" si="5"/>
        <v>0</v>
      </c>
      <c r="J30" s="476"/>
      <c r="K30" s="477">
        <f t="shared" si="14"/>
        <v>74</v>
      </c>
      <c r="L30" s="478">
        <f t="shared" ca="1" si="6"/>
        <v>133159.68286175234</v>
      </c>
      <c r="M30" s="634">
        <f t="shared" ca="1" si="15"/>
        <v>28</v>
      </c>
      <c r="N30" s="478">
        <f t="shared" ca="1" si="1"/>
        <v>3994.7904858525703</v>
      </c>
      <c r="O30" s="493">
        <f t="shared" ca="1" si="7"/>
        <v>64250.687063364341</v>
      </c>
      <c r="P30" s="493">
        <f t="shared" ca="1" si="8"/>
        <v>72903.786284240487</v>
      </c>
      <c r="Q30" s="478">
        <f t="shared" ca="1" si="2"/>
        <v>137154.47334760483</v>
      </c>
      <c r="R30" s="504">
        <f ca="1">IF(MEPPER2!$H$15="Protection cellule familiale",0,IF(K30=($C$6+($O$7-$C$6)-1),Q30,IF(Q30&lt;IF(($O$7-$C$6)=0,0,-PMT($O$5,($O$7-$C$6),$H$13)),Q30,IF(($O$7-$C$6)=0,0,-PMT($O$5,($O$7-$C$6),$H$13)))))</f>
        <v>8950.4223069260297</v>
      </c>
      <c r="S30" s="478">
        <f t="shared" ca="1" si="3"/>
        <v>4192.8693150955296</v>
      </c>
      <c r="T30" s="478">
        <f t="shared" ca="1" si="9"/>
        <v>4757.5529918305001</v>
      </c>
      <c r="U30" s="478">
        <f ca="1">S30*Données!$F$36</f>
        <v>721.17352219643101</v>
      </c>
      <c r="V30" s="478">
        <f ca="1">IF(M30&lt;=8,IF($H$10&gt;Données!$F$14,S30*Données!$F$28,0),IF($H$10&gt;Données!$F$13,MAX((S30-MEPPER2!$Q$23)*Données!$L$15,0),0))</f>
        <v>0</v>
      </c>
      <c r="W30" s="478">
        <f ca="1">IF(M30&lt;=8,IF($H$10&lt;=Données!$F$14,S30*$H$10,0),IF($H$10&lt;Données!$F$14,MAX((S30-MEPPER2!$Q$23)*$H$10,0),0))</f>
        <v>0</v>
      </c>
      <c r="X30" s="478">
        <f t="shared" ca="1" si="10"/>
        <v>8229.2487847295979</v>
      </c>
    </row>
    <row r="31" spans="1:24">
      <c r="A31" s="477">
        <f t="shared" ca="1" si="11"/>
        <v>57</v>
      </c>
      <c r="B31" s="478">
        <f t="shared" ca="1" si="12"/>
        <v>7000</v>
      </c>
      <c r="C31" s="478">
        <v>0</v>
      </c>
      <c r="D31" s="478">
        <f ca="1">IFERROR(IF($H$5="",B31*'CT à Transf'!$K$28,B31*$H$5),B31*$H$5)</f>
        <v>210</v>
      </c>
      <c r="E31" s="478">
        <f t="shared" ca="1" si="13"/>
        <v>6790</v>
      </c>
      <c r="F31" s="478">
        <f t="shared" ca="1" si="0"/>
        <v>203.7</v>
      </c>
      <c r="G31" s="478">
        <f t="shared" ca="1" si="4"/>
        <v>109035.51682830219</v>
      </c>
      <c r="H31" s="478">
        <f t="shared" ca="1" si="5"/>
        <v>0</v>
      </c>
      <c r="J31" s="476"/>
      <c r="K31" s="477">
        <f t="shared" si="14"/>
        <v>75</v>
      </c>
      <c r="L31" s="478">
        <f t="shared" ca="1" si="6"/>
        <v>128204.05104067888</v>
      </c>
      <c r="M31" s="634">
        <f t="shared" ca="1" si="15"/>
        <v>29</v>
      </c>
      <c r="N31" s="478">
        <f t="shared" ca="1" si="1"/>
        <v>3846.1215312203663</v>
      </c>
      <c r="O31" s="493">
        <f t="shared" ca="1" si="7"/>
        <v>63903.939279489176</v>
      </c>
      <c r="P31" s="493">
        <f t="shared" ca="1" si="8"/>
        <v>68146.23329240999</v>
      </c>
      <c r="Q31" s="478">
        <f t="shared" ca="1" si="2"/>
        <v>132050.17257189917</v>
      </c>
      <c r="R31" s="504">
        <f ca="1">IF(MEPPER2!$H$15="Protection cellule familiale",0,IF(K31=($C$6+($O$7-$C$6)-1),Q31,IF(Q31&lt;IF(($O$7-$C$6)=0,0,-PMT($O$5,($O$7-$C$6),$H$13)),Q31,IF(($O$7-$C$6)=0,0,-PMT($O$5,($O$7-$C$6),$H$13)))))</f>
        <v>8950.4223069260297</v>
      </c>
      <c r="S31" s="478">
        <f t="shared" ca="1" si="3"/>
        <v>4331.4388197119515</v>
      </c>
      <c r="T31" s="478">
        <f t="shared" ca="1" si="9"/>
        <v>4618.9834872140782</v>
      </c>
      <c r="U31" s="478">
        <f ca="1">S31*Données!$F$36</f>
        <v>745.00747699045564</v>
      </c>
      <c r="V31" s="478">
        <f ca="1">IF(M31&lt;=8,IF($H$10&gt;Données!$F$14,S31*Données!$F$28,0),IF($H$10&gt;Données!$F$13,MAX((S31-MEPPER2!$Q$23)*Données!$L$15,0),0))</f>
        <v>0</v>
      </c>
      <c r="W31" s="478">
        <f ca="1">IF(M31&lt;=8,IF($H$10&lt;=Données!$F$14,S31*$H$10,0),IF($H$10&lt;Données!$F$14,MAX((S31-MEPPER2!$Q$23)*$H$10,0),0))</f>
        <v>0</v>
      </c>
      <c r="X31" s="478">
        <f t="shared" ca="1" si="10"/>
        <v>8205.4148299355747</v>
      </c>
    </row>
    <row r="32" spans="1:24">
      <c r="A32" s="477">
        <f t="shared" ca="1" si="11"/>
        <v>58</v>
      </c>
      <c r="B32" s="478">
        <f t="shared" ca="1" si="12"/>
        <v>7000</v>
      </c>
      <c r="C32" s="478">
        <v>0</v>
      </c>
      <c r="D32" s="478">
        <f ca="1">IFERROR(IF($H$5="",B32*'CT à Transf'!$K$28,B32*$H$5),B32*$H$5)</f>
        <v>210</v>
      </c>
      <c r="E32" s="478">
        <f t="shared" ca="1" si="13"/>
        <v>6790</v>
      </c>
      <c r="F32" s="478">
        <f t="shared" ca="1" si="0"/>
        <v>203.7</v>
      </c>
      <c r="G32" s="478">
        <f t="shared" ca="1" si="4"/>
        <v>119300.28233315126</v>
      </c>
      <c r="H32" s="478">
        <f t="shared" ca="1" si="5"/>
        <v>0</v>
      </c>
      <c r="J32" s="476"/>
      <c r="K32" s="477">
        <f t="shared" si="14"/>
        <v>76</v>
      </c>
      <c r="L32" s="478">
        <f t="shared" ca="1" si="6"/>
        <v>123099.75026497322</v>
      </c>
      <c r="M32" s="634">
        <f t="shared" ca="1" si="15"/>
        <v>30</v>
      </c>
      <c r="N32" s="478">
        <f t="shared" ca="1" si="1"/>
        <v>3692.9925079491964</v>
      </c>
      <c r="O32" s="493">
        <f t="shared" ca="1" si="7"/>
        <v>63265.492967726415</v>
      </c>
      <c r="P32" s="493">
        <f t="shared" ca="1" si="8"/>
        <v>63527.249805195912</v>
      </c>
      <c r="Q32" s="478">
        <f t="shared" ca="1" si="2"/>
        <v>126792.74277292233</v>
      </c>
      <c r="R32" s="504">
        <f ca="1">IF(MEPPER2!$H$15="Protection cellule familiale",0,IF(K32=($C$6+($O$7-$C$6)-1),Q32,IF(Q32&lt;IF(($O$7-$C$6)=0,0,-PMT($O$5,($O$7-$C$6),$H$13)),Q32,IF(($O$7-$C$6)=0,0,-PMT($O$5,($O$7-$C$6),$H$13)))))</f>
        <v>8950.4223069260297</v>
      </c>
      <c r="S32" s="478">
        <f t="shared" ca="1" si="3"/>
        <v>4465.9723193395457</v>
      </c>
      <c r="T32" s="478">
        <f t="shared" ca="1" si="9"/>
        <v>4484.449987586484</v>
      </c>
      <c r="U32" s="478">
        <f ca="1">S32*Données!$F$36</f>
        <v>768.14723892640177</v>
      </c>
      <c r="V32" s="478">
        <f ca="1">IF(M32&lt;=8,IF($H$10&gt;Données!$F$14,S32*Données!$F$28,0),IF($H$10&gt;Données!$F$13,MAX((S32-MEPPER2!$Q$23)*Données!$L$15,0),0))</f>
        <v>0</v>
      </c>
      <c r="W32" s="478">
        <f ca="1">IF(M32&lt;=8,IF($H$10&lt;=Données!$F$14,S32*$H$10,0),IF($H$10&lt;Données!$F$14,MAX((S32-MEPPER2!$Q$23)*$H$10,0),0))</f>
        <v>0</v>
      </c>
      <c r="X32" s="478">
        <f t="shared" ca="1" si="10"/>
        <v>8182.2750679996279</v>
      </c>
    </row>
    <row r="33" spans="1:24">
      <c r="A33" s="477">
        <f t="shared" ca="1" si="11"/>
        <v>59</v>
      </c>
      <c r="B33" s="478">
        <f t="shared" ca="1" si="12"/>
        <v>7000</v>
      </c>
      <c r="C33" s="478">
        <v>0</v>
      </c>
      <c r="D33" s="478">
        <f ca="1">IFERROR(IF($H$5="",B33*'CT à Transf'!$K$28,B33*$H$5),B33*$H$5)</f>
        <v>210</v>
      </c>
      <c r="E33" s="478">
        <f t="shared" ca="1" si="13"/>
        <v>6790</v>
      </c>
      <c r="F33" s="478">
        <f t="shared" ca="1" si="0"/>
        <v>203.7</v>
      </c>
      <c r="G33" s="478">
        <f t="shared" ca="1" si="4"/>
        <v>129872.9908031458</v>
      </c>
      <c r="H33" s="478">
        <f t="shared" ca="1" si="5"/>
        <v>0</v>
      </c>
      <c r="J33" s="476"/>
      <c r="K33" s="477">
        <f t="shared" si="14"/>
        <v>77</v>
      </c>
      <c r="L33" s="478">
        <f t="shared" ca="1" si="6"/>
        <v>117842.32046599638</v>
      </c>
      <c r="M33" s="634">
        <f t="shared" ca="1" si="15"/>
        <v>31</v>
      </c>
      <c r="N33" s="478">
        <f t="shared" ca="1" si="1"/>
        <v>3535.2696139798913</v>
      </c>
      <c r="O33" s="493">
        <f t="shared" ca="1" si="7"/>
        <v>62334.790262366761</v>
      </c>
      <c r="P33" s="493">
        <f t="shared" ca="1" si="8"/>
        <v>59042.799817609426</v>
      </c>
      <c r="Q33" s="478">
        <f t="shared" ca="1" si="2"/>
        <v>121377.59007997619</v>
      </c>
      <c r="R33" s="504">
        <f ca="1">IF(MEPPER2!$H$15="Protection cellule familiale",0,IF(K33=($C$6+($O$7-$C$6)-1),Q33,IF(Q33&lt;IF(($O$7-$C$6)=0,0,-PMT($O$5,($O$7-$C$6),$H$13)),Q33,IF(($O$7-$C$6)=0,0,-PMT($O$5,($O$7-$C$6),$H$13)))))</f>
        <v>8950.4223069260297</v>
      </c>
      <c r="S33" s="478">
        <f t="shared" ca="1" si="3"/>
        <v>4596.5873675216772</v>
      </c>
      <c r="T33" s="478">
        <f t="shared" ca="1" si="9"/>
        <v>4353.8349394043526</v>
      </c>
      <c r="U33" s="478">
        <f ca="1">S33*Données!$F$36</f>
        <v>790.6130272137284</v>
      </c>
      <c r="V33" s="478">
        <f ca="1">IF(M33&lt;=8,IF($H$10&gt;Données!$F$14,S33*Données!$F$28,0),IF($H$10&gt;Données!$F$13,MAX((S33-MEPPER2!$Q$23)*Données!$L$15,0),0))</f>
        <v>0</v>
      </c>
      <c r="W33" s="478">
        <f ca="1">IF(M33&lt;=8,IF($H$10&lt;=Données!$F$14,S33*$H$10,0),IF($H$10&lt;Données!$F$14,MAX((S33-MEPPER2!$Q$23)*$H$10,0),0))</f>
        <v>0</v>
      </c>
      <c r="X33" s="478">
        <f t="shared" ca="1" si="10"/>
        <v>8159.8092797123008</v>
      </c>
    </row>
    <row r="34" spans="1:24">
      <c r="A34" s="477">
        <f t="shared" ca="1" si="11"/>
        <v>60</v>
      </c>
      <c r="B34" s="478">
        <f t="shared" ca="1" si="12"/>
        <v>7000</v>
      </c>
      <c r="C34" s="478">
        <v>0</v>
      </c>
      <c r="D34" s="478">
        <f ca="1">IFERROR(IF($H$5="",B34*'CT à Transf'!$K$28,B34*$H$5),B34*$H$5)</f>
        <v>210</v>
      </c>
      <c r="E34" s="478">
        <f t="shared" ca="1" si="13"/>
        <v>6790</v>
      </c>
      <c r="F34" s="478">
        <f t="shared" ca="1" si="0"/>
        <v>203.7</v>
      </c>
      <c r="G34" s="478">
        <f t="shared" ca="1" si="4"/>
        <v>140762.8805272402</v>
      </c>
      <c r="H34" s="478">
        <f t="shared" ca="1" si="5"/>
        <v>0</v>
      </c>
      <c r="J34" s="476"/>
      <c r="K34" s="477">
        <f t="shared" si="14"/>
        <v>78</v>
      </c>
      <c r="L34" s="478">
        <f t="shared" ca="1" si="6"/>
        <v>112427.16777305024</v>
      </c>
      <c r="M34" s="634">
        <f t="shared" ca="1" si="15"/>
        <v>32</v>
      </c>
      <c r="N34" s="478">
        <f t="shared" ca="1" si="1"/>
        <v>3372.8150331915072</v>
      </c>
      <c r="O34" s="493">
        <f t="shared" ca="1" si="7"/>
        <v>61111.017928036592</v>
      </c>
      <c r="P34" s="493">
        <f t="shared" ca="1" si="8"/>
        <v>54688.964878205072</v>
      </c>
      <c r="Q34" s="478">
        <f t="shared" ca="1" si="2"/>
        <v>115799.98280624166</v>
      </c>
      <c r="R34" s="504">
        <f ca="1">IF(MEPPER2!$H$15="Protection cellule familiale",0,IF(K34=($C$6+($O$7-$C$6)-1),Q34,IF(Q34&lt;IF(($O$7-$C$6)=0,0,-PMT($O$5,($O$7-$C$6),$H$13)),Q34,IF(($O$7-$C$6)=0,0,-PMT($O$5,($O$7-$C$6),$H$13)))))</f>
        <v>8950.4223069260297</v>
      </c>
      <c r="S34" s="478">
        <f t="shared" ca="1" si="3"/>
        <v>4723.3980939120947</v>
      </c>
      <c r="T34" s="478">
        <f t="shared" ca="1" si="9"/>
        <v>4227.024213013935</v>
      </c>
      <c r="U34" s="478">
        <f ca="1">S34*Données!$F$36</f>
        <v>812.42447215288018</v>
      </c>
      <c r="V34" s="478">
        <f ca="1">IF(M34&lt;=8,IF($H$10&gt;Données!$F$14,S34*Données!$F$28,0),IF($H$10&gt;Données!$F$13,MAX((S34-MEPPER2!$Q$23)*Données!$L$15,0),0))</f>
        <v>0</v>
      </c>
      <c r="W34" s="478">
        <f ca="1">IF(M34&lt;=8,IF($H$10&lt;=Données!$F$14,S34*$H$10,0),IF($H$10&lt;Données!$F$14,MAX((S34-MEPPER2!$Q$23)*$H$10,0),0))</f>
        <v>0</v>
      </c>
      <c r="X34" s="478">
        <f t="shared" ca="1" si="10"/>
        <v>8137.9978347731494</v>
      </c>
    </row>
    <row r="35" spans="1:24">
      <c r="A35" s="477">
        <f t="shared" ca="1" si="11"/>
        <v>61</v>
      </c>
      <c r="B35" s="478">
        <f t="shared" ca="1" si="12"/>
        <v>7000</v>
      </c>
      <c r="C35" s="478">
        <v>0</v>
      </c>
      <c r="D35" s="478">
        <f ca="1">IFERROR(IF($H$5="",B35*'CT à Transf'!$K$28,B35*$H$5),B35*$H$5)</f>
        <v>210</v>
      </c>
      <c r="E35" s="478">
        <f t="shared" ca="1" si="13"/>
        <v>6790</v>
      </c>
      <c r="F35" s="478">
        <f t="shared" ca="1" si="0"/>
        <v>203.7</v>
      </c>
      <c r="G35" s="478">
        <f t="shared" ca="1" si="4"/>
        <v>151979.46694305743</v>
      </c>
      <c r="H35" s="478">
        <f t="shared" ca="1" si="5"/>
        <v>0</v>
      </c>
      <c r="J35" s="476"/>
      <c r="K35" s="477">
        <f t="shared" si="14"/>
        <v>79</v>
      </c>
      <c r="L35" s="478">
        <f t="shared" ca="1" si="6"/>
        <v>106849.56049931572</v>
      </c>
      <c r="M35" s="634">
        <f t="shared" ca="1" si="15"/>
        <v>33</v>
      </c>
      <c r="N35" s="478">
        <f t="shared" ca="1" si="1"/>
        <v>3205.4868149794715</v>
      </c>
      <c r="O35" s="493">
        <f t="shared" ca="1" si="7"/>
        <v>59593.106649103967</v>
      </c>
      <c r="P35" s="493">
        <f t="shared" ca="1" si="8"/>
        <v>50461.940665191134</v>
      </c>
      <c r="Q35" s="478">
        <f t="shared" ca="1" si="2"/>
        <v>110055.04731429511</v>
      </c>
      <c r="R35" s="504">
        <f ca="1">IF(MEPPER2!$H$15="Protection cellule familiale",0,IF(K35=($C$6+($O$7-$C$6)-1),Q35,IF(Q35&lt;IF(($O$7-$C$6)=0,0,-PMT($O$5,($O$7-$C$6),$H$13)),Q35,IF(($O$7-$C$6)=0,0,-PMT($O$5,($O$7-$C$6),$H$13)))))</f>
        <v>8950.4223069260297</v>
      </c>
      <c r="S35" s="478">
        <f t="shared" ca="1" si="3"/>
        <v>4846.5153039998795</v>
      </c>
      <c r="T35" s="478">
        <f t="shared" ca="1" si="9"/>
        <v>4103.9070029261502</v>
      </c>
      <c r="U35" s="478">
        <f ca="1">S35*Données!$F$36</f>
        <v>833.60063228797924</v>
      </c>
      <c r="V35" s="478">
        <f ca="1">IF(M35&lt;=8,IF($H$10&gt;Données!$F$14,S35*Données!$F$28,0),IF($H$10&gt;Données!$F$13,MAX((S35-MEPPER2!$Q$23)*Données!$L$15,0),0))</f>
        <v>0</v>
      </c>
      <c r="W35" s="478">
        <f ca="1">IF(M35&lt;=8,IF($H$10&lt;=Données!$F$14,S35*$H$10,0),IF($H$10&lt;Données!$F$14,MAX((S35-MEPPER2!$Q$23)*$H$10,0),0))</f>
        <v>0</v>
      </c>
      <c r="X35" s="478">
        <f t="shared" ca="1" si="10"/>
        <v>8116.8216746380504</v>
      </c>
    </row>
    <row r="36" spans="1:24">
      <c r="A36" s="477">
        <f t="shared" ca="1" si="11"/>
        <v>62</v>
      </c>
      <c r="B36" s="478">
        <f t="shared" ca="1" si="12"/>
        <v>7000</v>
      </c>
      <c r="C36" s="478">
        <v>0</v>
      </c>
      <c r="D36" s="478">
        <f ca="1">IFERROR(IF($H$5="",B36*'CT à Transf'!$K$28,B36*$H$5),B36*$H$5)</f>
        <v>210</v>
      </c>
      <c r="E36" s="478">
        <f t="shared" ca="1" si="13"/>
        <v>6790</v>
      </c>
      <c r="F36" s="478">
        <f t="shared" ca="1" si="0"/>
        <v>203.7</v>
      </c>
      <c r="G36" s="478">
        <f t="shared" ca="1" si="4"/>
        <v>163532.55095134917</v>
      </c>
      <c r="H36" s="478">
        <f t="shared" ca="1" si="5"/>
        <v>0</v>
      </c>
      <c r="J36" s="476"/>
      <c r="K36" s="477">
        <f t="shared" si="14"/>
        <v>80</v>
      </c>
      <c r="L36" s="478">
        <f t="shared" ca="1" si="6"/>
        <v>101104.62500736916</v>
      </c>
      <c r="M36" s="634">
        <f t="shared" ca="1" si="15"/>
        <v>34</v>
      </c>
      <c r="N36" s="478">
        <f t="shared" ca="1" si="1"/>
        <v>3033.1387502210746</v>
      </c>
      <c r="O36" s="493">
        <f t="shared" ca="1" si="7"/>
        <v>57779.730095325169</v>
      </c>
      <c r="P36" s="493">
        <f t="shared" ca="1" si="8"/>
        <v>46358.033662264985</v>
      </c>
      <c r="Q36" s="478">
        <f t="shared" ca="1" si="2"/>
        <v>104137.76375759015</v>
      </c>
      <c r="R36" s="504">
        <f ca="1">IF(MEPPER2!$H$15="Protection cellule familiale",0,IF(K36=($C$6+($O$7-$C$6)-1),Q36,IF(Q36&lt;IF(($O$7-$C$6)=0,0,-PMT($O$5,($O$7-$C$6),$H$13)),Q36,IF(($O$7-$C$6)=0,0,-PMT($O$5,($O$7-$C$6),$H$13)))))</f>
        <v>8950.4223069260297</v>
      </c>
      <c r="S36" s="478">
        <f t="shared" ca="1" si="3"/>
        <v>4966.0465759297676</v>
      </c>
      <c r="T36" s="478">
        <f t="shared" ca="1" si="9"/>
        <v>3984.3757309962621</v>
      </c>
      <c r="U36" s="478">
        <f ca="1">S36*Données!$F$36</f>
        <v>854.16001105991995</v>
      </c>
      <c r="V36" s="478">
        <f ca="1">IF(M36&lt;=8,IF($H$10&gt;Données!$F$14,S36*Données!$F$28,0),IF($H$10&gt;Données!$F$13,MAX((S36-MEPPER2!$Q$23)*Données!$L$15,0),0))</f>
        <v>0</v>
      </c>
      <c r="W36" s="478">
        <f ca="1">IF(M36&lt;=8,IF($H$10&lt;=Données!$F$14,S36*$H$10,0),IF($H$10&lt;Données!$F$14,MAX((S36-MEPPER2!$Q$23)*$H$10,0),0))</f>
        <v>0</v>
      </c>
      <c r="X36" s="478">
        <f t="shared" ca="1" si="10"/>
        <v>8096.2622958661095</v>
      </c>
    </row>
    <row r="37" spans="1:24">
      <c r="A37" s="477">
        <f t="shared" ca="1" si="11"/>
        <v>63</v>
      </c>
      <c r="B37" s="478">
        <f t="shared" ca="1" si="12"/>
        <v>7000</v>
      </c>
      <c r="C37" s="478">
        <v>0</v>
      </c>
      <c r="D37" s="478">
        <f ca="1">IFERROR(IF($H$5="",B37*'CT à Transf'!$K$28,B37*$H$5),B37*$H$5)</f>
        <v>210</v>
      </c>
      <c r="E37" s="478">
        <f t="shared" ca="1" si="13"/>
        <v>6790</v>
      </c>
      <c r="F37" s="478">
        <f t="shared" ca="1" si="0"/>
        <v>203.7</v>
      </c>
      <c r="G37" s="478">
        <f t="shared" ca="1" si="4"/>
        <v>175432.22747988967</v>
      </c>
      <c r="H37" s="478">
        <f t="shared" ca="1" si="5"/>
        <v>175432.22747988967</v>
      </c>
      <c r="J37" s="476"/>
      <c r="K37" s="477">
        <f t="shared" si="14"/>
        <v>81</v>
      </c>
      <c r="L37" s="478">
        <f t="shared" ca="1" si="6"/>
        <v>95187.3414506642</v>
      </c>
      <c r="M37" s="634">
        <f t="shared" ca="1" si="15"/>
        <v>35</v>
      </c>
      <c r="N37" s="478">
        <f t="shared" ca="1" si="1"/>
        <v>2855.6202435199257</v>
      </c>
      <c r="O37" s="493">
        <f t="shared" ca="1" si="7"/>
        <v>55669.303762915326</v>
      </c>
      <c r="P37" s="493">
        <f t="shared" ca="1" si="8"/>
        <v>42373.657931268724</v>
      </c>
      <c r="Q37" s="478">
        <f t="shared" ca="1" si="2"/>
        <v>98042.96169418405</v>
      </c>
      <c r="R37" s="504">
        <f ca="1">IF(MEPPER2!$H$15="Protection cellule familiale",0,IF(K37=($C$6+($O$7-$C$6)-1),Q37,IF(Q37&lt;IF(($O$7-$C$6)=0,0,-PMT($O$5,($O$7-$C$6),$H$13)),Q37,IF(($O$7-$C$6)=0,0,-PMT($O$5,($O$7-$C$6),$H$13)))))</f>
        <v>8950.4223069260297</v>
      </c>
      <c r="S37" s="478">
        <f t="shared" ca="1" si="3"/>
        <v>5082.0963545024742</v>
      </c>
      <c r="T37" s="478">
        <f t="shared" ca="1" si="9"/>
        <v>3868.3259524235555</v>
      </c>
      <c r="U37" s="478">
        <f ca="1">S37*Données!$F$36</f>
        <v>874.1205729744255</v>
      </c>
      <c r="V37" s="478">
        <f ca="1">IF(M37&lt;=8,IF($H$10&gt;Données!$F$14,S37*Données!$F$28,0),IF($H$10&gt;Données!$F$13,MAX((S37-MEPPER2!$Q$23)*Données!$L$15,0),0))</f>
        <v>0</v>
      </c>
      <c r="W37" s="478">
        <f ca="1">IF(M37&lt;=8,IF($H$10&lt;=Données!$F$14,S37*$H$10,0),IF($H$10&lt;Données!$F$14,MAX((S37-MEPPER2!$Q$23)*$H$10,0),0))</f>
        <v>0</v>
      </c>
      <c r="X37" s="478">
        <f t="shared" ca="1" si="10"/>
        <v>8076.3017339516045</v>
      </c>
    </row>
    <row r="38" spans="1:24">
      <c r="A38" s="477">
        <f t="shared" ca="1" si="11"/>
        <v>64</v>
      </c>
      <c r="B38" s="478">
        <f t="shared" ca="1" si="12"/>
        <v>0</v>
      </c>
      <c r="C38" s="478">
        <v>0</v>
      </c>
      <c r="D38" s="478">
        <f ca="1">IFERROR(IF($H$5="",B38*'CT à Transf'!$K$28,B38*$H$5),B38*$H$5)</f>
        <v>0</v>
      </c>
      <c r="E38" s="478">
        <f t="shared" ca="1" si="13"/>
        <v>0</v>
      </c>
      <c r="F38" s="478">
        <f t="shared" ca="1" si="0"/>
        <v>0</v>
      </c>
      <c r="G38" s="478">
        <f t="shared" ca="1" si="4"/>
        <v>0</v>
      </c>
      <c r="H38" s="478">
        <f t="shared" ca="1" si="5"/>
        <v>0</v>
      </c>
      <c r="J38" s="476"/>
      <c r="K38" s="477">
        <f t="shared" si="14"/>
        <v>82</v>
      </c>
      <c r="L38" s="478">
        <f t="shared" ca="1" si="6"/>
        <v>89092.53938725809</v>
      </c>
      <c r="M38" s="634">
        <f t="shared" ca="1" si="15"/>
        <v>36</v>
      </c>
      <c r="N38" s="478">
        <f t="shared" ca="1" si="1"/>
        <v>2672.7761816177426</v>
      </c>
      <c r="O38" s="493">
        <f t="shared" ca="1" si="7"/>
        <v>53259.983590030599</v>
      </c>
      <c r="P38" s="493">
        <f t="shared" ca="1" si="8"/>
        <v>38505.33197884517</v>
      </c>
      <c r="Q38" s="478">
        <f t="shared" ca="1" si="2"/>
        <v>91765.315568875769</v>
      </c>
      <c r="R38" s="504">
        <f ca="1">IF(MEPPER2!$H$15="Protection cellule familiale",0,IF(K38=($C$6+($O$7-$C$6)-1),Q38,IF(Q38&lt;IF(($O$7-$C$6)=0,0,-PMT($O$5,($O$7-$C$6),$H$13)),Q38,IF(($O$7-$C$6)=0,0,-PMT($O$5,($O$7-$C$6),$H$13)))))</f>
        <v>8950.4223069260297</v>
      </c>
      <c r="S38" s="478">
        <f t="shared" ca="1" si="3"/>
        <v>5194.7660424371406</v>
      </c>
      <c r="T38" s="478">
        <f t="shared" ca="1" si="9"/>
        <v>3755.6562644888891</v>
      </c>
      <c r="U38" s="478">
        <f ca="1">S38*Données!$F$36</f>
        <v>893.4997592991881</v>
      </c>
      <c r="V38" s="478">
        <f ca="1">IF(M38&lt;=8,IF($H$10&gt;Données!$F$14,S38*Données!$F$28,0),IF($H$10&gt;Données!$F$13,MAX((S38-MEPPER2!$Q$23)*Données!$L$15,0),0))</f>
        <v>0</v>
      </c>
      <c r="W38" s="478">
        <f ca="1">IF(M38&lt;=8,IF($H$10&lt;=Données!$F$14,S38*$H$10,0),IF($H$10&lt;Données!$F$14,MAX((S38-MEPPER2!$Q$23)*$H$10,0),0))</f>
        <v>0</v>
      </c>
      <c r="X38" s="478">
        <f t="shared" ca="1" si="10"/>
        <v>8056.9225476268421</v>
      </c>
    </row>
    <row r="39" spans="1:24">
      <c r="A39" s="477">
        <f t="shared" ca="1" si="11"/>
        <v>65</v>
      </c>
      <c r="B39" s="478">
        <f t="shared" ca="1" si="12"/>
        <v>0</v>
      </c>
      <c r="C39" s="478">
        <v>0</v>
      </c>
      <c r="D39" s="478">
        <f ca="1">IFERROR(IF($H$5="",B39*'CT à Transf'!$K$28,B39*$H$5),B39*$H$5)</f>
        <v>0</v>
      </c>
      <c r="E39" s="478">
        <f t="shared" ca="1" si="13"/>
        <v>0</v>
      </c>
      <c r="F39" s="478">
        <f t="shared" ca="1" si="0"/>
        <v>0</v>
      </c>
      <c r="G39" s="478">
        <f t="shared" ca="1" si="4"/>
        <v>0</v>
      </c>
      <c r="H39" s="478">
        <f t="shared" ca="1" si="5"/>
        <v>0</v>
      </c>
      <c r="J39" s="476"/>
      <c r="K39" s="477">
        <f t="shared" si="14"/>
        <v>83</v>
      </c>
      <c r="L39" s="478">
        <f t="shared" ca="1" si="6"/>
        <v>82814.893261949794</v>
      </c>
      <c r="M39" s="634">
        <f t="shared" ca="1" si="15"/>
        <v>37</v>
      </c>
      <c r="N39" s="478">
        <f t="shared" ca="1" si="1"/>
        <v>2484.4467978584939</v>
      </c>
      <c r="O39" s="493">
        <f t="shared" ca="1" si="7"/>
        <v>50549.664345451951</v>
      </c>
      <c r="P39" s="493">
        <f t="shared" ca="1" si="8"/>
        <v>34749.675714356279</v>
      </c>
      <c r="Q39" s="478">
        <f t="shared" ca="1" si="2"/>
        <v>85299.340059808223</v>
      </c>
      <c r="R39" s="504">
        <f ca="1">IF(MEPPER2!$H$15="Protection cellule familiale",0,IF(K39=($C$6+($O$7-$C$6)-1),Q39,IF(Q39&lt;IF(($O$7-$C$6)=0,0,-PMT($O$5,($O$7-$C$6),$H$13)),Q39,IF(($O$7-$C$6)=0,0,-PMT($O$5,($O$7-$C$6),$H$13)))))</f>
        <v>8950.4223069260297</v>
      </c>
      <c r="S39" s="478">
        <f t="shared" ca="1" si="3"/>
        <v>5304.1540889756525</v>
      </c>
      <c r="T39" s="478">
        <f t="shared" ca="1" si="9"/>
        <v>3646.2682179503772</v>
      </c>
      <c r="U39" s="478">
        <f ca="1">S39*Données!$F$36</f>
        <v>912.3145033038121</v>
      </c>
      <c r="V39" s="478">
        <f ca="1">IF(M39&lt;=8,IF($H$10&gt;Données!$F$14,S39*Données!$F$28,0),IF($H$10&gt;Données!$F$13,MAX((S39-MEPPER2!$Q$23)*Données!$L$15,0),0))</f>
        <v>0</v>
      </c>
      <c r="W39" s="478">
        <f ca="1">IF(M39&lt;=8,IF($H$10&lt;=Données!$F$14,S39*$H$10,0),IF($H$10&lt;Données!$F$14,MAX((S39-MEPPER2!$Q$23)*$H$10,0),0))</f>
        <v>0</v>
      </c>
      <c r="X39" s="478">
        <f t="shared" ca="1" si="10"/>
        <v>8038.1078036222179</v>
      </c>
    </row>
    <row r="40" spans="1:24">
      <c r="A40" s="477">
        <f t="shared" ca="1" si="11"/>
        <v>66</v>
      </c>
      <c r="B40" s="478">
        <f t="shared" ca="1" si="12"/>
        <v>0</v>
      </c>
      <c r="C40" s="478">
        <v>0</v>
      </c>
      <c r="D40" s="478">
        <f ca="1">IFERROR(IF($H$5="",B40*'CT à Transf'!$K$28,B40*$H$5),B40*$H$5)</f>
        <v>0</v>
      </c>
      <c r="E40" s="478">
        <f t="shared" ca="1" si="13"/>
        <v>0</v>
      </c>
      <c r="F40" s="478">
        <f t="shared" ca="1" si="0"/>
        <v>0</v>
      </c>
      <c r="G40" s="478">
        <f t="shared" ca="1" si="4"/>
        <v>0</v>
      </c>
      <c r="H40" s="478">
        <f t="shared" ca="1" si="5"/>
        <v>0</v>
      </c>
      <c r="J40" s="476"/>
      <c r="K40" s="477">
        <f t="shared" si="14"/>
        <v>84</v>
      </c>
      <c r="L40" s="478">
        <f t="shared" ca="1" si="6"/>
        <v>76348.917752882247</v>
      </c>
      <c r="M40" s="634">
        <f t="shared" ca="1" si="15"/>
        <v>38</v>
      </c>
      <c r="N40" s="478">
        <f t="shared" ca="1" si="1"/>
        <v>2290.4675325864673</v>
      </c>
      <c r="O40" s="493">
        <f t="shared" ca="1" si="7"/>
        <v>47535.977789062767</v>
      </c>
      <c r="P40" s="493">
        <f t="shared" ca="1" si="8"/>
        <v>31103.407496405904</v>
      </c>
      <c r="Q40" s="478">
        <f t="shared" ca="1" si="2"/>
        <v>78639.38528546867</v>
      </c>
      <c r="R40" s="504">
        <f ca="1">IF(MEPPER2!$H$15="Protection cellule familiale",0,IF(K40=($C$6+($O$7-$C$6)-1),Q40,IF(Q40&lt;IF(($O$7-$C$6)=0,0,-PMT($O$5,($O$7-$C$6),$H$13)),Q40,IF(($O$7-$C$6)=0,0,-PMT($O$5,($O$7-$C$6),$H$13)))))</f>
        <v>8950.4223069260297</v>
      </c>
      <c r="S40" s="478">
        <f t="shared" ca="1" si="3"/>
        <v>5410.3560759062457</v>
      </c>
      <c r="T40" s="478">
        <f t="shared" ca="1" si="9"/>
        <v>3540.066231019784</v>
      </c>
      <c r="U40" s="478">
        <f ca="1">S40*Données!$F$36</f>
        <v>930.58124505587421</v>
      </c>
      <c r="V40" s="478">
        <f ca="1">IF(M40&lt;=8,IF($H$10&gt;Données!$F$14,S40*Données!$F$28,0),IF($H$10&gt;Données!$F$13,MAX((S40-MEPPER2!$Q$23)*Données!$L$15,0),0))</f>
        <v>0</v>
      </c>
      <c r="W40" s="478">
        <f ca="1">IF(M40&lt;=8,IF($H$10&lt;=Données!$F$14,S40*$H$10,0),IF($H$10&lt;Données!$F$14,MAX((S40-MEPPER2!$Q$23)*$H$10,0),0))</f>
        <v>0</v>
      </c>
      <c r="X40" s="478">
        <f t="shared" ca="1" si="10"/>
        <v>8019.8410618701555</v>
      </c>
    </row>
    <row r="41" spans="1:24">
      <c r="A41" s="477">
        <f t="shared" ca="1" si="11"/>
        <v>67</v>
      </c>
      <c r="B41" s="478">
        <f t="shared" ca="1" si="12"/>
        <v>0</v>
      </c>
      <c r="C41" s="478">
        <v>0</v>
      </c>
      <c r="D41" s="478">
        <f ca="1">IFERROR(IF($H$5="",B41*'CT à Transf'!$K$28,B41*$H$5),B41*$H$5)</f>
        <v>0</v>
      </c>
      <c r="E41" s="478">
        <f t="shared" ca="1" si="13"/>
        <v>0</v>
      </c>
      <c r="F41" s="478">
        <f t="shared" ca="1" si="0"/>
        <v>0</v>
      </c>
      <c r="G41" s="478">
        <f t="shared" ca="1" si="4"/>
        <v>0</v>
      </c>
      <c r="H41" s="478">
        <f t="shared" ca="1" si="5"/>
        <v>0</v>
      </c>
      <c r="J41" s="476"/>
      <c r="K41" s="477">
        <f t="shared" si="14"/>
        <v>85</v>
      </c>
      <c r="L41" s="478">
        <f t="shared" ca="1" si="6"/>
        <v>69688.962978542681</v>
      </c>
      <c r="M41" s="634">
        <f t="shared" ca="1" si="15"/>
        <v>39</v>
      </c>
      <c r="N41" s="478">
        <f t="shared" ca="1" si="1"/>
        <v>2090.6688893562805</v>
      </c>
      <c r="O41" s="493">
        <f t="shared" ca="1" si="7"/>
        <v>44216.290602512803</v>
      </c>
      <c r="P41" s="493">
        <f t="shared" ca="1" si="8"/>
        <v>27563.34126538612</v>
      </c>
      <c r="Q41" s="478">
        <f t="shared" ca="1" si="2"/>
        <v>71779.631867898919</v>
      </c>
      <c r="R41" s="504">
        <f ca="1">IF(MEPPER2!$H$15="Protection cellule familiale",0,IF(K41=($C$6+($O$7-$C$6)-1),Q41,IF(Q41&lt;IF(($O$7-$C$6)=0,0,-PMT($O$5,($O$7-$C$6),$H$13)),Q41,IF(($O$7-$C$6)=0,0,-PMT($O$5,($O$7-$C$6),$H$13)))))</f>
        <v>8950.4223069260297</v>
      </c>
      <c r="S41" s="478">
        <f t="shared" ca="1" si="3"/>
        <v>5513.4648010815799</v>
      </c>
      <c r="T41" s="478">
        <f t="shared" ca="1" si="9"/>
        <v>3436.9575058444498</v>
      </c>
      <c r="U41" s="478">
        <f ca="1">S41*Données!$F$36</f>
        <v>948.31594578603165</v>
      </c>
      <c r="V41" s="478">
        <f ca="1">IF(M41&lt;=8,IF($H$10&gt;Données!$F$14,S41*Données!$F$28,0),IF($H$10&gt;Données!$F$13,MAX((S41-MEPPER2!$Q$23)*Données!$L$15,0),0))</f>
        <v>0</v>
      </c>
      <c r="W41" s="478">
        <f ca="1">IF(M41&lt;=8,IF($H$10&lt;=Données!$F$14,S41*$H$10,0),IF($H$10&lt;Données!$F$14,MAX((S41-MEPPER2!$Q$23)*$H$10,0),0))</f>
        <v>0</v>
      </c>
      <c r="X41" s="478">
        <f t="shared" ca="1" si="10"/>
        <v>8002.1063611399977</v>
      </c>
    </row>
    <row r="42" spans="1:24">
      <c r="A42" s="477">
        <f t="shared" ca="1" si="11"/>
        <v>68</v>
      </c>
      <c r="B42" s="478">
        <f t="shared" ca="1" si="12"/>
        <v>0</v>
      </c>
      <c r="C42" s="478">
        <v>0</v>
      </c>
      <c r="D42" s="478">
        <f ca="1">IFERROR(IF($H$5="",B42*'CT à Transf'!$K$28,B42*$H$5),B42*$H$5)</f>
        <v>0</v>
      </c>
      <c r="E42" s="478">
        <f t="shared" ca="1" si="13"/>
        <v>0</v>
      </c>
      <c r="F42" s="478">
        <f t="shared" ca="1" si="0"/>
        <v>0</v>
      </c>
      <c r="G42" s="478">
        <f t="shared" ca="1" si="4"/>
        <v>0</v>
      </c>
      <c r="H42" s="478">
        <f t="shared" ca="1" si="5"/>
        <v>0</v>
      </c>
      <c r="J42" s="476"/>
      <c r="K42" s="477">
        <f t="shared" si="14"/>
        <v>86</v>
      </c>
      <c r="L42" s="478">
        <f t="shared" ca="1" si="6"/>
        <v>62829.209560972929</v>
      </c>
      <c r="M42" s="634">
        <f t="shared" ca="1" si="15"/>
        <v>40</v>
      </c>
      <c r="N42" s="478">
        <f t="shared" ca="1" si="1"/>
        <v>1884.8762868291878</v>
      </c>
      <c r="O42" s="493">
        <f t="shared" ca="1" si="7"/>
        <v>40587.702088260412</v>
      </c>
      <c r="P42" s="493">
        <f t="shared" ca="1" si="8"/>
        <v>24126.38375954167</v>
      </c>
      <c r="Q42" s="478">
        <f t="shared" ca="1" si="2"/>
        <v>64714.085847802082</v>
      </c>
      <c r="R42" s="504">
        <f ca="1">IF(MEPPER2!$H$15="Protection cellule familiale",0,IF(K42=($C$6+($O$7-$C$6)-1),Q42,IF(Q42&lt;IF(($O$7-$C$6)=0,0,-PMT($O$5,($O$7-$C$6),$H$13)),Q42,IF(($O$7-$C$6)=0,0,-PMT($O$5,($O$7-$C$6),$H$13)))))</f>
        <v>8950.4223069260297</v>
      </c>
      <c r="S42" s="478">
        <f t="shared" ca="1" si="3"/>
        <v>5613.5703595042341</v>
      </c>
      <c r="T42" s="478">
        <f t="shared" ca="1" si="9"/>
        <v>3336.8519474217956</v>
      </c>
      <c r="U42" s="478">
        <f ca="1">S42*Données!$F$36</f>
        <v>965.53410183472818</v>
      </c>
      <c r="V42" s="478">
        <f ca="1">IF(M42&lt;=8,IF($H$10&gt;Données!$F$14,S42*Données!$F$28,0),IF($H$10&gt;Données!$F$13,MAX((S42-MEPPER2!$Q$23)*Données!$L$15,0),0))</f>
        <v>0</v>
      </c>
      <c r="W42" s="478">
        <f ca="1">IF(M42&lt;=8,IF($H$10&lt;=Données!$F$14,S42*$H$10,0),IF($H$10&lt;Données!$F$14,MAX((S42-MEPPER2!$Q$23)*$H$10,0),0))</f>
        <v>0</v>
      </c>
      <c r="X42" s="478">
        <f t="shared" ca="1" si="10"/>
        <v>7984.8882050913016</v>
      </c>
    </row>
    <row r="43" spans="1:24">
      <c r="A43" s="477">
        <f t="shared" ca="1" si="11"/>
        <v>69</v>
      </c>
      <c r="B43" s="478">
        <f t="shared" ca="1" si="12"/>
        <v>0</v>
      </c>
      <c r="C43" s="478">
        <v>0</v>
      </c>
      <c r="D43" s="478">
        <f ca="1">IFERROR(IF($H$5="",B43*'CT à Transf'!$K$28,B43*$H$5),B43*$H$5)</f>
        <v>0</v>
      </c>
      <c r="E43" s="478">
        <f t="shared" ca="1" si="13"/>
        <v>0</v>
      </c>
      <c r="F43" s="478">
        <f t="shared" ca="1" si="0"/>
        <v>0</v>
      </c>
      <c r="G43" s="478">
        <f t="shared" ca="1" si="4"/>
        <v>0</v>
      </c>
      <c r="H43" s="478">
        <f t="shared" ca="1" si="5"/>
        <v>0</v>
      </c>
      <c r="J43" s="476"/>
      <c r="K43" s="477">
        <f t="shared" si="14"/>
        <v>87</v>
      </c>
      <c r="L43" s="478">
        <f t="shared" ca="1" si="6"/>
        <v>55763.663540876092</v>
      </c>
      <c r="M43" s="634">
        <f t="shared" ca="1" si="15"/>
        <v>41</v>
      </c>
      <c r="N43" s="478">
        <f t="shared" ca="1" si="1"/>
        <v>1672.9099062262826</v>
      </c>
      <c r="O43" s="493">
        <f t="shared" ca="1" si="7"/>
        <v>36647.041634982459</v>
      </c>
      <c r="P43" s="493">
        <f t="shared" ca="1" si="8"/>
        <v>20789.531812119872</v>
      </c>
      <c r="Q43" s="478">
        <f t="shared" ca="1" si="2"/>
        <v>57436.573447102332</v>
      </c>
      <c r="R43" s="504">
        <f ca="1">IF(MEPPER2!$H$15="Protection cellule familiale",0,IF(K43=($C$6+($O$7-$C$6)-1),Q43,IF(Q43&lt;IF(($O$7-$C$6)=0,0,-PMT($O$5,($O$7-$C$6),$H$13)),Q43,IF(($O$7-$C$6)=0,0,-PMT($O$5,($O$7-$C$6),$H$13)))))</f>
        <v>8950.4223069260297</v>
      </c>
      <c r="S43" s="478">
        <f t="shared" ca="1" si="3"/>
        <v>5710.7602220504996</v>
      </c>
      <c r="T43" s="478">
        <f t="shared" ca="1" si="9"/>
        <v>3239.6620848755301</v>
      </c>
      <c r="U43" s="478">
        <f ca="1">S43*Données!$F$36</f>
        <v>982.25075819268579</v>
      </c>
      <c r="V43" s="478">
        <f ca="1">IF(M43&lt;=8,IF($H$10&gt;Données!$F$14,S43*Données!$F$28,0),IF($H$10&gt;Données!$F$13,MAX((S43-MEPPER2!$Q$23)*Données!$L$15,0),0))</f>
        <v>0</v>
      </c>
      <c r="W43" s="478">
        <f ca="1">IF(M43&lt;=8,IF($H$10&lt;=Données!$F$14,S43*$H$10,0),IF($H$10&lt;Données!$F$14,MAX((S43-MEPPER2!$Q$23)*$H$10,0),0))</f>
        <v>0</v>
      </c>
      <c r="X43" s="478">
        <f t="shared" ca="1" si="10"/>
        <v>7968.171548733344</v>
      </c>
    </row>
    <row r="44" spans="1:24">
      <c r="A44" s="477">
        <f t="shared" ca="1" si="11"/>
        <v>70</v>
      </c>
      <c r="B44" s="478">
        <f t="shared" ca="1" si="12"/>
        <v>0</v>
      </c>
      <c r="C44" s="478">
        <v>0</v>
      </c>
      <c r="D44" s="478">
        <f ca="1">IFERROR(IF($H$5="",B44*'CT à Transf'!$K$28,B44*$H$5),B44*$H$5)</f>
        <v>0</v>
      </c>
      <c r="E44" s="478">
        <f t="shared" ca="1" si="13"/>
        <v>0</v>
      </c>
      <c r="F44" s="478">
        <f t="shared" ca="1" si="0"/>
        <v>0</v>
      </c>
      <c r="G44" s="478">
        <f t="shared" ca="1" si="4"/>
        <v>0</v>
      </c>
      <c r="H44" s="478">
        <f t="shared" ca="1" si="5"/>
        <v>0</v>
      </c>
      <c r="J44" s="476"/>
      <c r="K44" s="477">
        <f t="shared" si="14"/>
        <v>88</v>
      </c>
      <c r="L44" s="478">
        <f t="shared" ca="1" si="6"/>
        <v>48486.151140176342</v>
      </c>
      <c r="M44" s="634">
        <f t="shared" ca="1" si="15"/>
        <v>42</v>
      </c>
      <c r="N44" s="478">
        <f t="shared" ca="1" si="1"/>
        <v>1454.5845342052903</v>
      </c>
      <c r="O44" s="493">
        <f t="shared" ca="1" si="7"/>
        <v>32390.865947137248</v>
      </c>
      <c r="P44" s="493">
        <f t="shared" ca="1" si="8"/>
        <v>17549.869727244342</v>
      </c>
      <c r="Q44" s="478">
        <f t="shared" ca="1" si="2"/>
        <v>49940.735674381591</v>
      </c>
      <c r="R44" s="504">
        <f ca="1">IF(MEPPER2!$H$15="Protection cellule familiale",0,IF(K44=($C$6+($O$7-$C$6)-1),Q44,IF(Q44&lt;IF(($O$7-$C$6)=0,0,-PMT($O$5,($O$7-$C$6),$H$13)),Q44,IF(($O$7-$C$6)=0,0,-PMT($O$5,($O$7-$C$6),$H$13)))))</f>
        <v>8950.4223069260297</v>
      </c>
      <c r="S44" s="478">
        <f t="shared" ca="1" si="3"/>
        <v>5805.1193119012432</v>
      </c>
      <c r="T44" s="478">
        <f t="shared" ca="1" si="9"/>
        <v>3145.3029950247865</v>
      </c>
      <c r="U44" s="478">
        <f ca="1">S44*Données!$F$36</f>
        <v>998.4805216470138</v>
      </c>
      <c r="V44" s="478">
        <f ca="1">IF(M44&lt;=8,IF($H$10&gt;Données!$F$14,S44*Données!$F$28,0),IF($H$10&gt;Données!$F$13,MAX((S44-MEPPER2!$Q$23)*Données!$L$15,0),0))</f>
        <v>0</v>
      </c>
      <c r="W44" s="478">
        <f ca="1">IF(M44&lt;=8,IF($H$10&lt;=Données!$F$14,S44*$H$10,0),IF($H$10&lt;Données!$F$14,MAX((S44-MEPPER2!$Q$23)*$H$10,0),0))</f>
        <v>0</v>
      </c>
      <c r="X44" s="478">
        <f t="shared" ca="1" si="10"/>
        <v>7951.9417852790157</v>
      </c>
    </row>
    <row r="45" spans="1:24">
      <c r="A45" s="477">
        <f t="shared" ca="1" si="11"/>
        <v>71</v>
      </c>
      <c r="B45" s="478">
        <f t="shared" ca="1" si="12"/>
        <v>0</v>
      </c>
      <c r="C45" s="478">
        <v>0</v>
      </c>
      <c r="D45" s="478">
        <f ca="1">IFERROR(IF($H$5="",B45*'CT à Transf'!$K$28,B45*$H$5),B45*$H$5)</f>
        <v>0</v>
      </c>
      <c r="E45" s="478">
        <f t="shared" ca="1" si="13"/>
        <v>0</v>
      </c>
      <c r="F45" s="478">
        <f t="shared" ca="1" si="0"/>
        <v>0</v>
      </c>
      <c r="G45" s="478">
        <f t="shared" ca="1" si="4"/>
        <v>0</v>
      </c>
      <c r="H45" s="478">
        <f t="shared" ca="1" si="5"/>
        <v>0</v>
      </c>
      <c r="J45" s="476"/>
      <c r="K45" s="477">
        <f t="shared" si="14"/>
        <v>89</v>
      </c>
      <c r="L45" s="478">
        <f t="shared" ca="1" si="6"/>
        <v>40990.313367455601</v>
      </c>
      <c r="M45" s="634">
        <f t="shared" ca="1" si="15"/>
        <v>43</v>
      </c>
      <c r="N45" s="478">
        <f t="shared" ca="1" si="1"/>
        <v>1229.7094010236681</v>
      </c>
      <c r="O45" s="493">
        <f t="shared" ca="1" si="7"/>
        <v>27815.456036259675</v>
      </c>
      <c r="P45" s="493">
        <f t="shared" ca="1" si="8"/>
        <v>14404.566732219555</v>
      </c>
      <c r="Q45" s="478">
        <f t="shared" ca="1" si="2"/>
        <v>42220.022768479233</v>
      </c>
      <c r="R45" s="504">
        <f ca="1">IF(MEPPER2!$H$15="Protection cellule familiale",0,IF(K45=($C$6+($O$7-$C$6)-1),Q45,IF(Q45&lt;IF(($O$7-$C$6)=0,0,-PMT($O$5,($O$7-$C$6),$H$13)),Q45,IF(($O$7-$C$6)=0,0,-PMT($O$5,($O$7-$C$6),$H$13)))))</f>
        <v>8950.4223069260297</v>
      </c>
      <c r="S45" s="478">
        <f t="shared" ca="1" si="3"/>
        <v>5896.7300787466265</v>
      </c>
      <c r="T45" s="478">
        <f t="shared" ca="1" si="9"/>
        <v>3053.6922281794032</v>
      </c>
      <c r="U45" s="478">
        <f ca="1">S45*Données!$F$36</f>
        <v>1014.2375735444197</v>
      </c>
      <c r="V45" s="478">
        <f ca="1">IF(M45&lt;=8,IF($H$10&gt;Données!$F$14,S45*Données!$F$28,0),IF($H$10&gt;Données!$F$13,MAX((S45-MEPPER2!$Q$23)*Données!$L$15,0),0))</f>
        <v>0</v>
      </c>
      <c r="W45" s="478">
        <f ca="1">IF(M45&lt;=8,IF($H$10&lt;=Données!$F$14,S45*$H$10,0),IF($H$10&lt;Données!$F$14,MAX((S45-MEPPER2!$Q$23)*$H$10,0),0))</f>
        <v>0</v>
      </c>
      <c r="X45" s="478">
        <f t="shared" ca="1" si="10"/>
        <v>7936.1847333816104</v>
      </c>
    </row>
    <row r="46" spans="1:24">
      <c r="A46" s="477">
        <f t="shared" ca="1" si="11"/>
        <v>72</v>
      </c>
      <c r="B46" s="478">
        <f t="shared" ca="1" si="12"/>
        <v>0</v>
      </c>
      <c r="C46" s="478">
        <v>0</v>
      </c>
      <c r="D46" s="478">
        <f ca="1">IFERROR(IF($H$5="",B46*'CT à Transf'!$K$28,B46*$H$5),B46*$H$5)</f>
        <v>0</v>
      </c>
      <c r="E46" s="478">
        <f t="shared" ca="1" si="13"/>
        <v>0</v>
      </c>
      <c r="F46" s="478">
        <f t="shared" ca="1" si="0"/>
        <v>0</v>
      </c>
      <c r="G46" s="478">
        <f t="shared" ca="1" si="4"/>
        <v>0</v>
      </c>
      <c r="H46" s="478">
        <f t="shared" ca="1" si="5"/>
        <v>0</v>
      </c>
      <c r="J46" s="476"/>
      <c r="K46" s="477">
        <f t="shared" si="14"/>
        <v>90</v>
      </c>
      <c r="L46" s="478">
        <f t="shared" ca="1" si="6"/>
        <v>33269.600461553244</v>
      </c>
      <c r="M46" s="634">
        <f t="shared" ca="1" si="15"/>
        <v>44</v>
      </c>
      <c r="N46" s="478">
        <f t="shared" si="1"/>
        <v>0</v>
      </c>
      <c r="O46" s="493">
        <f t="shared" si="7"/>
        <v>0</v>
      </c>
      <c r="P46" s="493">
        <f t="shared" si="8"/>
        <v>0</v>
      </c>
      <c r="Q46" s="478">
        <f t="shared" si="2"/>
        <v>0</v>
      </c>
      <c r="R46" s="504">
        <f ca="1">IF(MEPPER2!$H$15="Protection cellule familiale",0,IF(K46=($C$6+($O$7-$C$6)-1),Q46,IF(Q46&lt;IF(($O$7-$C$6)=0,0,-PMT($O$5,($O$7-$C$6),$H$13)),Q46,IF(($O$7-$C$6)=0,0,-PMT($O$5,($O$7-$C$6),$H$13)))))</f>
        <v>0</v>
      </c>
      <c r="S46" s="478">
        <f t="shared" si="3"/>
        <v>0</v>
      </c>
      <c r="T46" s="478">
        <f t="shared" ca="1" si="9"/>
        <v>0</v>
      </c>
      <c r="U46" s="478">
        <f>S46*Données!$F$36</f>
        <v>0</v>
      </c>
      <c r="V46" s="478">
        <f ca="1">IF(M46&lt;=8,IF($H$10&gt;Données!$F$14,S46*Données!$F$28,0),IF($H$10&gt;Données!$F$13,MAX((S46-MEPPER2!$Q$23)*Données!$L$15,0),0))</f>
        <v>0</v>
      </c>
      <c r="W46" s="478">
        <f ca="1">IF(M46&lt;=8,IF($H$10&lt;=Données!$F$14,S46*$H$10,0),IF($H$10&lt;Données!$F$14,MAX((S46-MEPPER2!$Q$23)*$H$10,0),0))</f>
        <v>0</v>
      </c>
      <c r="X46" s="478">
        <f t="shared" si="10"/>
        <v>0</v>
      </c>
    </row>
    <row r="47" spans="1:24">
      <c r="A47" s="477">
        <f t="shared" ca="1" si="11"/>
        <v>73</v>
      </c>
      <c r="B47" s="478">
        <f t="shared" ca="1" si="12"/>
        <v>0</v>
      </c>
      <c r="C47" s="478">
        <v>0</v>
      </c>
      <c r="D47" s="478">
        <f ca="1">IFERROR(IF($H$5="",B47*'CT à Transf'!$K$28,B47*$H$5),B47*$H$5)</f>
        <v>0</v>
      </c>
      <c r="E47" s="478">
        <f t="shared" ca="1" si="13"/>
        <v>0</v>
      </c>
      <c r="F47" s="478">
        <f t="shared" ca="1" si="0"/>
        <v>0</v>
      </c>
      <c r="G47" s="478">
        <f t="shared" ca="1" si="4"/>
        <v>0</v>
      </c>
      <c r="H47" s="478">
        <f t="shared" ca="1" si="5"/>
        <v>0</v>
      </c>
      <c r="J47" s="476"/>
      <c r="K47" s="477">
        <f t="shared" si="14"/>
        <v>91</v>
      </c>
      <c r="L47" s="478">
        <f t="shared" si="6"/>
        <v>0</v>
      </c>
      <c r="M47" s="634">
        <f t="shared" si="15"/>
        <v>0</v>
      </c>
      <c r="N47" s="478">
        <f t="shared" si="1"/>
        <v>0</v>
      </c>
      <c r="O47" s="493">
        <f t="shared" si="7"/>
        <v>0</v>
      </c>
      <c r="P47" s="493">
        <f t="shared" si="8"/>
        <v>0</v>
      </c>
      <c r="Q47" s="478">
        <f t="shared" si="2"/>
        <v>0</v>
      </c>
      <c r="R47" s="504">
        <f ca="1">IF(MEPPER2!$H$15="Protection cellule familiale",0,IF(K47=($C$6+($O$7-$C$6)-1),Q47,IF(Q47&lt;IF(($O$7-$C$6)=0,0,-PMT($O$5,($O$7-$C$6),$H$13)),Q47,IF(($O$7-$C$6)=0,0,-PMT($O$5,($O$7-$C$6),$H$13)))))</f>
        <v>0</v>
      </c>
      <c r="S47" s="478">
        <f t="shared" si="3"/>
        <v>0</v>
      </c>
      <c r="T47" s="478">
        <f t="shared" ca="1" si="9"/>
        <v>0</v>
      </c>
      <c r="U47" s="478">
        <f>S47*Données!$F$36</f>
        <v>0</v>
      </c>
      <c r="V47" s="478">
        <f>IF(M47&lt;=8,IF($H$10&gt;Données!$F$14,S47*Données!$F$28,0),IF($H$10&gt;Données!$F$13,MAX((S47-MEPPER2!$Q$23)*Données!$L$15,0),0))</f>
        <v>0</v>
      </c>
      <c r="W47" s="478">
        <f>IF(M47&lt;=8,IF($H$10&lt;=Données!$F$14,S47*$H$10,0),IF($H$10&lt;Données!$F$14,MAX((S47-MEPPER2!$Q$23)*$H$10,0),0))</f>
        <v>0</v>
      </c>
      <c r="X47" s="478">
        <f t="shared" si="10"/>
        <v>0</v>
      </c>
    </row>
    <row r="48" spans="1:24">
      <c r="A48" s="477">
        <f t="shared" ca="1" si="11"/>
        <v>74</v>
      </c>
      <c r="B48" s="478">
        <f t="shared" ca="1" si="12"/>
        <v>0</v>
      </c>
      <c r="C48" s="478">
        <v>0</v>
      </c>
      <c r="D48" s="478">
        <f ca="1">IFERROR(IF($H$5="",B48*'CT à Transf'!$K$28,B48*$H$5),B48*$H$5)</f>
        <v>0</v>
      </c>
      <c r="E48" s="478">
        <f t="shared" ca="1" si="13"/>
        <v>0</v>
      </c>
      <c r="F48" s="478">
        <f t="shared" ca="1" si="0"/>
        <v>0</v>
      </c>
      <c r="G48" s="478">
        <f t="shared" ca="1" si="4"/>
        <v>0</v>
      </c>
      <c r="H48" s="478">
        <f t="shared" ca="1" si="5"/>
        <v>0</v>
      </c>
      <c r="J48" s="476"/>
      <c r="K48" s="477">
        <f t="shared" si="14"/>
        <v>92</v>
      </c>
      <c r="L48" s="478">
        <f t="shared" si="6"/>
        <v>0</v>
      </c>
      <c r="M48" s="634">
        <f t="shared" si="15"/>
        <v>0</v>
      </c>
      <c r="N48" s="478">
        <f t="shared" si="1"/>
        <v>0</v>
      </c>
      <c r="O48" s="493">
        <f t="shared" si="7"/>
        <v>0</v>
      </c>
      <c r="P48" s="493">
        <f t="shared" si="8"/>
        <v>0</v>
      </c>
      <c r="Q48" s="478">
        <f t="shared" si="2"/>
        <v>0</v>
      </c>
      <c r="R48" s="504">
        <f ca="1">IF(MEPPER2!$H$15="Protection cellule familiale",0,IF(K48=($C$6+($O$7-$C$6)-1),Q48,IF(Q48&lt;IF(($O$7-$C$6)=0,0,-PMT($O$5,($O$7-$C$6),$H$13)),Q48,IF(($O$7-$C$6)=0,0,-PMT($O$5,($O$7-$C$6),$H$13)))))</f>
        <v>0</v>
      </c>
      <c r="S48" s="478">
        <f t="shared" si="3"/>
        <v>0</v>
      </c>
      <c r="T48" s="478">
        <f t="shared" ca="1" si="9"/>
        <v>0</v>
      </c>
      <c r="U48" s="478">
        <f>S48*Données!$F$36</f>
        <v>0</v>
      </c>
      <c r="V48" s="478">
        <f>IF(M48&lt;=8,IF($H$10&gt;Données!$F$14,S48*Données!$F$28,0),IF($H$10&gt;Données!$F$13,MAX((S48-MEPPER2!$Q$23)*Données!$L$15,0),0))</f>
        <v>0</v>
      </c>
      <c r="W48" s="478">
        <f>IF(M48&lt;=8,IF($H$10&lt;=Données!$F$14,S48*$H$10,0),IF($H$10&lt;Données!$F$14,MAX((S48-MEPPER2!$Q$23)*$H$10,0),0))</f>
        <v>0</v>
      </c>
      <c r="X48" s="478">
        <f t="shared" si="10"/>
        <v>0</v>
      </c>
    </row>
    <row r="49" spans="1:24">
      <c r="A49" s="477">
        <f t="shared" ca="1" si="11"/>
        <v>75</v>
      </c>
      <c r="B49" s="478">
        <f t="shared" ca="1" si="12"/>
        <v>0</v>
      </c>
      <c r="C49" s="478">
        <v>0</v>
      </c>
      <c r="D49" s="478">
        <f ca="1">IFERROR(IF($H$5="",B49*'CT à Transf'!$K$28,B49*$H$5),B49*$H$5)</f>
        <v>0</v>
      </c>
      <c r="E49" s="478">
        <f t="shared" ca="1" si="13"/>
        <v>0</v>
      </c>
      <c r="F49" s="478">
        <f t="shared" ca="1" si="0"/>
        <v>0</v>
      </c>
      <c r="G49" s="478">
        <f t="shared" ca="1" si="4"/>
        <v>0</v>
      </c>
      <c r="H49" s="478">
        <f t="shared" ca="1" si="5"/>
        <v>0</v>
      </c>
      <c r="J49" s="476"/>
      <c r="K49" s="477">
        <f t="shared" si="14"/>
        <v>93</v>
      </c>
      <c r="L49" s="478">
        <f t="shared" si="6"/>
        <v>0</v>
      </c>
      <c r="M49" s="634">
        <f t="shared" si="15"/>
        <v>0</v>
      </c>
      <c r="N49" s="478">
        <f t="shared" si="1"/>
        <v>0</v>
      </c>
      <c r="O49" s="493">
        <f>IF(AND(N49=0,$O$9&lt;K49),O48,IF(K49&gt;=$O$9,0,IF((O48-S48+N49)&lt;1,0,O48-S48+N49)))</f>
        <v>0</v>
      </c>
      <c r="P49" s="493">
        <f t="shared" si="8"/>
        <v>0</v>
      </c>
      <c r="Q49" s="478">
        <f t="shared" si="2"/>
        <v>0</v>
      </c>
      <c r="R49" s="504">
        <f>IF(MEPPER2!$H$15="Protection cellule familiale",0,IF(K49=($C$6+($O$7-$C$6)-1),Q49,IF(Q49&lt;IF(($O$7-$C$6)=0,0,-PMT($O$5,($O$7-$C$6),$H$13)),Q49,IF(($O$7-$C$6)=0,0,-PMT($O$5,($O$7-$C$6),$H$13)))))</f>
        <v>0</v>
      </c>
      <c r="S49" s="478">
        <f t="shared" si="3"/>
        <v>0</v>
      </c>
      <c r="T49" s="478">
        <f t="shared" si="9"/>
        <v>0</v>
      </c>
      <c r="U49" s="478">
        <f>S49*Données!$F$36</f>
        <v>0</v>
      </c>
      <c r="V49" s="478">
        <f>IF(M49&lt;=8,IF($H$10&gt;Données!$F$14,S49*Données!$F$28,0),IF($H$10&gt;Données!$F$13,MAX((S49-MEPPER2!$Q$23)*Données!$L$15,0),0))</f>
        <v>0</v>
      </c>
      <c r="W49" s="478">
        <f>IF(M49&lt;=8,IF($H$10&lt;=Données!$F$14,S49*$H$10,0),IF($H$10&lt;Données!$F$14,MAX((S49-MEPPER2!$Q$23)*$H$10,0),0))</f>
        <v>0</v>
      </c>
      <c r="X49" s="478">
        <f t="shared" si="10"/>
        <v>0</v>
      </c>
    </row>
    <row r="50" spans="1:24">
      <c r="A50" s="477">
        <f t="shared" ca="1" si="11"/>
        <v>76</v>
      </c>
      <c r="B50" s="478">
        <f t="shared" ca="1" si="12"/>
        <v>0</v>
      </c>
      <c r="C50" s="478">
        <v>0</v>
      </c>
      <c r="D50" s="478">
        <f ca="1">IFERROR(IF($H$5="",B50*'CT à Transf'!$K$28,B50*$H$5),B50*$H$5)</f>
        <v>0</v>
      </c>
      <c r="E50" s="478">
        <f t="shared" ca="1" si="13"/>
        <v>0</v>
      </c>
      <c r="F50" s="478">
        <f t="shared" ca="1" si="0"/>
        <v>0</v>
      </c>
      <c r="G50" s="478">
        <f t="shared" ca="1" si="4"/>
        <v>0</v>
      </c>
      <c r="H50" s="478">
        <f t="shared" ca="1" si="5"/>
        <v>0</v>
      </c>
      <c r="J50" s="476"/>
      <c r="K50" s="477">
        <f t="shared" si="14"/>
        <v>94</v>
      </c>
      <c r="L50" s="478">
        <f t="shared" si="6"/>
        <v>0</v>
      </c>
      <c r="M50" s="634">
        <f t="shared" si="15"/>
        <v>0</v>
      </c>
      <c r="N50" s="478">
        <f t="shared" si="1"/>
        <v>0</v>
      </c>
      <c r="O50" s="493">
        <f t="shared" ref="O50:O108" si="16">IF(AND(N50=0,$O$9&lt;K50),O49,IF(K50&gt;=$O$9,0,IF((O49-S49+N50)&lt;1,0,O49-S49+N50)))</f>
        <v>0</v>
      </c>
      <c r="P50" s="493">
        <f t="shared" si="8"/>
        <v>0</v>
      </c>
      <c r="Q50" s="478">
        <f t="shared" si="2"/>
        <v>0</v>
      </c>
      <c r="R50" s="504">
        <f ca="1">IF(MEPPER2!$H$15="Protection cellule familiale",0,IF(K50=($C$6+($O$7-$C$6)-1),Q50,IF(Q50&lt;IF(($O$7-$C$6)=0,0,-PMT($O$5,($O$7-$C$6),$H$13)),Q50,IF(($O$7-$C$6)=0,0,-PMT($O$5,($O$7-$C$6),$H$13)))))</f>
        <v>0</v>
      </c>
      <c r="S50" s="478">
        <f t="shared" si="3"/>
        <v>0</v>
      </c>
      <c r="T50" s="478">
        <f t="shared" ca="1" si="9"/>
        <v>0</v>
      </c>
      <c r="U50" s="478">
        <f>S50*Données!$F$36</f>
        <v>0</v>
      </c>
      <c r="V50" s="478">
        <f>IF(M50&lt;=8,IF($H$10&gt;Données!$F$14,S50*Données!$F$28,0),IF($H$10&gt;Données!$F$13,MAX((S50-MEPPER2!$Q$23)*Données!$L$15,0),0))</f>
        <v>0</v>
      </c>
      <c r="W50" s="478">
        <f>IF(M50&lt;=8,IF($H$10&lt;=Données!$F$14,S50*$H$10,0),IF($H$10&lt;Données!$F$14,MAX((S50-MEPPER2!$Q$23)*$H$10,0),0))</f>
        <v>0</v>
      </c>
      <c r="X50" s="478">
        <f t="shared" si="10"/>
        <v>0</v>
      </c>
    </row>
    <row r="51" spans="1:24">
      <c r="A51" s="477">
        <f t="shared" ca="1" si="11"/>
        <v>77</v>
      </c>
      <c r="B51" s="478">
        <f t="shared" ca="1" si="12"/>
        <v>0</v>
      </c>
      <c r="C51" s="478">
        <v>0</v>
      </c>
      <c r="D51" s="478">
        <f ca="1">IFERROR(IF($H$5="",B51*'CT à Transf'!$K$28,B51*$H$5),B51*$H$5)</f>
        <v>0</v>
      </c>
      <c r="E51" s="478">
        <f t="shared" ca="1" si="13"/>
        <v>0</v>
      </c>
      <c r="F51" s="478">
        <f t="shared" ca="1" si="0"/>
        <v>0</v>
      </c>
      <c r="G51" s="478">
        <f t="shared" ca="1" si="4"/>
        <v>0</v>
      </c>
      <c r="H51" s="478">
        <f t="shared" ca="1" si="5"/>
        <v>0</v>
      </c>
      <c r="J51" s="476"/>
      <c r="K51" s="477">
        <f t="shared" si="14"/>
        <v>95</v>
      </c>
      <c r="L51" s="478">
        <f t="shared" si="6"/>
        <v>0</v>
      </c>
      <c r="M51" s="634">
        <f t="shared" si="15"/>
        <v>0</v>
      </c>
      <c r="N51" s="478">
        <f t="shared" si="1"/>
        <v>0</v>
      </c>
      <c r="O51" s="493">
        <f t="shared" si="16"/>
        <v>0</v>
      </c>
      <c r="P51" s="493">
        <f t="shared" si="8"/>
        <v>0</v>
      </c>
      <c r="Q51" s="478">
        <f t="shared" si="2"/>
        <v>0</v>
      </c>
      <c r="R51" s="504">
        <f ca="1">IF(MEPPER2!$H$15="Protection cellule familiale",0,IF(K51=($C$6+($O$7-$C$6)-1),Q51,IF(Q51&lt;IF(($O$7-$C$6)=0,0,-PMT($O$5,($O$7-$C$6),$H$13)),Q51,IF(($O$7-$C$6)=0,0,-PMT($O$5,($O$7-$C$6),$H$13)))))</f>
        <v>0</v>
      </c>
      <c r="S51" s="478">
        <f t="shared" si="3"/>
        <v>0</v>
      </c>
      <c r="T51" s="478">
        <f t="shared" ca="1" si="9"/>
        <v>0</v>
      </c>
      <c r="U51" s="478">
        <f>S51*Données!$F$36</f>
        <v>0</v>
      </c>
      <c r="V51" s="478">
        <f>IF(M51&lt;=8,IF($H$10&gt;Données!$F$14,S51*Données!$F$28,0),IF($H$10&gt;Données!$F$13,MAX((S51-MEPPER2!$Q$23)*Données!$L$15,0),0))</f>
        <v>0</v>
      </c>
      <c r="W51" s="478">
        <f>IF(M51&lt;=8,IF($H$10&lt;=Données!$F$14,S51*$H$10,0),IF($H$10&lt;Données!$F$14,MAX((S51-MEPPER2!$Q$23)*$H$10,0),0))</f>
        <v>0</v>
      </c>
      <c r="X51" s="478">
        <f t="shared" si="10"/>
        <v>0</v>
      </c>
    </row>
    <row r="52" spans="1:24">
      <c r="A52" s="477">
        <f t="shared" ca="1" si="11"/>
        <v>78</v>
      </c>
      <c r="B52" s="478">
        <f t="shared" ca="1" si="12"/>
        <v>0</v>
      </c>
      <c r="C52" s="478">
        <v>0</v>
      </c>
      <c r="D52" s="478">
        <f ca="1">IFERROR(IF($H$5="",B52*'CT à Transf'!$K$28,B52*$H$5),B52*$H$5)</f>
        <v>0</v>
      </c>
      <c r="E52" s="478">
        <f t="shared" ca="1" si="13"/>
        <v>0</v>
      </c>
      <c r="F52" s="478">
        <f t="shared" ca="1" si="0"/>
        <v>0</v>
      </c>
      <c r="G52" s="478">
        <f t="shared" ca="1" si="4"/>
        <v>0</v>
      </c>
      <c r="H52" s="478">
        <f t="shared" ca="1" si="5"/>
        <v>0</v>
      </c>
      <c r="J52" s="476"/>
      <c r="K52" s="477">
        <f t="shared" si="14"/>
        <v>96</v>
      </c>
      <c r="L52" s="478">
        <f t="shared" si="6"/>
        <v>0</v>
      </c>
      <c r="M52" s="634">
        <f t="shared" si="15"/>
        <v>0</v>
      </c>
      <c r="N52" s="478">
        <f t="shared" ref="N52:N83" si="17">IF(K52&gt;=$O$9,0,L52*$O$5)</f>
        <v>0</v>
      </c>
      <c r="O52" s="493">
        <f t="shared" si="16"/>
        <v>0</v>
      </c>
      <c r="P52" s="493">
        <f t="shared" si="8"/>
        <v>0</v>
      </c>
      <c r="Q52" s="478">
        <f t="shared" ref="Q52:Q83" si="18">IF(K52&gt;=$O$9,0,O52+P52)</f>
        <v>0</v>
      </c>
      <c r="R52" s="504">
        <f ca="1">IF(MEPPER2!$H$15="Protection cellule familiale",0,IF(K52=($C$6+($O$7-$C$6)-1),Q52,IF(Q52&lt;IF(($O$7-$C$6)=0,0,-PMT($O$5,($O$7-$C$6),$H$13)),Q52,IF(($O$7-$C$6)=0,0,-PMT($O$5,($O$7-$C$6),$H$13)))))</f>
        <v>0</v>
      </c>
      <c r="S52" s="478">
        <f t="shared" ref="S52:S83" si="19">IF(K52&gt;=$O$9,0,IF(L52=ROUND(0,1),0,IF((O52+N52)&lt;(R52-(P52*R52/(P52+O52))),(O52+N52),R52-(P52*R52/(P52+O52)))))</f>
        <v>0</v>
      </c>
      <c r="T52" s="478">
        <f t="shared" ca="1" si="9"/>
        <v>0</v>
      </c>
      <c r="U52" s="478">
        <f>S52*Données!$F$36</f>
        <v>0</v>
      </c>
      <c r="V52" s="478">
        <f>IF(M52&lt;=8,IF($H$10&gt;Données!$F$14,S52*Données!$F$28,0),IF($H$10&gt;Données!$F$13,MAX((S52-MEPPER2!$Q$23)*Données!$L$15,0),0))</f>
        <v>0</v>
      </c>
      <c r="W52" s="478">
        <f>IF(M52&lt;=8,IF($H$10&lt;=Données!$F$14,S52*$H$10,0),IF($H$10&lt;Données!$F$14,MAX((S52-MEPPER2!$Q$23)*$H$10,0),0))</f>
        <v>0</v>
      </c>
      <c r="X52" s="478">
        <f t="shared" si="10"/>
        <v>0</v>
      </c>
    </row>
    <row r="53" spans="1:24">
      <c r="A53" s="477">
        <f t="shared" ca="1" si="11"/>
        <v>79</v>
      </c>
      <c r="B53" s="478">
        <f t="shared" ca="1" si="12"/>
        <v>0</v>
      </c>
      <c r="C53" s="478">
        <v>0</v>
      </c>
      <c r="D53" s="478">
        <f ca="1">IFERROR(IF($H$5="",B53*'CT à Transf'!$K$28,B53*$H$5),B53*$H$5)</f>
        <v>0</v>
      </c>
      <c r="E53" s="478">
        <f t="shared" ca="1" si="13"/>
        <v>0</v>
      </c>
      <c r="F53" s="478">
        <f t="shared" ca="1" si="0"/>
        <v>0</v>
      </c>
      <c r="G53" s="478">
        <f t="shared" ca="1" si="4"/>
        <v>0</v>
      </c>
      <c r="H53" s="478">
        <f t="shared" ca="1" si="5"/>
        <v>0</v>
      </c>
      <c r="J53" s="476"/>
      <c r="K53" s="477">
        <f t="shared" si="14"/>
        <v>97</v>
      </c>
      <c r="L53" s="478">
        <f t="shared" ref="L53:L84" si="20">IF(K53&lt;=$O$9,IF((L52+N52)&lt;=IF(($O$7-$C$6)=0,0,-PMT($O$5,($O$7-$C$6),$H$13))+1,0,L52+N52-R52),0)</f>
        <v>0</v>
      </c>
      <c r="M53" s="634">
        <f t="shared" si="15"/>
        <v>0</v>
      </c>
      <c r="N53" s="478">
        <f t="shared" si="17"/>
        <v>0</v>
      </c>
      <c r="O53" s="493">
        <f t="shared" si="16"/>
        <v>0</v>
      </c>
      <c r="P53" s="493">
        <f t="shared" ref="P53:P84" si="21">IF(K53&gt;=$O$9,0,IF((P52-T52)&lt;1,0,P52-T52))</f>
        <v>0</v>
      </c>
      <c r="Q53" s="478">
        <f t="shared" si="18"/>
        <v>0</v>
      </c>
      <c r="R53" s="504">
        <f ca="1">IF(MEPPER2!$H$15="Protection cellule familiale",0,IF(K53=($C$6+($O$7-$C$6)-1),Q53,IF(Q53&lt;IF(($O$7-$C$6)=0,0,-PMT($O$5,($O$7-$C$6),$H$13)),Q53,IF(($O$7-$C$6)=0,0,-PMT($O$5,($O$7-$C$6),$H$13)))))</f>
        <v>0</v>
      </c>
      <c r="S53" s="478">
        <f t="shared" si="19"/>
        <v>0</v>
      </c>
      <c r="T53" s="478">
        <f t="shared" ca="1" si="9"/>
        <v>0</v>
      </c>
      <c r="U53" s="478">
        <f>S53*Données!$F$36</f>
        <v>0</v>
      </c>
      <c r="V53" s="478">
        <f>IF(M53&lt;=8,IF($H$10&gt;Données!$F$14,S53*Données!$F$28,0),IF($H$10&gt;Données!$F$13,MAX((S53-MEPPER2!$Q$23)*Données!$L$15,0),0))</f>
        <v>0</v>
      </c>
      <c r="W53" s="478">
        <f>IF(M53&lt;=8,IF($H$10&lt;=Données!$F$14,S53*$H$10,0),IF($H$10&lt;Données!$F$14,MAX((S53-MEPPER2!$Q$23)*$H$10,0),0))</f>
        <v>0</v>
      </c>
      <c r="X53" s="478">
        <f t="shared" ref="X53:X84" si="22">IF(K53&lt;$O$9,IF(R53&gt;0,R53-U53-V53-W53,0),0)</f>
        <v>0</v>
      </c>
    </row>
    <row r="54" spans="1:24">
      <c r="A54" s="477">
        <f t="shared" ca="1" si="11"/>
        <v>80</v>
      </c>
      <c r="B54" s="478">
        <f t="shared" ca="1" si="12"/>
        <v>0</v>
      </c>
      <c r="C54" s="478">
        <v>0</v>
      </c>
      <c r="D54" s="478">
        <f ca="1">IFERROR(IF($H$5="",B54*'CT à Transf'!$K$28,B54*$H$5),B54*$H$5)</f>
        <v>0</v>
      </c>
      <c r="E54" s="478">
        <f t="shared" ca="1" si="13"/>
        <v>0</v>
      </c>
      <c r="F54" s="478">
        <f t="shared" ca="1" si="0"/>
        <v>0</v>
      </c>
      <c r="G54" s="478">
        <f t="shared" ca="1" si="4"/>
        <v>0</v>
      </c>
      <c r="H54" s="478">
        <f t="shared" ca="1" si="5"/>
        <v>0</v>
      </c>
      <c r="J54" s="476"/>
      <c r="K54" s="477">
        <f t="shared" si="14"/>
        <v>98</v>
      </c>
      <c r="L54" s="478">
        <f t="shared" si="20"/>
        <v>0</v>
      </c>
      <c r="M54" s="634">
        <f t="shared" si="15"/>
        <v>0</v>
      </c>
      <c r="N54" s="478">
        <f t="shared" si="17"/>
        <v>0</v>
      </c>
      <c r="O54" s="493">
        <f t="shared" si="16"/>
        <v>0</v>
      </c>
      <c r="P54" s="493">
        <f t="shared" si="21"/>
        <v>0</v>
      </c>
      <c r="Q54" s="478">
        <f t="shared" si="18"/>
        <v>0</v>
      </c>
      <c r="R54" s="504">
        <f ca="1">IF(MEPPER2!$H$15="Protection cellule familiale",0,IF(K54=($C$6+($O$7-$C$6)-1),Q54,IF(Q54&lt;IF(($O$7-$C$6)=0,0,-PMT($O$5,($O$7-$C$6),$H$13)),Q54,IF(($O$7-$C$6)=0,0,-PMT($O$5,($O$7-$C$6),$H$13)))))</f>
        <v>0</v>
      </c>
      <c r="S54" s="478">
        <f t="shared" si="19"/>
        <v>0</v>
      </c>
      <c r="T54" s="478">
        <f t="shared" ca="1" si="9"/>
        <v>0</v>
      </c>
      <c r="U54" s="478">
        <f>S54*Données!$F$36</f>
        <v>0</v>
      </c>
      <c r="V54" s="478">
        <f>IF(M54&lt;=8,IF($H$10&gt;Données!$F$14,S54*Données!$F$28,0),IF($H$10&gt;Données!$F$13,MAX((S54-MEPPER2!$Q$23)*Données!$L$15,0),0))</f>
        <v>0</v>
      </c>
      <c r="W54" s="478">
        <f>IF(M54&lt;=8,IF($H$10&lt;=Données!$F$14,S54*$H$10,0),IF($H$10&lt;Données!$F$14,MAX((S54-MEPPER2!$Q$23)*$H$10,0),0))</f>
        <v>0</v>
      </c>
      <c r="X54" s="478">
        <f t="shared" si="22"/>
        <v>0</v>
      </c>
    </row>
    <row r="55" spans="1:24">
      <c r="A55" s="477">
        <f t="shared" ca="1" si="11"/>
        <v>81</v>
      </c>
      <c r="B55" s="478">
        <f t="shared" ca="1" si="12"/>
        <v>0</v>
      </c>
      <c r="C55" s="478">
        <v>0</v>
      </c>
      <c r="D55" s="478">
        <f ca="1">IFERROR(IF($H$5="",B55*'CT à Transf'!$K$28,B55*$H$5),B55*$H$5)</f>
        <v>0</v>
      </c>
      <c r="E55" s="478">
        <f t="shared" ca="1" si="13"/>
        <v>0</v>
      </c>
      <c r="F55" s="478">
        <f t="shared" ca="1" si="0"/>
        <v>0</v>
      </c>
      <c r="G55" s="478">
        <f t="shared" ca="1" si="4"/>
        <v>0</v>
      </c>
      <c r="H55" s="478">
        <f t="shared" ca="1" si="5"/>
        <v>0</v>
      </c>
      <c r="J55" s="476"/>
      <c r="K55" s="477">
        <f t="shared" si="14"/>
        <v>99</v>
      </c>
      <c r="L55" s="478">
        <f t="shared" si="20"/>
        <v>0</v>
      </c>
      <c r="M55" s="634">
        <f t="shared" si="15"/>
        <v>0</v>
      </c>
      <c r="N55" s="478">
        <f t="shared" si="17"/>
        <v>0</v>
      </c>
      <c r="O55" s="493">
        <f t="shared" si="16"/>
        <v>0</v>
      </c>
      <c r="P55" s="493">
        <f t="shared" si="21"/>
        <v>0</v>
      </c>
      <c r="Q55" s="478">
        <f t="shared" si="18"/>
        <v>0</v>
      </c>
      <c r="R55" s="504">
        <f ca="1">IF(MEPPER2!$H$15="Protection cellule familiale",0,IF(K55=($C$6+($O$7-$C$6)-1),Q55,IF(Q55&lt;IF(($O$7-$C$6)=0,0,-PMT($O$5,($O$7-$C$6),$H$13)),Q55,IF(($O$7-$C$6)=0,0,-PMT($O$5,($O$7-$C$6),$H$13)))))</f>
        <v>0</v>
      </c>
      <c r="S55" s="478">
        <f t="shared" si="19"/>
        <v>0</v>
      </c>
      <c r="T55" s="478">
        <f t="shared" ca="1" si="9"/>
        <v>0</v>
      </c>
      <c r="U55" s="478">
        <f>S55*Données!$F$36</f>
        <v>0</v>
      </c>
      <c r="V55" s="478">
        <f>IF(M55&lt;=8,IF($H$10&gt;Données!$F$14,S55*Données!$F$28,0),IF($H$10&gt;Données!$F$13,MAX((S55-MEPPER2!$Q$23)*Données!$L$15,0),0))</f>
        <v>0</v>
      </c>
      <c r="W55" s="478">
        <f>IF(M55&lt;=8,IF($H$10&lt;=Données!$F$14,S55*$H$10,0),IF($H$10&lt;Données!$F$14,MAX((S55-MEPPER2!$Q$23)*$H$10,0),0))</f>
        <v>0</v>
      </c>
      <c r="X55" s="478">
        <f t="shared" si="22"/>
        <v>0</v>
      </c>
    </row>
    <row r="56" spans="1:24">
      <c r="A56" s="477">
        <f t="shared" ca="1" si="11"/>
        <v>82</v>
      </c>
      <c r="B56" s="478">
        <f t="shared" ca="1" si="12"/>
        <v>0</v>
      </c>
      <c r="C56" s="478">
        <v>0</v>
      </c>
      <c r="D56" s="478">
        <f ca="1">IFERROR(IF($H$5="",B56*'CT à Transf'!$K$28,B56*$H$5),B56*$H$5)</f>
        <v>0</v>
      </c>
      <c r="E56" s="478">
        <f t="shared" ca="1" si="13"/>
        <v>0</v>
      </c>
      <c r="F56" s="478">
        <f t="shared" ca="1" si="0"/>
        <v>0</v>
      </c>
      <c r="G56" s="478">
        <f t="shared" ca="1" si="4"/>
        <v>0</v>
      </c>
      <c r="H56" s="478">
        <f t="shared" ca="1" si="5"/>
        <v>0</v>
      </c>
      <c r="J56" s="476"/>
      <c r="K56" s="477">
        <f t="shared" si="14"/>
        <v>100</v>
      </c>
      <c r="L56" s="478">
        <f t="shared" si="20"/>
        <v>0</v>
      </c>
      <c r="M56" s="634">
        <f t="shared" si="15"/>
        <v>0</v>
      </c>
      <c r="N56" s="478">
        <f t="shared" si="17"/>
        <v>0</v>
      </c>
      <c r="O56" s="493">
        <f t="shared" si="16"/>
        <v>0</v>
      </c>
      <c r="P56" s="493">
        <f t="shared" si="21"/>
        <v>0</v>
      </c>
      <c r="Q56" s="478">
        <f t="shared" si="18"/>
        <v>0</v>
      </c>
      <c r="R56" s="504">
        <f ca="1">IF(MEPPER2!$H$15="Protection cellule familiale",0,IF(K56=($C$6+($O$7-$C$6)-1),Q56,IF(Q56&lt;IF(($O$7-$C$6)=0,0,-PMT($O$5,($O$7-$C$6),$H$13)),Q56,IF(($O$7-$C$6)=0,0,-PMT($O$5,($O$7-$C$6),$H$13)))))</f>
        <v>0</v>
      </c>
      <c r="S56" s="478">
        <f t="shared" si="19"/>
        <v>0</v>
      </c>
      <c r="T56" s="478">
        <f t="shared" ca="1" si="9"/>
        <v>0</v>
      </c>
      <c r="U56" s="478">
        <f>S56*Données!$F$36</f>
        <v>0</v>
      </c>
      <c r="V56" s="478">
        <f>IF(M56&lt;=8,IF($H$10&gt;Données!$F$14,S56*Données!$F$28,0),IF($H$10&gt;Données!$F$13,MAX((S56-MEPPER2!$Q$23)*Données!$L$15,0),0))</f>
        <v>0</v>
      </c>
      <c r="W56" s="478">
        <f>IF(M56&lt;=8,IF($H$10&lt;=Données!$F$14,S56*$H$10,0),IF($H$10&lt;Données!$F$14,MAX((S56-MEPPER2!$Q$23)*$H$10,0),0))</f>
        <v>0</v>
      </c>
      <c r="X56" s="478">
        <f t="shared" si="22"/>
        <v>0</v>
      </c>
    </row>
    <row r="57" spans="1:24">
      <c r="A57" s="477">
        <f t="shared" ca="1" si="11"/>
        <v>83</v>
      </c>
      <c r="B57" s="478">
        <f t="shared" ca="1" si="12"/>
        <v>0</v>
      </c>
      <c r="C57" s="478">
        <v>0</v>
      </c>
      <c r="D57" s="478">
        <f ca="1">IFERROR(IF($H$5="",B57*'CT à Transf'!$K$28,B57*$H$5),B57*$H$5)</f>
        <v>0</v>
      </c>
      <c r="E57" s="478">
        <f t="shared" ca="1" si="13"/>
        <v>0</v>
      </c>
      <c r="F57" s="478">
        <f t="shared" ca="1" si="0"/>
        <v>0</v>
      </c>
      <c r="G57" s="478">
        <f t="shared" ca="1" si="4"/>
        <v>0</v>
      </c>
      <c r="H57" s="478">
        <f t="shared" ca="1" si="5"/>
        <v>0</v>
      </c>
      <c r="J57" s="476"/>
      <c r="K57" s="477">
        <f t="shared" si="14"/>
        <v>101</v>
      </c>
      <c r="L57" s="478">
        <f t="shared" si="20"/>
        <v>0</v>
      </c>
      <c r="M57" s="634">
        <f t="shared" si="15"/>
        <v>0</v>
      </c>
      <c r="N57" s="478">
        <f t="shared" si="17"/>
        <v>0</v>
      </c>
      <c r="O57" s="493">
        <f t="shared" si="16"/>
        <v>0</v>
      </c>
      <c r="P57" s="493">
        <f t="shared" si="21"/>
        <v>0</v>
      </c>
      <c r="Q57" s="478">
        <f t="shared" si="18"/>
        <v>0</v>
      </c>
      <c r="R57" s="504">
        <f ca="1">IF(MEPPER2!$H$15="Protection cellule familiale",0,IF(K57=($C$6+($O$7-$C$6)-1),Q57,IF(Q57&lt;IF(($O$7-$C$6)=0,0,-PMT($O$5,($O$7-$C$6),$H$13)),Q57,IF(($O$7-$C$6)=0,0,-PMT($O$5,($O$7-$C$6),$H$13)))))</f>
        <v>0</v>
      </c>
      <c r="S57" s="478">
        <f t="shared" si="19"/>
        <v>0</v>
      </c>
      <c r="T57" s="478">
        <f t="shared" ca="1" si="9"/>
        <v>0</v>
      </c>
      <c r="U57" s="478">
        <f>S57*Données!$F$36</f>
        <v>0</v>
      </c>
      <c r="V57" s="478">
        <f>IF(M57&lt;=8,IF($H$10&gt;Données!$F$14,S57*Données!$F$28,0),IF($H$10&gt;Données!$F$13,MAX((S57-MEPPER2!$Q$23)*Données!$L$15,0),0))</f>
        <v>0</v>
      </c>
      <c r="W57" s="478">
        <f>IF(M57&lt;=8,IF($H$10&lt;=Données!$F$14,S57*$H$10,0),IF($H$10&lt;Données!$F$14,MAX((S57-MEPPER2!$Q$23)*$H$10,0),0))</f>
        <v>0</v>
      </c>
      <c r="X57" s="478">
        <f t="shared" si="22"/>
        <v>0</v>
      </c>
    </row>
    <row r="58" spans="1:24">
      <c r="A58" s="477">
        <f t="shared" ca="1" si="11"/>
        <v>84</v>
      </c>
      <c r="B58" s="478">
        <f t="shared" ca="1" si="12"/>
        <v>0</v>
      </c>
      <c r="C58" s="478">
        <v>0</v>
      </c>
      <c r="D58" s="478">
        <f ca="1">IFERROR(IF($H$5="",B58*'CT à Transf'!$K$28,B58*$H$5),B58*$H$5)</f>
        <v>0</v>
      </c>
      <c r="E58" s="478">
        <f t="shared" ca="1" si="13"/>
        <v>0</v>
      </c>
      <c r="F58" s="478">
        <f t="shared" ca="1" si="0"/>
        <v>0</v>
      </c>
      <c r="G58" s="478">
        <f t="shared" ca="1" si="4"/>
        <v>0</v>
      </c>
      <c r="H58" s="478">
        <f t="shared" ca="1" si="5"/>
        <v>0</v>
      </c>
      <c r="J58" s="476"/>
      <c r="K58" s="477">
        <f t="shared" si="14"/>
        <v>102</v>
      </c>
      <c r="L58" s="478">
        <f t="shared" si="20"/>
        <v>0</v>
      </c>
      <c r="M58" s="634">
        <f t="shared" si="15"/>
        <v>0</v>
      </c>
      <c r="N58" s="478">
        <f t="shared" si="17"/>
        <v>0</v>
      </c>
      <c r="O58" s="493">
        <f t="shared" si="16"/>
        <v>0</v>
      </c>
      <c r="P58" s="493">
        <f t="shared" si="21"/>
        <v>0</v>
      </c>
      <c r="Q58" s="478">
        <f t="shared" si="18"/>
        <v>0</v>
      </c>
      <c r="R58" s="504">
        <f ca="1">IF(MEPPER2!$H$15="Protection cellule familiale",0,IF(K58=($C$6+($O$7-$C$6)-1),Q58,IF(Q58&lt;IF(($O$7-$C$6)=0,0,-PMT($O$5,($O$7-$C$6),$H$13)),Q58,IF(($O$7-$C$6)=0,0,-PMT($O$5,($O$7-$C$6),$H$13)))))</f>
        <v>0</v>
      </c>
      <c r="S58" s="478">
        <f t="shared" si="19"/>
        <v>0</v>
      </c>
      <c r="T58" s="478">
        <f t="shared" ca="1" si="9"/>
        <v>0</v>
      </c>
      <c r="U58" s="478">
        <f>S58*Données!$F$36</f>
        <v>0</v>
      </c>
      <c r="V58" s="478">
        <f>IF(M58&lt;=8,IF($H$10&gt;Données!$F$14,S58*Données!$F$28,0),IF($H$10&gt;Données!$F$13,MAX((S58-MEPPER2!$Q$23)*Données!$L$15,0),0))</f>
        <v>0</v>
      </c>
      <c r="W58" s="478">
        <f>IF(M58&lt;=8,IF($H$10&lt;=Données!$F$14,S58*$H$10,0),IF($H$10&lt;Données!$F$14,MAX((S58-MEPPER2!$Q$23)*$H$10,0),0))</f>
        <v>0</v>
      </c>
      <c r="X58" s="478">
        <f t="shared" si="22"/>
        <v>0</v>
      </c>
    </row>
    <row r="59" spans="1:24">
      <c r="A59" s="477">
        <f t="shared" ca="1" si="11"/>
        <v>85</v>
      </c>
      <c r="B59" s="478">
        <f t="shared" ca="1" si="12"/>
        <v>0</v>
      </c>
      <c r="C59" s="478">
        <v>0</v>
      </c>
      <c r="D59" s="478">
        <f ca="1">IFERROR(IF($H$5="",B59*'CT à Transf'!$K$28,B59*$H$5),B59*$H$5)</f>
        <v>0</v>
      </c>
      <c r="E59" s="478">
        <f t="shared" ca="1" si="13"/>
        <v>0</v>
      </c>
      <c r="F59" s="478">
        <f t="shared" ca="1" si="0"/>
        <v>0</v>
      </c>
      <c r="G59" s="478">
        <f t="shared" ca="1" si="4"/>
        <v>0</v>
      </c>
      <c r="H59" s="478">
        <f t="shared" ca="1" si="5"/>
        <v>0</v>
      </c>
      <c r="J59" s="476"/>
      <c r="K59" s="477">
        <f t="shared" si="14"/>
        <v>103</v>
      </c>
      <c r="L59" s="478">
        <f t="shared" si="20"/>
        <v>0</v>
      </c>
      <c r="M59" s="634">
        <f t="shared" si="15"/>
        <v>0</v>
      </c>
      <c r="N59" s="478">
        <f t="shared" si="17"/>
        <v>0</v>
      </c>
      <c r="O59" s="493">
        <f t="shared" si="16"/>
        <v>0</v>
      </c>
      <c r="P59" s="493">
        <f t="shared" si="21"/>
        <v>0</v>
      </c>
      <c r="Q59" s="478">
        <f t="shared" si="18"/>
        <v>0</v>
      </c>
      <c r="R59" s="504">
        <f ca="1">IF(MEPPER2!$H$15="Protection cellule familiale",0,IF(K59=($C$6+($O$7-$C$6)-1),Q59,IF(Q59&lt;IF(($O$7-$C$6)=0,0,-PMT($O$5,($O$7-$C$6),$H$13)),Q59,IF(($O$7-$C$6)=0,0,-PMT($O$5,($O$7-$C$6),$H$13)))))</f>
        <v>0</v>
      </c>
      <c r="S59" s="478">
        <f t="shared" si="19"/>
        <v>0</v>
      </c>
      <c r="T59" s="478">
        <f t="shared" ca="1" si="9"/>
        <v>0</v>
      </c>
      <c r="U59" s="478">
        <f>S59*Données!$F$36</f>
        <v>0</v>
      </c>
      <c r="V59" s="478">
        <f>IF(M59&lt;=8,IF($H$10&gt;Données!$F$14,S59*Données!$F$28,0),IF($H$10&gt;Données!$F$13,MAX((S59-MEPPER2!$Q$23)*Données!$L$15,0),0))</f>
        <v>0</v>
      </c>
      <c r="W59" s="478">
        <f>IF(M59&lt;=8,IF($H$10&lt;=Données!$F$14,S59*$H$10,0),IF($H$10&lt;Données!$F$14,MAX((S59-MEPPER2!$Q$23)*$H$10,0),0))</f>
        <v>0</v>
      </c>
      <c r="X59" s="478">
        <f t="shared" si="22"/>
        <v>0</v>
      </c>
    </row>
    <row r="60" spans="1:24">
      <c r="A60" s="477">
        <f t="shared" ca="1" si="11"/>
        <v>86</v>
      </c>
      <c r="B60" s="478">
        <f t="shared" ca="1" si="12"/>
        <v>0</v>
      </c>
      <c r="C60" s="478">
        <v>0</v>
      </c>
      <c r="D60" s="478">
        <f ca="1">IFERROR(IF($H$5="",B60*'CT à Transf'!$K$28,B60*$H$5),B60*$H$5)</f>
        <v>0</v>
      </c>
      <c r="E60" s="478">
        <f t="shared" ca="1" si="13"/>
        <v>0</v>
      </c>
      <c r="F60" s="478">
        <f t="shared" ca="1" si="0"/>
        <v>0</v>
      </c>
      <c r="G60" s="478">
        <f t="shared" ca="1" si="4"/>
        <v>0</v>
      </c>
      <c r="H60" s="478">
        <f t="shared" ca="1" si="5"/>
        <v>0</v>
      </c>
      <c r="J60" s="476"/>
      <c r="K60" s="477">
        <f t="shared" si="14"/>
        <v>104</v>
      </c>
      <c r="L60" s="478">
        <f t="shared" si="20"/>
        <v>0</v>
      </c>
      <c r="M60" s="634">
        <f t="shared" si="15"/>
        <v>0</v>
      </c>
      <c r="N60" s="478">
        <f t="shared" si="17"/>
        <v>0</v>
      </c>
      <c r="O60" s="493">
        <f t="shared" si="16"/>
        <v>0</v>
      </c>
      <c r="P60" s="493">
        <f t="shared" si="21"/>
        <v>0</v>
      </c>
      <c r="Q60" s="478">
        <f t="shared" si="18"/>
        <v>0</v>
      </c>
      <c r="R60" s="504">
        <f ca="1">IF(MEPPER2!$H$15="Protection cellule familiale",0,IF(K60=($C$6+($O$7-$C$6)-1),Q60,IF(Q60&lt;IF(($O$7-$C$6)=0,0,-PMT($O$5,($O$7-$C$6),$H$13)),Q60,IF(($O$7-$C$6)=0,0,-PMT($O$5,($O$7-$C$6),$H$13)))))</f>
        <v>0</v>
      </c>
      <c r="S60" s="478">
        <f t="shared" si="19"/>
        <v>0</v>
      </c>
      <c r="T60" s="478">
        <f t="shared" ca="1" si="9"/>
        <v>0</v>
      </c>
      <c r="U60" s="478">
        <f>S60*Données!$F$36</f>
        <v>0</v>
      </c>
      <c r="V60" s="478">
        <f>IF(M60&lt;=8,IF($H$10&gt;Données!$F$14,S60*Données!$F$28,0),IF($H$10&gt;Données!$F$13,MAX((S60-MEPPER2!$Q$23)*Données!$L$15,0),0))</f>
        <v>0</v>
      </c>
      <c r="W60" s="478">
        <f>IF(M60&lt;=8,IF($H$10&lt;=Données!$F$14,S60*$H$10,0),IF($H$10&lt;Données!$F$14,MAX((S60-MEPPER2!$Q$23)*$H$10,0),0))</f>
        <v>0</v>
      </c>
      <c r="X60" s="478">
        <f t="shared" si="22"/>
        <v>0</v>
      </c>
    </row>
    <row r="61" spans="1:24">
      <c r="A61" s="477">
        <f t="shared" ca="1" si="11"/>
        <v>87</v>
      </c>
      <c r="B61" s="478">
        <f t="shared" ca="1" si="12"/>
        <v>0</v>
      </c>
      <c r="C61" s="478">
        <v>0</v>
      </c>
      <c r="D61" s="478">
        <f ca="1">IFERROR(IF($H$5="",B61*'CT à Transf'!$K$28,B61*$H$5),B61*$H$5)</f>
        <v>0</v>
      </c>
      <c r="E61" s="478">
        <f t="shared" ca="1" si="13"/>
        <v>0</v>
      </c>
      <c r="F61" s="478">
        <f t="shared" ca="1" si="0"/>
        <v>0</v>
      </c>
      <c r="G61" s="478">
        <f t="shared" ca="1" si="4"/>
        <v>0</v>
      </c>
      <c r="H61" s="478">
        <f t="shared" ca="1" si="5"/>
        <v>0</v>
      </c>
      <c r="J61" s="476"/>
      <c r="K61" s="477">
        <f t="shared" si="14"/>
        <v>105</v>
      </c>
      <c r="L61" s="478">
        <f t="shared" si="20"/>
        <v>0</v>
      </c>
      <c r="M61" s="634">
        <f t="shared" si="15"/>
        <v>0</v>
      </c>
      <c r="N61" s="478">
        <f t="shared" si="17"/>
        <v>0</v>
      </c>
      <c r="O61" s="493">
        <f t="shared" si="16"/>
        <v>0</v>
      </c>
      <c r="P61" s="493">
        <f t="shared" si="21"/>
        <v>0</v>
      </c>
      <c r="Q61" s="478">
        <f t="shared" si="18"/>
        <v>0</v>
      </c>
      <c r="R61" s="504">
        <f ca="1">IF(MEPPER2!$H$15="Protection cellule familiale",0,IF(K61=($C$6+($O$7-$C$6)-1),Q61,IF(Q61&lt;IF(($O$7-$C$6)=0,0,-PMT($O$5,($O$7-$C$6),$H$13)),Q61,IF(($O$7-$C$6)=0,0,-PMT($O$5,($O$7-$C$6),$H$13)))))</f>
        <v>0</v>
      </c>
      <c r="S61" s="478">
        <f t="shared" si="19"/>
        <v>0</v>
      </c>
      <c r="T61" s="478">
        <f t="shared" ca="1" si="9"/>
        <v>0</v>
      </c>
      <c r="U61" s="478">
        <f>S61*Données!$F$36</f>
        <v>0</v>
      </c>
      <c r="V61" s="478">
        <f>IF(M61&lt;=8,IF($H$10&gt;Données!$F$14,S61*Données!$F$28,0),IF($H$10&gt;Données!$F$13,MAX((S61-MEPPER2!$Q$23)*Données!$L$15,0),0))</f>
        <v>0</v>
      </c>
      <c r="W61" s="478">
        <f>IF(M61&lt;=8,IF($H$10&lt;=Données!$F$14,S61*$H$10,0),IF($H$10&lt;Données!$F$14,MAX((S61-MEPPER2!$Q$23)*$H$10,0),0))</f>
        <v>0</v>
      </c>
      <c r="X61" s="478">
        <f t="shared" si="22"/>
        <v>0</v>
      </c>
    </row>
    <row r="62" spans="1:24">
      <c r="A62" s="477">
        <f t="shared" ca="1" si="11"/>
        <v>88</v>
      </c>
      <c r="B62" s="478">
        <f t="shared" ca="1" si="12"/>
        <v>0</v>
      </c>
      <c r="C62" s="478">
        <v>0</v>
      </c>
      <c r="D62" s="478">
        <f ca="1">IFERROR(IF($H$5="",B62*'CT à Transf'!$K$28,B62*$H$5),B62*$H$5)</f>
        <v>0</v>
      </c>
      <c r="E62" s="478">
        <f t="shared" ca="1" si="13"/>
        <v>0</v>
      </c>
      <c r="F62" s="478">
        <f t="shared" ca="1" si="0"/>
        <v>0</v>
      </c>
      <c r="G62" s="478">
        <f t="shared" ca="1" si="4"/>
        <v>0</v>
      </c>
      <c r="H62" s="478">
        <f t="shared" ca="1" si="5"/>
        <v>0</v>
      </c>
      <c r="J62" s="476"/>
      <c r="K62" s="477">
        <f t="shared" si="14"/>
        <v>106</v>
      </c>
      <c r="L62" s="478">
        <f t="shared" si="20"/>
        <v>0</v>
      </c>
      <c r="M62" s="634">
        <f t="shared" si="15"/>
        <v>0</v>
      </c>
      <c r="N62" s="478">
        <f t="shared" si="17"/>
        <v>0</v>
      </c>
      <c r="O62" s="493">
        <f t="shared" si="16"/>
        <v>0</v>
      </c>
      <c r="P62" s="493">
        <f t="shared" si="21"/>
        <v>0</v>
      </c>
      <c r="Q62" s="478">
        <f t="shared" si="18"/>
        <v>0</v>
      </c>
      <c r="R62" s="504">
        <f ca="1">IF(MEPPER2!$H$15="Protection cellule familiale",0,IF(K62=($C$6+($O$7-$C$6)-1),Q62,IF(Q62&lt;IF(($O$7-$C$6)=0,0,-PMT($O$5,($O$7-$C$6),$H$13)),Q62,IF(($O$7-$C$6)=0,0,-PMT($O$5,($O$7-$C$6),$H$13)))))</f>
        <v>0</v>
      </c>
      <c r="S62" s="478">
        <f t="shared" si="19"/>
        <v>0</v>
      </c>
      <c r="T62" s="478">
        <f t="shared" ca="1" si="9"/>
        <v>0</v>
      </c>
      <c r="U62" s="478">
        <f>S62*Données!$F$36</f>
        <v>0</v>
      </c>
      <c r="V62" s="478">
        <f>IF(M62&lt;=8,IF($H$10&gt;Données!$F$14,S62*Données!$F$28,0),IF($H$10&gt;Données!$F$13,MAX((S62-MEPPER2!$Q$23)*Données!$L$15,0),0))</f>
        <v>0</v>
      </c>
      <c r="W62" s="478">
        <f>IF(M62&lt;=8,IF($H$10&lt;=Données!$F$14,S62*$H$10,0),IF($H$10&lt;Données!$F$14,MAX((S62-MEPPER2!$Q$23)*$H$10,0),0))</f>
        <v>0</v>
      </c>
      <c r="X62" s="478">
        <f t="shared" si="22"/>
        <v>0</v>
      </c>
    </row>
    <row r="63" spans="1:24">
      <c r="A63" s="477">
        <f t="shared" ca="1" si="11"/>
        <v>89</v>
      </c>
      <c r="B63" s="478">
        <f t="shared" ca="1" si="12"/>
        <v>0</v>
      </c>
      <c r="C63" s="478">
        <v>0</v>
      </c>
      <c r="D63" s="478">
        <f ca="1">IFERROR(IF($H$5="",B63*'CT à Transf'!$K$28,B63*$H$5),B63*$H$5)</f>
        <v>0</v>
      </c>
      <c r="E63" s="478">
        <f t="shared" ca="1" si="13"/>
        <v>0</v>
      </c>
      <c r="F63" s="478">
        <f t="shared" ca="1" si="0"/>
        <v>0</v>
      </c>
      <c r="G63" s="478">
        <f t="shared" ca="1" si="4"/>
        <v>0</v>
      </c>
      <c r="H63" s="478">
        <f t="shared" ca="1" si="5"/>
        <v>0</v>
      </c>
      <c r="J63" s="476"/>
      <c r="K63" s="477">
        <f t="shared" si="14"/>
        <v>107</v>
      </c>
      <c r="L63" s="478">
        <f t="shared" si="20"/>
        <v>0</v>
      </c>
      <c r="M63" s="634">
        <f t="shared" si="15"/>
        <v>0</v>
      </c>
      <c r="N63" s="478">
        <f t="shared" si="17"/>
        <v>0</v>
      </c>
      <c r="O63" s="493">
        <f t="shared" si="16"/>
        <v>0</v>
      </c>
      <c r="P63" s="493">
        <f t="shared" si="21"/>
        <v>0</v>
      </c>
      <c r="Q63" s="478">
        <f t="shared" si="18"/>
        <v>0</v>
      </c>
      <c r="R63" s="504">
        <f ca="1">IF(MEPPER2!$H$15="Protection cellule familiale",0,IF(K63=($C$6+($O$7-$C$6)-1),Q63,IF(Q63&lt;IF(($O$7-$C$6)=0,0,-PMT($O$5,($O$7-$C$6),$H$13)),Q63,IF(($O$7-$C$6)=0,0,-PMT($O$5,($O$7-$C$6),$H$13)))))</f>
        <v>0</v>
      </c>
      <c r="S63" s="478">
        <f t="shared" si="19"/>
        <v>0</v>
      </c>
      <c r="T63" s="478">
        <f t="shared" ca="1" si="9"/>
        <v>0</v>
      </c>
      <c r="U63" s="478">
        <f>S63*Données!$F$36</f>
        <v>0</v>
      </c>
      <c r="V63" s="478">
        <f>IF(M63&lt;=8,IF($H$10&gt;Données!$F$14,S63*Données!$F$28,0),IF($H$10&gt;Données!$F$13,MAX((S63-MEPPER2!$Q$23)*Données!$L$15,0),0))</f>
        <v>0</v>
      </c>
      <c r="W63" s="478">
        <f>IF(M63&lt;=8,IF($H$10&lt;=Données!$F$14,S63*$H$10,0),IF($H$10&lt;Données!$F$14,MAX((S63-MEPPER2!$Q$23)*$H$10,0),0))</f>
        <v>0</v>
      </c>
      <c r="X63" s="478">
        <f t="shared" si="22"/>
        <v>0</v>
      </c>
    </row>
    <row r="64" spans="1:24">
      <c r="A64" s="477">
        <f t="shared" ca="1" si="11"/>
        <v>90</v>
      </c>
      <c r="B64" s="478">
        <f t="shared" ca="1" si="12"/>
        <v>0</v>
      </c>
      <c r="C64" s="478">
        <v>0</v>
      </c>
      <c r="D64" s="478">
        <f ca="1">IFERROR(IF($H$5="",B64*'CT à Transf'!$K$28,B64*$H$5),B64*$H$5)</f>
        <v>0</v>
      </c>
      <c r="E64" s="478">
        <f t="shared" ca="1" si="13"/>
        <v>0</v>
      </c>
      <c r="F64" s="478">
        <f t="shared" ca="1" si="0"/>
        <v>0</v>
      </c>
      <c r="G64" s="478">
        <f t="shared" ca="1" si="4"/>
        <v>0</v>
      </c>
      <c r="H64" s="478">
        <f t="shared" ca="1" si="5"/>
        <v>0</v>
      </c>
      <c r="J64" s="476"/>
      <c r="K64" s="477">
        <f t="shared" si="14"/>
        <v>108</v>
      </c>
      <c r="L64" s="478">
        <f t="shared" si="20"/>
        <v>0</v>
      </c>
      <c r="M64" s="634">
        <f t="shared" si="15"/>
        <v>0</v>
      </c>
      <c r="N64" s="478">
        <f t="shared" si="17"/>
        <v>0</v>
      </c>
      <c r="O64" s="493">
        <f t="shared" si="16"/>
        <v>0</v>
      </c>
      <c r="P64" s="493">
        <f t="shared" si="21"/>
        <v>0</v>
      </c>
      <c r="Q64" s="478">
        <f t="shared" si="18"/>
        <v>0</v>
      </c>
      <c r="R64" s="504">
        <f ca="1">IF(MEPPER2!$H$15="Protection cellule familiale",0,IF(K64=($C$6+($O$7-$C$6)-1),Q64,IF(Q64&lt;IF(($O$7-$C$6)=0,0,-PMT($O$5,($O$7-$C$6),$H$13)),Q64,IF(($O$7-$C$6)=0,0,-PMT($O$5,($O$7-$C$6),$H$13)))))</f>
        <v>0</v>
      </c>
      <c r="S64" s="478">
        <f t="shared" si="19"/>
        <v>0</v>
      </c>
      <c r="T64" s="478">
        <f t="shared" ca="1" si="9"/>
        <v>0</v>
      </c>
      <c r="U64" s="478">
        <f>S64*Données!$F$36</f>
        <v>0</v>
      </c>
      <c r="V64" s="478">
        <f>IF(M64&lt;=8,IF($H$10&gt;Données!$F$14,S64*Données!$F$28,0),IF($H$10&gt;Données!$F$13,MAX((S64-MEPPER2!$Q$23)*Données!$L$15,0),0))</f>
        <v>0</v>
      </c>
      <c r="W64" s="478">
        <f>IF(M64&lt;=8,IF($H$10&lt;=Données!$F$14,S64*$H$10,0),IF($H$10&lt;Données!$F$14,MAX((S64-MEPPER2!$Q$23)*$H$10,0),0))</f>
        <v>0</v>
      </c>
      <c r="X64" s="478">
        <f t="shared" si="22"/>
        <v>0</v>
      </c>
    </row>
    <row r="65" spans="1:24">
      <c r="A65" s="477">
        <f t="shared" ca="1" si="11"/>
        <v>91</v>
      </c>
      <c r="B65" s="478">
        <f t="shared" ca="1" si="12"/>
        <v>0</v>
      </c>
      <c r="C65" s="478">
        <v>0</v>
      </c>
      <c r="D65" s="478">
        <f ca="1">IFERROR(IF($H$5="",B65*'CT à Transf'!$K$28,B65*$H$5),B65*$H$5)</f>
        <v>0</v>
      </c>
      <c r="E65" s="478">
        <f t="shared" ca="1" si="13"/>
        <v>0</v>
      </c>
      <c r="F65" s="478">
        <f t="shared" ca="1" si="0"/>
        <v>0</v>
      </c>
      <c r="G65" s="478">
        <f t="shared" ca="1" si="4"/>
        <v>0</v>
      </c>
      <c r="H65" s="478">
        <f t="shared" ca="1" si="5"/>
        <v>0</v>
      </c>
      <c r="J65" s="476"/>
      <c r="K65" s="477">
        <f t="shared" si="14"/>
        <v>109</v>
      </c>
      <c r="L65" s="478">
        <f t="shared" si="20"/>
        <v>0</v>
      </c>
      <c r="M65" s="634">
        <f t="shared" si="15"/>
        <v>0</v>
      </c>
      <c r="N65" s="478">
        <f t="shared" si="17"/>
        <v>0</v>
      </c>
      <c r="O65" s="493">
        <f t="shared" si="16"/>
        <v>0</v>
      </c>
      <c r="P65" s="493">
        <f t="shared" si="21"/>
        <v>0</v>
      </c>
      <c r="Q65" s="478">
        <f t="shared" si="18"/>
        <v>0</v>
      </c>
      <c r="R65" s="504">
        <f ca="1">IF(MEPPER2!$H$15="Protection cellule familiale",0,IF(K65=($C$6+($O$7-$C$6)-1),Q65,IF(Q65&lt;IF(($O$7-$C$6)=0,0,-PMT($O$5,($O$7-$C$6),$H$13)),Q65,IF(($O$7-$C$6)=0,0,-PMT($O$5,($O$7-$C$6),$H$13)))))</f>
        <v>0</v>
      </c>
      <c r="S65" s="478">
        <f t="shared" si="19"/>
        <v>0</v>
      </c>
      <c r="T65" s="478">
        <f t="shared" ca="1" si="9"/>
        <v>0</v>
      </c>
      <c r="U65" s="478">
        <f>S65*Données!$F$36</f>
        <v>0</v>
      </c>
      <c r="V65" s="478">
        <f>IF(M65&lt;=8,IF($H$10&gt;Données!$F$14,S65*Données!$F$28,0),IF($H$10&gt;Données!$F$13,MAX((S65-MEPPER2!$Q$23)*Données!$L$15,0),0))</f>
        <v>0</v>
      </c>
      <c r="W65" s="478">
        <f>IF(M65&lt;=8,IF($H$10&lt;=Données!$F$14,S65*$H$10,0),IF($H$10&lt;Données!$F$14,MAX((S65-MEPPER2!$Q$23)*$H$10,0),0))</f>
        <v>0</v>
      </c>
      <c r="X65" s="478">
        <f t="shared" si="22"/>
        <v>0</v>
      </c>
    </row>
    <row r="66" spans="1:24">
      <c r="A66" s="477">
        <f t="shared" ca="1" si="11"/>
        <v>92</v>
      </c>
      <c r="B66" s="478">
        <f t="shared" ca="1" si="12"/>
        <v>0</v>
      </c>
      <c r="C66" s="478">
        <v>0</v>
      </c>
      <c r="D66" s="478">
        <f ca="1">IFERROR(IF($H$5="",B66*'CT à Transf'!$K$28,B66*$H$5),B66*$H$5)</f>
        <v>0</v>
      </c>
      <c r="E66" s="478">
        <f t="shared" ca="1" si="13"/>
        <v>0</v>
      </c>
      <c r="F66" s="478">
        <f t="shared" ca="1" si="0"/>
        <v>0</v>
      </c>
      <c r="G66" s="478">
        <f t="shared" ca="1" si="4"/>
        <v>0</v>
      </c>
      <c r="H66" s="478">
        <f t="shared" ca="1" si="5"/>
        <v>0</v>
      </c>
      <c r="J66" s="476"/>
      <c r="K66" s="477">
        <f t="shared" si="14"/>
        <v>110</v>
      </c>
      <c r="L66" s="478">
        <f t="shared" si="20"/>
        <v>0</v>
      </c>
      <c r="M66" s="634">
        <f t="shared" si="15"/>
        <v>0</v>
      </c>
      <c r="N66" s="478">
        <f t="shared" si="17"/>
        <v>0</v>
      </c>
      <c r="O66" s="493">
        <f t="shared" si="16"/>
        <v>0</v>
      </c>
      <c r="P66" s="493">
        <f t="shared" si="21"/>
        <v>0</v>
      </c>
      <c r="Q66" s="478">
        <f t="shared" si="18"/>
        <v>0</v>
      </c>
      <c r="R66" s="504">
        <f ca="1">IF(MEPPER2!$H$15="Protection cellule familiale",0,IF(K66=($C$6+($O$7-$C$6)-1),Q66,IF(Q66&lt;IF(($O$7-$C$6)=0,0,-PMT($O$5,($O$7-$C$6),$H$13)),Q66,IF(($O$7-$C$6)=0,0,-PMT($O$5,($O$7-$C$6),$H$13)))))</f>
        <v>0</v>
      </c>
      <c r="S66" s="478">
        <f t="shared" si="19"/>
        <v>0</v>
      </c>
      <c r="T66" s="478">
        <f t="shared" ca="1" si="9"/>
        <v>0</v>
      </c>
      <c r="U66" s="478">
        <f>S66*Données!$F$36</f>
        <v>0</v>
      </c>
      <c r="V66" s="478">
        <f>IF(M66&lt;=8,IF($H$10&gt;Données!$F$14,S66*Données!$F$28,0),IF($H$10&gt;Données!$F$13,MAX((S66-MEPPER2!$Q$23)*Données!$L$15,0),0))</f>
        <v>0</v>
      </c>
      <c r="W66" s="478">
        <f>IF(M66&lt;=8,IF($H$10&lt;=Données!$F$14,S66*$H$10,0),IF($H$10&lt;Données!$F$14,MAX((S66-MEPPER2!$Q$23)*$H$10,0),0))</f>
        <v>0</v>
      </c>
      <c r="X66" s="478">
        <f t="shared" si="22"/>
        <v>0</v>
      </c>
    </row>
    <row r="67" spans="1:24">
      <c r="A67" s="477">
        <f t="shared" ca="1" si="11"/>
        <v>93</v>
      </c>
      <c r="B67" s="478">
        <f t="shared" ca="1" si="12"/>
        <v>0</v>
      </c>
      <c r="C67" s="478">
        <v>0</v>
      </c>
      <c r="D67" s="478">
        <f ca="1">IFERROR(IF($H$5="",B67*'CT à Transf'!$K$28,B67*$H$5),B67*$H$5)</f>
        <v>0</v>
      </c>
      <c r="E67" s="478">
        <f t="shared" ca="1" si="13"/>
        <v>0</v>
      </c>
      <c r="F67" s="478">
        <f t="shared" ca="1" si="0"/>
        <v>0</v>
      </c>
      <c r="G67" s="478">
        <f t="shared" ca="1" si="4"/>
        <v>0</v>
      </c>
      <c r="H67" s="478">
        <f t="shared" ca="1" si="5"/>
        <v>0</v>
      </c>
      <c r="J67" s="476"/>
      <c r="K67" s="477">
        <f t="shared" si="14"/>
        <v>111</v>
      </c>
      <c r="L67" s="478">
        <f t="shared" si="20"/>
        <v>0</v>
      </c>
      <c r="M67" s="634">
        <f t="shared" si="15"/>
        <v>0</v>
      </c>
      <c r="N67" s="478">
        <f t="shared" si="17"/>
        <v>0</v>
      </c>
      <c r="O67" s="493">
        <f t="shared" si="16"/>
        <v>0</v>
      </c>
      <c r="P67" s="493">
        <f t="shared" si="21"/>
        <v>0</v>
      </c>
      <c r="Q67" s="478">
        <f t="shared" si="18"/>
        <v>0</v>
      </c>
      <c r="R67" s="504">
        <f ca="1">IF(MEPPER2!$H$15="Protection cellule familiale",0,IF(K67=($C$6+($O$7-$C$6)-1),Q67,IF(Q67&lt;IF(($O$7-$C$6)=0,0,-PMT($O$5,($O$7-$C$6),$H$13)),Q67,IF(($O$7-$C$6)=0,0,-PMT($O$5,($O$7-$C$6),$H$13)))))</f>
        <v>0</v>
      </c>
      <c r="S67" s="478">
        <f t="shared" si="19"/>
        <v>0</v>
      </c>
      <c r="T67" s="478">
        <f t="shared" ca="1" si="9"/>
        <v>0</v>
      </c>
      <c r="U67" s="478">
        <f>S67*Données!$F$36</f>
        <v>0</v>
      </c>
      <c r="V67" s="478">
        <f>IF(M67&lt;=8,IF($H$10&gt;Données!$F$14,S67*Données!$F$28,0),IF($H$10&gt;Données!$F$13,MAX((S67-MEPPER2!$Q$23)*Données!$L$15,0),0))</f>
        <v>0</v>
      </c>
      <c r="W67" s="478">
        <f>IF(M67&lt;=8,IF($H$10&lt;=Données!$F$14,S67*$H$10,0),IF($H$10&lt;Données!$F$14,MAX((S67-MEPPER2!$Q$23)*$H$10,0),0))</f>
        <v>0</v>
      </c>
      <c r="X67" s="478">
        <f t="shared" si="22"/>
        <v>0</v>
      </c>
    </row>
    <row r="68" spans="1:24">
      <c r="A68" s="477">
        <f t="shared" ca="1" si="11"/>
        <v>94</v>
      </c>
      <c r="B68" s="478">
        <f t="shared" ca="1" si="12"/>
        <v>0</v>
      </c>
      <c r="C68" s="478">
        <v>0</v>
      </c>
      <c r="D68" s="478">
        <f ca="1">IFERROR(IF($H$5="",B68*'CT à Transf'!$K$28,B68*$H$5),B68*$H$5)</f>
        <v>0</v>
      </c>
      <c r="E68" s="478">
        <f t="shared" ca="1" si="13"/>
        <v>0</v>
      </c>
      <c r="F68" s="478">
        <f t="shared" ca="1" si="0"/>
        <v>0</v>
      </c>
      <c r="G68" s="478">
        <f t="shared" ca="1" si="4"/>
        <v>0</v>
      </c>
      <c r="H68" s="478">
        <f t="shared" ca="1" si="5"/>
        <v>0</v>
      </c>
      <c r="J68" s="476"/>
      <c r="K68" s="477">
        <f t="shared" si="14"/>
        <v>112</v>
      </c>
      <c r="L68" s="478">
        <f t="shared" si="20"/>
        <v>0</v>
      </c>
      <c r="M68" s="634">
        <f t="shared" si="15"/>
        <v>0</v>
      </c>
      <c r="N68" s="478">
        <f t="shared" si="17"/>
        <v>0</v>
      </c>
      <c r="O68" s="493">
        <f t="shared" si="16"/>
        <v>0</v>
      </c>
      <c r="P68" s="493">
        <f t="shared" si="21"/>
        <v>0</v>
      </c>
      <c r="Q68" s="478">
        <f t="shared" si="18"/>
        <v>0</v>
      </c>
      <c r="R68" s="504">
        <f ca="1">IF(MEPPER2!$H$15="Protection cellule familiale",0,IF(K68=($C$6+($O$7-$C$6)-1),Q68,IF(Q68&lt;IF(($O$7-$C$6)=0,0,-PMT($O$5,($O$7-$C$6),$H$13)),Q68,IF(($O$7-$C$6)=0,0,-PMT($O$5,($O$7-$C$6),$H$13)))))</f>
        <v>0</v>
      </c>
      <c r="S68" s="478">
        <f t="shared" si="19"/>
        <v>0</v>
      </c>
      <c r="T68" s="478">
        <f t="shared" ca="1" si="9"/>
        <v>0</v>
      </c>
      <c r="U68" s="478">
        <f>S68*Données!$F$36</f>
        <v>0</v>
      </c>
      <c r="V68" s="478">
        <f>IF(M68&lt;=8,IF($H$10&gt;Données!$F$14,S68*Données!$F$28,0),IF($H$10&gt;Données!$F$13,MAX((S68-MEPPER2!$Q$23)*Données!$L$15,0),0))</f>
        <v>0</v>
      </c>
      <c r="W68" s="478">
        <f>IF(M68&lt;=8,IF($H$10&lt;=Données!$F$14,S68*$H$10,0),IF($H$10&lt;Données!$F$14,MAX((S68-MEPPER2!$Q$23)*$H$10,0),0))</f>
        <v>0</v>
      </c>
      <c r="X68" s="478">
        <f t="shared" si="22"/>
        <v>0</v>
      </c>
    </row>
    <row r="69" spans="1:24">
      <c r="A69" s="477">
        <f t="shared" ca="1" si="11"/>
        <v>95</v>
      </c>
      <c r="B69" s="478">
        <f t="shared" ca="1" si="12"/>
        <v>0</v>
      </c>
      <c r="C69" s="478">
        <v>0</v>
      </c>
      <c r="D69" s="478">
        <f ca="1">IFERROR(IF($H$5="",B69*'CT à Transf'!$K$28,B69*$H$5),B69*$H$5)</f>
        <v>0</v>
      </c>
      <c r="E69" s="478">
        <f t="shared" ca="1" si="13"/>
        <v>0</v>
      </c>
      <c r="F69" s="478">
        <f t="shared" ca="1" si="0"/>
        <v>0</v>
      </c>
      <c r="G69" s="478">
        <f t="shared" ca="1" si="4"/>
        <v>0</v>
      </c>
      <c r="H69" s="478">
        <f t="shared" ca="1" si="5"/>
        <v>0</v>
      </c>
      <c r="J69" s="476"/>
      <c r="K69" s="477">
        <f t="shared" si="14"/>
        <v>113</v>
      </c>
      <c r="L69" s="478">
        <f t="shared" si="20"/>
        <v>0</v>
      </c>
      <c r="M69" s="634">
        <f t="shared" si="15"/>
        <v>0</v>
      </c>
      <c r="N69" s="478">
        <f t="shared" si="17"/>
        <v>0</v>
      </c>
      <c r="O69" s="493">
        <f t="shared" si="16"/>
        <v>0</v>
      </c>
      <c r="P69" s="493">
        <f t="shared" si="21"/>
        <v>0</v>
      </c>
      <c r="Q69" s="478">
        <f t="shared" si="18"/>
        <v>0</v>
      </c>
      <c r="R69" s="504">
        <f ca="1">IF(MEPPER2!$H$15="Protection cellule familiale",0,IF(K69=($C$6+($O$7-$C$6)-1),Q69,IF(Q69&lt;IF(($O$7-$C$6)=0,0,-PMT($O$5,($O$7-$C$6),$H$13)),Q69,IF(($O$7-$C$6)=0,0,-PMT($O$5,($O$7-$C$6),$H$13)))))</f>
        <v>0</v>
      </c>
      <c r="S69" s="478">
        <f t="shared" si="19"/>
        <v>0</v>
      </c>
      <c r="T69" s="478">
        <f t="shared" ca="1" si="9"/>
        <v>0</v>
      </c>
      <c r="U69" s="478">
        <f>S69*Données!$F$36</f>
        <v>0</v>
      </c>
      <c r="V69" s="478">
        <f>IF(M69&lt;=8,IF($H$10&gt;Données!$F$14,S69*Données!$F$28,0),IF($H$10&gt;Données!$F$13,MAX((S69-MEPPER2!$Q$23)*Données!$L$15,0),0))</f>
        <v>0</v>
      </c>
      <c r="W69" s="478">
        <f>IF(M69&lt;=8,IF($H$10&lt;=Données!$F$14,S69*$H$10,0),IF($H$10&lt;Données!$F$14,MAX((S69-MEPPER2!$Q$23)*$H$10,0),0))</f>
        <v>0</v>
      </c>
      <c r="X69" s="478">
        <f t="shared" si="22"/>
        <v>0</v>
      </c>
    </row>
    <row r="70" spans="1:24">
      <c r="A70" s="477">
        <f t="shared" ca="1" si="11"/>
        <v>96</v>
      </c>
      <c r="B70" s="478">
        <f t="shared" ca="1" si="12"/>
        <v>0</v>
      </c>
      <c r="C70" s="478">
        <v>0</v>
      </c>
      <c r="D70" s="478">
        <f ca="1">IFERROR(IF($H$5="",B70*'CT à Transf'!$K$28,B70*$H$5),B70*$H$5)</f>
        <v>0</v>
      </c>
      <c r="E70" s="478">
        <f t="shared" ca="1" si="13"/>
        <v>0</v>
      </c>
      <c r="F70" s="478">
        <f t="shared" ca="1" si="0"/>
        <v>0</v>
      </c>
      <c r="G70" s="478">
        <f t="shared" ca="1" si="4"/>
        <v>0</v>
      </c>
      <c r="H70" s="478">
        <f t="shared" ca="1" si="5"/>
        <v>0</v>
      </c>
      <c r="J70" s="476"/>
      <c r="K70" s="477">
        <f t="shared" si="14"/>
        <v>114</v>
      </c>
      <c r="L70" s="478">
        <f t="shared" si="20"/>
        <v>0</v>
      </c>
      <c r="M70" s="634">
        <f t="shared" si="15"/>
        <v>0</v>
      </c>
      <c r="N70" s="478">
        <f t="shared" si="17"/>
        <v>0</v>
      </c>
      <c r="O70" s="493">
        <f t="shared" si="16"/>
        <v>0</v>
      </c>
      <c r="P70" s="493">
        <f t="shared" si="21"/>
        <v>0</v>
      </c>
      <c r="Q70" s="478">
        <f t="shared" si="18"/>
        <v>0</v>
      </c>
      <c r="R70" s="504">
        <f ca="1">IF(MEPPER2!$H$15="Protection cellule familiale",0,IF(K70=($C$6+($O$7-$C$6)-1),Q70,IF(Q70&lt;IF(($O$7-$C$6)=0,0,-PMT($O$5,($O$7-$C$6),$H$13)),Q70,IF(($O$7-$C$6)=0,0,-PMT($O$5,($O$7-$C$6),$H$13)))))</f>
        <v>0</v>
      </c>
      <c r="S70" s="478">
        <f t="shared" si="19"/>
        <v>0</v>
      </c>
      <c r="T70" s="478">
        <f t="shared" ca="1" si="9"/>
        <v>0</v>
      </c>
      <c r="U70" s="478">
        <f>S70*Données!$F$36</f>
        <v>0</v>
      </c>
      <c r="V70" s="478">
        <f>IF(M70&lt;=8,IF($H$10&gt;Données!$F$14,S70*Données!$F$28,0),IF($H$10&gt;Données!$F$13,MAX((S70-MEPPER2!$Q$23)*Données!$L$15,0),0))</f>
        <v>0</v>
      </c>
      <c r="W70" s="478">
        <f>IF(M70&lt;=8,IF($H$10&lt;=Données!$F$14,S70*$H$10,0),IF($H$10&lt;Données!$F$14,MAX((S70-MEPPER2!$Q$23)*$H$10,0),0))</f>
        <v>0</v>
      </c>
      <c r="X70" s="478">
        <f t="shared" si="22"/>
        <v>0</v>
      </c>
    </row>
    <row r="71" spans="1:24">
      <c r="A71" s="477">
        <f t="shared" ca="1" si="11"/>
        <v>97</v>
      </c>
      <c r="B71" s="478">
        <f t="shared" ca="1" si="12"/>
        <v>0</v>
      </c>
      <c r="C71" s="478">
        <v>0</v>
      </c>
      <c r="D71" s="478">
        <f ca="1">IFERROR(IF($H$5="",B71*'CT à Transf'!$K$28,B71*$H$5),B71*$H$5)</f>
        <v>0</v>
      </c>
      <c r="E71" s="478">
        <f t="shared" ca="1" si="13"/>
        <v>0</v>
      </c>
      <c r="F71" s="478">
        <f t="shared" ca="1" si="0"/>
        <v>0</v>
      </c>
      <c r="G71" s="478">
        <f t="shared" ca="1" si="4"/>
        <v>0</v>
      </c>
      <c r="H71" s="478">
        <f t="shared" ca="1" si="5"/>
        <v>0</v>
      </c>
      <c r="J71" s="476"/>
      <c r="K71" s="477">
        <f t="shared" si="14"/>
        <v>115</v>
      </c>
      <c r="L71" s="478">
        <f t="shared" si="20"/>
        <v>0</v>
      </c>
      <c r="M71" s="634">
        <f t="shared" si="15"/>
        <v>0</v>
      </c>
      <c r="N71" s="478">
        <f t="shared" si="17"/>
        <v>0</v>
      </c>
      <c r="O71" s="493">
        <f t="shared" si="16"/>
        <v>0</v>
      </c>
      <c r="P71" s="493">
        <f t="shared" si="21"/>
        <v>0</v>
      </c>
      <c r="Q71" s="478">
        <f t="shared" si="18"/>
        <v>0</v>
      </c>
      <c r="R71" s="504">
        <f ca="1">IF(MEPPER2!$H$15="Protection cellule familiale",0,IF(K71=($C$6+($O$7-$C$6)-1),Q71,IF(Q71&lt;IF(($O$7-$C$6)=0,0,-PMT($O$5,($O$7-$C$6),$H$13)),Q71,IF(($O$7-$C$6)=0,0,-PMT($O$5,($O$7-$C$6),$H$13)))))</f>
        <v>0</v>
      </c>
      <c r="S71" s="478">
        <f t="shared" si="19"/>
        <v>0</v>
      </c>
      <c r="T71" s="478">
        <f t="shared" ca="1" si="9"/>
        <v>0</v>
      </c>
      <c r="U71" s="478">
        <f>S71*Données!$F$36</f>
        <v>0</v>
      </c>
      <c r="V71" s="478">
        <f>IF(M71&lt;=8,IF($H$10&gt;Données!$F$14,S71*Données!$F$28,0),IF($H$10&gt;Données!$F$13,MAX((S71-MEPPER2!$Q$23)*Données!$L$15,0),0))</f>
        <v>0</v>
      </c>
      <c r="W71" s="478">
        <f>IF(M71&lt;=8,IF($H$10&lt;=Données!$F$14,S71*$H$10,0),IF($H$10&lt;Données!$F$14,MAX((S71-MEPPER2!$Q$23)*$H$10,0),0))</f>
        <v>0</v>
      </c>
      <c r="X71" s="478">
        <f t="shared" si="22"/>
        <v>0</v>
      </c>
    </row>
    <row r="72" spans="1:24">
      <c r="A72" s="477">
        <f t="shared" ca="1" si="11"/>
        <v>98</v>
      </c>
      <c r="B72" s="478">
        <f t="shared" ca="1" si="12"/>
        <v>0</v>
      </c>
      <c r="C72" s="478">
        <v>0</v>
      </c>
      <c r="D72" s="478">
        <f ca="1">IFERROR(IF($H$5="",B72*'CT à Transf'!$K$28,B72*$H$5),B72*$H$5)</f>
        <v>0</v>
      </c>
      <c r="E72" s="478">
        <f t="shared" ca="1" si="13"/>
        <v>0</v>
      </c>
      <c r="F72" s="478">
        <f t="shared" ca="1" si="0"/>
        <v>0</v>
      </c>
      <c r="G72" s="478">
        <f t="shared" ca="1" si="4"/>
        <v>0</v>
      </c>
      <c r="H72" s="478">
        <f t="shared" ca="1" si="5"/>
        <v>0</v>
      </c>
      <c r="J72" s="476"/>
      <c r="K72" s="477">
        <f t="shared" si="14"/>
        <v>116</v>
      </c>
      <c r="L72" s="478">
        <f t="shared" si="20"/>
        <v>0</v>
      </c>
      <c r="M72" s="634">
        <f t="shared" si="15"/>
        <v>0</v>
      </c>
      <c r="N72" s="478">
        <f t="shared" si="17"/>
        <v>0</v>
      </c>
      <c r="O72" s="493">
        <f t="shared" si="16"/>
        <v>0</v>
      </c>
      <c r="P72" s="493">
        <f t="shared" si="21"/>
        <v>0</v>
      </c>
      <c r="Q72" s="478">
        <f t="shared" si="18"/>
        <v>0</v>
      </c>
      <c r="R72" s="504">
        <f ca="1">IF(MEPPER2!$H$15="Protection cellule familiale",0,IF(K72=($C$6+($O$7-$C$6)-1),Q72,IF(Q72&lt;IF(($O$7-$C$6)=0,0,-PMT($O$5,($O$7-$C$6),$H$13)),Q72,IF(($O$7-$C$6)=0,0,-PMT($O$5,($O$7-$C$6),$H$13)))))</f>
        <v>0</v>
      </c>
      <c r="S72" s="478">
        <f t="shared" si="19"/>
        <v>0</v>
      </c>
      <c r="T72" s="478">
        <f t="shared" ca="1" si="9"/>
        <v>0</v>
      </c>
      <c r="U72" s="478">
        <f>S72*Données!$F$36</f>
        <v>0</v>
      </c>
      <c r="V72" s="478">
        <f>IF(M72&lt;=8,IF($H$10&gt;Données!$F$14,S72*Données!$F$28,0),IF($H$10&gt;Données!$F$13,MAX((S72-MEPPER2!$Q$23)*Données!$L$15,0),0))</f>
        <v>0</v>
      </c>
      <c r="W72" s="478">
        <f>IF(M72&lt;=8,IF($H$10&lt;=Données!$F$14,S72*$H$10,0),IF($H$10&lt;Données!$F$14,MAX((S72-MEPPER2!$Q$23)*$H$10,0),0))</f>
        <v>0</v>
      </c>
      <c r="X72" s="478">
        <f t="shared" si="22"/>
        <v>0</v>
      </c>
    </row>
    <row r="73" spans="1:24">
      <c r="A73" s="477">
        <f t="shared" ca="1" si="11"/>
        <v>99</v>
      </c>
      <c r="B73" s="478">
        <f t="shared" ca="1" si="12"/>
        <v>0</v>
      </c>
      <c r="C73" s="478">
        <v>0</v>
      </c>
      <c r="D73" s="478">
        <f ca="1">IFERROR(IF($H$5="",B73*'CT à Transf'!$K$28,B73*$H$5),B73*$H$5)</f>
        <v>0</v>
      </c>
      <c r="E73" s="478">
        <f t="shared" ca="1" si="13"/>
        <v>0</v>
      </c>
      <c r="F73" s="478">
        <f t="shared" ca="1" si="0"/>
        <v>0</v>
      </c>
      <c r="G73" s="478">
        <f t="shared" ca="1" si="4"/>
        <v>0</v>
      </c>
      <c r="H73" s="478">
        <f t="shared" ca="1" si="5"/>
        <v>0</v>
      </c>
      <c r="J73" s="476"/>
      <c r="K73" s="477">
        <f t="shared" si="14"/>
        <v>117</v>
      </c>
      <c r="L73" s="478">
        <f t="shared" si="20"/>
        <v>0</v>
      </c>
      <c r="M73" s="634">
        <f t="shared" si="15"/>
        <v>0</v>
      </c>
      <c r="N73" s="478">
        <f t="shared" si="17"/>
        <v>0</v>
      </c>
      <c r="O73" s="493">
        <f t="shared" si="16"/>
        <v>0</v>
      </c>
      <c r="P73" s="493">
        <f t="shared" si="21"/>
        <v>0</v>
      </c>
      <c r="Q73" s="478">
        <f t="shared" si="18"/>
        <v>0</v>
      </c>
      <c r="R73" s="504">
        <f ca="1">IF(MEPPER2!$H$15="Protection cellule familiale",0,IF(K73=($C$6+($O$7-$C$6)-1),Q73,IF(Q73&lt;IF(($O$7-$C$6)=0,0,-PMT($O$5,($O$7-$C$6),$H$13)),Q73,IF(($O$7-$C$6)=0,0,-PMT($O$5,($O$7-$C$6),$H$13)))))</f>
        <v>0</v>
      </c>
      <c r="S73" s="478">
        <f t="shared" si="19"/>
        <v>0</v>
      </c>
      <c r="T73" s="478">
        <f t="shared" ca="1" si="9"/>
        <v>0</v>
      </c>
      <c r="U73" s="478">
        <f>S73*Données!$F$36</f>
        <v>0</v>
      </c>
      <c r="V73" s="478">
        <f>IF(M73&lt;=8,IF($H$10&gt;Données!$F$14,S73*Données!$F$28,0),IF($H$10&gt;Données!$F$13,MAX((S73-MEPPER2!$Q$23)*Données!$L$15,0),0))</f>
        <v>0</v>
      </c>
      <c r="W73" s="478">
        <f>IF(M73&lt;=8,IF($H$10&lt;=Données!$F$14,S73*$H$10,0),IF($H$10&lt;Données!$F$14,MAX((S73-MEPPER2!$Q$23)*$H$10,0),0))</f>
        <v>0</v>
      </c>
      <c r="X73" s="478">
        <f t="shared" si="22"/>
        <v>0</v>
      </c>
    </row>
    <row r="74" spans="1:24">
      <c r="A74" s="477">
        <f t="shared" ca="1" si="11"/>
        <v>100</v>
      </c>
      <c r="B74" s="478">
        <f t="shared" ca="1" si="12"/>
        <v>0</v>
      </c>
      <c r="C74" s="478">
        <v>0</v>
      </c>
      <c r="D74" s="478">
        <f ca="1">IFERROR(IF($H$5="",B74*'CT à Transf'!$K$28,B74*$H$5),B74*$H$5)</f>
        <v>0</v>
      </c>
      <c r="E74" s="478">
        <f t="shared" ca="1" si="13"/>
        <v>0</v>
      </c>
      <c r="F74" s="478">
        <f t="shared" ca="1" si="0"/>
        <v>0</v>
      </c>
      <c r="G74" s="478">
        <f t="shared" ca="1" si="4"/>
        <v>0</v>
      </c>
      <c r="H74" s="478">
        <f t="shared" ca="1" si="5"/>
        <v>0</v>
      </c>
      <c r="J74" s="476"/>
      <c r="K74" s="477">
        <f t="shared" si="14"/>
        <v>118</v>
      </c>
      <c r="L74" s="478">
        <f t="shared" si="20"/>
        <v>0</v>
      </c>
      <c r="M74" s="634">
        <f t="shared" si="15"/>
        <v>0</v>
      </c>
      <c r="N74" s="478">
        <f t="shared" si="17"/>
        <v>0</v>
      </c>
      <c r="O74" s="493">
        <f t="shared" si="16"/>
        <v>0</v>
      </c>
      <c r="P74" s="493">
        <f t="shared" si="21"/>
        <v>0</v>
      </c>
      <c r="Q74" s="478">
        <f t="shared" si="18"/>
        <v>0</v>
      </c>
      <c r="R74" s="504">
        <f ca="1">IF(MEPPER2!$H$15="Protection cellule familiale",0,IF(K74=($C$6+($O$7-$C$6)-1),Q74,IF(Q74&lt;IF(($O$7-$C$6)=0,0,-PMT($O$5,($O$7-$C$6),$H$13)),Q74,IF(($O$7-$C$6)=0,0,-PMT($O$5,($O$7-$C$6),$H$13)))))</f>
        <v>0</v>
      </c>
      <c r="S74" s="478">
        <f t="shared" si="19"/>
        <v>0</v>
      </c>
      <c r="T74" s="478">
        <f t="shared" ca="1" si="9"/>
        <v>0</v>
      </c>
      <c r="U74" s="478">
        <f>S74*Données!$F$36</f>
        <v>0</v>
      </c>
      <c r="V74" s="478">
        <f>IF(M74&lt;=8,IF($H$10&gt;Données!$F$14,S74*Données!$F$28,0),IF($H$10&gt;Données!$F$13,MAX((S74-MEPPER2!$Q$23)*Données!$L$15,0),0))</f>
        <v>0</v>
      </c>
      <c r="W74" s="478">
        <f>IF(M74&lt;=8,IF($H$10&lt;=Données!$F$14,S74*$H$10,0),IF($H$10&lt;Données!$F$14,MAX((S74-MEPPER2!$Q$23)*$H$10,0),0))</f>
        <v>0</v>
      </c>
      <c r="X74" s="478">
        <f t="shared" si="22"/>
        <v>0</v>
      </c>
    </row>
    <row r="75" spans="1:24">
      <c r="A75" s="477">
        <f t="shared" ca="1" si="11"/>
        <v>101</v>
      </c>
      <c r="B75" s="478">
        <f t="shared" ca="1" si="12"/>
        <v>0</v>
      </c>
      <c r="C75" s="478">
        <v>0</v>
      </c>
      <c r="D75" s="478">
        <f ca="1">IFERROR(IF($H$5="",B75*'CT à Transf'!$K$28,B75*$H$5),B75*$H$5)</f>
        <v>0</v>
      </c>
      <c r="E75" s="478">
        <f t="shared" ca="1" si="13"/>
        <v>0</v>
      </c>
      <c r="F75" s="478">
        <f t="shared" ca="1" si="0"/>
        <v>0</v>
      </c>
      <c r="G75" s="478">
        <f t="shared" ca="1" si="4"/>
        <v>0</v>
      </c>
      <c r="H75" s="478">
        <f t="shared" ca="1" si="5"/>
        <v>0</v>
      </c>
      <c r="J75" s="476"/>
      <c r="K75" s="477">
        <f t="shared" si="14"/>
        <v>119</v>
      </c>
      <c r="L75" s="478">
        <f t="shared" si="20"/>
        <v>0</v>
      </c>
      <c r="M75" s="634">
        <f t="shared" si="15"/>
        <v>0</v>
      </c>
      <c r="N75" s="478">
        <f t="shared" si="17"/>
        <v>0</v>
      </c>
      <c r="O75" s="493">
        <f t="shared" si="16"/>
        <v>0</v>
      </c>
      <c r="P75" s="493">
        <f t="shared" si="21"/>
        <v>0</v>
      </c>
      <c r="Q75" s="478">
        <f t="shared" si="18"/>
        <v>0</v>
      </c>
      <c r="R75" s="504">
        <f ca="1">IF(MEPPER2!$H$15="Protection cellule familiale",0,IF(K75=($C$6+($O$7-$C$6)-1),Q75,IF(Q75&lt;IF(($O$7-$C$6)=0,0,-PMT($O$5,($O$7-$C$6),$H$13)),Q75,IF(($O$7-$C$6)=0,0,-PMT($O$5,($O$7-$C$6),$H$13)))))</f>
        <v>0</v>
      </c>
      <c r="S75" s="478">
        <f t="shared" si="19"/>
        <v>0</v>
      </c>
      <c r="T75" s="478">
        <f t="shared" ca="1" si="9"/>
        <v>0</v>
      </c>
      <c r="U75" s="478">
        <f>S75*Données!$F$36</f>
        <v>0</v>
      </c>
      <c r="V75" s="478">
        <f>IF(M75&lt;=8,IF($H$10&gt;Données!$F$14,S75*Données!$F$28,0),IF($H$10&gt;Données!$F$13,MAX((S75-MEPPER2!$Q$23)*Données!$L$15,0),0))</f>
        <v>0</v>
      </c>
      <c r="W75" s="478">
        <f>IF(M75&lt;=8,IF($H$10&lt;=Données!$F$14,S75*$H$10,0),IF($H$10&lt;Données!$F$14,MAX((S75-MEPPER2!$Q$23)*$H$10,0),0))</f>
        <v>0</v>
      </c>
      <c r="X75" s="478">
        <f t="shared" si="22"/>
        <v>0</v>
      </c>
    </row>
    <row r="76" spans="1:24">
      <c r="A76" s="477">
        <f t="shared" ca="1" si="11"/>
        <v>102</v>
      </c>
      <c r="B76" s="478">
        <f t="shared" ca="1" si="12"/>
        <v>0</v>
      </c>
      <c r="C76" s="478">
        <v>0</v>
      </c>
      <c r="D76" s="478">
        <f ca="1">IFERROR(IF($H$5="",B76*'CT à Transf'!$K$28,B76*$H$5),B76*$H$5)</f>
        <v>0</v>
      </c>
      <c r="E76" s="478">
        <f t="shared" ca="1" si="13"/>
        <v>0</v>
      </c>
      <c r="F76" s="478">
        <f t="shared" ca="1" si="0"/>
        <v>0</v>
      </c>
      <c r="G76" s="478">
        <f t="shared" ca="1" si="4"/>
        <v>0</v>
      </c>
      <c r="H76" s="478">
        <f t="shared" ca="1" si="5"/>
        <v>0</v>
      </c>
      <c r="J76" s="476"/>
      <c r="K76" s="477">
        <f t="shared" si="14"/>
        <v>120</v>
      </c>
      <c r="L76" s="478">
        <f t="shared" si="20"/>
        <v>0</v>
      </c>
      <c r="M76" s="634">
        <f t="shared" si="15"/>
        <v>0</v>
      </c>
      <c r="N76" s="478">
        <f t="shared" si="17"/>
        <v>0</v>
      </c>
      <c r="O76" s="493">
        <f t="shared" si="16"/>
        <v>0</v>
      </c>
      <c r="P76" s="493">
        <f t="shared" si="21"/>
        <v>0</v>
      </c>
      <c r="Q76" s="478">
        <f t="shared" si="18"/>
        <v>0</v>
      </c>
      <c r="R76" s="504">
        <f ca="1">IF(MEPPER2!$H$15="Protection cellule familiale",0,IF(K76=($C$6+($O$7-$C$6)-1),Q76,IF(Q76&lt;IF(($O$7-$C$6)=0,0,-PMT($O$5,($O$7-$C$6),$H$13)),Q76,IF(($O$7-$C$6)=0,0,-PMT($O$5,($O$7-$C$6),$H$13)))))</f>
        <v>0</v>
      </c>
      <c r="S76" s="478">
        <f t="shared" si="19"/>
        <v>0</v>
      </c>
      <c r="T76" s="478">
        <f t="shared" ca="1" si="9"/>
        <v>0</v>
      </c>
      <c r="U76" s="478">
        <f>S76*Données!$F$36</f>
        <v>0</v>
      </c>
      <c r="V76" s="478">
        <f>IF(M76&lt;=8,IF($H$10&gt;Données!$F$14,S76*Données!$F$28,0),IF($H$10&gt;Données!$F$13,MAX((S76-MEPPER2!$Q$23)*Données!$L$15,0),0))</f>
        <v>0</v>
      </c>
      <c r="W76" s="478">
        <f>IF(M76&lt;=8,IF($H$10&lt;=Données!$F$14,S76*$H$10,0),IF($H$10&lt;Données!$F$14,MAX((S76-MEPPER2!$Q$23)*$H$10,0),0))</f>
        <v>0</v>
      </c>
      <c r="X76" s="478">
        <f t="shared" si="22"/>
        <v>0</v>
      </c>
    </row>
    <row r="77" spans="1:24">
      <c r="A77" s="477">
        <f t="shared" ca="1" si="11"/>
        <v>103</v>
      </c>
      <c r="B77" s="478">
        <f t="shared" ca="1" si="12"/>
        <v>0</v>
      </c>
      <c r="C77" s="478">
        <v>0</v>
      </c>
      <c r="D77" s="478">
        <f ca="1">IFERROR(IF($H$5="",B77*'CT à Transf'!$K$28,B77*$H$5),B77*$H$5)</f>
        <v>0</v>
      </c>
      <c r="E77" s="478">
        <f t="shared" ca="1" si="13"/>
        <v>0</v>
      </c>
      <c r="F77" s="478">
        <f t="shared" ca="1" si="0"/>
        <v>0</v>
      </c>
      <c r="G77" s="478">
        <f t="shared" ca="1" si="4"/>
        <v>0</v>
      </c>
      <c r="H77" s="478">
        <f t="shared" ca="1" si="5"/>
        <v>0</v>
      </c>
      <c r="J77" s="476"/>
      <c r="K77" s="477">
        <f t="shared" si="14"/>
        <v>121</v>
      </c>
      <c r="L77" s="478">
        <f t="shared" si="20"/>
        <v>0</v>
      </c>
      <c r="M77" s="634">
        <f t="shared" si="15"/>
        <v>0</v>
      </c>
      <c r="N77" s="478">
        <f t="shared" si="17"/>
        <v>0</v>
      </c>
      <c r="O77" s="493">
        <f t="shared" si="16"/>
        <v>0</v>
      </c>
      <c r="P77" s="493">
        <f t="shared" si="21"/>
        <v>0</v>
      </c>
      <c r="Q77" s="478">
        <f t="shared" si="18"/>
        <v>0</v>
      </c>
      <c r="R77" s="504">
        <f ca="1">IF(MEPPER2!$H$15="Protection cellule familiale",0,IF(K77=($C$6+($O$7-$C$6)-1),Q77,IF(Q77&lt;IF(($O$7-$C$6)=0,0,-PMT($O$5,($O$7-$C$6),$H$13)),Q77,IF(($O$7-$C$6)=0,0,-PMT($O$5,($O$7-$C$6),$H$13)))))</f>
        <v>0</v>
      </c>
      <c r="S77" s="478">
        <f t="shared" si="19"/>
        <v>0</v>
      </c>
      <c r="T77" s="478">
        <f t="shared" ca="1" si="9"/>
        <v>0</v>
      </c>
      <c r="U77" s="478">
        <f>S77*Données!$F$36</f>
        <v>0</v>
      </c>
      <c r="V77" s="478">
        <f>IF(M77&lt;=8,IF($H$10&gt;Données!$F$14,S77*Données!$F$28,0),IF($H$10&gt;Données!$F$13,MAX((S77-MEPPER2!$Q$23)*Données!$L$15,0),0))</f>
        <v>0</v>
      </c>
      <c r="W77" s="478">
        <f>IF(M77&lt;=8,IF($H$10&lt;=Données!$F$14,S77*$H$10,0),IF($H$10&lt;Données!$F$14,MAX((S77-MEPPER2!$Q$23)*$H$10,0),0))</f>
        <v>0</v>
      </c>
      <c r="X77" s="478">
        <f t="shared" si="22"/>
        <v>0</v>
      </c>
    </row>
    <row r="78" spans="1:24">
      <c r="A78" s="477">
        <f t="shared" ca="1" si="11"/>
        <v>104</v>
      </c>
      <c r="B78" s="478">
        <f t="shared" ca="1" si="12"/>
        <v>0</v>
      </c>
      <c r="C78" s="478">
        <v>0</v>
      </c>
      <c r="D78" s="478">
        <f ca="1">IFERROR(IF($H$5="",B78*'CT à Transf'!$K$28,B78*$H$5),B78*$H$5)</f>
        <v>0</v>
      </c>
      <c r="E78" s="478">
        <f t="shared" ca="1" si="13"/>
        <v>0</v>
      </c>
      <c r="F78" s="478">
        <f t="shared" ca="1" si="0"/>
        <v>0</v>
      </c>
      <c r="G78" s="478">
        <f t="shared" ca="1" si="4"/>
        <v>0</v>
      </c>
      <c r="H78" s="478">
        <f t="shared" ca="1" si="5"/>
        <v>0</v>
      </c>
      <c r="J78" s="476"/>
      <c r="K78" s="477">
        <f t="shared" si="14"/>
        <v>122</v>
      </c>
      <c r="L78" s="478">
        <f t="shared" si="20"/>
        <v>0</v>
      </c>
      <c r="M78" s="634">
        <f t="shared" si="15"/>
        <v>0</v>
      </c>
      <c r="N78" s="478">
        <f t="shared" si="17"/>
        <v>0</v>
      </c>
      <c r="O78" s="493">
        <f t="shared" si="16"/>
        <v>0</v>
      </c>
      <c r="P78" s="493">
        <f t="shared" si="21"/>
        <v>0</v>
      </c>
      <c r="Q78" s="478">
        <f t="shared" si="18"/>
        <v>0</v>
      </c>
      <c r="R78" s="504">
        <f ca="1">IF(MEPPER2!$H$15="Protection cellule familiale",0,IF(K78=($C$6+($O$7-$C$6)-1),Q78,IF(Q78&lt;IF(($O$7-$C$6)=0,0,-PMT($O$5,($O$7-$C$6),$H$13)),Q78,IF(($O$7-$C$6)=0,0,-PMT($O$5,($O$7-$C$6),$H$13)))))</f>
        <v>0</v>
      </c>
      <c r="S78" s="478">
        <f t="shared" si="19"/>
        <v>0</v>
      </c>
      <c r="T78" s="478">
        <f t="shared" ca="1" si="9"/>
        <v>0</v>
      </c>
      <c r="U78" s="478">
        <f>S78*Données!$F$36</f>
        <v>0</v>
      </c>
      <c r="V78" s="478">
        <f>IF(M78&lt;=8,IF($H$10&gt;Données!$F$14,S78*Données!$F$28,0),IF($H$10&gt;Données!$F$13,MAX((S78-MEPPER2!$Q$23)*Données!$L$15,0),0))</f>
        <v>0</v>
      </c>
      <c r="W78" s="478">
        <f>IF(M78&lt;=8,IF($H$10&lt;=Données!$F$14,S78*$H$10,0),IF($H$10&lt;Données!$F$14,MAX((S78-MEPPER2!$Q$23)*$H$10,0),0))</f>
        <v>0</v>
      </c>
      <c r="X78" s="478">
        <f t="shared" si="22"/>
        <v>0</v>
      </c>
    </row>
    <row r="79" spans="1:24">
      <c r="A79" s="477">
        <f t="shared" ca="1" si="11"/>
        <v>105</v>
      </c>
      <c r="B79" s="478">
        <f t="shared" ca="1" si="12"/>
        <v>0</v>
      </c>
      <c r="C79" s="478">
        <v>0</v>
      </c>
      <c r="D79" s="478">
        <f ca="1">IFERROR(IF($H$5="",B79*'CT à Transf'!$K$28,B79*$H$5),B79*$H$5)</f>
        <v>0</v>
      </c>
      <c r="E79" s="478">
        <f t="shared" ca="1" si="13"/>
        <v>0</v>
      </c>
      <c r="F79" s="478">
        <f t="shared" ca="1" si="0"/>
        <v>0</v>
      </c>
      <c r="G79" s="478">
        <f t="shared" ca="1" si="4"/>
        <v>0</v>
      </c>
      <c r="H79" s="478">
        <f t="shared" ca="1" si="5"/>
        <v>0</v>
      </c>
      <c r="J79" s="476"/>
      <c r="K79" s="477">
        <f t="shared" si="14"/>
        <v>123</v>
      </c>
      <c r="L79" s="478">
        <f t="shared" si="20"/>
        <v>0</v>
      </c>
      <c r="M79" s="634">
        <f t="shared" si="15"/>
        <v>0</v>
      </c>
      <c r="N79" s="478">
        <f t="shared" si="17"/>
        <v>0</v>
      </c>
      <c r="O79" s="493">
        <f t="shared" si="16"/>
        <v>0</v>
      </c>
      <c r="P79" s="493">
        <f t="shared" si="21"/>
        <v>0</v>
      </c>
      <c r="Q79" s="478">
        <f t="shared" si="18"/>
        <v>0</v>
      </c>
      <c r="R79" s="504">
        <f ca="1">IF(MEPPER2!$H$15="Protection cellule familiale",0,IF(K79=($C$6+($O$7-$C$6)-1),Q79,IF(Q79&lt;IF(($O$7-$C$6)=0,0,-PMT($O$5,($O$7-$C$6),$H$13)),Q79,IF(($O$7-$C$6)=0,0,-PMT($O$5,($O$7-$C$6),$H$13)))))</f>
        <v>0</v>
      </c>
      <c r="S79" s="478">
        <f t="shared" si="19"/>
        <v>0</v>
      </c>
      <c r="T79" s="478">
        <f t="shared" ca="1" si="9"/>
        <v>0</v>
      </c>
      <c r="U79" s="478">
        <f>S79*Données!$F$36</f>
        <v>0</v>
      </c>
      <c r="V79" s="478">
        <f>IF(M79&lt;=8,IF($H$10&gt;Données!$F$14,S79*Données!$F$28,0),IF($H$10&gt;Données!$F$13,MAX((S79-MEPPER2!$Q$23)*Données!$L$15,0),0))</f>
        <v>0</v>
      </c>
      <c r="W79" s="478">
        <f>IF(M79&lt;=8,IF($H$10&lt;=Données!$F$14,S79*$H$10,0),IF($H$10&lt;Données!$F$14,MAX((S79-MEPPER2!$Q$23)*$H$10,0),0))</f>
        <v>0</v>
      </c>
      <c r="X79" s="478">
        <f t="shared" si="22"/>
        <v>0</v>
      </c>
    </row>
    <row r="80" spans="1:24">
      <c r="A80" s="477">
        <f t="shared" ca="1" si="11"/>
        <v>106</v>
      </c>
      <c r="B80" s="478">
        <f t="shared" ca="1" si="12"/>
        <v>0</v>
      </c>
      <c r="C80" s="478">
        <v>0</v>
      </c>
      <c r="D80" s="478">
        <f ca="1">IFERROR(IF($H$5="",B80*'CT à Transf'!$K$28,B80*$H$5),B80*$H$5)</f>
        <v>0</v>
      </c>
      <c r="E80" s="478">
        <f t="shared" ca="1" si="13"/>
        <v>0</v>
      </c>
      <c r="F80" s="478">
        <f t="shared" ca="1" si="0"/>
        <v>0</v>
      </c>
      <c r="G80" s="478">
        <f t="shared" ca="1" si="4"/>
        <v>0</v>
      </c>
      <c r="H80" s="478">
        <f t="shared" ca="1" si="5"/>
        <v>0</v>
      </c>
      <c r="J80" s="476"/>
      <c r="K80" s="477">
        <f t="shared" si="14"/>
        <v>124</v>
      </c>
      <c r="L80" s="478">
        <f t="shared" si="20"/>
        <v>0</v>
      </c>
      <c r="M80" s="634">
        <f t="shared" si="15"/>
        <v>0</v>
      </c>
      <c r="N80" s="478">
        <f t="shared" si="17"/>
        <v>0</v>
      </c>
      <c r="O80" s="493">
        <f t="shared" si="16"/>
        <v>0</v>
      </c>
      <c r="P80" s="493">
        <f t="shared" si="21"/>
        <v>0</v>
      </c>
      <c r="Q80" s="478">
        <f t="shared" si="18"/>
        <v>0</v>
      </c>
      <c r="R80" s="504">
        <f ca="1">IF(MEPPER2!$H$15="Protection cellule familiale",0,IF(K80=($C$6+($O$7-$C$6)-1),Q80,IF(Q80&lt;IF(($O$7-$C$6)=0,0,-PMT($O$5,($O$7-$C$6),$H$13)),Q80,IF(($O$7-$C$6)=0,0,-PMT($O$5,($O$7-$C$6),$H$13)))))</f>
        <v>0</v>
      </c>
      <c r="S80" s="478">
        <f t="shared" si="19"/>
        <v>0</v>
      </c>
      <c r="T80" s="478">
        <f t="shared" ca="1" si="9"/>
        <v>0</v>
      </c>
      <c r="U80" s="478">
        <f>S80*Données!$F$36</f>
        <v>0</v>
      </c>
      <c r="V80" s="478">
        <f>IF(M80&lt;=8,IF($H$10&gt;Données!$F$14,S80*Données!$F$28,0),IF($H$10&gt;Données!$F$13,MAX((S80-MEPPER2!$Q$23)*Données!$L$15,0),0))</f>
        <v>0</v>
      </c>
      <c r="W80" s="478">
        <f>IF(M80&lt;=8,IF($H$10&lt;=Données!$F$14,S80*$H$10,0),IF($H$10&lt;Données!$F$14,MAX((S80-MEPPER2!$Q$23)*$H$10,0),0))</f>
        <v>0</v>
      </c>
      <c r="X80" s="478">
        <f t="shared" si="22"/>
        <v>0</v>
      </c>
    </row>
    <row r="81" spans="1:24">
      <c r="A81" s="477">
        <f t="shared" ca="1" si="11"/>
        <v>107</v>
      </c>
      <c r="B81" s="478">
        <f t="shared" ca="1" si="12"/>
        <v>0</v>
      </c>
      <c r="C81" s="478">
        <v>0</v>
      </c>
      <c r="D81" s="478">
        <f ca="1">IFERROR(IF($H$5="",B81*'CT à Transf'!$K$28,B81*$H$5),B81*$H$5)</f>
        <v>0</v>
      </c>
      <c r="E81" s="478">
        <f t="shared" ca="1" si="13"/>
        <v>0</v>
      </c>
      <c r="F81" s="478">
        <f t="shared" ca="1" si="0"/>
        <v>0</v>
      </c>
      <c r="G81" s="478">
        <f t="shared" ca="1" si="4"/>
        <v>0</v>
      </c>
      <c r="H81" s="478">
        <f t="shared" ca="1" si="5"/>
        <v>0</v>
      </c>
      <c r="J81" s="476"/>
      <c r="K81" s="477">
        <f t="shared" si="14"/>
        <v>125</v>
      </c>
      <c r="L81" s="478">
        <f t="shared" si="20"/>
        <v>0</v>
      </c>
      <c r="M81" s="634">
        <f t="shared" si="15"/>
        <v>0</v>
      </c>
      <c r="N81" s="478">
        <f t="shared" si="17"/>
        <v>0</v>
      </c>
      <c r="O81" s="493">
        <f t="shared" si="16"/>
        <v>0</v>
      </c>
      <c r="P81" s="493">
        <f t="shared" si="21"/>
        <v>0</v>
      </c>
      <c r="Q81" s="478">
        <f t="shared" si="18"/>
        <v>0</v>
      </c>
      <c r="R81" s="504">
        <f ca="1">IF(MEPPER2!$H$15="Protection cellule familiale",0,IF(K81=($C$6+($O$7-$C$6)-1),Q81,IF(Q81&lt;IF(($O$7-$C$6)=0,0,-PMT($O$5,($O$7-$C$6),$H$13)),Q81,IF(($O$7-$C$6)=0,0,-PMT($O$5,($O$7-$C$6),$H$13)))))</f>
        <v>0</v>
      </c>
      <c r="S81" s="478">
        <f t="shared" si="19"/>
        <v>0</v>
      </c>
      <c r="T81" s="478">
        <f t="shared" ca="1" si="9"/>
        <v>0</v>
      </c>
      <c r="U81" s="478">
        <f>S81*Données!$F$36</f>
        <v>0</v>
      </c>
      <c r="V81" s="478">
        <f>IF(M81&lt;=8,IF($H$10&gt;Données!$F$14,S81*Données!$F$28,0),IF($H$10&gt;Données!$F$13,MAX((S81-MEPPER2!$Q$23)*Données!$L$15,0),0))</f>
        <v>0</v>
      </c>
      <c r="W81" s="478">
        <f>IF(M81&lt;=8,IF($H$10&lt;=Données!$F$14,S81*$H$10,0),IF($H$10&lt;Données!$F$14,MAX((S81-MEPPER2!$Q$23)*$H$10,0),0))</f>
        <v>0</v>
      </c>
      <c r="X81" s="478">
        <f t="shared" si="22"/>
        <v>0</v>
      </c>
    </row>
    <row r="82" spans="1:24">
      <c r="A82" s="477">
        <f t="shared" ca="1" si="11"/>
        <v>108</v>
      </c>
      <c r="B82" s="478">
        <f t="shared" ca="1" si="12"/>
        <v>0</v>
      </c>
      <c r="C82" s="478">
        <v>0</v>
      </c>
      <c r="D82" s="478">
        <f ca="1">IFERROR(IF($H$5="",B82*'CT à Transf'!$K$28,B82*$H$5),B82*$H$5)</f>
        <v>0</v>
      </c>
      <c r="E82" s="478">
        <f t="shared" ca="1" si="13"/>
        <v>0</v>
      </c>
      <c r="F82" s="478">
        <f t="shared" ca="1" si="0"/>
        <v>0</v>
      </c>
      <c r="G82" s="478">
        <f t="shared" ca="1" si="4"/>
        <v>0</v>
      </c>
      <c r="H82" s="478">
        <f t="shared" ca="1" si="5"/>
        <v>0</v>
      </c>
      <c r="J82" s="476"/>
      <c r="K82" s="477">
        <f t="shared" si="14"/>
        <v>126</v>
      </c>
      <c r="L82" s="478">
        <f t="shared" si="20"/>
        <v>0</v>
      </c>
      <c r="M82" s="634">
        <f t="shared" si="15"/>
        <v>0</v>
      </c>
      <c r="N82" s="478">
        <f t="shared" si="17"/>
        <v>0</v>
      </c>
      <c r="O82" s="493">
        <f t="shared" si="16"/>
        <v>0</v>
      </c>
      <c r="P82" s="493">
        <f t="shared" si="21"/>
        <v>0</v>
      </c>
      <c r="Q82" s="478">
        <f t="shared" si="18"/>
        <v>0</v>
      </c>
      <c r="R82" s="504">
        <f ca="1">IF(MEPPER2!$H$15="Protection cellule familiale",0,IF(K82=($C$6+($O$7-$C$6)-1),Q82,IF(Q82&lt;IF(($O$7-$C$6)=0,0,-PMT($O$5,($O$7-$C$6),$H$13)),Q82,IF(($O$7-$C$6)=0,0,-PMT($O$5,($O$7-$C$6),$H$13)))))</f>
        <v>0</v>
      </c>
      <c r="S82" s="478">
        <f t="shared" si="19"/>
        <v>0</v>
      </c>
      <c r="T82" s="478">
        <f t="shared" ca="1" si="9"/>
        <v>0</v>
      </c>
      <c r="U82" s="478">
        <f>S82*Données!$F$36</f>
        <v>0</v>
      </c>
      <c r="V82" s="478">
        <f>IF(M82&lt;=8,IF($H$10&gt;Données!$F$14,S82*Données!$F$28,0),IF($H$10&gt;Données!$F$13,MAX((S82-MEPPER2!$Q$23)*Données!$L$15,0),0))</f>
        <v>0</v>
      </c>
      <c r="W82" s="478">
        <f>IF(M82&lt;=8,IF($H$10&lt;=Données!$F$14,S82*$H$10,0),IF($H$10&lt;Données!$F$14,MAX((S82-MEPPER2!$Q$23)*$H$10,0),0))</f>
        <v>0</v>
      </c>
      <c r="X82" s="478">
        <f t="shared" si="22"/>
        <v>0</v>
      </c>
    </row>
    <row r="83" spans="1:24">
      <c r="A83" s="477">
        <f t="shared" ca="1" si="11"/>
        <v>109</v>
      </c>
      <c r="B83" s="478">
        <f t="shared" ca="1" si="12"/>
        <v>0</v>
      </c>
      <c r="C83" s="478">
        <v>0</v>
      </c>
      <c r="D83" s="478">
        <f ca="1">IFERROR(IF($H$5="",B83*'CT à Transf'!$K$28,B83*$H$5),B83*$H$5)</f>
        <v>0</v>
      </c>
      <c r="E83" s="478">
        <f t="shared" ca="1" si="13"/>
        <v>0</v>
      </c>
      <c r="F83" s="478">
        <f t="shared" ca="1" si="0"/>
        <v>0</v>
      </c>
      <c r="G83" s="478">
        <f t="shared" ca="1" si="4"/>
        <v>0</v>
      </c>
      <c r="H83" s="478">
        <f t="shared" ca="1" si="5"/>
        <v>0</v>
      </c>
      <c r="J83" s="476"/>
      <c r="K83" s="477">
        <f t="shared" si="14"/>
        <v>127</v>
      </c>
      <c r="L83" s="478">
        <f t="shared" si="20"/>
        <v>0</v>
      </c>
      <c r="M83" s="634">
        <f t="shared" si="15"/>
        <v>0</v>
      </c>
      <c r="N83" s="478">
        <f t="shared" si="17"/>
        <v>0</v>
      </c>
      <c r="O83" s="493">
        <f t="shared" si="16"/>
        <v>0</v>
      </c>
      <c r="P83" s="493">
        <f t="shared" si="21"/>
        <v>0</v>
      </c>
      <c r="Q83" s="478">
        <f t="shared" si="18"/>
        <v>0</v>
      </c>
      <c r="R83" s="504">
        <f ca="1">IF(MEPPER2!$H$15="Protection cellule familiale",0,IF(K83=($C$6+($O$7-$C$6)-1),Q83,IF(Q83&lt;IF(($O$7-$C$6)=0,0,-PMT($O$5,($O$7-$C$6),$H$13)),Q83,IF(($O$7-$C$6)=0,0,-PMT($O$5,($O$7-$C$6),$H$13)))))</f>
        <v>0</v>
      </c>
      <c r="S83" s="478">
        <f t="shared" si="19"/>
        <v>0</v>
      </c>
      <c r="T83" s="478">
        <f t="shared" ca="1" si="9"/>
        <v>0</v>
      </c>
      <c r="U83" s="478">
        <f>S83*Données!$F$36</f>
        <v>0</v>
      </c>
      <c r="V83" s="478">
        <f>IF(M83&lt;=8,IF($H$10&gt;Données!$F$14,S83*Données!$F$28,0),IF($H$10&gt;Données!$F$13,MAX((S83-MEPPER2!$Q$23)*Données!$L$15,0),0))</f>
        <v>0</v>
      </c>
      <c r="W83" s="478">
        <f>IF(M83&lt;=8,IF($H$10&lt;=Données!$F$14,S83*$H$10,0),IF($H$10&lt;Données!$F$14,MAX((S83-MEPPER2!$Q$23)*$H$10,0),0))</f>
        <v>0</v>
      </c>
      <c r="X83" s="478">
        <f t="shared" si="22"/>
        <v>0</v>
      </c>
    </row>
    <row r="84" spans="1:24">
      <c r="A84" s="477">
        <f t="shared" ca="1" si="11"/>
        <v>110</v>
      </c>
      <c r="B84" s="478">
        <f t="shared" ca="1" si="12"/>
        <v>0</v>
      </c>
      <c r="C84" s="478">
        <v>0</v>
      </c>
      <c r="D84" s="478">
        <f ca="1">IFERROR(IF($H$5="",B84*'CT à Transf'!$K$28,B84*$H$5),B84*$H$5)</f>
        <v>0</v>
      </c>
      <c r="E84" s="478">
        <f t="shared" ca="1" si="13"/>
        <v>0</v>
      </c>
      <c r="F84" s="478">
        <f t="shared" ref="F84:F108" ca="1" si="23">E84*$H$6</f>
        <v>0</v>
      </c>
      <c r="G84" s="478">
        <f t="shared" ca="1" si="4"/>
        <v>0</v>
      </c>
      <c r="H84" s="478">
        <f t="shared" ca="1" si="5"/>
        <v>0</v>
      </c>
      <c r="J84" s="476"/>
      <c r="K84" s="477">
        <f t="shared" si="14"/>
        <v>128</v>
      </c>
      <c r="L84" s="478">
        <f t="shared" si="20"/>
        <v>0</v>
      </c>
      <c r="M84" s="634">
        <f t="shared" si="15"/>
        <v>0</v>
      </c>
      <c r="N84" s="478">
        <f t="shared" ref="N84:N108" si="24">IF(K84&gt;=$O$9,0,L84*$O$5)</f>
        <v>0</v>
      </c>
      <c r="O84" s="493">
        <f t="shared" si="16"/>
        <v>0</v>
      </c>
      <c r="P84" s="493">
        <f t="shared" si="21"/>
        <v>0</v>
      </c>
      <c r="Q84" s="478">
        <f t="shared" ref="Q84:Q108" si="25">IF(K84&gt;=$O$9,0,O84+P84)</f>
        <v>0</v>
      </c>
      <c r="R84" s="504">
        <f ca="1">IF(MEPPER2!$H$15="Protection cellule familiale",0,IF(K84=($C$6+($O$7-$C$6)-1),Q84,IF(Q84&lt;IF(($O$7-$C$6)=0,0,-PMT($O$5,($O$7-$C$6),$H$13)),Q84,IF(($O$7-$C$6)=0,0,-PMT($O$5,($O$7-$C$6),$H$13)))))</f>
        <v>0</v>
      </c>
      <c r="S84" s="478">
        <f t="shared" ref="S84:S108" si="26">IF(K84&gt;=$O$9,0,IF(L84=ROUND(0,1),0,IF((O84+N84)&lt;(R84-(P84*R84/(P84+O84))),(O84+N84),R84-(P84*R84/(P84+O84)))))</f>
        <v>0</v>
      </c>
      <c r="T84" s="478">
        <f t="shared" ca="1" si="9"/>
        <v>0</v>
      </c>
      <c r="U84" s="478">
        <f>S84*Données!$F$36</f>
        <v>0</v>
      </c>
      <c r="V84" s="478">
        <f>IF(M84&lt;=8,IF($H$10&gt;Données!$F$14,S84*Données!$F$28,0),IF($H$10&gt;Données!$F$13,MAX((S84-MEPPER2!$Q$23)*Données!$L$15,0),0))</f>
        <v>0</v>
      </c>
      <c r="W84" s="478">
        <f>IF(M84&lt;=8,IF($H$10&lt;=Données!$F$14,S84*$H$10,0),IF($H$10&lt;Données!$F$14,MAX((S84-MEPPER2!$Q$23)*$H$10,0),0))</f>
        <v>0</v>
      </c>
      <c r="X84" s="478">
        <f t="shared" si="22"/>
        <v>0</v>
      </c>
    </row>
    <row r="85" spans="1:24">
      <c r="A85" s="477">
        <f t="shared" ca="1" si="11"/>
        <v>111</v>
      </c>
      <c r="B85" s="478">
        <f t="shared" ca="1" si="12"/>
        <v>0</v>
      </c>
      <c r="C85" s="478">
        <v>0</v>
      </c>
      <c r="D85" s="478">
        <f ca="1">IFERROR(IF($H$5="",B85*'CT à Transf'!$K$28,B85*$H$5),B85*$H$5)</f>
        <v>0</v>
      </c>
      <c r="E85" s="478">
        <f t="shared" ca="1" si="13"/>
        <v>0</v>
      </c>
      <c r="F85" s="478">
        <f t="shared" ca="1" si="23"/>
        <v>0</v>
      </c>
      <c r="G85" s="478">
        <f t="shared" ref="G85:G108" ca="1" si="27">IF(A85&lt;$C$6,(G84*(1+$H$6))+(E85+F85),0)</f>
        <v>0</v>
      </c>
      <c r="H85" s="478">
        <f t="shared" ref="H85:H108" ca="1" si="28">IF(G86&gt;0,0,G85)</f>
        <v>0</v>
      </c>
      <c r="J85" s="476"/>
      <c r="K85" s="477">
        <f t="shared" si="14"/>
        <v>129</v>
      </c>
      <c r="L85" s="478">
        <f t="shared" ref="L85:L108" si="29">IF(K85&lt;=$O$9,IF((L84+N84)&lt;=IF(($O$7-$C$6)=0,0,-PMT($O$5,($O$7-$C$6),$H$13))+1,0,L84+N84-R84),0)</f>
        <v>0</v>
      </c>
      <c r="M85" s="634">
        <f t="shared" si="15"/>
        <v>0</v>
      </c>
      <c r="N85" s="478">
        <f t="shared" si="24"/>
        <v>0</v>
      </c>
      <c r="O85" s="493">
        <f t="shared" si="16"/>
        <v>0</v>
      </c>
      <c r="P85" s="493">
        <f t="shared" ref="P85:P108" si="30">IF(K85&gt;=$O$9,0,IF((P84-T84)&lt;1,0,P84-T84))</f>
        <v>0</v>
      </c>
      <c r="Q85" s="478">
        <f t="shared" si="25"/>
        <v>0</v>
      </c>
      <c r="R85" s="504">
        <f ca="1">IF(MEPPER2!$H$15="Protection cellule familiale",0,IF(K85=($C$6+($O$7-$C$6)-1),Q85,IF(Q85&lt;IF(($O$7-$C$6)=0,0,-PMT($O$5,($O$7-$C$6),$H$13)),Q85,IF(($O$7-$C$6)=0,0,-PMT($O$5,($O$7-$C$6),$H$13)))))</f>
        <v>0</v>
      </c>
      <c r="S85" s="478">
        <f t="shared" si="26"/>
        <v>0</v>
      </c>
      <c r="T85" s="478">
        <f t="shared" ref="T85:T108" ca="1" si="31">IF((R85-S85)&gt;P85,P85,R85-S85)</f>
        <v>0</v>
      </c>
      <c r="U85" s="478">
        <f>S85*Données!$F$36</f>
        <v>0</v>
      </c>
      <c r="V85" s="478">
        <f>IF(M85&lt;=8,IF($H$10&gt;Données!$F$14,S85*Données!$F$28,0),IF($H$10&gt;Données!$F$13,MAX((S85-MEPPER2!$Q$23)*Données!$L$15,0),0))</f>
        <v>0</v>
      </c>
      <c r="W85" s="478">
        <f>IF(M85&lt;=8,IF($H$10&lt;=Données!$F$14,S85*$H$10,0),IF($H$10&lt;Données!$F$14,MAX((S85-MEPPER2!$Q$23)*$H$10,0),0))</f>
        <v>0</v>
      </c>
      <c r="X85" s="478">
        <f t="shared" ref="X85:X108" si="32">IF(K85&lt;$O$9,IF(R85&gt;0,R85-U85-V85-W85,0),0)</f>
        <v>0</v>
      </c>
    </row>
    <row r="86" spans="1:24">
      <c r="A86" s="477">
        <f t="shared" ref="A86:A108" ca="1" si="33">A85+1</f>
        <v>112</v>
      </c>
      <c r="B86" s="478">
        <f t="shared" ref="B86:B108" ca="1" si="34">IF(A86=$C$6,0,IF(A86&lt;$C$6,$C$9,0))</f>
        <v>0</v>
      </c>
      <c r="C86" s="478">
        <v>0</v>
      </c>
      <c r="D86" s="478">
        <f ca="1">IFERROR(IF($H$5="",B86*'CT à Transf'!$K$28,B86*$H$5),B86*$H$5)</f>
        <v>0</v>
      </c>
      <c r="E86" s="478">
        <f t="shared" ref="E86:E108" ca="1" si="35">B86-D86</f>
        <v>0</v>
      </c>
      <c r="F86" s="478">
        <f t="shared" ca="1" si="23"/>
        <v>0</v>
      </c>
      <c r="G86" s="478">
        <f t="shared" ca="1" si="27"/>
        <v>0</v>
      </c>
      <c r="H86" s="478">
        <f t="shared" ca="1" si="28"/>
        <v>0</v>
      </c>
      <c r="J86" s="476"/>
      <c r="K86" s="477">
        <f t="shared" ref="K86:K108" si="36">K85+1</f>
        <v>130</v>
      </c>
      <c r="L86" s="478">
        <f t="shared" si="29"/>
        <v>0</v>
      </c>
      <c r="M86" s="634">
        <f t="shared" ref="M86:M108" si="37">IF(L86=0,0,M85+1)</f>
        <v>0</v>
      </c>
      <c r="N86" s="478">
        <f t="shared" si="24"/>
        <v>0</v>
      </c>
      <c r="O86" s="493">
        <f t="shared" si="16"/>
        <v>0</v>
      </c>
      <c r="P86" s="493">
        <f t="shared" si="30"/>
        <v>0</v>
      </c>
      <c r="Q86" s="478">
        <f t="shared" si="25"/>
        <v>0</v>
      </c>
      <c r="R86" s="504">
        <f ca="1">IF(MEPPER2!$H$15="Protection cellule familiale",0,IF(K86=($C$6+($O$7-$C$6)-1),Q86,IF(Q86&lt;IF(($O$7-$C$6)=0,0,-PMT($O$5,($O$7-$C$6),$H$13)),Q86,IF(($O$7-$C$6)=0,0,-PMT($O$5,($O$7-$C$6),$H$13)))))</f>
        <v>0</v>
      </c>
      <c r="S86" s="478">
        <f t="shared" si="26"/>
        <v>0</v>
      </c>
      <c r="T86" s="478">
        <f t="shared" ca="1" si="31"/>
        <v>0</v>
      </c>
      <c r="U86" s="478">
        <f>S86*Données!$F$36</f>
        <v>0</v>
      </c>
      <c r="V86" s="478">
        <f>IF(M86&lt;=8,IF($H$10&gt;Données!$F$14,S86*Données!$F$28,0),IF($H$10&gt;Données!$F$13,MAX((S86-MEPPER2!$Q$23)*Données!$L$15,0),0))</f>
        <v>0</v>
      </c>
      <c r="W86" s="478">
        <f>IF(M86&lt;=8,IF($H$10&lt;=Données!$F$14,S86*$H$10,0),IF($H$10&lt;Données!$F$14,MAX((S86-MEPPER2!$Q$23)*$H$10,0),0))</f>
        <v>0</v>
      </c>
      <c r="X86" s="478">
        <f t="shared" si="32"/>
        <v>0</v>
      </c>
    </row>
    <row r="87" spans="1:24">
      <c r="A87" s="477">
        <f t="shared" ca="1" si="33"/>
        <v>113</v>
      </c>
      <c r="B87" s="478">
        <f t="shared" ca="1" si="34"/>
        <v>0</v>
      </c>
      <c r="C87" s="478">
        <v>0</v>
      </c>
      <c r="D87" s="478">
        <f ca="1">IFERROR(IF($H$5="",B87*'CT à Transf'!$K$28,B87*$H$5),B87*$H$5)</f>
        <v>0</v>
      </c>
      <c r="E87" s="478">
        <f t="shared" ca="1" si="35"/>
        <v>0</v>
      </c>
      <c r="F87" s="478">
        <f t="shared" ca="1" si="23"/>
        <v>0</v>
      </c>
      <c r="G87" s="478">
        <f t="shared" ca="1" si="27"/>
        <v>0</v>
      </c>
      <c r="H87" s="478">
        <f t="shared" ca="1" si="28"/>
        <v>0</v>
      </c>
      <c r="J87" s="476"/>
      <c r="K87" s="477">
        <f t="shared" si="36"/>
        <v>131</v>
      </c>
      <c r="L87" s="478">
        <f t="shared" si="29"/>
        <v>0</v>
      </c>
      <c r="M87" s="634">
        <f t="shared" si="37"/>
        <v>0</v>
      </c>
      <c r="N87" s="478">
        <f t="shared" si="24"/>
        <v>0</v>
      </c>
      <c r="O87" s="493">
        <f t="shared" si="16"/>
        <v>0</v>
      </c>
      <c r="P87" s="493">
        <f t="shared" si="30"/>
        <v>0</v>
      </c>
      <c r="Q87" s="478">
        <f t="shared" si="25"/>
        <v>0</v>
      </c>
      <c r="R87" s="504">
        <f ca="1">IF(MEPPER2!$H$15="Protection cellule familiale",0,IF(K87=($C$6+($O$7-$C$6)-1),Q87,IF(Q87&lt;IF(($O$7-$C$6)=0,0,-PMT($O$5,($O$7-$C$6),$H$13)),Q87,IF(($O$7-$C$6)=0,0,-PMT($O$5,($O$7-$C$6),$H$13)))))</f>
        <v>0</v>
      </c>
      <c r="S87" s="478">
        <f t="shared" si="26"/>
        <v>0</v>
      </c>
      <c r="T87" s="478">
        <f t="shared" ca="1" si="31"/>
        <v>0</v>
      </c>
      <c r="U87" s="478">
        <f>S87*Données!$F$36</f>
        <v>0</v>
      </c>
      <c r="V87" s="478">
        <f>IF(M87&lt;=8,IF($H$10&gt;Données!$F$14,S87*Données!$F$28,0),IF($H$10&gt;Données!$F$13,MAX((S87-MEPPER2!$Q$23)*Données!$L$15,0),0))</f>
        <v>0</v>
      </c>
      <c r="W87" s="478">
        <f>IF(M87&lt;=8,IF($H$10&lt;=Données!$F$14,S87*$H$10,0),IF($H$10&lt;Données!$F$14,MAX((S87-MEPPER2!$Q$23)*$H$10,0),0))</f>
        <v>0</v>
      </c>
      <c r="X87" s="478">
        <f t="shared" si="32"/>
        <v>0</v>
      </c>
    </row>
    <row r="88" spans="1:24">
      <c r="A88" s="477">
        <f t="shared" ca="1" si="33"/>
        <v>114</v>
      </c>
      <c r="B88" s="478">
        <f t="shared" ca="1" si="34"/>
        <v>0</v>
      </c>
      <c r="C88" s="478">
        <v>0</v>
      </c>
      <c r="D88" s="478">
        <f ca="1">IFERROR(IF($H$5="",B88*'CT à Transf'!$K$28,B88*$H$5),B88*$H$5)</f>
        <v>0</v>
      </c>
      <c r="E88" s="478">
        <f t="shared" ca="1" si="35"/>
        <v>0</v>
      </c>
      <c r="F88" s="478">
        <f t="shared" ca="1" si="23"/>
        <v>0</v>
      </c>
      <c r="G88" s="478">
        <f t="shared" ca="1" si="27"/>
        <v>0</v>
      </c>
      <c r="H88" s="478">
        <f t="shared" ca="1" si="28"/>
        <v>0</v>
      </c>
      <c r="J88" s="476"/>
      <c r="K88" s="477">
        <f t="shared" si="36"/>
        <v>132</v>
      </c>
      <c r="L88" s="478">
        <f t="shared" si="29"/>
        <v>0</v>
      </c>
      <c r="M88" s="634">
        <f t="shared" si="37"/>
        <v>0</v>
      </c>
      <c r="N88" s="478">
        <f t="shared" si="24"/>
        <v>0</v>
      </c>
      <c r="O88" s="493">
        <f t="shared" si="16"/>
        <v>0</v>
      </c>
      <c r="P88" s="493">
        <f t="shared" si="30"/>
        <v>0</v>
      </c>
      <c r="Q88" s="478">
        <f t="shared" si="25"/>
        <v>0</v>
      </c>
      <c r="R88" s="504">
        <f ca="1">IF(MEPPER2!$H$15="Protection cellule familiale",0,IF(K88=($C$6+($O$7-$C$6)-1),Q88,IF(Q88&lt;IF(($O$7-$C$6)=0,0,-PMT($O$5,($O$7-$C$6),$H$13)),Q88,IF(($O$7-$C$6)=0,0,-PMT($O$5,($O$7-$C$6),$H$13)))))</f>
        <v>0</v>
      </c>
      <c r="S88" s="478">
        <f t="shared" si="26"/>
        <v>0</v>
      </c>
      <c r="T88" s="478">
        <f t="shared" ca="1" si="31"/>
        <v>0</v>
      </c>
      <c r="U88" s="478">
        <f>S88*Données!$F$36</f>
        <v>0</v>
      </c>
      <c r="V88" s="478">
        <f>IF(M88&lt;=8,IF($H$10&gt;Données!$F$14,S88*Données!$F$28,0),IF($H$10&gt;Données!$F$13,MAX((S88-MEPPER2!$Q$23)*Données!$L$15,0),0))</f>
        <v>0</v>
      </c>
      <c r="W88" s="478">
        <f>IF(M88&lt;=8,IF($H$10&lt;=Données!$F$14,S88*$H$10,0),IF($H$10&lt;Données!$F$14,MAX((S88-MEPPER2!$Q$23)*$H$10,0),0))</f>
        <v>0</v>
      </c>
      <c r="X88" s="478">
        <f t="shared" si="32"/>
        <v>0</v>
      </c>
    </row>
    <row r="89" spans="1:24">
      <c r="A89" s="477">
        <f t="shared" ca="1" si="33"/>
        <v>115</v>
      </c>
      <c r="B89" s="478">
        <f t="shared" ca="1" si="34"/>
        <v>0</v>
      </c>
      <c r="C89" s="478">
        <v>0</v>
      </c>
      <c r="D89" s="478">
        <f ca="1">IFERROR(IF($H$5="",B89*'CT à Transf'!$K$28,B89*$H$5),B89*$H$5)</f>
        <v>0</v>
      </c>
      <c r="E89" s="478">
        <f t="shared" ca="1" si="35"/>
        <v>0</v>
      </c>
      <c r="F89" s="478">
        <f t="shared" ca="1" si="23"/>
        <v>0</v>
      </c>
      <c r="G89" s="478">
        <f t="shared" ca="1" si="27"/>
        <v>0</v>
      </c>
      <c r="H89" s="478">
        <f t="shared" ca="1" si="28"/>
        <v>0</v>
      </c>
      <c r="J89" s="476"/>
      <c r="K89" s="477">
        <f t="shared" si="36"/>
        <v>133</v>
      </c>
      <c r="L89" s="478">
        <f t="shared" si="29"/>
        <v>0</v>
      </c>
      <c r="M89" s="634">
        <f t="shared" si="37"/>
        <v>0</v>
      </c>
      <c r="N89" s="478">
        <f t="shared" si="24"/>
        <v>0</v>
      </c>
      <c r="O89" s="493">
        <f t="shared" si="16"/>
        <v>0</v>
      </c>
      <c r="P89" s="493">
        <f t="shared" si="30"/>
        <v>0</v>
      </c>
      <c r="Q89" s="478">
        <f t="shared" si="25"/>
        <v>0</v>
      </c>
      <c r="R89" s="504">
        <f ca="1">IF(MEPPER2!$H$15="Protection cellule familiale",0,IF(K89=($C$6+($O$7-$C$6)-1),Q89,IF(Q89&lt;IF(($O$7-$C$6)=0,0,-PMT($O$5,($O$7-$C$6),$H$13)),Q89,IF(($O$7-$C$6)=0,0,-PMT($O$5,($O$7-$C$6),$H$13)))))</f>
        <v>0</v>
      </c>
      <c r="S89" s="478">
        <f t="shared" si="26"/>
        <v>0</v>
      </c>
      <c r="T89" s="478">
        <f t="shared" ca="1" si="31"/>
        <v>0</v>
      </c>
      <c r="U89" s="478">
        <f>S89*Données!$F$36</f>
        <v>0</v>
      </c>
      <c r="V89" s="478">
        <f>IF(M89&lt;=8,IF($H$10&gt;Données!$F$14,S89*Données!$F$28,0),IF($H$10&gt;Données!$F$13,MAX((S89-MEPPER2!$Q$23)*Données!$L$15,0),0))</f>
        <v>0</v>
      </c>
      <c r="W89" s="478">
        <f>IF(M89&lt;=8,IF($H$10&lt;=Données!$F$14,S89*$H$10,0),IF($H$10&lt;Données!$F$14,MAX((S89-MEPPER2!$Q$23)*$H$10,0),0))</f>
        <v>0</v>
      </c>
      <c r="X89" s="478">
        <f t="shared" si="32"/>
        <v>0</v>
      </c>
    </row>
    <row r="90" spans="1:24">
      <c r="A90" s="477">
        <f t="shared" ca="1" si="33"/>
        <v>116</v>
      </c>
      <c r="B90" s="478">
        <f t="shared" ca="1" si="34"/>
        <v>0</v>
      </c>
      <c r="C90" s="478">
        <v>0</v>
      </c>
      <c r="D90" s="478">
        <f ca="1">IFERROR(IF($H$5="",B90*'CT à Transf'!$K$28,B90*$H$5),B90*$H$5)</f>
        <v>0</v>
      </c>
      <c r="E90" s="478">
        <f t="shared" ca="1" si="35"/>
        <v>0</v>
      </c>
      <c r="F90" s="478">
        <f t="shared" ca="1" si="23"/>
        <v>0</v>
      </c>
      <c r="G90" s="478">
        <f t="shared" ca="1" si="27"/>
        <v>0</v>
      </c>
      <c r="H90" s="478">
        <f t="shared" ca="1" si="28"/>
        <v>0</v>
      </c>
      <c r="J90" s="476"/>
      <c r="K90" s="477">
        <f t="shared" si="36"/>
        <v>134</v>
      </c>
      <c r="L90" s="478">
        <f t="shared" si="29"/>
        <v>0</v>
      </c>
      <c r="M90" s="634">
        <f t="shared" si="37"/>
        <v>0</v>
      </c>
      <c r="N90" s="478">
        <f t="shared" si="24"/>
        <v>0</v>
      </c>
      <c r="O90" s="493">
        <f t="shared" si="16"/>
        <v>0</v>
      </c>
      <c r="P90" s="493">
        <f t="shared" si="30"/>
        <v>0</v>
      </c>
      <c r="Q90" s="478">
        <f t="shared" si="25"/>
        <v>0</v>
      </c>
      <c r="R90" s="504">
        <f ca="1">IF(MEPPER2!$H$15="Protection cellule familiale",0,IF(K90=($C$6+($O$7-$C$6)-1),Q90,IF(Q90&lt;IF(($O$7-$C$6)=0,0,-PMT($O$5,($O$7-$C$6),$H$13)),Q90,IF(($O$7-$C$6)=0,0,-PMT($O$5,($O$7-$C$6),$H$13)))))</f>
        <v>0</v>
      </c>
      <c r="S90" s="478">
        <f t="shared" si="26"/>
        <v>0</v>
      </c>
      <c r="T90" s="478">
        <f t="shared" ca="1" si="31"/>
        <v>0</v>
      </c>
      <c r="U90" s="478">
        <f>S90*Données!$F$36</f>
        <v>0</v>
      </c>
      <c r="V90" s="478">
        <f>IF(M90&lt;=8,IF($H$10&gt;Données!$F$14,S90*Données!$F$28,0),IF($H$10&gt;Données!$F$13,MAX((S90-MEPPER2!$Q$23)*Données!$L$15,0),0))</f>
        <v>0</v>
      </c>
      <c r="W90" s="478">
        <f>IF(M90&lt;=8,IF($H$10&lt;=Données!$F$14,S90*$H$10,0),IF($H$10&lt;Données!$F$14,MAX((S90-MEPPER2!$Q$23)*$H$10,0),0))</f>
        <v>0</v>
      </c>
      <c r="X90" s="478">
        <f t="shared" si="32"/>
        <v>0</v>
      </c>
    </row>
    <row r="91" spans="1:24">
      <c r="A91" s="477">
        <f t="shared" ca="1" si="33"/>
        <v>117</v>
      </c>
      <c r="B91" s="478">
        <f t="shared" ca="1" si="34"/>
        <v>0</v>
      </c>
      <c r="C91" s="478">
        <v>0</v>
      </c>
      <c r="D91" s="478">
        <f ca="1">IFERROR(IF($H$5="",B91*'CT à Transf'!$K$28,B91*$H$5),B91*$H$5)</f>
        <v>0</v>
      </c>
      <c r="E91" s="478">
        <f t="shared" ca="1" si="35"/>
        <v>0</v>
      </c>
      <c r="F91" s="478">
        <f t="shared" ca="1" si="23"/>
        <v>0</v>
      </c>
      <c r="G91" s="478">
        <f t="shared" ca="1" si="27"/>
        <v>0</v>
      </c>
      <c r="H91" s="478">
        <f t="shared" ca="1" si="28"/>
        <v>0</v>
      </c>
      <c r="J91" s="476"/>
      <c r="K91" s="477">
        <f t="shared" si="36"/>
        <v>135</v>
      </c>
      <c r="L91" s="478">
        <f t="shared" si="29"/>
        <v>0</v>
      </c>
      <c r="M91" s="634">
        <f t="shared" si="37"/>
        <v>0</v>
      </c>
      <c r="N91" s="478">
        <f t="shared" si="24"/>
        <v>0</v>
      </c>
      <c r="O91" s="493">
        <f t="shared" si="16"/>
        <v>0</v>
      </c>
      <c r="P91" s="493">
        <f t="shared" si="30"/>
        <v>0</v>
      </c>
      <c r="Q91" s="478">
        <f t="shared" si="25"/>
        <v>0</v>
      </c>
      <c r="R91" s="504">
        <f ca="1">IF(MEPPER2!$H$15="Protection cellule familiale",0,IF(K91=($C$6+($O$7-$C$6)-1),Q91,IF(Q91&lt;IF(($O$7-$C$6)=0,0,-PMT($O$5,($O$7-$C$6),$H$13)),Q91,IF(($O$7-$C$6)=0,0,-PMT($O$5,($O$7-$C$6),$H$13)))))</f>
        <v>0</v>
      </c>
      <c r="S91" s="478">
        <f t="shared" si="26"/>
        <v>0</v>
      </c>
      <c r="T91" s="478">
        <f t="shared" ca="1" si="31"/>
        <v>0</v>
      </c>
      <c r="U91" s="478">
        <f>S91*Données!$F$36</f>
        <v>0</v>
      </c>
      <c r="V91" s="478">
        <f>IF(M91&lt;=8,IF($H$10&gt;Données!$F$14,S91*Données!$F$28,0),IF($H$10&gt;Données!$F$13,MAX((S91-MEPPER2!$Q$23)*Données!$L$15,0),0))</f>
        <v>0</v>
      </c>
      <c r="W91" s="478">
        <f>IF(M91&lt;=8,IF($H$10&lt;=Données!$F$14,S91*$H$10,0),IF($H$10&lt;Données!$F$14,MAX((S91-MEPPER2!$Q$23)*$H$10,0),0))</f>
        <v>0</v>
      </c>
      <c r="X91" s="478">
        <f t="shared" si="32"/>
        <v>0</v>
      </c>
    </row>
    <row r="92" spans="1:24">
      <c r="A92" s="477">
        <f t="shared" ca="1" si="33"/>
        <v>118</v>
      </c>
      <c r="B92" s="478">
        <f t="shared" ca="1" si="34"/>
        <v>0</v>
      </c>
      <c r="C92" s="478">
        <v>0</v>
      </c>
      <c r="D92" s="478">
        <f ca="1">IFERROR(IF($H$5="",B92*'CT à Transf'!$K$28,B92*$H$5),B92*$H$5)</f>
        <v>0</v>
      </c>
      <c r="E92" s="478">
        <f t="shared" ca="1" si="35"/>
        <v>0</v>
      </c>
      <c r="F92" s="478">
        <f t="shared" ca="1" si="23"/>
        <v>0</v>
      </c>
      <c r="G92" s="478">
        <f t="shared" ca="1" si="27"/>
        <v>0</v>
      </c>
      <c r="H92" s="478">
        <f t="shared" ca="1" si="28"/>
        <v>0</v>
      </c>
      <c r="J92" s="476"/>
      <c r="K92" s="477">
        <f t="shared" si="36"/>
        <v>136</v>
      </c>
      <c r="L92" s="478">
        <f t="shared" si="29"/>
        <v>0</v>
      </c>
      <c r="M92" s="634">
        <f t="shared" si="37"/>
        <v>0</v>
      </c>
      <c r="N92" s="478">
        <f t="shared" si="24"/>
        <v>0</v>
      </c>
      <c r="O92" s="493">
        <f t="shared" si="16"/>
        <v>0</v>
      </c>
      <c r="P92" s="493">
        <f t="shared" si="30"/>
        <v>0</v>
      </c>
      <c r="Q92" s="478">
        <f t="shared" si="25"/>
        <v>0</v>
      </c>
      <c r="R92" s="504">
        <f ca="1">IF(MEPPER2!$H$15="Protection cellule familiale",0,IF(K92=($C$6+($O$7-$C$6)-1),Q92,IF(Q92&lt;IF(($O$7-$C$6)=0,0,-PMT($O$5,($O$7-$C$6),$H$13)),Q92,IF(($O$7-$C$6)=0,0,-PMT($O$5,($O$7-$C$6),$H$13)))))</f>
        <v>0</v>
      </c>
      <c r="S92" s="478">
        <f t="shared" si="26"/>
        <v>0</v>
      </c>
      <c r="T92" s="478">
        <f t="shared" ca="1" si="31"/>
        <v>0</v>
      </c>
      <c r="U92" s="478">
        <f>S92*Données!$F$36</f>
        <v>0</v>
      </c>
      <c r="V92" s="478">
        <f>IF(M92&lt;=8,IF($H$10&gt;Données!$F$14,S92*Données!$F$28,0),IF($H$10&gt;Données!$F$13,MAX((S92-MEPPER2!$Q$23)*Données!$L$15,0),0))</f>
        <v>0</v>
      </c>
      <c r="W92" s="478">
        <f>IF(M92&lt;=8,IF($H$10&lt;=Données!$F$14,S92*$H$10,0),IF($H$10&lt;Données!$F$14,MAX((S92-MEPPER2!$Q$23)*$H$10,0),0))</f>
        <v>0</v>
      </c>
      <c r="X92" s="478">
        <f t="shared" si="32"/>
        <v>0</v>
      </c>
    </row>
    <row r="93" spans="1:24">
      <c r="A93" s="477">
        <f t="shared" ca="1" si="33"/>
        <v>119</v>
      </c>
      <c r="B93" s="478">
        <f t="shared" ca="1" si="34"/>
        <v>0</v>
      </c>
      <c r="C93" s="478">
        <v>0</v>
      </c>
      <c r="D93" s="478">
        <f ca="1">IFERROR(IF($H$5="",B93*'CT à Transf'!$K$28,B93*$H$5),B93*$H$5)</f>
        <v>0</v>
      </c>
      <c r="E93" s="478">
        <f t="shared" ca="1" si="35"/>
        <v>0</v>
      </c>
      <c r="F93" s="478">
        <f t="shared" ca="1" si="23"/>
        <v>0</v>
      </c>
      <c r="G93" s="478">
        <f t="shared" ca="1" si="27"/>
        <v>0</v>
      </c>
      <c r="H93" s="478">
        <f t="shared" ca="1" si="28"/>
        <v>0</v>
      </c>
      <c r="J93" s="476"/>
      <c r="K93" s="477">
        <f t="shared" si="36"/>
        <v>137</v>
      </c>
      <c r="L93" s="478">
        <f t="shared" si="29"/>
        <v>0</v>
      </c>
      <c r="M93" s="634">
        <f t="shared" si="37"/>
        <v>0</v>
      </c>
      <c r="N93" s="478">
        <f t="shared" si="24"/>
        <v>0</v>
      </c>
      <c r="O93" s="493">
        <f t="shared" si="16"/>
        <v>0</v>
      </c>
      <c r="P93" s="493">
        <f t="shared" si="30"/>
        <v>0</v>
      </c>
      <c r="Q93" s="478">
        <f t="shared" si="25"/>
        <v>0</v>
      </c>
      <c r="R93" s="504">
        <f ca="1">IF(MEPPER2!$H$15="Protection cellule familiale",0,IF(K93=($C$6+($O$7-$C$6)-1),Q93,IF(Q93&lt;IF(($O$7-$C$6)=0,0,-PMT($O$5,($O$7-$C$6),$H$13)),Q93,IF(($O$7-$C$6)=0,0,-PMT($O$5,($O$7-$C$6),$H$13)))))</f>
        <v>0</v>
      </c>
      <c r="S93" s="478">
        <f t="shared" si="26"/>
        <v>0</v>
      </c>
      <c r="T93" s="478">
        <f t="shared" ca="1" si="31"/>
        <v>0</v>
      </c>
      <c r="U93" s="478">
        <f>S93*Données!$F$36</f>
        <v>0</v>
      </c>
      <c r="V93" s="478">
        <f>IF(M93&lt;=8,IF($H$10&gt;Données!$F$14,S93*Données!$F$28,0),IF($H$10&gt;Données!$F$13,MAX((S93-MEPPER2!$Q$23)*Données!$L$15,0),0))</f>
        <v>0</v>
      </c>
      <c r="W93" s="478">
        <f>IF(M93&lt;=8,IF($H$10&lt;=Données!$F$14,S93*$H$10,0),IF($H$10&lt;Données!$F$14,MAX((S93-MEPPER2!$Q$23)*$H$10,0),0))</f>
        <v>0</v>
      </c>
      <c r="X93" s="478">
        <f t="shared" si="32"/>
        <v>0</v>
      </c>
    </row>
    <row r="94" spans="1:24">
      <c r="A94" s="477">
        <f t="shared" ca="1" si="33"/>
        <v>120</v>
      </c>
      <c r="B94" s="478">
        <f t="shared" ca="1" si="34"/>
        <v>0</v>
      </c>
      <c r="C94" s="478">
        <v>0</v>
      </c>
      <c r="D94" s="478">
        <f ca="1">IFERROR(IF($H$5="",B94*'CT à Transf'!$K$28,B94*$H$5),B94*$H$5)</f>
        <v>0</v>
      </c>
      <c r="E94" s="478">
        <f t="shared" ca="1" si="35"/>
        <v>0</v>
      </c>
      <c r="F94" s="478">
        <f t="shared" ca="1" si="23"/>
        <v>0</v>
      </c>
      <c r="G94" s="478">
        <f t="shared" ca="1" si="27"/>
        <v>0</v>
      </c>
      <c r="H94" s="478">
        <f t="shared" ca="1" si="28"/>
        <v>0</v>
      </c>
      <c r="J94" s="476"/>
      <c r="K94" s="477">
        <f t="shared" si="36"/>
        <v>138</v>
      </c>
      <c r="L94" s="478">
        <f t="shared" si="29"/>
        <v>0</v>
      </c>
      <c r="M94" s="634">
        <f t="shared" si="37"/>
        <v>0</v>
      </c>
      <c r="N94" s="478">
        <f t="shared" si="24"/>
        <v>0</v>
      </c>
      <c r="O94" s="493">
        <f t="shared" si="16"/>
        <v>0</v>
      </c>
      <c r="P94" s="493">
        <f t="shared" si="30"/>
        <v>0</v>
      </c>
      <c r="Q94" s="478">
        <f t="shared" si="25"/>
        <v>0</v>
      </c>
      <c r="R94" s="504">
        <f ca="1">IF(MEPPER2!$H$15="Protection cellule familiale",0,IF(K94=($C$6+($O$7-$C$6)-1),Q94,IF(Q94&lt;IF(($O$7-$C$6)=0,0,-PMT($O$5,($O$7-$C$6),$H$13)),Q94,IF(($O$7-$C$6)=0,0,-PMT($O$5,($O$7-$C$6),$H$13)))))</f>
        <v>0</v>
      </c>
      <c r="S94" s="478">
        <f t="shared" si="26"/>
        <v>0</v>
      </c>
      <c r="T94" s="478">
        <f t="shared" ca="1" si="31"/>
        <v>0</v>
      </c>
      <c r="U94" s="478">
        <f>S94*Données!$F$36</f>
        <v>0</v>
      </c>
      <c r="V94" s="478">
        <f>IF(M94&lt;=8,IF($H$10&gt;Données!$F$14,S94*Données!$F$28,0),IF($H$10&gt;Données!$F$13,MAX((S94-MEPPER2!$Q$23)*Données!$L$15,0),0))</f>
        <v>0</v>
      </c>
      <c r="W94" s="478">
        <f>IF(M94&lt;=8,IF($H$10&lt;=Données!$F$14,S94*$H$10,0),IF($H$10&lt;Données!$F$14,MAX((S94-MEPPER2!$Q$23)*$H$10,0),0))</f>
        <v>0</v>
      </c>
      <c r="X94" s="478">
        <f t="shared" si="32"/>
        <v>0</v>
      </c>
    </row>
    <row r="95" spans="1:24">
      <c r="A95" s="477">
        <f t="shared" ca="1" si="33"/>
        <v>121</v>
      </c>
      <c r="B95" s="478">
        <f t="shared" ca="1" si="34"/>
        <v>0</v>
      </c>
      <c r="C95" s="478">
        <v>0</v>
      </c>
      <c r="D95" s="478">
        <f ca="1">IFERROR(IF($H$5="",B95*'CT à Transf'!$K$28,B95*$H$5),B95*$H$5)</f>
        <v>0</v>
      </c>
      <c r="E95" s="478">
        <f t="shared" ca="1" si="35"/>
        <v>0</v>
      </c>
      <c r="F95" s="478">
        <f t="shared" ca="1" si="23"/>
        <v>0</v>
      </c>
      <c r="G95" s="478">
        <f t="shared" ca="1" si="27"/>
        <v>0</v>
      </c>
      <c r="H95" s="478">
        <f t="shared" ca="1" si="28"/>
        <v>0</v>
      </c>
      <c r="J95" s="476"/>
      <c r="K95" s="477">
        <f t="shared" si="36"/>
        <v>139</v>
      </c>
      <c r="L95" s="478">
        <f t="shared" si="29"/>
        <v>0</v>
      </c>
      <c r="M95" s="634">
        <f t="shared" si="37"/>
        <v>0</v>
      </c>
      <c r="N95" s="478">
        <f t="shared" si="24"/>
        <v>0</v>
      </c>
      <c r="O95" s="493">
        <f t="shared" si="16"/>
        <v>0</v>
      </c>
      <c r="P95" s="493">
        <f t="shared" si="30"/>
        <v>0</v>
      </c>
      <c r="Q95" s="478">
        <f t="shared" si="25"/>
        <v>0</v>
      </c>
      <c r="R95" s="504">
        <f ca="1">IF(MEPPER2!$H$15="Protection cellule familiale",0,IF(K95=($C$6+($O$7-$C$6)-1),Q95,IF(Q95&lt;IF(($O$7-$C$6)=0,0,-PMT($O$5,($O$7-$C$6),$H$13)),Q95,IF(($O$7-$C$6)=0,0,-PMT($O$5,($O$7-$C$6),$H$13)))))</f>
        <v>0</v>
      </c>
      <c r="S95" s="478">
        <f t="shared" si="26"/>
        <v>0</v>
      </c>
      <c r="T95" s="478">
        <f t="shared" ca="1" si="31"/>
        <v>0</v>
      </c>
      <c r="U95" s="478">
        <f>S95*Données!$F$36</f>
        <v>0</v>
      </c>
      <c r="V95" s="478">
        <f>IF(M95&lt;=8,IF($H$10&gt;Données!$F$14,S95*Données!$F$28,0),IF($H$10&gt;Données!$F$13,MAX((S95-MEPPER2!$Q$23)*Données!$L$15,0),0))</f>
        <v>0</v>
      </c>
      <c r="W95" s="478">
        <f>IF(M95&lt;=8,IF($H$10&lt;=Données!$F$14,S95*$H$10,0),IF($H$10&lt;Données!$F$14,MAX((S95-MEPPER2!$Q$23)*$H$10,0),0))</f>
        <v>0</v>
      </c>
      <c r="X95" s="478">
        <f t="shared" si="32"/>
        <v>0</v>
      </c>
    </row>
    <row r="96" spans="1:24">
      <c r="A96" s="477">
        <f t="shared" ca="1" si="33"/>
        <v>122</v>
      </c>
      <c r="B96" s="478">
        <f t="shared" ca="1" si="34"/>
        <v>0</v>
      </c>
      <c r="C96" s="478">
        <v>0</v>
      </c>
      <c r="D96" s="478">
        <f ca="1">IFERROR(IF($H$5="",B96*'CT à Transf'!$K$28,B96*$H$5),B96*$H$5)</f>
        <v>0</v>
      </c>
      <c r="E96" s="478">
        <f t="shared" ca="1" si="35"/>
        <v>0</v>
      </c>
      <c r="F96" s="478">
        <f t="shared" ca="1" si="23"/>
        <v>0</v>
      </c>
      <c r="G96" s="478">
        <f t="shared" ca="1" si="27"/>
        <v>0</v>
      </c>
      <c r="H96" s="478">
        <f t="shared" ca="1" si="28"/>
        <v>0</v>
      </c>
      <c r="J96" s="476"/>
      <c r="K96" s="477">
        <f t="shared" si="36"/>
        <v>140</v>
      </c>
      <c r="L96" s="478">
        <f t="shared" si="29"/>
        <v>0</v>
      </c>
      <c r="M96" s="634">
        <f t="shared" si="37"/>
        <v>0</v>
      </c>
      <c r="N96" s="478">
        <f t="shared" si="24"/>
        <v>0</v>
      </c>
      <c r="O96" s="493">
        <f t="shared" si="16"/>
        <v>0</v>
      </c>
      <c r="P96" s="493">
        <f t="shared" si="30"/>
        <v>0</v>
      </c>
      <c r="Q96" s="478">
        <f t="shared" si="25"/>
        <v>0</v>
      </c>
      <c r="R96" s="504">
        <f ca="1">IF(MEPPER2!$H$15="Protection cellule familiale",0,IF(K96=($C$6+($O$7-$C$6)-1),Q96,IF(Q96&lt;IF(($O$7-$C$6)=0,0,-PMT($O$5,($O$7-$C$6),$H$13)),Q96,IF(($O$7-$C$6)=0,0,-PMT($O$5,($O$7-$C$6),$H$13)))))</f>
        <v>0</v>
      </c>
      <c r="S96" s="478">
        <f t="shared" si="26"/>
        <v>0</v>
      </c>
      <c r="T96" s="478">
        <f t="shared" ca="1" si="31"/>
        <v>0</v>
      </c>
      <c r="U96" s="478">
        <f>S96*Données!$F$36</f>
        <v>0</v>
      </c>
      <c r="V96" s="478">
        <f>IF(M96&lt;=8,IF($H$10&gt;Données!$F$14,S96*Données!$F$28,0),IF($H$10&gt;Données!$F$13,MAX((S96-MEPPER2!$Q$23)*Données!$L$15,0),0))</f>
        <v>0</v>
      </c>
      <c r="W96" s="478">
        <f>IF(M96&lt;=8,IF($H$10&lt;=Données!$F$14,S96*$H$10,0),IF($H$10&lt;Données!$F$14,MAX((S96-MEPPER2!$Q$23)*$H$10,0),0))</f>
        <v>0</v>
      </c>
      <c r="X96" s="478">
        <f t="shared" si="32"/>
        <v>0</v>
      </c>
    </row>
    <row r="97" spans="1:24">
      <c r="A97" s="477">
        <f t="shared" ca="1" si="33"/>
        <v>123</v>
      </c>
      <c r="B97" s="478">
        <f t="shared" ca="1" si="34"/>
        <v>0</v>
      </c>
      <c r="C97" s="478">
        <v>0</v>
      </c>
      <c r="D97" s="478">
        <f ca="1">IFERROR(IF($H$5="",B97*'CT à Transf'!$K$28,B97*$H$5),B97*$H$5)</f>
        <v>0</v>
      </c>
      <c r="E97" s="478">
        <f t="shared" ca="1" si="35"/>
        <v>0</v>
      </c>
      <c r="F97" s="478">
        <f t="shared" ca="1" si="23"/>
        <v>0</v>
      </c>
      <c r="G97" s="478">
        <f t="shared" ca="1" si="27"/>
        <v>0</v>
      </c>
      <c r="H97" s="478">
        <f t="shared" ca="1" si="28"/>
        <v>0</v>
      </c>
      <c r="J97" s="476"/>
      <c r="K97" s="477">
        <f t="shared" si="36"/>
        <v>141</v>
      </c>
      <c r="L97" s="478">
        <f t="shared" si="29"/>
        <v>0</v>
      </c>
      <c r="M97" s="634">
        <f t="shared" si="37"/>
        <v>0</v>
      </c>
      <c r="N97" s="478">
        <f t="shared" si="24"/>
        <v>0</v>
      </c>
      <c r="O97" s="493">
        <f t="shared" si="16"/>
        <v>0</v>
      </c>
      <c r="P97" s="493">
        <f t="shared" si="30"/>
        <v>0</v>
      </c>
      <c r="Q97" s="478">
        <f t="shared" si="25"/>
        <v>0</v>
      </c>
      <c r="R97" s="504">
        <f ca="1">IF(MEPPER2!$H$15="Protection cellule familiale",0,IF(K97=($C$6+($O$7-$C$6)-1),Q97,IF(Q97&lt;IF(($O$7-$C$6)=0,0,-PMT($O$5,($O$7-$C$6),$H$13)),Q97,IF(($O$7-$C$6)=0,0,-PMT($O$5,($O$7-$C$6),$H$13)))))</f>
        <v>0</v>
      </c>
      <c r="S97" s="478">
        <f t="shared" si="26"/>
        <v>0</v>
      </c>
      <c r="T97" s="478">
        <f t="shared" ca="1" si="31"/>
        <v>0</v>
      </c>
      <c r="U97" s="478">
        <f>S97*Données!$F$36</f>
        <v>0</v>
      </c>
      <c r="V97" s="478">
        <f>IF(M97&lt;=8,IF($H$10&gt;Données!$F$14,S97*Données!$F$28,0),IF($H$10&gt;Données!$F$13,MAX((S97-MEPPER2!$Q$23)*Données!$L$15,0),0))</f>
        <v>0</v>
      </c>
      <c r="W97" s="478">
        <f>IF(M97&lt;=8,IF($H$10&lt;=Données!$F$14,S97*$H$10,0),IF($H$10&lt;Données!$F$14,MAX((S97-MEPPER2!$Q$23)*$H$10,0),0))</f>
        <v>0</v>
      </c>
      <c r="X97" s="478">
        <f t="shared" si="32"/>
        <v>0</v>
      </c>
    </row>
    <row r="98" spans="1:24">
      <c r="A98" s="477">
        <f t="shared" ca="1" si="33"/>
        <v>124</v>
      </c>
      <c r="B98" s="478">
        <f t="shared" ca="1" si="34"/>
        <v>0</v>
      </c>
      <c r="C98" s="478">
        <v>0</v>
      </c>
      <c r="D98" s="478">
        <f ca="1">IFERROR(IF($H$5="",B98*'CT à Transf'!$K$28,B98*$H$5),B98*$H$5)</f>
        <v>0</v>
      </c>
      <c r="E98" s="478">
        <f t="shared" ca="1" si="35"/>
        <v>0</v>
      </c>
      <c r="F98" s="478">
        <f t="shared" ca="1" si="23"/>
        <v>0</v>
      </c>
      <c r="G98" s="478">
        <f t="shared" ca="1" si="27"/>
        <v>0</v>
      </c>
      <c r="H98" s="478">
        <f t="shared" ca="1" si="28"/>
        <v>0</v>
      </c>
      <c r="J98" s="476"/>
      <c r="K98" s="477">
        <f t="shared" si="36"/>
        <v>142</v>
      </c>
      <c r="L98" s="478">
        <f t="shared" si="29"/>
        <v>0</v>
      </c>
      <c r="M98" s="634">
        <f t="shared" si="37"/>
        <v>0</v>
      </c>
      <c r="N98" s="478">
        <f t="shared" si="24"/>
        <v>0</v>
      </c>
      <c r="O98" s="493">
        <f t="shared" si="16"/>
        <v>0</v>
      </c>
      <c r="P98" s="493">
        <f t="shared" si="30"/>
        <v>0</v>
      </c>
      <c r="Q98" s="478">
        <f t="shared" si="25"/>
        <v>0</v>
      </c>
      <c r="R98" s="504">
        <f ca="1">IF(MEPPER2!$H$15="Protection cellule familiale",0,IF(K98=($C$6+($O$7-$C$6)-1),Q98,IF(Q98&lt;IF(($O$7-$C$6)=0,0,-PMT($O$5,($O$7-$C$6),$H$13)),Q98,IF(($O$7-$C$6)=0,0,-PMT($O$5,($O$7-$C$6),$H$13)))))</f>
        <v>0</v>
      </c>
      <c r="S98" s="478">
        <f t="shared" si="26"/>
        <v>0</v>
      </c>
      <c r="T98" s="478">
        <f t="shared" ca="1" si="31"/>
        <v>0</v>
      </c>
      <c r="U98" s="478">
        <f>S98*Données!$F$36</f>
        <v>0</v>
      </c>
      <c r="V98" s="478">
        <f>IF(M98&lt;=8,IF($H$10&gt;Données!$F$14,S98*Données!$F$28,0),IF($H$10&gt;Données!$F$13,MAX((S98-MEPPER2!$Q$23)*Données!$L$15,0),0))</f>
        <v>0</v>
      </c>
      <c r="W98" s="478">
        <f>IF(M98&lt;=8,IF($H$10&lt;=Données!$F$14,S98*$H$10,0),IF($H$10&lt;Données!$F$14,MAX((S98-MEPPER2!$Q$23)*$H$10,0),0))</f>
        <v>0</v>
      </c>
      <c r="X98" s="478">
        <f t="shared" si="32"/>
        <v>0</v>
      </c>
    </row>
    <row r="99" spans="1:24">
      <c r="A99" s="477">
        <f t="shared" ca="1" si="33"/>
        <v>125</v>
      </c>
      <c r="B99" s="478">
        <f t="shared" ca="1" si="34"/>
        <v>0</v>
      </c>
      <c r="C99" s="478">
        <v>0</v>
      </c>
      <c r="D99" s="478">
        <f ca="1">IFERROR(IF($H$5="",B99*'CT à Transf'!$K$28,B99*$H$5),B99*$H$5)</f>
        <v>0</v>
      </c>
      <c r="E99" s="478">
        <f t="shared" ca="1" si="35"/>
        <v>0</v>
      </c>
      <c r="F99" s="478">
        <f t="shared" ca="1" si="23"/>
        <v>0</v>
      </c>
      <c r="G99" s="478">
        <f t="shared" ca="1" si="27"/>
        <v>0</v>
      </c>
      <c r="H99" s="478">
        <f t="shared" ca="1" si="28"/>
        <v>0</v>
      </c>
      <c r="J99" s="476"/>
      <c r="K99" s="477">
        <f t="shared" si="36"/>
        <v>143</v>
      </c>
      <c r="L99" s="478">
        <f t="shared" si="29"/>
        <v>0</v>
      </c>
      <c r="M99" s="634">
        <f t="shared" si="37"/>
        <v>0</v>
      </c>
      <c r="N99" s="478">
        <f t="shared" si="24"/>
        <v>0</v>
      </c>
      <c r="O99" s="493">
        <f t="shared" si="16"/>
        <v>0</v>
      </c>
      <c r="P99" s="493">
        <f t="shared" si="30"/>
        <v>0</v>
      </c>
      <c r="Q99" s="478">
        <f t="shared" si="25"/>
        <v>0</v>
      </c>
      <c r="R99" s="504">
        <f ca="1">IF(MEPPER2!$H$15="Protection cellule familiale",0,IF(K99=($C$6+($O$7-$C$6)-1),Q99,IF(Q99&lt;IF(($O$7-$C$6)=0,0,-PMT($O$5,($O$7-$C$6),$H$13)),Q99,IF(($O$7-$C$6)=0,0,-PMT($O$5,($O$7-$C$6),$H$13)))))</f>
        <v>0</v>
      </c>
      <c r="S99" s="478">
        <f t="shared" si="26"/>
        <v>0</v>
      </c>
      <c r="T99" s="478">
        <f t="shared" ca="1" si="31"/>
        <v>0</v>
      </c>
      <c r="U99" s="478">
        <f>S99*Données!$F$36</f>
        <v>0</v>
      </c>
      <c r="V99" s="478">
        <f>IF(M99&lt;=8,IF($H$10&gt;Données!$F$14,S99*Données!$F$28,0),IF($H$10&gt;Données!$F$13,MAX((S99-MEPPER2!$Q$23)*Données!$L$15,0),0))</f>
        <v>0</v>
      </c>
      <c r="W99" s="478">
        <f>IF(M99&lt;=8,IF($H$10&lt;=Données!$F$14,S99*$H$10,0),IF($H$10&lt;Données!$F$14,MAX((S99-MEPPER2!$Q$23)*$H$10,0),0))</f>
        <v>0</v>
      </c>
      <c r="X99" s="478">
        <f t="shared" si="32"/>
        <v>0</v>
      </c>
    </row>
    <row r="100" spans="1:24">
      <c r="A100" s="477">
        <f t="shared" ca="1" si="33"/>
        <v>126</v>
      </c>
      <c r="B100" s="478">
        <f t="shared" ca="1" si="34"/>
        <v>0</v>
      </c>
      <c r="C100" s="478">
        <v>0</v>
      </c>
      <c r="D100" s="478">
        <f ca="1">IFERROR(IF($H$5="",B100*'CT à Transf'!$K$28,B100*$H$5),B100*$H$5)</f>
        <v>0</v>
      </c>
      <c r="E100" s="478">
        <f t="shared" ca="1" si="35"/>
        <v>0</v>
      </c>
      <c r="F100" s="478">
        <f t="shared" ca="1" si="23"/>
        <v>0</v>
      </c>
      <c r="G100" s="478">
        <f t="shared" ca="1" si="27"/>
        <v>0</v>
      </c>
      <c r="H100" s="478">
        <f t="shared" ca="1" si="28"/>
        <v>0</v>
      </c>
      <c r="J100" s="476"/>
      <c r="K100" s="477">
        <f t="shared" si="36"/>
        <v>144</v>
      </c>
      <c r="L100" s="478">
        <f t="shared" si="29"/>
        <v>0</v>
      </c>
      <c r="M100" s="634">
        <f t="shared" si="37"/>
        <v>0</v>
      </c>
      <c r="N100" s="478">
        <f t="shared" si="24"/>
        <v>0</v>
      </c>
      <c r="O100" s="493">
        <f t="shared" si="16"/>
        <v>0</v>
      </c>
      <c r="P100" s="493">
        <f t="shared" si="30"/>
        <v>0</v>
      </c>
      <c r="Q100" s="478">
        <f t="shared" si="25"/>
        <v>0</v>
      </c>
      <c r="R100" s="504">
        <f ca="1">IF(MEPPER2!$H$15="Protection cellule familiale",0,IF(K100=($C$6+($O$7-$C$6)-1),Q100,IF(Q100&lt;IF(($O$7-$C$6)=0,0,-PMT($O$5,($O$7-$C$6),$H$13)),Q100,IF(($O$7-$C$6)=0,0,-PMT($O$5,($O$7-$C$6),$H$13)))))</f>
        <v>0</v>
      </c>
      <c r="S100" s="478">
        <f t="shared" si="26"/>
        <v>0</v>
      </c>
      <c r="T100" s="478">
        <f t="shared" ca="1" si="31"/>
        <v>0</v>
      </c>
      <c r="U100" s="478">
        <f>S100*Données!$F$36</f>
        <v>0</v>
      </c>
      <c r="V100" s="478">
        <f>IF(M100&lt;=8,IF($H$10&gt;Données!$F$14,S100*Données!$F$28,0),IF($H$10&gt;Données!$F$13,MAX((S100-MEPPER2!$Q$23)*Données!$L$15,0),0))</f>
        <v>0</v>
      </c>
      <c r="W100" s="478">
        <f>IF(M100&lt;=8,IF($H$10&lt;=Données!$F$14,S100*$H$10,0),IF($H$10&lt;Données!$F$14,MAX((S100-MEPPER2!$Q$23)*$H$10,0),0))</f>
        <v>0</v>
      </c>
      <c r="X100" s="478">
        <f t="shared" si="32"/>
        <v>0</v>
      </c>
    </row>
    <row r="101" spans="1:24">
      <c r="A101" s="477">
        <f t="shared" ca="1" si="33"/>
        <v>127</v>
      </c>
      <c r="B101" s="478">
        <f t="shared" ca="1" si="34"/>
        <v>0</v>
      </c>
      <c r="C101" s="478">
        <v>0</v>
      </c>
      <c r="D101" s="478">
        <f ca="1">IFERROR(IF($H$5="",B101*'CT à Transf'!$K$28,B101*$H$5),B101*$H$5)</f>
        <v>0</v>
      </c>
      <c r="E101" s="478">
        <f t="shared" ca="1" si="35"/>
        <v>0</v>
      </c>
      <c r="F101" s="478">
        <f t="shared" ca="1" si="23"/>
        <v>0</v>
      </c>
      <c r="G101" s="478">
        <f t="shared" ca="1" si="27"/>
        <v>0</v>
      </c>
      <c r="H101" s="478">
        <f t="shared" ca="1" si="28"/>
        <v>0</v>
      </c>
      <c r="J101" s="476"/>
      <c r="K101" s="477">
        <f t="shared" si="36"/>
        <v>145</v>
      </c>
      <c r="L101" s="478">
        <f t="shared" si="29"/>
        <v>0</v>
      </c>
      <c r="M101" s="634">
        <f t="shared" si="37"/>
        <v>0</v>
      </c>
      <c r="N101" s="478">
        <f t="shared" si="24"/>
        <v>0</v>
      </c>
      <c r="O101" s="493">
        <f t="shared" si="16"/>
        <v>0</v>
      </c>
      <c r="P101" s="493">
        <f t="shared" si="30"/>
        <v>0</v>
      </c>
      <c r="Q101" s="478">
        <f t="shared" si="25"/>
        <v>0</v>
      </c>
      <c r="R101" s="504">
        <f ca="1">IF(MEPPER2!$H$15="Protection cellule familiale",0,IF(K101=($C$6+($O$7-$C$6)-1),Q101,IF(Q101&lt;IF(($O$7-$C$6)=0,0,-PMT($O$5,($O$7-$C$6),$H$13)),Q101,IF(($O$7-$C$6)=0,0,-PMT($O$5,($O$7-$C$6),$H$13)))))</f>
        <v>0</v>
      </c>
      <c r="S101" s="478">
        <f t="shared" si="26"/>
        <v>0</v>
      </c>
      <c r="T101" s="478">
        <f t="shared" ca="1" si="31"/>
        <v>0</v>
      </c>
      <c r="U101" s="478">
        <f>S101*Données!$F$36</f>
        <v>0</v>
      </c>
      <c r="V101" s="478">
        <f>IF(M101&lt;=8,IF($H$10&gt;Données!$F$14,S101*Données!$F$28,0),IF($H$10&gt;Données!$F$13,MAX((S101-MEPPER2!$Q$23)*Données!$L$15,0),0))</f>
        <v>0</v>
      </c>
      <c r="W101" s="478">
        <f>IF(M101&lt;=8,IF($H$10&lt;=Données!$F$14,S101*$H$10,0),IF($H$10&lt;Données!$F$14,MAX((S101-MEPPER2!$Q$23)*$H$10,0),0))</f>
        <v>0</v>
      </c>
      <c r="X101" s="478">
        <f t="shared" si="32"/>
        <v>0</v>
      </c>
    </row>
    <row r="102" spans="1:24">
      <c r="A102" s="477">
        <f t="shared" ca="1" si="33"/>
        <v>128</v>
      </c>
      <c r="B102" s="478">
        <f t="shared" ca="1" si="34"/>
        <v>0</v>
      </c>
      <c r="C102" s="478">
        <v>0</v>
      </c>
      <c r="D102" s="478">
        <f ca="1">IFERROR(IF($H$5="",B102*'CT à Transf'!$K$28,B102*$H$5),B102*$H$5)</f>
        <v>0</v>
      </c>
      <c r="E102" s="478">
        <f t="shared" ca="1" si="35"/>
        <v>0</v>
      </c>
      <c r="F102" s="478">
        <f t="shared" ca="1" si="23"/>
        <v>0</v>
      </c>
      <c r="G102" s="478">
        <f t="shared" ca="1" si="27"/>
        <v>0</v>
      </c>
      <c r="H102" s="478">
        <f t="shared" ca="1" si="28"/>
        <v>0</v>
      </c>
      <c r="J102" s="476"/>
      <c r="K102" s="477">
        <f t="shared" si="36"/>
        <v>146</v>
      </c>
      <c r="L102" s="478">
        <f t="shared" si="29"/>
        <v>0</v>
      </c>
      <c r="M102" s="634">
        <f t="shared" si="37"/>
        <v>0</v>
      </c>
      <c r="N102" s="478">
        <f t="shared" si="24"/>
        <v>0</v>
      </c>
      <c r="O102" s="493">
        <f t="shared" si="16"/>
        <v>0</v>
      </c>
      <c r="P102" s="493">
        <f t="shared" si="30"/>
        <v>0</v>
      </c>
      <c r="Q102" s="478">
        <f t="shared" si="25"/>
        <v>0</v>
      </c>
      <c r="R102" s="504">
        <f ca="1">IF(MEPPER2!$H$15="Protection cellule familiale",0,IF(K102=($C$6+($O$7-$C$6)-1),Q102,IF(Q102&lt;IF(($O$7-$C$6)=0,0,-PMT($O$5,($O$7-$C$6),$H$13)),Q102,IF(($O$7-$C$6)=0,0,-PMT($O$5,($O$7-$C$6),$H$13)))))</f>
        <v>0</v>
      </c>
      <c r="S102" s="478">
        <f t="shared" si="26"/>
        <v>0</v>
      </c>
      <c r="T102" s="478">
        <f t="shared" ca="1" si="31"/>
        <v>0</v>
      </c>
      <c r="U102" s="478">
        <f>S102*Données!$F$36</f>
        <v>0</v>
      </c>
      <c r="V102" s="478">
        <f>IF(M102&lt;=8,IF($H$10&gt;Données!$F$14,S102*Données!$F$28,0),IF($H$10&gt;Données!$F$13,MAX((S102-MEPPER2!$Q$23)*Données!$L$15,0),0))</f>
        <v>0</v>
      </c>
      <c r="W102" s="478">
        <f>IF(M102&lt;=8,IF($H$10&lt;=Données!$F$14,S102*$H$10,0),IF($H$10&lt;Données!$F$14,MAX((S102-MEPPER2!$Q$23)*$H$10,0),0))</f>
        <v>0</v>
      </c>
      <c r="X102" s="478">
        <f t="shared" si="32"/>
        <v>0</v>
      </c>
    </row>
    <row r="103" spans="1:24">
      <c r="A103" s="477">
        <f t="shared" ca="1" si="33"/>
        <v>129</v>
      </c>
      <c r="B103" s="478">
        <f t="shared" ca="1" si="34"/>
        <v>0</v>
      </c>
      <c r="C103" s="478">
        <v>0</v>
      </c>
      <c r="D103" s="478">
        <f ca="1">IFERROR(IF($H$5="",B103*'CT à Transf'!$K$28,B103*$H$5),B103*$H$5)</f>
        <v>0</v>
      </c>
      <c r="E103" s="478">
        <f t="shared" ca="1" si="35"/>
        <v>0</v>
      </c>
      <c r="F103" s="478">
        <f t="shared" ca="1" si="23"/>
        <v>0</v>
      </c>
      <c r="G103" s="478">
        <f t="shared" ca="1" si="27"/>
        <v>0</v>
      </c>
      <c r="H103" s="478">
        <f t="shared" ca="1" si="28"/>
        <v>0</v>
      </c>
      <c r="J103" s="476"/>
      <c r="K103" s="477">
        <f t="shared" si="36"/>
        <v>147</v>
      </c>
      <c r="L103" s="478">
        <f t="shared" si="29"/>
        <v>0</v>
      </c>
      <c r="M103" s="634">
        <f t="shared" si="37"/>
        <v>0</v>
      </c>
      <c r="N103" s="478">
        <f t="shared" si="24"/>
        <v>0</v>
      </c>
      <c r="O103" s="493">
        <f t="shared" si="16"/>
        <v>0</v>
      </c>
      <c r="P103" s="493">
        <f t="shared" si="30"/>
        <v>0</v>
      </c>
      <c r="Q103" s="478">
        <f t="shared" si="25"/>
        <v>0</v>
      </c>
      <c r="R103" s="504">
        <f ca="1">IF(MEPPER2!$H$15="Protection cellule familiale",0,IF(K103=($C$6+($O$7-$C$6)-1),Q103,IF(Q103&lt;IF(($O$7-$C$6)=0,0,-PMT($O$5,($O$7-$C$6),$H$13)),Q103,IF(($O$7-$C$6)=0,0,-PMT($O$5,($O$7-$C$6),$H$13)))))</f>
        <v>0</v>
      </c>
      <c r="S103" s="478">
        <f t="shared" si="26"/>
        <v>0</v>
      </c>
      <c r="T103" s="478">
        <f t="shared" ca="1" si="31"/>
        <v>0</v>
      </c>
      <c r="U103" s="478">
        <f>S103*Données!$F$36</f>
        <v>0</v>
      </c>
      <c r="V103" s="478">
        <f>IF(M103&lt;=8,IF($H$10&gt;Données!$F$14,S103*Données!$F$28,0),IF($H$10&gt;Données!$F$13,MAX((S103-MEPPER2!$Q$23)*Données!$L$15,0),0))</f>
        <v>0</v>
      </c>
      <c r="W103" s="478">
        <f>IF(M103&lt;=8,IF($H$10&lt;=Données!$F$14,S103*$H$10,0),IF($H$10&lt;Données!$F$14,MAX((S103-MEPPER2!$Q$23)*$H$10,0),0))</f>
        <v>0</v>
      </c>
      <c r="X103" s="478">
        <f t="shared" si="32"/>
        <v>0</v>
      </c>
    </row>
    <row r="104" spans="1:24">
      <c r="A104" s="477">
        <f t="shared" ca="1" si="33"/>
        <v>130</v>
      </c>
      <c r="B104" s="478">
        <f t="shared" ca="1" si="34"/>
        <v>0</v>
      </c>
      <c r="C104" s="478">
        <v>0</v>
      </c>
      <c r="D104" s="478">
        <f ca="1">IFERROR(IF($H$5="",B104*'CT à Transf'!$K$28,B104*$H$5),B104*$H$5)</f>
        <v>0</v>
      </c>
      <c r="E104" s="478">
        <f t="shared" ca="1" si="35"/>
        <v>0</v>
      </c>
      <c r="F104" s="478">
        <f t="shared" ca="1" si="23"/>
        <v>0</v>
      </c>
      <c r="G104" s="478">
        <f t="shared" ca="1" si="27"/>
        <v>0</v>
      </c>
      <c r="H104" s="478">
        <f t="shared" ca="1" si="28"/>
        <v>0</v>
      </c>
      <c r="J104" s="476"/>
      <c r="K104" s="477">
        <f t="shared" si="36"/>
        <v>148</v>
      </c>
      <c r="L104" s="478">
        <f t="shared" si="29"/>
        <v>0</v>
      </c>
      <c r="M104" s="634">
        <f t="shared" si="37"/>
        <v>0</v>
      </c>
      <c r="N104" s="478">
        <f t="shared" si="24"/>
        <v>0</v>
      </c>
      <c r="O104" s="493">
        <f t="shared" si="16"/>
        <v>0</v>
      </c>
      <c r="P104" s="493">
        <f t="shared" si="30"/>
        <v>0</v>
      </c>
      <c r="Q104" s="478">
        <f t="shared" si="25"/>
        <v>0</v>
      </c>
      <c r="R104" s="504">
        <f ca="1">IF(MEPPER2!$H$15="Protection cellule familiale",0,IF(K104=($C$6+($O$7-$C$6)-1),Q104,IF(Q104&lt;IF(($O$7-$C$6)=0,0,-PMT($O$5,($O$7-$C$6),$H$13)),Q104,IF(($O$7-$C$6)=0,0,-PMT($O$5,($O$7-$C$6),$H$13)))))</f>
        <v>0</v>
      </c>
      <c r="S104" s="478">
        <f t="shared" si="26"/>
        <v>0</v>
      </c>
      <c r="T104" s="478">
        <f t="shared" ca="1" si="31"/>
        <v>0</v>
      </c>
      <c r="U104" s="478">
        <f>S104*Données!$F$36</f>
        <v>0</v>
      </c>
      <c r="V104" s="478">
        <f>IF(M104&lt;=8,IF($H$10&gt;Données!$F$14,S104*Données!$F$28,0),IF($H$10&gt;Données!$F$13,MAX((S104-MEPPER2!$Q$23)*Données!$L$15,0),0))</f>
        <v>0</v>
      </c>
      <c r="W104" s="478">
        <f>IF(M104&lt;=8,IF($H$10&lt;=Données!$F$14,S104*$H$10,0),IF($H$10&lt;Données!$F$14,MAX((S104-MEPPER2!$Q$23)*$H$10,0),0))</f>
        <v>0</v>
      </c>
      <c r="X104" s="478">
        <f t="shared" si="32"/>
        <v>0</v>
      </c>
    </row>
    <row r="105" spans="1:24">
      <c r="A105" s="477">
        <f t="shared" ca="1" si="33"/>
        <v>131</v>
      </c>
      <c r="B105" s="478">
        <f t="shared" ca="1" si="34"/>
        <v>0</v>
      </c>
      <c r="C105" s="478">
        <v>0</v>
      </c>
      <c r="D105" s="478">
        <f ca="1">IFERROR(IF($H$5="",B105*'CT à Transf'!$K$28,B105*$H$5),B105*$H$5)</f>
        <v>0</v>
      </c>
      <c r="E105" s="478">
        <f t="shared" ca="1" si="35"/>
        <v>0</v>
      </c>
      <c r="F105" s="478">
        <f t="shared" ca="1" si="23"/>
        <v>0</v>
      </c>
      <c r="G105" s="478">
        <f t="shared" ca="1" si="27"/>
        <v>0</v>
      </c>
      <c r="H105" s="478">
        <f t="shared" ca="1" si="28"/>
        <v>0</v>
      </c>
      <c r="J105" s="476"/>
      <c r="K105" s="477">
        <f t="shared" si="36"/>
        <v>149</v>
      </c>
      <c r="L105" s="478">
        <f t="shared" si="29"/>
        <v>0</v>
      </c>
      <c r="M105" s="634">
        <f t="shared" si="37"/>
        <v>0</v>
      </c>
      <c r="N105" s="478">
        <f t="shared" si="24"/>
        <v>0</v>
      </c>
      <c r="O105" s="493">
        <f t="shared" si="16"/>
        <v>0</v>
      </c>
      <c r="P105" s="493">
        <f t="shared" si="30"/>
        <v>0</v>
      </c>
      <c r="Q105" s="478">
        <f t="shared" si="25"/>
        <v>0</v>
      </c>
      <c r="R105" s="504">
        <f ca="1">IF(MEPPER2!$H$15="Protection cellule familiale",0,IF(K105=($C$6+($O$7-$C$6)-1),Q105,IF(Q105&lt;IF(($O$7-$C$6)=0,0,-PMT($O$5,($O$7-$C$6),$H$13)),Q105,IF(($O$7-$C$6)=0,0,-PMT($O$5,($O$7-$C$6),$H$13)))))</f>
        <v>0</v>
      </c>
      <c r="S105" s="478">
        <f t="shared" si="26"/>
        <v>0</v>
      </c>
      <c r="T105" s="478">
        <f t="shared" ca="1" si="31"/>
        <v>0</v>
      </c>
      <c r="U105" s="478">
        <f>S105*Données!$F$36</f>
        <v>0</v>
      </c>
      <c r="V105" s="478">
        <f>IF(M105&lt;=8,IF($H$10&gt;Données!$F$14,S105*Données!$F$28,0),IF($H$10&gt;Données!$F$13,MAX((S105-MEPPER2!$Q$23)*Données!$L$15,0),0))</f>
        <v>0</v>
      </c>
      <c r="W105" s="478">
        <f>IF(M105&lt;=8,IF($H$10&lt;=Données!$F$14,S105*$H$10,0),IF($H$10&lt;Données!$F$14,MAX((S105-MEPPER2!$Q$23)*$H$10,0),0))</f>
        <v>0</v>
      </c>
      <c r="X105" s="478">
        <f t="shared" si="32"/>
        <v>0</v>
      </c>
    </row>
    <row r="106" spans="1:24">
      <c r="A106" s="477">
        <f t="shared" ca="1" si="33"/>
        <v>132</v>
      </c>
      <c r="B106" s="478">
        <f t="shared" ca="1" si="34"/>
        <v>0</v>
      </c>
      <c r="C106" s="478">
        <v>0</v>
      </c>
      <c r="D106" s="478">
        <f ca="1">IFERROR(IF($H$5="",B106*'CT à Transf'!$K$28,B106*$H$5),B106*$H$5)</f>
        <v>0</v>
      </c>
      <c r="E106" s="478">
        <f t="shared" ca="1" si="35"/>
        <v>0</v>
      </c>
      <c r="F106" s="478">
        <f t="shared" ca="1" si="23"/>
        <v>0</v>
      </c>
      <c r="G106" s="478">
        <f t="shared" ca="1" si="27"/>
        <v>0</v>
      </c>
      <c r="H106" s="478">
        <f t="shared" ca="1" si="28"/>
        <v>0</v>
      </c>
      <c r="J106" s="476"/>
      <c r="K106" s="477">
        <f t="shared" si="36"/>
        <v>150</v>
      </c>
      <c r="L106" s="478">
        <f t="shared" si="29"/>
        <v>0</v>
      </c>
      <c r="M106" s="634">
        <f t="shared" si="37"/>
        <v>0</v>
      </c>
      <c r="N106" s="478">
        <f t="shared" si="24"/>
        <v>0</v>
      </c>
      <c r="O106" s="493">
        <f t="shared" si="16"/>
        <v>0</v>
      </c>
      <c r="P106" s="493">
        <f t="shared" si="30"/>
        <v>0</v>
      </c>
      <c r="Q106" s="478">
        <f t="shared" si="25"/>
        <v>0</v>
      </c>
      <c r="R106" s="504">
        <f ca="1">IF(MEPPER2!$H$15="Protection cellule familiale",0,IF(K106=($C$6+($O$7-$C$6)-1),Q106,IF(Q106&lt;IF(($O$7-$C$6)=0,0,-PMT($O$5,($O$7-$C$6),$H$13)),Q106,IF(($O$7-$C$6)=0,0,-PMT($O$5,($O$7-$C$6),$H$13)))))</f>
        <v>0</v>
      </c>
      <c r="S106" s="478">
        <f t="shared" si="26"/>
        <v>0</v>
      </c>
      <c r="T106" s="478">
        <f t="shared" ca="1" si="31"/>
        <v>0</v>
      </c>
      <c r="U106" s="478">
        <f>S106*Données!$F$36</f>
        <v>0</v>
      </c>
      <c r="V106" s="478">
        <f>IF(M106&lt;=8,IF($H$10&gt;Données!$F$14,S106*Données!$F$28,0),IF($H$10&gt;Données!$F$13,MAX((S106-MEPPER2!$Q$23)*Données!$L$15,0),0))</f>
        <v>0</v>
      </c>
      <c r="W106" s="478">
        <f>IF(M106&lt;=8,IF($H$10&lt;=Données!$F$14,S106*$H$10,0),IF($H$10&lt;Données!$F$14,MAX((S106-MEPPER2!$Q$23)*$H$10,0),0))</f>
        <v>0</v>
      </c>
      <c r="X106" s="478">
        <f t="shared" si="32"/>
        <v>0</v>
      </c>
    </row>
    <row r="107" spans="1:24">
      <c r="A107" s="477">
        <f t="shared" ca="1" si="33"/>
        <v>133</v>
      </c>
      <c r="B107" s="478">
        <f t="shared" ca="1" si="34"/>
        <v>0</v>
      </c>
      <c r="C107" s="478">
        <v>0</v>
      </c>
      <c r="D107" s="478">
        <f ca="1">IFERROR(IF($H$5="",B107*'CT à Transf'!$K$28,B107*$H$5),B107*$H$5)</f>
        <v>0</v>
      </c>
      <c r="E107" s="478">
        <f t="shared" ca="1" si="35"/>
        <v>0</v>
      </c>
      <c r="F107" s="478">
        <f t="shared" ca="1" si="23"/>
        <v>0</v>
      </c>
      <c r="G107" s="478">
        <f t="shared" ca="1" si="27"/>
        <v>0</v>
      </c>
      <c r="H107" s="478">
        <f t="shared" ca="1" si="28"/>
        <v>0</v>
      </c>
      <c r="J107" s="476"/>
      <c r="K107" s="477">
        <f t="shared" si="36"/>
        <v>151</v>
      </c>
      <c r="L107" s="478">
        <f t="shared" si="29"/>
        <v>0</v>
      </c>
      <c r="M107" s="634">
        <f t="shared" si="37"/>
        <v>0</v>
      </c>
      <c r="N107" s="478">
        <f t="shared" si="24"/>
        <v>0</v>
      </c>
      <c r="O107" s="493">
        <f t="shared" si="16"/>
        <v>0</v>
      </c>
      <c r="P107" s="493">
        <f t="shared" si="30"/>
        <v>0</v>
      </c>
      <c r="Q107" s="478">
        <f t="shared" si="25"/>
        <v>0</v>
      </c>
      <c r="R107" s="504">
        <f ca="1">IF(MEPPER2!$H$15="Protection cellule familiale",0,IF(K107=($C$6+($O$7-$C$6)-1),Q107,IF(Q107&lt;IF(($O$7-$C$6)=0,0,-PMT($O$5,($O$7-$C$6),$H$13)),Q107,IF(($O$7-$C$6)=0,0,-PMT($O$5,($O$7-$C$6),$H$13)))))</f>
        <v>0</v>
      </c>
      <c r="S107" s="478">
        <f t="shared" si="26"/>
        <v>0</v>
      </c>
      <c r="T107" s="478">
        <f t="shared" ca="1" si="31"/>
        <v>0</v>
      </c>
      <c r="U107" s="478">
        <f>S107*Données!$F$36</f>
        <v>0</v>
      </c>
      <c r="V107" s="478">
        <f>IF(M107&lt;=8,IF($H$10&gt;Données!$F$14,S107*Données!$F$28,0),IF($H$10&gt;Données!$F$13,MAX((S107-MEPPER2!$Q$23)*Données!$L$15,0),0))</f>
        <v>0</v>
      </c>
      <c r="W107" s="478">
        <f>IF(M107&lt;=8,IF($H$10&lt;=Données!$F$14,S107*$H$10,0),IF($H$10&lt;Données!$F$14,MAX((S107-MEPPER2!$Q$23)*$H$10,0),0))</f>
        <v>0</v>
      </c>
      <c r="X107" s="478">
        <f t="shared" si="32"/>
        <v>0</v>
      </c>
    </row>
    <row r="108" spans="1:24">
      <c r="A108" s="477">
        <f t="shared" ca="1" si="33"/>
        <v>134</v>
      </c>
      <c r="B108" s="478">
        <f t="shared" ca="1" si="34"/>
        <v>0</v>
      </c>
      <c r="C108" s="478">
        <v>0</v>
      </c>
      <c r="D108" s="478">
        <f ca="1">IFERROR(IF($H$5="",B108*'CT à Transf'!$K$28,B108*$H$5),B108*$H$5)</f>
        <v>0</v>
      </c>
      <c r="E108" s="478">
        <f t="shared" ca="1" si="35"/>
        <v>0</v>
      </c>
      <c r="F108" s="478">
        <f t="shared" ca="1" si="23"/>
        <v>0</v>
      </c>
      <c r="G108" s="478">
        <f t="shared" ca="1" si="27"/>
        <v>0</v>
      </c>
      <c r="H108" s="478">
        <f t="shared" ca="1" si="28"/>
        <v>0</v>
      </c>
      <c r="J108" s="476"/>
      <c r="K108" s="477">
        <f t="shared" si="36"/>
        <v>152</v>
      </c>
      <c r="L108" s="478">
        <f t="shared" si="29"/>
        <v>0</v>
      </c>
      <c r="M108" s="634">
        <f t="shared" si="37"/>
        <v>0</v>
      </c>
      <c r="N108" s="478">
        <f t="shared" si="24"/>
        <v>0</v>
      </c>
      <c r="O108" s="493">
        <f t="shared" si="16"/>
        <v>0</v>
      </c>
      <c r="P108" s="493">
        <f t="shared" si="30"/>
        <v>0</v>
      </c>
      <c r="Q108" s="478">
        <f t="shared" si="25"/>
        <v>0</v>
      </c>
      <c r="R108" s="504">
        <f ca="1">IF(MEPPER2!$H$15="Protection cellule familiale",0,IF(K108=($C$6+($O$7-$C$6)-1),Q108,IF(Q108&lt;IF(($O$7-$C$6)=0,0,-PMT($O$5,($O$7-$C$6),$H$13)),Q108,IF(($O$7-$C$6)=0,0,-PMT($O$5,($O$7-$C$6),$H$13)))))</f>
        <v>0</v>
      </c>
      <c r="S108" s="478">
        <f t="shared" si="26"/>
        <v>0</v>
      </c>
      <c r="T108" s="478">
        <f t="shared" ca="1" si="31"/>
        <v>0</v>
      </c>
      <c r="U108" s="478">
        <f>S108*Données!$F$36</f>
        <v>0</v>
      </c>
      <c r="V108" s="478">
        <f>IF(M108&lt;=8,IF($H$10&gt;Données!$F$14,S108*Données!$F$28,0),IF($H$10&gt;Données!$F$13,MAX((S108-MEPPER2!$Q$23)*Données!$L$15,0),0))</f>
        <v>0</v>
      </c>
      <c r="W108" s="478">
        <f>IF(M108&lt;=8,IF($H$10&lt;=Données!$F$14,S108*$H$10,0),IF($H$10&lt;Données!$F$14,MAX((S108-MEPPER2!$Q$23)*$H$10,0),0))</f>
        <v>0</v>
      </c>
      <c r="X108" s="478">
        <f t="shared" si="32"/>
        <v>0</v>
      </c>
    </row>
    <row r="109" spans="1:24">
      <c r="A109" s="494"/>
      <c r="B109" s="495">
        <f ca="1">SUM(B20:B108)</f>
        <v>126000</v>
      </c>
      <c r="C109" s="495">
        <f>SUM(C20:C108)</f>
        <v>0</v>
      </c>
      <c r="D109" s="495">
        <f ca="1">SUM(D20:D108)</f>
        <v>3780</v>
      </c>
      <c r="E109" s="495">
        <f ca="1">SUM(E20:E108)</f>
        <v>129080</v>
      </c>
      <c r="F109" s="496"/>
      <c r="G109" s="497"/>
      <c r="H109" s="495">
        <f ca="1">SUM(H20:H108)</f>
        <v>175432.22747988967</v>
      </c>
      <c r="I109" s="495">
        <f t="shared" ref="I109:J109" si="38">SUM(I20:I108)</f>
        <v>0</v>
      </c>
      <c r="J109" s="495">
        <f t="shared" si="38"/>
        <v>0</v>
      </c>
      <c r="K109" s="484"/>
      <c r="L109" s="495"/>
      <c r="M109" s="495"/>
      <c r="N109" s="495"/>
      <c r="O109" s="495"/>
      <c r="P109" s="495"/>
      <c r="Q109" s="495"/>
      <c r="R109" s="495"/>
      <c r="S109" s="495"/>
      <c r="T109" s="495"/>
      <c r="U109" s="495"/>
      <c r="V109" s="495"/>
      <c r="W109" s="495"/>
      <c r="X109" s="495">
        <f t="shared" ref="X109" ca="1" si="39">SUM(X20:X108)</f>
        <v>212934.10100880871</v>
      </c>
    </row>
    <row r="110" spans="1:24">
      <c r="A110" s="479"/>
      <c r="B110" s="479"/>
      <c r="C110" s="479"/>
      <c r="D110" s="479"/>
      <c r="E110" s="479"/>
      <c r="F110" s="479"/>
      <c r="G110" s="479"/>
      <c r="H110" s="479"/>
    </row>
  </sheetData>
  <sheetProtection selectLockedCells="1"/>
  <mergeCells count="42">
    <mergeCell ref="K18:X18"/>
    <mergeCell ref="K6:N6"/>
    <mergeCell ref="D3:R3"/>
    <mergeCell ref="A13:C13"/>
    <mergeCell ref="F13:G13"/>
    <mergeCell ref="K13:P13"/>
    <mergeCell ref="Q13:S13"/>
    <mergeCell ref="T13:W13"/>
    <mergeCell ref="A18:H18"/>
    <mergeCell ref="T14:V14"/>
    <mergeCell ref="A15:C15"/>
    <mergeCell ref="F15:G15"/>
    <mergeCell ref="K15:N15"/>
    <mergeCell ref="O15:P15"/>
    <mergeCell ref="A5:B5"/>
    <mergeCell ref="C5:D5"/>
    <mergeCell ref="F5:G5"/>
    <mergeCell ref="K5:N5"/>
    <mergeCell ref="A7:B7"/>
    <mergeCell ref="C7:D7"/>
    <mergeCell ref="K7:N7"/>
    <mergeCell ref="C6:D6"/>
    <mergeCell ref="F6:G6"/>
    <mergeCell ref="A9:B9"/>
    <mergeCell ref="C9:D9"/>
    <mergeCell ref="K9:N9"/>
    <mergeCell ref="T9:U9"/>
    <mergeCell ref="F10:G10"/>
    <mergeCell ref="K10:N10"/>
    <mergeCell ref="T10:U10"/>
    <mergeCell ref="Q15:R15"/>
    <mergeCell ref="T15:V15"/>
    <mergeCell ref="A14:C14"/>
    <mergeCell ref="F14:G14"/>
    <mergeCell ref="K14:N14"/>
    <mergeCell ref="O14:P14"/>
    <mergeCell ref="Q14:R14"/>
    <mergeCell ref="K16:N16"/>
    <mergeCell ref="O16:P16"/>
    <mergeCell ref="Q16:R16"/>
    <mergeCell ref="U16:V16"/>
    <mergeCell ref="A17:H17"/>
  </mergeCells>
  <pageMargins left="0.25" right="0.25" top="0.75" bottom="0.75" header="0.3" footer="0.3"/>
  <pageSetup paperSize="9" scale="35"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4163B99F-4A86-4C8F-A9A1-00D3D2E7E6BE}">
            <xm:f>MEPPER2!$H$15="Protection cellule familiale"</xm:f>
            <x14:dxf>
              <font>
                <color theme="0"/>
              </font>
            </x14:dxf>
          </x14:cfRule>
          <xm:sqref>K7:U7</xm:sqref>
        </x14:conditionalFormatting>
        <x14:conditionalFormatting xmlns:xm="http://schemas.microsoft.com/office/excel/2006/main">
          <x14:cfRule type="expression" priority="1" id="{18A40FC1-17DD-43F4-8CD8-4C84F708A69D}">
            <xm:f>MEPPER2!$H$15="Protection cellule familiale"</xm:f>
            <x14:dxf>
              <font>
                <color theme="0"/>
              </font>
            </x14:dxf>
          </x14:cfRule>
          <xm:sqref>O6:P6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6798-FC61-4405-AC19-2FA70741332D}">
  <sheetPr codeName="Feuil7"/>
  <dimension ref="A1:N48"/>
  <sheetViews>
    <sheetView showGridLines="0" workbookViewId="0">
      <selection activeCell="P17" sqref="P17"/>
    </sheetView>
  </sheetViews>
  <sheetFormatPr baseColWidth="10" defaultColWidth="11.44140625" defaultRowHeight="13.8"/>
  <cols>
    <col min="1" max="1" width="11.5546875" style="443" customWidth="1"/>
    <col min="2" max="11" width="11.44140625" style="443"/>
    <col min="12" max="12" width="11.6640625" style="443" customWidth="1"/>
    <col min="13" max="13" width="11.44140625" style="443"/>
    <col min="14" max="14" width="16" style="443" bestFit="1" customWidth="1"/>
    <col min="15" max="18" width="3.33203125" style="443" customWidth="1"/>
    <col min="19" max="16384" width="11.44140625" style="443"/>
  </cols>
  <sheetData>
    <row r="1" spans="1:14" ht="14.4" thickBot="1">
      <c r="A1" s="1079" t="s">
        <v>1414</v>
      </c>
      <c r="B1" s="1079"/>
      <c r="C1" s="1079"/>
      <c r="D1" s="1079"/>
      <c r="E1" s="1079"/>
      <c r="F1" s="1079"/>
      <c r="G1" s="1080" t="s">
        <v>1415</v>
      </c>
      <c r="H1" s="1080"/>
      <c r="I1" s="440"/>
      <c r="J1" s="1081"/>
      <c r="K1" s="1081"/>
      <c r="L1" s="441"/>
      <c r="M1" s="440"/>
      <c r="N1" s="442" t="s">
        <v>308</v>
      </c>
    </row>
    <row r="2" spans="1:14" ht="14.4" thickBot="1">
      <c r="A2" s="1079"/>
      <c r="B2" s="1079"/>
      <c r="C2" s="1079"/>
      <c r="D2" s="1079"/>
      <c r="E2" s="1079"/>
      <c r="F2" s="1079"/>
      <c r="G2" s="441" t="s">
        <v>1416</v>
      </c>
      <c r="H2" s="444">
        <f ca="1">(YEAR(TODAY()))-SynthèsePER!I13</f>
        <v>2026</v>
      </c>
      <c r="I2" s="441" t="s">
        <v>1417</v>
      </c>
      <c r="J2" s="441">
        <f ca="1">(YEAR(TODAY()))-H2</f>
        <v>0</v>
      </c>
      <c r="K2" s="445" t="s">
        <v>1418</v>
      </c>
      <c r="L2" s="446">
        <f>SynthèsePER!G24</f>
        <v>0</v>
      </c>
      <c r="M2" s="441" t="s">
        <v>1413</v>
      </c>
      <c r="N2" s="447" t="e">
        <f ca="1">INDEX(B5:L47,(MATCH(J2, A5:A47, 0)),(MATCH(L2, B4:L4, 0)))</f>
        <v>#N/A</v>
      </c>
    </row>
    <row r="3" spans="1:14" ht="15" customHeight="1">
      <c r="A3" s="1082" t="s">
        <v>1419</v>
      </c>
      <c r="B3" s="1083" t="s">
        <v>1420</v>
      </c>
      <c r="C3" s="1084"/>
      <c r="D3" s="1084"/>
      <c r="E3" s="1084"/>
      <c r="F3" s="1084"/>
      <c r="G3" s="1084"/>
      <c r="H3" s="1084"/>
      <c r="I3" s="1085"/>
    </row>
    <row r="4" spans="1:14">
      <c r="A4" s="1082"/>
      <c r="B4" s="448">
        <v>60</v>
      </c>
      <c r="C4" s="449">
        <v>61</v>
      </c>
      <c r="D4" s="449">
        <v>62</v>
      </c>
      <c r="E4" s="449">
        <v>63</v>
      </c>
      <c r="F4" s="449">
        <v>64</v>
      </c>
      <c r="G4" s="449">
        <v>65</v>
      </c>
      <c r="H4" s="449">
        <v>66</v>
      </c>
      <c r="I4" s="449">
        <v>67</v>
      </c>
      <c r="J4" s="449">
        <v>68</v>
      </c>
      <c r="K4" s="449">
        <v>69</v>
      </c>
      <c r="L4" s="450">
        <v>70</v>
      </c>
    </row>
    <row r="5" spans="1:14">
      <c r="A5" s="449">
        <v>1994</v>
      </c>
      <c r="B5" s="451">
        <f t="shared" ref="B5:B35" si="0">B6*(99.55%+(0.002%*(A5-$A$37)))</f>
        <v>2.5459459203379133E-2</v>
      </c>
      <c r="C5" s="451">
        <f t="shared" ref="C5:C36" si="1">C6*(99.5%+(0.005%*(A5-$A$38)))</f>
        <v>2.6205168260781952E-2</v>
      </c>
      <c r="D5" s="451">
        <f t="shared" ref="D5:D37" si="2">D6*(99.5%+(0.0041%*(A5-$A$39)))</f>
        <v>2.6861886671121046E-2</v>
      </c>
      <c r="E5" s="451">
        <f t="shared" ref="E5:E38" si="3">E6*(99.5%+(0.003%*(A5-$A$40)))</f>
        <v>2.7517776851824903E-2</v>
      </c>
      <c r="F5" s="451">
        <f t="shared" ref="F5:F39" si="4">F6*(99.5%+(0.003%*(A5-$A$41)))</f>
        <v>2.8409945422938069E-2</v>
      </c>
      <c r="G5" s="451">
        <f t="shared" ref="G5:G40" si="5">G6*(99.455%+(0.004%*(A5-$A$42)))</f>
        <v>2.9083533441474022E-2</v>
      </c>
      <c r="H5" s="451">
        <f t="shared" ref="H5:H41" si="6">H6*(99.45%+(0.004%*(A5-$A$43)))</f>
        <v>3.0041004769746089E-2</v>
      </c>
      <c r="I5" s="451">
        <f t="shared" ref="I5:I42" si="7">I6*(99.4%+(0.006%*(A5-$A$44)))</f>
        <v>3.100571115997567E-2</v>
      </c>
      <c r="J5" s="451">
        <f t="shared" ref="J5:J43" si="8">J6*(99.4%+(0.005%*(A5-$A$45)))</f>
        <v>3.1919328786206576E-2</v>
      </c>
      <c r="K5" s="451">
        <f t="shared" ref="K5:K44" si="9">K6*(99.4%+(0.004%*(A5-$A$46)))</f>
        <v>3.2881529490058695E-2</v>
      </c>
      <c r="L5" s="452">
        <f t="shared" ref="L5:L45" si="10">L6*(99.3855%+(0.0036%*(A5-$A$47)))</f>
        <v>3.3877300568342573E-2</v>
      </c>
    </row>
    <row r="6" spans="1:14">
      <c r="A6" s="449">
        <v>1993</v>
      </c>
      <c r="B6" s="451">
        <f t="shared" si="0"/>
        <v>2.5558113521572404E-2</v>
      </c>
      <c r="C6" s="451">
        <f t="shared" si="1"/>
        <v>2.6293250650460995E-2</v>
      </c>
      <c r="D6" s="451">
        <f t="shared" si="2"/>
        <v>2.6959101190012231E-2</v>
      </c>
      <c r="E6" s="451">
        <f t="shared" si="3"/>
        <v>2.7626903119145528E-2</v>
      </c>
      <c r="F6" s="451">
        <f t="shared" si="4"/>
        <v>2.8521750685625721E-2</v>
      </c>
      <c r="G6" s="451">
        <f t="shared" si="5"/>
        <v>2.9199455278931381E-2</v>
      </c>
      <c r="H6" s="451">
        <f t="shared" si="6"/>
        <v>3.0161045731758488E-2</v>
      </c>
      <c r="I6" s="451">
        <f t="shared" si="7"/>
        <v>3.1119608928654542E-2</v>
      </c>
      <c r="J6" s="451">
        <f t="shared" si="8"/>
        <v>3.2047518861653183E-2</v>
      </c>
      <c r="K6" s="451">
        <f t="shared" si="9"/>
        <v>3.30255207605748E-2</v>
      </c>
      <c r="L6" s="452">
        <f t="shared" si="10"/>
        <v>3.4034984652236387E-2</v>
      </c>
    </row>
    <row r="7" spans="1:14">
      <c r="A7" s="449">
        <v>1992</v>
      </c>
      <c r="B7" s="451">
        <f t="shared" si="0"/>
        <v>2.5657665262792041E-2</v>
      </c>
      <c r="C7" s="451">
        <f t="shared" si="1"/>
        <v>2.6382952689605652E-2</v>
      </c>
      <c r="D7" s="451">
        <f t="shared" si="2"/>
        <v>2.7057780917016588E-2</v>
      </c>
      <c r="E7" s="451">
        <f t="shared" si="3"/>
        <v>2.773729756344805E-2</v>
      </c>
      <c r="F7" s="451">
        <f t="shared" si="4"/>
        <v>2.8634858376211759E-2</v>
      </c>
      <c r="G7" s="451">
        <f t="shared" si="5"/>
        <v>2.9317016515157161E-2</v>
      </c>
      <c r="H7" s="451">
        <f t="shared" si="6"/>
        <v>3.0282782517478748E-2</v>
      </c>
      <c r="I7" s="451">
        <f t="shared" si="7"/>
        <v>3.123580612744865E-2</v>
      </c>
      <c r="J7" s="451">
        <f t="shared" si="8"/>
        <v>3.2177839110048879E-2</v>
      </c>
      <c r="K7" s="451">
        <f t="shared" si="9"/>
        <v>3.3171475251682195E-2</v>
      </c>
      <c r="L7" s="452">
        <f t="shared" si="10"/>
        <v>3.4194639423705674E-2</v>
      </c>
    </row>
    <row r="8" spans="1:14">
      <c r="A8" s="449">
        <v>1991</v>
      </c>
      <c r="B8" s="451">
        <f t="shared" si="0"/>
        <v>2.5758121938351614E-2</v>
      </c>
      <c r="C8" s="451">
        <f t="shared" si="1"/>
        <v>2.6474288986609452E-2</v>
      </c>
      <c r="D8" s="451">
        <f t="shared" si="2"/>
        <v>2.7157939397514621E-2</v>
      </c>
      <c r="E8" s="451">
        <f t="shared" si="3"/>
        <v>2.7848971940931184E-2</v>
      </c>
      <c r="F8" s="451">
        <f t="shared" si="4"/>
        <v>2.8749280512652114E-2</v>
      </c>
      <c r="G8" s="451">
        <f t="shared" si="5"/>
        <v>2.9436233259859595E-2</v>
      </c>
      <c r="H8" s="451">
        <f t="shared" si="6"/>
        <v>3.0406231818662519E-2</v>
      </c>
      <c r="I8" s="451">
        <f t="shared" si="7"/>
        <v>3.135432547775456E-2</v>
      </c>
      <c r="J8" s="451">
        <f t="shared" si="8"/>
        <v>3.2310311386734486E-2</v>
      </c>
      <c r="K8" s="451">
        <f t="shared" si="9"/>
        <v>3.3319413447388598E-2</v>
      </c>
      <c r="L8" s="452">
        <f t="shared" si="10"/>
        <v>3.4356285748150722E-2</v>
      </c>
    </row>
    <row r="9" spans="1:14">
      <c r="A9" s="449">
        <v>1990</v>
      </c>
      <c r="B9" s="451">
        <f t="shared" si="0"/>
        <v>2.5859491143634662E-2</v>
      </c>
      <c r="C9" s="451">
        <f t="shared" si="1"/>
        <v>2.6567274447174567E-2</v>
      </c>
      <c r="D9" s="451">
        <f t="shared" si="2"/>
        <v>2.7259590410154085E-2</v>
      </c>
      <c r="E9" s="451">
        <f t="shared" si="3"/>
        <v>2.7961938171142602E-2</v>
      </c>
      <c r="F9" s="451">
        <f t="shared" si="4"/>
        <v>2.8865029280065173E-2</v>
      </c>
      <c r="G9" s="451">
        <f t="shared" si="5"/>
        <v>2.9557121888383081E-2</v>
      </c>
      <c r="H9" s="451">
        <f t="shared" si="6"/>
        <v>3.0531410602131256E-2</v>
      </c>
      <c r="I9" s="451">
        <f t="shared" si="7"/>
        <v>3.1475190208153869E-2</v>
      </c>
      <c r="J9" s="451">
        <f t="shared" si="8"/>
        <v>3.2444957962277934E-2</v>
      </c>
      <c r="K9" s="451">
        <f t="shared" si="9"/>
        <v>3.3469356162998828E-2</v>
      </c>
      <c r="L9" s="452">
        <f t="shared" si="10"/>
        <v>3.4519944806478242E-2</v>
      </c>
    </row>
    <row r="10" spans="1:14">
      <c r="A10" s="449">
        <v>1989</v>
      </c>
      <c r="B10" s="451">
        <f t="shared" si="0"/>
        <v>2.5961780559037268E-2</v>
      </c>
      <c r="C10" s="451">
        <f t="shared" si="1"/>
        <v>2.6661924278362756E-2</v>
      </c>
      <c r="D10" s="451">
        <f t="shared" si="2"/>
        <v>2.7362747970000989E-2</v>
      </c>
      <c r="E10" s="451">
        <f t="shared" si="3"/>
        <v>2.807620833908267E-2</v>
      </c>
      <c r="F10" s="451">
        <f t="shared" si="4"/>
        <v>2.8982117032878001E-2</v>
      </c>
      <c r="G10" s="451">
        <f t="shared" si="5"/>
        <v>2.9679699045440752E-2</v>
      </c>
      <c r="H10" s="451">
        <f t="shared" si="6"/>
        <v>3.0658336113641729E-2</v>
      </c>
      <c r="I10" s="451">
        <f t="shared" si="7"/>
        <v>3.1598424061995652E-2</v>
      </c>
      <c r="J10" s="451">
        <f t="shared" si="8"/>
        <v>3.2581801528698461E-2</v>
      </c>
      <c r="K10" s="451">
        <f t="shared" si="9"/>
        <v>3.3621324549964665E-2</v>
      </c>
      <c r="L10" s="452">
        <f t="shared" si="10"/>
        <v>3.4685638099680415E-2</v>
      </c>
    </row>
    <row r="11" spans="1:14">
      <c r="A11" s="449">
        <v>1988</v>
      </c>
      <c r="B11" s="451">
        <f t="shared" si="0"/>
        <v>2.6064997950922923E-2</v>
      </c>
      <c r="C11" s="451">
        <f t="shared" si="1"/>
        <v>2.6758253992736611E-2</v>
      </c>
      <c r="D11" s="451">
        <f t="shared" si="2"/>
        <v>2.7467426331751293E-2</v>
      </c>
      <c r="E11" s="451">
        <f t="shared" si="3"/>
        <v>2.819179469734177E-2</v>
      </c>
      <c r="F11" s="451">
        <f t="shared" si="4"/>
        <v>2.9100556297006818E-2</v>
      </c>
      <c r="G11" s="451">
        <f t="shared" si="5"/>
        <v>2.980398164891674E-2</v>
      </c>
      <c r="H11" s="451">
        <f t="shared" si="6"/>
        <v>3.078702588182777E-2</v>
      </c>
      <c r="I11" s="451">
        <f t="shared" si="7"/>
        <v>3.1724051305164098E-2</v>
      </c>
      <c r="J11" s="451">
        <f t="shared" si="8"/>
        <v>3.2720865205823207E-2</v>
      </c>
      <c r="K11" s="451">
        <f t="shared" si="9"/>
        <v>3.3775340100824419E-2</v>
      </c>
      <c r="L11" s="452">
        <f t="shared" si="10"/>
        <v>3.4853387453494082E-2</v>
      </c>
    </row>
    <row r="12" spans="1:14">
      <c r="A12" s="449">
        <v>1987</v>
      </c>
      <c r="B12" s="451">
        <f t="shared" si="0"/>
        <v>2.6169151172589833E-2</v>
      </c>
      <c r="C12" s="451">
        <f t="shared" si="1"/>
        <v>2.6856279412592575E-2</v>
      </c>
      <c r="D12" s="451">
        <f t="shared" si="2"/>
        <v>2.7573639993004346E-2</v>
      </c>
      <c r="E12" s="451">
        <f t="shared" si="3"/>
        <v>2.8308709668271731E-2</v>
      </c>
      <c r="F12" s="451">
        <f t="shared" si="4"/>
        <v>2.9220359772072314E-2</v>
      </c>
      <c r="G12" s="451">
        <f t="shared" si="5"/>
        <v>2.9929986893739383E-2</v>
      </c>
      <c r="H12" s="451">
        <f t="shared" si="6"/>
        <v>3.0917497722215519E-2</v>
      </c>
      <c r="I12" s="451">
        <f t="shared" si="7"/>
        <v>3.1852096734034913E-2</v>
      </c>
      <c r="J12" s="451">
        <f t="shared" si="8"/>
        <v>3.2862172547778651E-2</v>
      </c>
      <c r="K12" s="451">
        <f t="shared" si="9"/>
        <v>3.3931424654233891E-2</v>
      </c>
      <c r="L12" s="452">
        <f t="shared" si="10"/>
        <v>3.5023215023141298E-2</v>
      </c>
    </row>
    <row r="13" spans="1:14">
      <c r="A13" s="449">
        <v>1986</v>
      </c>
      <c r="B13" s="451">
        <f t="shared" si="0"/>
        <v>2.6274248165250841E-2</v>
      </c>
      <c r="C13" s="451">
        <f t="shared" si="1"/>
        <v>2.6956016674287441E-2</v>
      </c>
      <c r="D13" s="451">
        <f t="shared" si="2"/>
        <v>2.76814036975991E-2</v>
      </c>
      <c r="E13" s="451">
        <f t="shared" si="3"/>
        <v>2.8426965846191889E-2</v>
      </c>
      <c r="F13" s="451">
        <f t="shared" si="4"/>
        <v>2.9341540333650287E-2</v>
      </c>
      <c r="G13" s="451">
        <f t="shared" si="5"/>
        <v>3.0057732255826648E-2</v>
      </c>
      <c r="H13" s="451">
        <f t="shared" si="6"/>
        <v>3.1049769741313512E-2</v>
      </c>
      <c r="I13" s="451">
        <f t="shared" si="7"/>
        <v>3.1982585683624096E-2</v>
      </c>
      <c r="J13" s="451">
        <f t="shared" si="8"/>
        <v>3.3005747549619491E-2</v>
      </c>
      <c r="K13" s="451">
        <f t="shared" si="9"/>
        <v>3.4089600400090306E-2</v>
      </c>
      <c r="L13" s="452">
        <f t="shared" si="10"/>
        <v>3.5195143298152778E-2</v>
      </c>
    </row>
    <row r="14" spans="1:14">
      <c r="A14" s="449">
        <v>1985</v>
      </c>
      <c r="B14" s="451">
        <f t="shared" si="0"/>
        <v>2.6380296959026127E-2</v>
      </c>
      <c r="C14" s="451">
        <f t="shared" si="1"/>
        <v>2.7057482232659916E-2</v>
      </c>
      <c r="D14" s="451">
        <f t="shared" si="2"/>
        <v>2.7790732439014181E-2</v>
      </c>
      <c r="E14" s="451">
        <f t="shared" si="3"/>
        <v>2.8546575999630341E-2</v>
      </c>
      <c r="F14" s="451">
        <f t="shared" si="4"/>
        <v>2.946411103555821E-2</v>
      </c>
      <c r="G14" s="451">
        <f t="shared" si="5"/>
        <v>3.0187235496104938E-2</v>
      </c>
      <c r="H14" s="451">
        <f t="shared" si="6"/>
        <v>3.1183860340778861E-2</v>
      </c>
      <c r="I14" s="451">
        <f t="shared" si="7"/>
        <v>3.2115544035932857E-2</v>
      </c>
      <c r="J14" s="451">
        <f t="shared" si="8"/>
        <v>3.3151614654097515E-2</v>
      </c>
      <c r="K14" s="451">
        <f t="shared" si="9"/>
        <v>3.4249889884750938E-2</v>
      </c>
      <c r="L14" s="452">
        <f t="shared" si="10"/>
        <v>3.5369195107275687E-2</v>
      </c>
    </row>
    <row r="15" spans="1:14">
      <c r="A15" s="449">
        <v>1984</v>
      </c>
      <c r="B15" s="451">
        <f t="shared" si="0"/>
        <v>2.6487305673948882E-2</v>
      </c>
      <c r="C15" s="451">
        <f t="shared" si="1"/>
        <v>2.7160692865549004E-2</v>
      </c>
      <c r="D15" s="451">
        <f t="shared" si="2"/>
        <v>2.7901641463832914E-2</v>
      </c>
      <c r="E15" s="451">
        <f t="shared" si="3"/>
        <v>2.8667553073600936E-2</v>
      </c>
      <c r="F15" s="451">
        <f t="shared" si="4"/>
        <v>2.9588085112178239E-2</v>
      </c>
      <c r="G15" s="451">
        <f t="shared" si="5"/>
        <v>3.0318514664602669E-2</v>
      </c>
      <c r="H15" s="451">
        <f t="shared" si="6"/>
        <v>3.1319788221660864E-2</v>
      </c>
      <c r="I15" s="451">
        <f t="shared" si="7"/>
        <v>3.225099822849252E-2</v>
      </c>
      <c r="J15" s="451">
        <f t="shared" si="8"/>
        <v>3.3299798758573161E-2</v>
      </c>
      <c r="K15" s="451">
        <f t="shared" si="9"/>
        <v>3.4412316016348102E-2</v>
      </c>
      <c r="L15" s="452">
        <f t="shared" si="10"/>
        <v>3.5545393623467217E-2</v>
      </c>
    </row>
    <row r="16" spans="1:14">
      <c r="A16" s="449">
        <v>1983</v>
      </c>
      <c r="B16" s="451">
        <f t="shared" si="0"/>
        <v>2.659528252098408E-2</v>
      </c>
      <c r="C16" s="451">
        <f t="shared" si="1"/>
        <v>2.7265665678410888E-2</v>
      </c>
      <c r="D16" s="451">
        <f t="shared" si="2"/>
        <v>2.8014146275274418E-2</v>
      </c>
      <c r="E16" s="451">
        <f t="shared" si="3"/>
        <v>2.8789910191916582E-2</v>
      </c>
      <c r="F16" s="451">
        <f t="shared" si="4"/>
        <v>2.9713475980817288E-2</v>
      </c>
      <c r="G16" s="451">
        <f t="shared" si="5"/>
        <v>3.045158810461986E-2</v>
      </c>
      <c r="H16" s="451">
        <f t="shared" si="6"/>
        <v>3.1457572388723473E-2</v>
      </c>
      <c r="I16" s="451">
        <f t="shared" si="7"/>
        <v>3.2388975263113379E-2</v>
      </c>
      <c r="J16" s="451">
        <f t="shared" si="8"/>
        <v>3.3450325222072488E-2</v>
      </c>
      <c r="K16" s="451">
        <f t="shared" si="9"/>
        <v>3.457690207020226E-2</v>
      </c>
      <c r="L16" s="452">
        <f t="shared" si="10"/>
        <v>3.5723762368975516E-2</v>
      </c>
    </row>
    <row r="17" spans="1:12">
      <c r="A17" s="449">
        <v>1982</v>
      </c>
      <c r="B17" s="451">
        <f t="shared" si="0"/>
        <v>2.6704235803060569E-2</v>
      </c>
      <c r="C17" s="451">
        <f t="shared" si="1"/>
        <v>2.737241810903613E-2</v>
      </c>
      <c r="D17" s="451">
        <f t="shared" si="2"/>
        <v>2.8128262636791881E-2</v>
      </c>
      <c r="E17" s="451">
        <f t="shared" si="3"/>
        <v>2.891366065953941E-2</v>
      </c>
      <c r="F17" s="451">
        <f t="shared" si="4"/>
        <v>2.9840297244104731E-2</v>
      </c>
      <c r="G17" s="451">
        <f t="shared" si="5"/>
        <v>3.058647445697512E-2</v>
      </c>
      <c r="H17" s="451">
        <f t="shared" si="6"/>
        <v>3.1597232154847901E-2</v>
      </c>
      <c r="I17" s="451">
        <f t="shared" si="7"/>
        <v>3.2529502714841493E-2</v>
      </c>
      <c r="J17" s="451">
        <f t="shared" si="8"/>
        <v>3.3603219872492325E-2</v>
      </c>
      <c r="K17" s="451">
        <f t="shared" si="9"/>
        <v>3.4743671694335065E-2</v>
      </c>
      <c r="L17" s="452">
        <f t="shared" si="10"/>
        <v>3.5904325220509459E-2</v>
      </c>
    </row>
    <row r="18" spans="1:12">
      <c r="A18" s="449">
        <v>1981</v>
      </c>
      <c r="B18" s="451">
        <f t="shared" si="0"/>
        <v>2.6814173916116651E-2</v>
      </c>
      <c r="C18" s="451">
        <f t="shared" si="1"/>
        <v>2.7480967932368986E-2</v>
      </c>
      <c r="D18" s="451">
        <f t="shared" si="2"/>
        <v>2.824400657573926E-2</v>
      </c>
      <c r="E18" s="451">
        <f t="shared" si="3"/>
        <v>2.9038817964968426E-2</v>
      </c>
      <c r="F18" s="451">
        <f t="shared" si="4"/>
        <v>2.9968562692428324E-2</v>
      </c>
      <c r="G18" s="451">
        <f t="shared" si="5"/>
        <v>3.0723192664331395E-2</v>
      </c>
      <c r="H18" s="451">
        <f t="shared" si="6"/>
        <v>3.1738787145516902E-2</v>
      </c>
      <c r="I18" s="451">
        <f t="shared" si="7"/>
        <v>3.267260874112763E-2</v>
      </c>
      <c r="J18" s="451">
        <f t="shared" si="8"/>
        <v>3.3758509013956522E-2</v>
      </c>
      <c r="K18" s="451">
        <f t="shared" si="9"/>
        <v>3.4912648915084069E-2</v>
      </c>
      <c r="L18" s="452">
        <f t="shared" si="10"/>
        <v>3.6087106414498901E-2</v>
      </c>
    </row>
    <row r="19" spans="1:12">
      <c r="A19" s="449">
        <v>1980</v>
      </c>
      <c r="B19" s="451">
        <f t="shared" si="0"/>
        <v>2.6925105350159309E-2</v>
      </c>
      <c r="C19" s="451">
        <f t="shared" si="1"/>
        <v>2.7591333265430708E-2</v>
      </c>
      <c r="D19" s="451">
        <f t="shared" si="2"/>
        <v>2.8361394387107497E-2</v>
      </c>
      <c r="E19" s="451">
        <f t="shared" si="3"/>
        <v>2.9165395782665193E-2</v>
      </c>
      <c r="F19" s="451">
        <f t="shared" si="4"/>
        <v>3.0098286306408949E-2</v>
      </c>
      <c r="G19" s="451">
        <f t="shared" si="5"/>
        <v>3.0861761975601851E-2</v>
      </c>
      <c r="H19" s="451">
        <f t="shared" si="6"/>
        <v>3.1882257303382122E-2</v>
      </c>
      <c r="I19" s="451">
        <f t="shared" si="7"/>
        <v>3.2818322091212611E-2</v>
      </c>
      <c r="J19" s="451">
        <f t="shared" si="8"/>
        <v>3.3916219434326135E-2</v>
      </c>
      <c r="K19" s="451">
        <f t="shared" si="9"/>
        <v>3.5083858142821028E-2</v>
      </c>
      <c r="L19" s="452">
        <f t="shared" si="10"/>
        <v>3.6272130552446935E-2</v>
      </c>
    </row>
    <row r="20" spans="1:12">
      <c r="A20" s="449">
        <v>1979</v>
      </c>
      <c r="B20" s="451">
        <f t="shared" si="0"/>
        <v>2.7037038690337308E-2</v>
      </c>
      <c r="C20" s="451">
        <f t="shared" si="1"/>
        <v>2.770353257234872E-2</v>
      </c>
      <c r="D20" s="451">
        <f t="shared" si="2"/>
        <v>2.8480442637331543E-2</v>
      </c>
      <c r="E20" s="451">
        <f t="shared" si="3"/>
        <v>2.9293407975518208E-2</v>
      </c>
      <c r="F20" s="451">
        <f t="shared" si="4"/>
        <v>3.0229482259414808E-2</v>
      </c>
      <c r="G20" s="451">
        <f t="shared" si="5"/>
        <v>3.1002201950437333E-2</v>
      </c>
      <c r="H20" s="451">
        <f t="shared" si="6"/>
        <v>3.2027662892915962E-2</v>
      </c>
      <c r="I20" s="451">
        <f t="shared" si="7"/>
        <v>3.2966672115733411E-2</v>
      </c>
      <c r="J20" s="451">
        <f t="shared" si="8"/>
        <v>3.4076378412866606E-2</v>
      </c>
      <c r="K20" s="451">
        <f t="shared" si="9"/>
        <v>3.5257324177775683E-2</v>
      </c>
      <c r="L20" s="452">
        <f t="shared" si="10"/>
        <v>3.6459422606375892E-2</v>
      </c>
    </row>
    <row r="21" spans="1:12">
      <c r="A21" s="449">
        <v>1978</v>
      </c>
      <c r="B21" s="451">
        <f t="shared" si="0"/>
        <v>2.7149982618028305E-2</v>
      </c>
      <c r="C21" s="451">
        <f t="shared" si="1"/>
        <v>2.7817584669493644E-2</v>
      </c>
      <c r="D21" s="451">
        <f t="shared" si="2"/>
        <v>2.8601168168169388E-2</v>
      </c>
      <c r="E21" s="451">
        <f t="shared" si="3"/>
        <v>2.9422868597346531E-2</v>
      </c>
      <c r="F21" s="451">
        <f t="shared" si="4"/>
        <v>3.0362164920115713E-2</v>
      </c>
      <c r="G21" s="451">
        <f t="shared" si="5"/>
        <v>3.1144532463796889E-2</v>
      </c>
      <c r="H21" s="451">
        <f t="shared" si="6"/>
        <v>3.2175024505149544E-2</v>
      </c>
      <c r="I21" s="451">
        <f t="shared" si="7"/>
        <v>3.3117688776554494E-2</v>
      </c>
      <c r="J21" s="451">
        <f t="shared" si="8"/>
        <v>3.423901372807496E-2</v>
      </c>
      <c r="K21" s="451">
        <f t="shared" si="9"/>
        <v>3.5433072215966872E-2</v>
      </c>
      <c r="L21" s="452">
        <f t="shared" si="10"/>
        <v>3.6649007924368655E-2</v>
      </c>
    </row>
    <row r="22" spans="1:12">
      <c r="A22" s="449">
        <v>1977</v>
      </c>
      <c r="B22" s="451">
        <f t="shared" si="0"/>
        <v>2.7263945911940219E-2</v>
      </c>
      <c r="C22" s="451">
        <f t="shared" si="1"/>
        <v>2.7933508730726156E-2</v>
      </c>
      <c r="D22" s="451">
        <f t="shared" si="2"/>
        <v>2.8723588100654375E-2</v>
      </c>
      <c r="E22" s="451">
        <f t="shared" si="3"/>
        <v>2.9553791895443347E-2</v>
      </c>
      <c r="F22" s="451">
        <f t="shared" si="4"/>
        <v>3.0496348855078056E-2</v>
      </c>
      <c r="G22" s="451">
        <f t="shared" si="5"/>
        <v>3.128877371060277E-2</v>
      </c>
      <c r="H22" s="451">
        <f t="shared" si="6"/>
        <v>3.2324363062498286E-2</v>
      </c>
      <c r="I22" s="451">
        <f t="shared" si="7"/>
        <v>3.3271402656829041E-2</v>
      </c>
      <c r="J22" s="451">
        <f t="shared" si="8"/>
        <v>3.4404153665670172E-2</v>
      </c>
      <c r="K22" s="451">
        <f t="shared" si="9"/>
        <v>3.5611127855243084E-2</v>
      </c>
      <c r="L22" s="452">
        <f t="shared" si="10"/>
        <v>3.6840912236207057E-2</v>
      </c>
    </row>
    <row r="23" spans="1:12">
      <c r="A23" s="449">
        <v>1976</v>
      </c>
      <c r="B23" s="451">
        <f t="shared" si="0"/>
        <v>2.7378937449226974E-2</v>
      </c>
      <c r="C23" s="451">
        <f t="shared" si="1"/>
        <v>2.8051324292755728E-2</v>
      </c>
      <c r="D23" s="451">
        <f t="shared" si="2"/>
        <v>2.884771983912212E-2</v>
      </c>
      <c r="E23" s="451">
        <f t="shared" si="3"/>
        <v>2.9686192313160043E-2</v>
      </c>
      <c r="F23" s="451">
        <f t="shared" si="4"/>
        <v>3.0632048831401165E-2</v>
      </c>
      <c r="G23" s="451">
        <f t="shared" si="5"/>
        <v>3.1434946210481512E-2</v>
      </c>
      <c r="H23" s="451">
        <f t="shared" si="6"/>
        <v>3.2475699823676617E-2</v>
      </c>
      <c r="I23" s="451">
        <f t="shared" si="7"/>
        <v>3.3427844971294696E-2</v>
      </c>
      <c r="J23" s="451">
        <f t="shared" si="8"/>
        <v>3.4571827026749907E-2</v>
      </c>
      <c r="K23" s="451">
        <f t="shared" si="9"/>
        <v>3.5791517101434307E-2</v>
      </c>
      <c r="L23" s="452">
        <f t="shared" si="10"/>
        <v>3.7035161659109084E-2</v>
      </c>
    </row>
    <row r="24" spans="1:12">
      <c r="A24" s="449">
        <v>1975</v>
      </c>
      <c r="B24" s="451">
        <f t="shared" si="0"/>
        <v>2.7494966206618909E-2</v>
      </c>
      <c r="C24" s="451">
        <f t="shared" si="1"/>
        <v>2.8171051260613336E-2</v>
      </c>
      <c r="D24" s="451">
        <f t="shared" si="2"/>
        <v>2.8973581075313282E-2</v>
      </c>
      <c r="E24" s="451">
        <f t="shared" si="3"/>
        <v>2.9820084492531509E-2</v>
      </c>
      <c r="F24" s="451">
        <f t="shared" si="4"/>
        <v>3.0769279819395669E-2</v>
      </c>
      <c r="G24" s="451">
        <f t="shared" si="5"/>
        <v>3.1583070812592574E-2</v>
      </c>
      <c r="H24" s="451">
        <f t="shared" si="6"/>
        <v>3.2629056388703524E-2</v>
      </c>
      <c r="I24" s="451">
        <f t="shared" si="7"/>
        <v>3.3587047576808762E-2</v>
      </c>
      <c r="J24" s="451">
        <f t="shared" si="8"/>
        <v>3.4742063136116878E-2</v>
      </c>
      <c r="K24" s="451">
        <f t="shared" si="9"/>
        <v>3.5974266374617356E-2</v>
      </c>
      <c r="L24" s="452">
        <f t="shared" si="10"/>
        <v>3.723178270356662E-2</v>
      </c>
    </row>
    <row r="25" spans="1:12">
      <c r="A25" s="449">
        <v>1974</v>
      </c>
      <c r="B25" s="451">
        <f t="shared" si="0"/>
        <v>2.7612041261567959E-2</v>
      </c>
      <c r="C25" s="451">
        <f t="shared" si="1"/>
        <v>2.8292709913240267E-2</v>
      </c>
      <c r="D25" s="451">
        <f t="shared" si="2"/>
        <v>2.910118979255363E-2</v>
      </c>
      <c r="E25" s="451">
        <f t="shared" si="3"/>
        <v>2.9955483276943293E-2</v>
      </c>
      <c r="F25" s="451">
        <f t="shared" si="4"/>
        <v>3.0908056995304588E-2</v>
      </c>
      <c r="G25" s="451">
        <f t="shared" si="5"/>
        <v>3.1733168700546155E-2</v>
      </c>
      <c r="H25" s="451">
        <f t="shared" si="6"/>
        <v>3.2784454704000487E-2</v>
      </c>
      <c r="I25" s="451">
        <f t="shared" si="7"/>
        <v>3.3749042983127774E-2</v>
      </c>
      <c r="J25" s="451">
        <f t="shared" si="8"/>
        <v>3.4914891850778229E-2</v>
      </c>
      <c r="K25" s="451">
        <f t="shared" si="9"/>
        <v>3.6159402515496694E-2</v>
      </c>
      <c r="L25" s="452">
        <f t="shared" si="10"/>
        <v>3.743080227928558E-2</v>
      </c>
    </row>
    <row r="26" spans="1:12">
      <c r="A26" s="449">
        <v>1973</v>
      </c>
      <c r="B26" s="451">
        <f t="shared" si="0"/>
        <v>2.7730171793407879E-2</v>
      </c>
      <c r="C26" s="451">
        <f t="shared" si="1"/>
        <v>2.8416320909195266E-2</v>
      </c>
      <c r="D26" s="451">
        <f t="shared" si="2"/>
        <v>2.9230564270012707E-2</v>
      </c>
      <c r="E26" s="451">
        <f t="shared" si="3"/>
        <v>3.0092403713841271E-2</v>
      </c>
      <c r="F26" s="451">
        <f t="shared" si="4"/>
        <v>3.1048395744067772E-2</v>
      </c>
      <c r="G26" s="451">
        <f t="shared" si="5"/>
        <v>3.188526139741181E-2</v>
      </c>
      <c r="H26" s="451">
        <f t="shared" si="6"/>
        <v>3.294191706758353E-2</v>
      </c>
      <c r="I26" s="451">
        <f t="shared" si="7"/>
        <v>3.3913864363936501E-2</v>
      </c>
      <c r="J26" s="451">
        <f t="shared" si="8"/>
        <v>3.5090343568621334E-2</v>
      </c>
      <c r="K26" s="451">
        <f t="shared" si="9"/>
        <v>3.6346952791902913E-2</v>
      </c>
      <c r="L26" s="452">
        <f t="shared" si="10"/>
        <v>3.7632247701230269E-2</v>
      </c>
    </row>
    <row r="27" spans="1:12">
      <c r="A27" s="449">
        <v>1972</v>
      </c>
      <c r="B27" s="451">
        <f t="shared" si="0"/>
        <v>2.7849367084529668E-2</v>
      </c>
      <c r="C27" s="451">
        <f t="shared" si="1"/>
        <v>2.8541905292482187E-2</v>
      </c>
      <c r="D27" s="451">
        <f t="shared" si="2"/>
        <v>2.9361723087042525E-2</v>
      </c>
      <c r="E27" s="451">
        <f t="shared" si="3"/>
        <v>3.023086105748455E-2</v>
      </c>
      <c r="F27" s="451">
        <f t="shared" si="4"/>
        <v>3.1190311662130467E-2</v>
      </c>
      <c r="G27" s="451">
        <f t="shared" si="5"/>
        <v>3.2039370770819454E-2</v>
      </c>
      <c r="H27" s="451">
        <f t="shared" si="6"/>
        <v>3.3101466134351103E-2</v>
      </c>
      <c r="I27" s="451">
        <f t="shared" si="7"/>
        <v>3.4081545568131706E-2</v>
      </c>
      <c r="J27" s="451">
        <f t="shared" si="8"/>
        <v>3.5268449237269538E-2</v>
      </c>
      <c r="K27" s="451">
        <f t="shared" si="9"/>
        <v>3.6536944905411047E-2</v>
      </c>
      <c r="L27" s="452">
        <f t="shared" si="10"/>
        <v>3.7836146695773794E-2</v>
      </c>
    </row>
    <row r="28" spans="1:12">
      <c r="A28" s="449">
        <v>1971</v>
      </c>
      <c r="B28" s="451">
        <f t="shared" si="0"/>
        <v>2.796963652157243E-2</v>
      </c>
      <c r="C28" s="451">
        <f t="shared" si="1"/>
        <v>2.8669484498500514E-2</v>
      </c>
      <c r="D28" s="451">
        <f t="shared" si="2"/>
        <v>2.9494685127597734E-2</v>
      </c>
      <c r="E28" s="451">
        <f t="shared" si="3"/>
        <v>3.0370870771742282E-2</v>
      </c>
      <c r="F28" s="451">
        <f t="shared" si="4"/>
        <v>3.1333820560296627E-2</v>
      </c>
      <c r="G28" s="451">
        <f t="shared" si="5"/>
        <v>3.2195519038154506E-2</v>
      </c>
      <c r="H28" s="451">
        <f t="shared" si="6"/>
        <v>3.326312492146944E-2</v>
      </c>
      <c r="I28" s="451">
        <f t="shared" si="7"/>
        <v>3.4252121131365901E-2</v>
      </c>
      <c r="J28" s="451">
        <f t="shared" si="8"/>
        <v>3.5449240363121449E-2</v>
      </c>
      <c r="K28" s="451">
        <f t="shared" si="9"/>
        <v>3.6729406998080985E-2</v>
      </c>
      <c r="L28" s="452">
        <f t="shared" si="10"/>
        <v>3.8042527406956531E-2</v>
      </c>
    </row>
    <row r="29" spans="1:12">
      <c r="A29" s="449">
        <v>1970</v>
      </c>
      <c r="B29" s="451">
        <f t="shared" si="0"/>
        <v>2.8090989596629874E-2</v>
      </c>
      <c r="C29" s="451">
        <f t="shared" si="1"/>
        <v>2.8799080360121059E-2</v>
      </c>
      <c r="D29" s="451">
        <f t="shared" si="2"/>
        <v>2.9629469584738711E-2</v>
      </c>
      <c r="E29" s="451">
        <f t="shared" si="3"/>
        <v>3.05124485329351E-2</v>
      </c>
      <c r="F29" s="451">
        <f t="shared" si="4"/>
        <v>3.1478938466627783E-2</v>
      </c>
      <c r="G29" s="451">
        <f t="shared" si="5"/>
        <v>3.2353728771848847E-2</v>
      </c>
      <c r="H29" s="451">
        <f t="shared" si="6"/>
        <v>3.3426916813857337E-2</v>
      </c>
      <c r="I29" s="451">
        <f t="shared" si="7"/>
        <v>3.4425626287856698E-2</v>
      </c>
      <c r="J29" s="451">
        <f t="shared" si="8"/>
        <v>3.563274902057742E-2</v>
      </c>
      <c r="K29" s="451">
        <f t="shared" si="9"/>
        <v>3.6924367659322201E-2</v>
      </c>
      <c r="L29" s="452">
        <f t="shared" si="10"/>
        <v>3.8251418402854523E-2</v>
      </c>
    </row>
    <row r="30" spans="1:12">
      <c r="A30" s="449">
        <v>1969</v>
      </c>
      <c r="B30" s="451">
        <f t="shared" si="0"/>
        <v>2.8213435908472646E-2</v>
      </c>
      <c r="C30" s="451">
        <f t="shared" si="1"/>
        <v>2.8930715113889258E-2</v>
      </c>
      <c r="D30" s="451">
        <f t="shared" si="2"/>
        <v>2.9766095965219067E-2</v>
      </c>
      <c r="E30" s="451">
        <f t="shared" si="3"/>
        <v>3.0655610232721911E-2</v>
      </c>
      <c r="F30" s="451">
        <f t="shared" si="4"/>
        <v>3.1625681629388142E-2</v>
      </c>
      <c r="G30" s="451">
        <f t="shared" si="5"/>
        <v>3.251402290476936E-2</v>
      </c>
      <c r="H30" s="451">
        <f t="shared" si="6"/>
        <v>3.3592865569772007E-2</v>
      </c>
      <c r="I30" s="451">
        <f t="shared" si="7"/>
        <v>3.460209698246728E-2</v>
      </c>
      <c r="J30" s="451">
        <f t="shared" si="8"/>
        <v>3.5819007861456989E-2</v>
      </c>
      <c r="K30" s="451">
        <f t="shared" si="9"/>
        <v>3.7121855932885146E-2</v>
      </c>
      <c r="L30" s="452">
        <f t="shared" si="10"/>
        <v>3.8462848682059812E-2</v>
      </c>
    </row>
    <row r="31" spans="1:12">
      <c r="A31" s="449">
        <v>1968</v>
      </c>
      <c r="B31" s="451">
        <f t="shared" si="0"/>
        <v>2.8336985163786757E-2</v>
      </c>
      <c r="C31" s="451">
        <f t="shared" si="1"/>
        <v>2.9064411406358508E-2</v>
      </c>
      <c r="D31" s="451">
        <f t="shared" si="2"/>
        <v>2.9904584094159119E-2</v>
      </c>
      <c r="E31" s="451">
        <f t="shared" si="3"/>
        <v>3.0800371981032765E-2</v>
      </c>
      <c r="F31" s="451">
        <f t="shared" si="4"/>
        <v>3.1774066520036712E-2</v>
      </c>
      <c r="G31" s="451">
        <f t="shared" si="5"/>
        <v>3.2676424735705818E-2</v>
      </c>
      <c r="H31" s="451">
        <f t="shared" si="6"/>
        <v>3.376099532649797E-2</v>
      </c>
      <c r="I31" s="451">
        <f t="shared" si="7"/>
        <v>3.4781569883063884E-2</v>
      </c>
      <c r="J31" s="451">
        <f t="shared" si="8"/>
        <v>3.6008050124611196E-2</v>
      </c>
      <c r="K31" s="451">
        <f t="shared" si="9"/>
        <v>3.7321901323981686E-2</v>
      </c>
      <c r="L31" s="452">
        <f t="shared" si="10"/>
        <v>3.8676847680274774E-2</v>
      </c>
    </row>
    <row r="32" spans="1:12">
      <c r="A32" s="449">
        <v>1967</v>
      </c>
      <c r="B32" s="451">
        <f t="shared" si="0"/>
        <v>2.8461647178428275E-2</v>
      </c>
      <c r="C32" s="451">
        <f t="shared" si="1"/>
        <v>2.9200192300556094E-2</v>
      </c>
      <c r="D32" s="451">
        <f t="shared" si="2"/>
        <v>3.0044954119806858E-2</v>
      </c>
      <c r="E32" s="451">
        <f t="shared" si="3"/>
        <v>3.0946750109048564E-2</v>
      </c>
      <c r="F32" s="451">
        <f t="shared" si="4"/>
        <v>3.1924109836267166E-2</v>
      </c>
      <c r="G32" s="451">
        <f t="shared" si="5"/>
        <v>3.2840957934959968E-2</v>
      </c>
      <c r="H32" s="451">
        <f t="shared" si="6"/>
        <v>3.3931330606140793E-2</v>
      </c>
      <c r="I32" s="451">
        <f t="shared" si="7"/>
        <v>3.4964082393156154E-2</v>
      </c>
      <c r="J32" s="451">
        <f t="shared" si="8"/>
        <v>3.619990964573358E-2</v>
      </c>
      <c r="K32" s="451">
        <f t="shared" si="9"/>
        <v>3.7524533806536982E-2</v>
      </c>
      <c r="L32" s="452">
        <f t="shared" si="10"/>
        <v>3.8893445277022515E-2</v>
      </c>
    </row>
    <row r="33" spans="1:13">
      <c r="A33" s="449">
        <v>1966</v>
      </c>
      <c r="B33" s="451">
        <f t="shared" si="0"/>
        <v>2.8587431878694534E-2</v>
      </c>
      <c r="C33" s="451">
        <f t="shared" si="1"/>
        <v>2.9338081282584239E-2</v>
      </c>
      <c r="D33" s="451">
        <f t="shared" si="2"/>
        <v>3.0187226518388021E-2</v>
      </c>
      <c r="E33" s="451">
        <f t="shared" si="3"/>
        <v>3.1094761172228369E-2</v>
      </c>
      <c r="F33" s="451">
        <f t="shared" si="4"/>
        <v>3.2075828505096271E-2</v>
      </c>
      <c r="G33" s="451">
        <f t="shared" si="5"/>
        <v>3.3007646550037663E-2</v>
      </c>
      <c r="H33" s="451">
        <f t="shared" si="6"/>
        <v>3.4103896321527723E-2</v>
      </c>
      <c r="I33" s="451">
        <f t="shared" si="7"/>
        <v>3.514967266482643E-2</v>
      </c>
      <c r="J33" s="451">
        <f t="shared" si="8"/>
        <v>3.6394620867374022E-2</v>
      </c>
      <c r="K33" s="451">
        <f t="shared" si="9"/>
        <v>3.7729783830575306E-2</v>
      </c>
      <c r="L33" s="452">
        <f t="shared" si="10"/>
        <v>3.9112671802475393E-2</v>
      </c>
    </row>
    <row r="34" spans="1:13">
      <c r="A34" s="449">
        <v>1965</v>
      </c>
      <c r="B34" s="451">
        <f t="shared" si="0"/>
        <v>2.8714349302612081E-2</v>
      </c>
      <c r="C34" s="451">
        <f t="shared" si="1"/>
        <v>2.9478102268358945E-2</v>
      </c>
      <c r="D34" s="451">
        <f t="shared" si="2"/>
        <v>3.0331422099046892E-2</v>
      </c>
      <c r="E34" s="451">
        <f t="shared" si="3"/>
        <v>3.1244421953385081E-2</v>
      </c>
      <c r="F34" s="451">
        <f t="shared" si="4"/>
        <v>3.2229239686001637E-2</v>
      </c>
      <c r="G34" s="451">
        <f t="shared" si="5"/>
        <v>3.3176515011445924E-2</v>
      </c>
      <c r="H34" s="451">
        <f t="shared" si="6"/>
        <v>3.4278717782217027E-2</v>
      </c>
      <c r="I34" s="451">
        <f t="shared" si="7"/>
        <v>3.5338379611954261E-2</v>
      </c>
      <c r="J34" s="451">
        <f t="shared" si="8"/>
        <v>3.6592218849159475E-2</v>
      </c>
      <c r="K34" s="451">
        <f t="shared" si="9"/>
        <v>3.7937682329742289E-2</v>
      </c>
      <c r="L34" s="452">
        <f t="shared" si="10"/>
        <v>3.9334558044403882E-2</v>
      </c>
    </row>
    <row r="35" spans="1:13">
      <c r="A35" s="449">
        <v>1964</v>
      </c>
      <c r="B35" s="451">
        <f t="shared" si="0"/>
        <v>2.8842409601241598E-2</v>
      </c>
      <c r="C35" s="451">
        <f t="shared" si="1"/>
        <v>2.9620279610489294E-2</v>
      </c>
      <c r="D35" s="451">
        <f t="shared" si="2"/>
        <v>3.047756200887947E-2</v>
      </c>
      <c r="E35" s="451">
        <f t="shared" si="3"/>
        <v>3.1395749465810287E-2</v>
      </c>
      <c r="F35" s="451">
        <f t="shared" si="4"/>
        <v>3.2384360774109618E-2</v>
      </c>
      <c r="G35" s="451">
        <f t="shared" si="5"/>
        <v>3.334758813859693E-2</v>
      </c>
      <c r="H35" s="451">
        <f t="shared" si="6"/>
        <v>3.44558207006182E-2</v>
      </c>
      <c r="I35" s="451">
        <f t="shared" si="7"/>
        <v>3.5530242923742468E-2</v>
      </c>
      <c r="J35" s="451">
        <f t="shared" si="8"/>
        <v>3.6792739278225801E-2</v>
      </c>
      <c r="K35" s="451">
        <f t="shared" si="9"/>
        <v>3.8148260728966175E-2</v>
      </c>
      <c r="L35" s="452">
        <f t="shared" si="10"/>
        <v>3.9559135255247929E-2</v>
      </c>
    </row>
    <row r="36" spans="1:13">
      <c r="A36" s="449">
        <v>1963</v>
      </c>
      <c r="B36" s="451">
        <f>B37*(99.55%+(0.002%*(A36-$A$37)))</f>
        <v>2.8971623039999998E-2</v>
      </c>
      <c r="C36" s="451">
        <f t="shared" si="1"/>
        <v>2.9764638105300001E-2</v>
      </c>
      <c r="D36" s="451">
        <f t="shared" si="2"/>
        <v>3.0625667738060729E-2</v>
      </c>
      <c r="E36" s="451">
        <f t="shared" si="3"/>
        <v>3.1548760956449068E-2</v>
      </c>
      <c r="F36" s="451">
        <f t="shared" si="4"/>
        <v>3.254120940343417E-2</v>
      </c>
      <c r="G36" s="451">
        <f t="shared" si="5"/>
        <v>3.3520891145820825E-2</v>
      </c>
      <c r="H36" s="451">
        <f t="shared" si="6"/>
        <v>3.4635231198225001E-2</v>
      </c>
      <c r="I36" s="451">
        <f t="shared" si="7"/>
        <v>3.5725303078551353E-2</v>
      </c>
      <c r="J36" s="451">
        <f t="shared" si="8"/>
        <v>3.6996218479865055E-2</v>
      </c>
      <c r="K36" s="451">
        <f t="shared" si="9"/>
        <v>3.8361550952260744E-2</v>
      </c>
      <c r="L36" s="452">
        <f t="shared" si="10"/>
        <v>3.9786435159313085E-2</v>
      </c>
    </row>
    <row r="37" spans="1:13">
      <c r="A37" s="449">
        <v>1962</v>
      </c>
      <c r="B37" s="453">
        <v>2.9101999999999999E-2</v>
      </c>
      <c r="C37" s="451">
        <f>C38*(99.5%+(0.005%*(A37-$A$38)))</f>
        <v>2.9911203000000001E-2</v>
      </c>
      <c r="D37" s="451">
        <f t="shared" si="2"/>
        <v>3.0775761125067684E-2</v>
      </c>
      <c r="E37" s="451">
        <f t="shared" si="3"/>
        <v>3.1703473909125604E-2</v>
      </c>
      <c r="F37" s="451">
        <f t="shared" si="4"/>
        <v>3.2699803450167479E-2</v>
      </c>
      <c r="G37" s="451">
        <f t="shared" si="5"/>
        <v>3.3696449648489453E-2</v>
      </c>
      <c r="H37" s="451">
        <f t="shared" si="6"/>
        <v>3.4816975811963448E-2</v>
      </c>
      <c r="I37" s="451">
        <f t="shared" si="7"/>
        <v>3.5923601358047771E-2</v>
      </c>
      <c r="J37" s="451">
        <f t="shared" si="8"/>
        <v>3.7202693428392629E-2</v>
      </c>
      <c r="K37" s="451">
        <f t="shared" si="9"/>
        <v>3.8577585430672509E-2</v>
      </c>
      <c r="L37" s="452">
        <f t="shared" si="10"/>
        <v>4.0016489960093667E-2</v>
      </c>
    </row>
    <row r="38" spans="1:13">
      <c r="A38" s="449">
        <v>1961</v>
      </c>
      <c r="B38" s="454"/>
      <c r="C38" s="451">
        <v>3.006E-2</v>
      </c>
      <c r="D38" s="451">
        <f>D39*(99.5%+(0.0041%*(A38-$A$39)))</f>
        <v>3.0927864361999999E-2</v>
      </c>
      <c r="E38" s="451">
        <f t="shared" si="3"/>
        <v>3.1859906047820401E-2</v>
      </c>
      <c r="F38" s="451">
        <f t="shared" si="4"/>
        <v>3.2860161036023273E-2</v>
      </c>
      <c r="G38" s="451">
        <f t="shared" si="5"/>
        <v>3.3874289669253037E-2</v>
      </c>
      <c r="H38" s="451">
        <f t="shared" si="6"/>
        <v>3.5001081500656901E-2</v>
      </c>
      <c r="I38" s="451">
        <f t="shared" si="7"/>
        <v>3.6125179861675918E-2</v>
      </c>
      <c r="J38" s="451">
        <f t="shared" si="8"/>
        <v>3.7412201758238763E-2</v>
      </c>
      <c r="K38" s="451">
        <f t="shared" si="9"/>
        <v>3.8796397110375018E-2</v>
      </c>
      <c r="L38" s="452">
        <f t="shared" si="10"/>
        <v>4.0249332347725257E-2</v>
      </c>
    </row>
    <row r="39" spans="1:13">
      <c r="A39" s="449">
        <v>1960</v>
      </c>
      <c r="B39" s="454"/>
      <c r="C39" s="455"/>
      <c r="D39" s="451">
        <v>3.1081999999999999E-2</v>
      </c>
      <c r="E39" s="451">
        <f>E40*(99.5%+(0.003%*(A39-$A$40)))</f>
        <v>3.201807534E-2</v>
      </c>
      <c r="F39" s="451">
        <f t="shared" si="4"/>
        <v>3.3022300531633596E-2</v>
      </c>
      <c r="G39" s="451">
        <f t="shared" si="5"/>
        <v>3.4054437644391873E-2</v>
      </c>
      <c r="H39" s="451">
        <f t="shared" si="6"/>
        <v>3.5187575651610438E-2</v>
      </c>
      <c r="I39" s="451">
        <f t="shared" si="7"/>
        <v>3.6330081521456933E-2</v>
      </c>
      <c r="J39" s="451">
        <f t="shared" si="8"/>
        <v>3.7624781775269033E-2</v>
      </c>
      <c r="K39" s="451">
        <f t="shared" si="9"/>
        <v>3.9018019460913003E-2</v>
      </c>
      <c r="L39" s="452">
        <f t="shared" si="10"/>
        <v>4.0484995506568998E-2</v>
      </c>
    </row>
    <row r="40" spans="1:13">
      <c r="A40" s="449">
        <v>1959</v>
      </c>
      <c r="B40" s="454"/>
      <c r="C40" s="455"/>
      <c r="D40" s="455"/>
      <c r="E40" s="451">
        <v>3.2177999999999998E-2</v>
      </c>
      <c r="F40" s="451">
        <f>F41*(99.5%+(0.003%*(A40-$A$41)))</f>
        <v>3.3186240559999997E-2</v>
      </c>
      <c r="G40" s="451">
        <f t="shared" si="5"/>
        <v>3.4236920430285298E-2</v>
      </c>
      <c r="H40" s="451">
        <f t="shared" si="6"/>
        <v>3.5376486087316708E-2</v>
      </c>
      <c r="I40" s="451">
        <f t="shared" si="7"/>
        <v>3.6538350117124543E-2</v>
      </c>
      <c r="J40" s="451">
        <f t="shared" si="8"/>
        <v>3.7840472468338562E-2</v>
      </c>
      <c r="K40" s="451">
        <f t="shared" si="9"/>
        <v>3.9242486483599189E-2</v>
      </c>
      <c r="L40" s="452">
        <f t="shared" si="10"/>
        <v>4.0723513122930002E-2</v>
      </c>
    </row>
    <row r="41" spans="1:13">
      <c r="A41" s="449">
        <v>1958</v>
      </c>
      <c r="B41" s="454"/>
      <c r="C41" s="455"/>
      <c r="D41" s="455"/>
      <c r="E41" s="455"/>
      <c r="F41" s="451">
        <v>3.3352E-2</v>
      </c>
      <c r="G41" s="451">
        <f>G42*(99.455%+(0.004%*(A41-$A$42)))</f>
        <v>3.4421765309999998E-2</v>
      </c>
      <c r="H41" s="451">
        <f t="shared" si="6"/>
        <v>3.5567841072285604E-2</v>
      </c>
      <c r="I41" s="451">
        <f t="shared" si="7"/>
        <v>3.6750030291604181E-2</v>
      </c>
      <c r="J41" s="451">
        <f t="shared" si="8"/>
        <v>3.8059313521084798E-2</v>
      </c>
      <c r="K41" s="451">
        <f t="shared" si="9"/>
        <v>3.9469832720066766E-2</v>
      </c>
      <c r="L41" s="452">
        <f t="shared" si="10"/>
        <v>4.0964919392912434E-2</v>
      </c>
    </row>
    <row r="42" spans="1:13">
      <c r="A42" s="449">
        <v>1957</v>
      </c>
      <c r="B42" s="454"/>
      <c r="C42" s="455"/>
      <c r="D42" s="455"/>
      <c r="E42" s="455"/>
      <c r="F42" s="455"/>
      <c r="G42" s="451">
        <v>3.4609000000000001E-2</v>
      </c>
      <c r="H42" s="451">
        <f>H43*(99.45%+(0.004%*(A42-$A$43)))</f>
        <v>3.5761669320000002E-2</v>
      </c>
      <c r="I42" s="451">
        <f t="shared" si="7"/>
        <v>3.6965167566843204E-2</v>
      </c>
      <c r="J42" s="451">
        <f t="shared" si="8"/>
        <v>3.8281345323963788E-2</v>
      </c>
      <c r="K42" s="451">
        <f t="shared" si="9"/>
        <v>3.9700093260980451E-2</v>
      </c>
      <c r="L42" s="452">
        <f t="shared" si="10"/>
        <v>4.1209249030413758E-2</v>
      </c>
    </row>
    <row r="43" spans="1:13">
      <c r="A43" s="449">
        <v>1956</v>
      </c>
      <c r="B43" s="454"/>
      <c r="C43" s="455"/>
      <c r="D43" s="455"/>
      <c r="E43" s="455"/>
      <c r="F43" s="455"/>
      <c r="G43" s="455"/>
      <c r="H43" s="451">
        <v>3.5957999999999997E-2</v>
      </c>
      <c r="I43" s="451">
        <f>I44*(99.4%+(0.006%*(A43-$A$44)))</f>
        <v>3.7183808360000001E-2</v>
      </c>
      <c r="J43" s="451">
        <f t="shared" si="8"/>
        <v>3.8506608986535011E-2</v>
      </c>
      <c r="K43" s="451">
        <f t="shared" si="9"/>
        <v>3.9933303754909118E-2</v>
      </c>
      <c r="L43" s="452">
        <f t="shared" si="10"/>
        <v>4.1456537275260691E-2</v>
      </c>
    </row>
    <row r="44" spans="1:13">
      <c r="A44" s="449">
        <v>1955</v>
      </c>
      <c r="B44" s="454"/>
      <c r="C44" s="455"/>
      <c r="D44" s="455"/>
      <c r="E44" s="455"/>
      <c r="F44" s="455"/>
      <c r="G44" s="455"/>
      <c r="H44" s="455"/>
      <c r="I44" s="451">
        <v>3.7406000000000002E-2</v>
      </c>
      <c r="J44" s="451">
        <f>J45*(99.4%+(0.005%*(A44-$A$45)))</f>
        <v>3.8735146350000006E-2</v>
      </c>
      <c r="K44" s="451">
        <f t="shared" si="9"/>
        <v>4.016950041736321E-2</v>
      </c>
      <c r="L44" s="452">
        <f t="shared" si="10"/>
        <v>4.1706819901489528E-2</v>
      </c>
    </row>
    <row r="45" spans="1:13">
      <c r="A45" s="449">
        <v>1954</v>
      </c>
      <c r="B45" s="454"/>
      <c r="C45" s="455"/>
      <c r="D45" s="455"/>
      <c r="E45" s="455"/>
      <c r="F45" s="455"/>
      <c r="G45" s="455"/>
      <c r="H45" s="455"/>
      <c r="I45" s="455"/>
      <c r="J45" s="451">
        <v>3.8967000000000002E-2</v>
      </c>
      <c r="K45" s="451">
        <f>K46*(99.4%+(0.004%*(A45-$A$46)))</f>
        <v>4.0408720040000005E-2</v>
      </c>
      <c r="L45" s="452">
        <f t="shared" si="10"/>
        <v>4.1960133225773528E-2</v>
      </c>
    </row>
    <row r="46" spans="1:13">
      <c r="A46" s="449">
        <v>1953</v>
      </c>
      <c r="B46" s="454"/>
      <c r="C46" s="455"/>
      <c r="D46" s="455"/>
      <c r="E46" s="455"/>
      <c r="F46" s="455"/>
      <c r="G46" s="455"/>
      <c r="H46" s="455"/>
      <c r="I46" s="455"/>
      <c r="J46" s="455"/>
      <c r="K46" s="451">
        <v>4.0651E-2</v>
      </c>
      <c r="L46" s="452">
        <f>L47*(99.3855%+(0.0036%*(A46-$A$47)))</f>
        <v>4.2216514115999998E-2</v>
      </c>
    </row>
    <row r="47" spans="1:13">
      <c r="A47" s="449">
        <v>1952</v>
      </c>
      <c r="B47" s="454"/>
      <c r="C47" s="455"/>
      <c r="D47" s="455"/>
      <c r="E47" s="455"/>
      <c r="F47" s="455"/>
      <c r="G47" s="455"/>
      <c r="H47" s="455"/>
      <c r="I47" s="455"/>
      <c r="J47" s="455"/>
      <c r="K47" s="455"/>
      <c r="L47" s="452">
        <v>4.2476E-2</v>
      </c>
    </row>
    <row r="48" spans="1:13">
      <c r="J48" s="456"/>
      <c r="K48" s="456"/>
      <c r="L48" s="456"/>
      <c r="M48" s="456"/>
    </row>
  </sheetData>
  <mergeCells count="5">
    <mergeCell ref="A1:F2"/>
    <mergeCell ref="G1:H1"/>
    <mergeCell ref="J1:K1"/>
    <mergeCell ref="A3:A4"/>
    <mergeCell ref="B3:I3"/>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2F0A5-AD94-40B9-947B-BEDE8A4AC8E9}">
  <sheetPr codeName="Feuil35">
    <tabColor theme="9" tint="-0.499984740745262"/>
  </sheetPr>
  <dimension ref="A1:AJ65"/>
  <sheetViews>
    <sheetView showGridLines="0" showRowColHeaders="0" showZeros="0" zoomScale="123" zoomScaleNormal="123" workbookViewId="0">
      <selection activeCell="H14" sqref="H14:I14"/>
    </sheetView>
  </sheetViews>
  <sheetFormatPr baseColWidth="10" defaultRowHeight="14.4"/>
  <cols>
    <col min="2" max="2" width="11.6640625" customWidth="1"/>
    <col min="3" max="3" width="14.33203125" customWidth="1"/>
    <col min="4" max="4" width="21.44140625" customWidth="1"/>
    <col min="5" max="5" width="14.33203125" customWidth="1"/>
    <col min="6" max="7" width="1.44140625" customWidth="1"/>
    <col min="8" max="8" width="21.44140625" customWidth="1"/>
    <col min="9" max="9" width="14.33203125" customWidth="1"/>
    <col min="10" max="11" width="4" customWidth="1"/>
    <col min="12" max="12" width="25.6640625" customWidth="1"/>
    <col min="13" max="13" width="14.33203125" customWidth="1"/>
    <col min="14" max="15" width="1.44140625" customWidth="1"/>
    <col min="16" max="17" width="10.88671875" customWidth="1"/>
    <col min="18" max="18" width="16.5546875" customWidth="1"/>
    <col min="19" max="20" width="14.33203125" customWidth="1"/>
    <col min="21" max="23" width="14.33203125" hidden="1" customWidth="1"/>
    <col min="24" max="25" width="16.6640625" hidden="1" customWidth="1"/>
    <col min="26" max="27" width="14.109375" hidden="1" customWidth="1"/>
    <col min="28" max="36" width="0" hidden="1" customWidth="1"/>
  </cols>
  <sheetData>
    <row r="1" spans="2:36">
      <c r="V1" t="s">
        <v>1895</v>
      </c>
      <c r="W1" t="s">
        <v>117</v>
      </c>
      <c r="X1" t="s">
        <v>1894</v>
      </c>
      <c r="Y1" t="s">
        <v>1898</v>
      </c>
      <c r="Z1" t="s">
        <v>1896</v>
      </c>
      <c r="AA1" t="s">
        <v>1899</v>
      </c>
    </row>
    <row r="2" spans="2:36">
      <c r="U2">
        <f ca="1">Données!F4</f>
        <v>2026</v>
      </c>
      <c r="V2" s="681">
        <f>H18-W2</f>
        <v>171000</v>
      </c>
      <c r="W2" s="681">
        <f>H20</f>
        <v>0</v>
      </c>
      <c r="X2" s="681"/>
      <c r="Z2" s="681"/>
      <c r="AA2" s="682"/>
    </row>
    <row r="3" spans="2:36">
      <c r="U3">
        <f ca="1">IF(P24&lt;H24,U2+P24-(Données!F4-H14),U2+H24-(Données!F4-H14))</f>
        <v>2026</v>
      </c>
      <c r="V3" s="681"/>
      <c r="W3" s="681"/>
      <c r="X3" s="681" t="e">
        <f>IF(H24&lt;=P24,H26+H28-AE18,NA())</f>
        <v>#N/A</v>
      </c>
      <c r="Y3" s="681" t="e">
        <f>IF(H24&lt;=P24,AE18,NA())</f>
        <v>#N/A</v>
      </c>
      <c r="Z3" s="681">
        <f>IF(P24&lt;=H24,P26,NA())</f>
        <v>180000</v>
      </c>
      <c r="AA3" s="682"/>
    </row>
    <row r="4" spans="2:36">
      <c r="R4" s="2"/>
      <c r="S4" s="3"/>
      <c r="T4" s="3"/>
      <c r="U4">
        <f ca="1">IF(P24&lt;H24,U2+H24-(Données!F4-H14),IF(P24&gt;H24,U2+P24-(Données!F4-H14),""))</f>
        <v>2029</v>
      </c>
      <c r="V4" s="681"/>
      <c r="W4" s="681"/>
      <c r="X4" s="681">
        <f>IF(H24=P24,NA(),H26+H28-AE18)</f>
        <v>34552.060899999997</v>
      </c>
      <c r="Y4" s="681">
        <f>IF(H24=P24,NA(),AE18)</f>
        <v>447.93910000000005</v>
      </c>
      <c r="Z4" s="681"/>
      <c r="AA4" s="682">
        <f ca="1">IF(U4=0,NA(),IF(P26-X4&lt;0,0,P26-X4))</f>
        <v>145447.93910000002</v>
      </c>
    </row>
    <row r="5" spans="2:36">
      <c r="B5" s="1">
        <f ca="1">TODAY()</f>
        <v>46023</v>
      </c>
      <c r="V5" s="681"/>
      <c r="W5" s="681"/>
      <c r="X5" s="681"/>
      <c r="Y5" s="681"/>
      <c r="Z5" s="681"/>
      <c r="AA5" s="681"/>
      <c r="AC5" s="128"/>
      <c r="AD5" s="128"/>
      <c r="AE5" s="129"/>
      <c r="AF5" s="130" t="s">
        <v>104</v>
      </c>
      <c r="AG5" s="777"/>
      <c r="AH5" s="777"/>
      <c r="AI5" s="131"/>
      <c r="AJ5" s="131"/>
    </row>
    <row r="6" spans="2:36">
      <c r="AC6" s="131" t="s">
        <v>105</v>
      </c>
      <c r="AD6" s="132">
        <f>H26+H28</f>
        <v>35000</v>
      </c>
      <c r="AE6" s="133">
        <f>IF(H16="Célibataire/veuf/divorcé",1,2)</f>
        <v>2</v>
      </c>
      <c r="AF6" s="778" t="s">
        <v>106</v>
      </c>
      <c r="AG6" s="778"/>
      <c r="AH6" s="778"/>
      <c r="AI6" s="792" t="s">
        <v>107</v>
      </c>
      <c r="AJ6" s="792"/>
    </row>
    <row r="7" spans="2:36">
      <c r="AC7" s="131"/>
      <c r="AD7" s="205">
        <f>IFERROR(AD6/AE6,0)</f>
        <v>17500</v>
      </c>
      <c r="AE7" s="205">
        <f>AD6/IF(AF7=Données!$L$51,1,2)</f>
        <v>17500</v>
      </c>
      <c r="AF7" s="793" t="str">
        <f>H16</f>
        <v>Marié/pacsé</v>
      </c>
      <c r="AG7" s="794"/>
      <c r="AH7" s="794"/>
      <c r="AI7" s="795">
        <f>IF(OR(Y1="Non",Y1=""),(AE6-(IF(AF7="Célibataire/veuf/divorcé",1,2)))*(Données!$F$18*2),IF(AF7="Célibataire/veuf/divorcé",IF(AE6&lt;=2,(AE6-1)*Données!$G$18,Données!$G$18+((AE6-2)*Données!$F$18*2)),(AE6-(IF(AF7="Célibataire/veuf/divorcé",1,2)))*(Données!$F$18*2)))</f>
        <v>0</v>
      </c>
      <c r="AJ7" s="796"/>
    </row>
    <row r="8" spans="2:36" ht="15" thickBot="1">
      <c r="AC8" s="131"/>
      <c r="AD8" s="215" t="s">
        <v>108</v>
      </c>
      <c r="AE8" s="215" t="s">
        <v>109</v>
      </c>
      <c r="AF8" s="135" t="s">
        <v>110</v>
      </c>
      <c r="AG8" s="135" t="s">
        <v>111</v>
      </c>
      <c r="AH8" s="135" t="s">
        <v>1</v>
      </c>
      <c r="AI8" s="204" t="s">
        <v>186</v>
      </c>
      <c r="AJ8" s="204" t="s">
        <v>187</v>
      </c>
    </row>
    <row r="9" spans="2:36">
      <c r="AC9" s="131"/>
      <c r="AD9" s="216">
        <f>IF(AD7&lt;=AF9,AD7,0)</f>
        <v>0</v>
      </c>
      <c r="AE9" s="216">
        <f>IF(AE7&lt;=AF9,AE7,0)</f>
        <v>0</v>
      </c>
      <c r="AF9" s="206">
        <f>Données!$E$13</f>
        <v>11498</v>
      </c>
      <c r="AG9" s="207">
        <f>Données!$F$13</f>
        <v>0</v>
      </c>
      <c r="AH9" s="206"/>
      <c r="AI9" s="208"/>
      <c r="AJ9" s="209"/>
    </row>
    <row r="10" spans="2:36">
      <c r="H10" s="293"/>
      <c r="AC10" s="131"/>
      <c r="AD10" s="216">
        <f>IF(AND(AD7&lt;=AF10,AD7&gt;AF9),AD7,0)</f>
        <v>17500</v>
      </c>
      <c r="AE10" s="216">
        <f>IF(AND(AE7&lt;=AF10,AE7&gt;AF9),AE7,0)</f>
        <v>17500</v>
      </c>
      <c r="AF10" s="206">
        <f>Données!$E$14</f>
        <v>29315</v>
      </c>
      <c r="AG10" s="207">
        <f>Données!$F$14</f>
        <v>0.11</v>
      </c>
      <c r="AH10" s="206">
        <f>AF9*AG10</f>
        <v>1264.78</v>
      </c>
      <c r="AI10" s="210">
        <f>IF(AD10&gt;0,(AD6*AG10)-(AH10*AE6),0)</f>
        <v>1320.44</v>
      </c>
      <c r="AJ10" s="211">
        <f>IF(AE10&gt;0,(AD6*AG10)-(AH10*(IF(AF7="Célibataire/veuf/divorcé",1,2)))-AI7,0)</f>
        <v>1320.44</v>
      </c>
    </row>
    <row r="11" spans="2:36">
      <c r="AC11" s="131"/>
      <c r="AD11" s="216">
        <f>IF(AND(AD7&lt;=AF11,AD7&gt;AF10),AD7,0)</f>
        <v>0</v>
      </c>
      <c r="AE11" s="216">
        <f>IF(AND(AE7&lt;=AF11,AE7&gt;AF10),AE7,0)</f>
        <v>0</v>
      </c>
      <c r="AF11" s="206">
        <f>Données!$E$15</f>
        <v>83823</v>
      </c>
      <c r="AG11" s="207">
        <f>Données!$F$15</f>
        <v>0.3</v>
      </c>
      <c r="AH11" s="206">
        <f>(AF9-AE9)*AG11+(AF10-AF9)*(AG11-AG10)</f>
        <v>6834.63</v>
      </c>
      <c r="AI11" s="210">
        <f>IF(AD11&gt;0,(AD6*AG11)-(AH11*AE6),0)</f>
        <v>0</v>
      </c>
      <c r="AJ11" s="211">
        <f>IF(AE11&gt;0,(AD6*AG11)-(AH11*(IF(AF7="Célibataire/veuf/divorcé",1,2)))-AI7,0)</f>
        <v>0</v>
      </c>
    </row>
    <row r="12" spans="2:36">
      <c r="AC12" s="131"/>
      <c r="AD12" s="216">
        <f>IF(AND(AD7&lt;=AF12,AD7&gt;AF11),AD7,0)</f>
        <v>0</v>
      </c>
      <c r="AE12" s="216">
        <f>IF(AND(AE7&lt;=AF12,AE7&gt;AF11),AE7,0)</f>
        <v>0</v>
      </c>
      <c r="AF12" s="206">
        <f>Données!$E$16</f>
        <v>180294</v>
      </c>
      <c r="AG12" s="207">
        <f>Données!$F$16</f>
        <v>0.41</v>
      </c>
      <c r="AH12" s="206">
        <f>(AF9-AE9)*AG12+(AF10-AF9)*(AG12-AG10)+(AF11-AF10)*(AG12-AG11)</f>
        <v>16055.159999999998</v>
      </c>
      <c r="AI12" s="210">
        <f>IF(AD12&gt;0,(AD6*AG12)-(AH12*AE6),0)</f>
        <v>0</v>
      </c>
      <c r="AJ12" s="211">
        <f>IF(AE12&gt;0,(AD6*AG12)-(AH12*(IF(AF7="Célibataire/veuf/divorcé",1,2)))-AI7,0)</f>
        <v>0</v>
      </c>
    </row>
    <row r="13" spans="2:36" ht="15" thickBot="1">
      <c r="AC13" s="134"/>
      <c r="AD13" s="216">
        <f>IF(AD7&gt;AF12,AD7,0)</f>
        <v>0</v>
      </c>
      <c r="AE13" s="216">
        <f>IF(AE7&gt;AF12,AE7,0)</f>
        <v>0</v>
      </c>
      <c r="AF13" s="206">
        <f>Données!$E$17</f>
        <v>0</v>
      </c>
      <c r="AG13" s="207">
        <f>Données!$F$17</f>
        <v>0.45</v>
      </c>
      <c r="AH13" s="206">
        <f>(AF9-AE9)*AG13+(AF10-AF9)*(AG13-AG10)+(AF11-AF10)*(AG13-AG11)+(AF12-AF11)*(AG13-AG12)</f>
        <v>23266.920000000006</v>
      </c>
      <c r="AI13" s="210">
        <f>IF(AD13&gt;0,(AD6*AG13)-(AH13*AE6),0)</f>
        <v>0</v>
      </c>
      <c r="AJ13" s="211">
        <f>IF(AE13&gt;0,(AD6*AG13)-(AH13*(IF(AF7="Célibataire/veuf/divorcé",1,2)))-AI7,0)</f>
        <v>0</v>
      </c>
    </row>
    <row r="14" spans="2:36" ht="15" thickBot="1">
      <c r="D14" s="933" t="s">
        <v>1393</v>
      </c>
      <c r="E14" s="933"/>
      <c r="F14" s="380"/>
      <c r="G14" s="465"/>
      <c r="H14" s="1034">
        <v>1966</v>
      </c>
      <c r="I14" s="1034"/>
      <c r="J14" s="586" t="str">
        <f ca="1">IF(H14="","",Données!F4-H14&amp;" ans")</f>
        <v>60 ans</v>
      </c>
      <c r="K14" s="586"/>
      <c r="AC14" s="53"/>
      <c r="AD14" s="217"/>
      <c r="AE14" s="218"/>
      <c r="AF14" s="212"/>
      <c r="AG14" s="212"/>
      <c r="AH14" s="212"/>
      <c r="AI14" s="213">
        <f>SUM(AI10:AI13)</f>
        <v>1320.44</v>
      </c>
      <c r="AJ14" s="214">
        <f>SUM(AJ10:AJ13)</f>
        <v>1320.44</v>
      </c>
    </row>
    <row r="15" spans="2:36" ht="6.75" customHeight="1">
      <c r="AC15" s="765" t="s">
        <v>113</v>
      </c>
      <c r="AD15" s="765"/>
      <c r="AE15" s="765">
        <f>IF(AI14&lt;=AJ14,AJ14,AI14)</f>
        <v>1320.44</v>
      </c>
      <c r="AF15" s="765"/>
      <c r="AG15" s="127"/>
      <c r="AH15" s="127" t="s">
        <v>111</v>
      </c>
      <c r="AI15" s="797">
        <f>IF(AI14&lt;=AJ14,IF(AJ10&gt;0,AG10,IF(AJ11&gt;0,AG11,IF(AJ12&gt;0,AG12,IF(AJ13&gt;0,AG13,0)))),IF(AI10&gt;0,AG10,IF(AI11&gt;0,AG11,IF(AI12&gt;0,AG12,IF(AI13&gt;0,AG13,0)))))</f>
        <v>0.11</v>
      </c>
      <c r="AJ15" s="797"/>
    </row>
    <row r="16" spans="2:36" ht="15" thickBot="1">
      <c r="D16" s="1087" t="s">
        <v>42</v>
      </c>
      <c r="E16" s="1087"/>
      <c r="F16" s="380"/>
      <c r="G16" s="465"/>
      <c r="H16" s="1061" t="s">
        <v>36</v>
      </c>
      <c r="I16" s="1061"/>
      <c r="AC16" s="765" t="s">
        <v>115</v>
      </c>
      <c r="AD16" s="765"/>
      <c r="AE16" s="766">
        <f>IF(AE15=0,0,IF(AND(AE15&lt;Données!$F$19,AF7="Célibataire/veuf/divorcé"),Données!$F$20-(AE15*Données!$F$21),IF(AND(AE15&lt;Données!$G$19,AF7="Marié/pacsé"),Données!$G$20-(AE15*Données!$F$21),0)))</f>
        <v>872.5009</v>
      </c>
      <c r="AF16" s="766"/>
      <c r="AG16" s="220" t="s">
        <v>188</v>
      </c>
      <c r="AH16" s="220" t="s">
        <v>189</v>
      </c>
      <c r="AI16" s="221" t="s">
        <v>190</v>
      </c>
      <c r="AJ16" s="221" t="s">
        <v>191</v>
      </c>
    </row>
    <row r="17" spans="4:36" ht="6.75" customHeight="1">
      <c r="D17" s="384"/>
      <c r="E17" s="384"/>
      <c r="F17" s="384"/>
      <c r="G17" s="384"/>
      <c r="H17" s="384"/>
      <c r="AC17" s="767" t="s">
        <v>117</v>
      </c>
      <c r="AD17" s="768"/>
      <c r="AE17" s="769">
        <f>IF(AE15-AE16&lt;0,0,AE15-AE16)</f>
        <v>447.93910000000005</v>
      </c>
      <c r="AF17" s="770"/>
      <c r="AG17" s="221">
        <f>IF(AI10&gt;0,($R$23-$T$25)*$S$22,IF(AI11&gt;0,($R$23-AF10)*$S$22,IF(AI12&gt;0,($R$23-AF11)*$S$22,($R$23-AF12)*$S$22)))</f>
        <v>0</v>
      </c>
      <c r="AH17" s="221">
        <f>IF(AJ10&gt;0,AD6-(AF9*IF($T$23=Données!$L$50,2,1)),IF(AJ11&gt;0,AD6-(AF10*IF($T$23=Données!$L$50,2,1)),IF(AJ12&gt;0,AD6-(AF11*IF($T$23=Données!$L$50,2,1)),AD6-(AF12*IF($T$23=Données!$L$50,2,1)))))</f>
        <v>23502</v>
      </c>
      <c r="AI17" s="221">
        <f>(-(AH10*AE6)/(AG11-AG10))+((AI7+(IF($T$23="Célibataire/veuf/divorcé",1,2)*AH11))/(AG11-AG10))</f>
        <v>58629.999999999993</v>
      </c>
      <c r="AJ17" s="221">
        <f>(IF(AF7=Données!$L$51,Données!$F$20,Données!$G$20)/(1+Données!$F$21)+(AH10*AE6))/AG10</f>
        <v>32196.438116100766</v>
      </c>
    </row>
    <row r="18" spans="4:36" ht="15" thickBot="1">
      <c r="D18" s="1087" t="s">
        <v>1857</v>
      </c>
      <c r="E18" s="1087"/>
      <c r="F18" s="380"/>
      <c r="G18" s="465"/>
      <c r="H18" s="1058">
        <v>171000</v>
      </c>
      <c r="I18" s="1058"/>
      <c r="AC18" s="761" t="s">
        <v>118</v>
      </c>
      <c r="AD18" s="762"/>
      <c r="AE18" s="763">
        <f>AE17-T17-W17</f>
        <v>447.93910000000005</v>
      </c>
      <c r="AF18" s="764"/>
      <c r="AG18" s="755" t="s">
        <v>192</v>
      </c>
      <c r="AH18" s="756"/>
      <c r="AI18" s="221">
        <f>IF(AI15=AG10,AD6-AJ17,IF(AI14&gt;AJ14,AG17,IF(AI15=AG11,AD6-AI17,AH17)))</f>
        <v>2803.5618838992341</v>
      </c>
      <c r="AJ18" s="221"/>
    </row>
    <row r="19" spans="4:36" ht="6.75" customHeight="1">
      <c r="D19" s="585"/>
      <c r="E19" s="585"/>
      <c r="F19" s="585"/>
      <c r="G19" s="585"/>
      <c r="H19" s="585"/>
      <c r="I19" s="585"/>
      <c r="J19" s="585"/>
    </row>
    <row r="20" spans="4:36">
      <c r="D20" s="1087" t="s">
        <v>1897</v>
      </c>
      <c r="E20" s="1087"/>
      <c r="F20" s="380"/>
      <c r="G20" s="465"/>
      <c r="H20" s="1058">
        <v>0</v>
      </c>
      <c r="I20" s="1058"/>
      <c r="J20" s="585"/>
      <c r="K20" s="585"/>
      <c r="L20" s="585"/>
      <c r="M20" s="585"/>
    </row>
    <row r="21" spans="4:36">
      <c r="D21" s="585"/>
      <c r="E21" s="585"/>
      <c r="F21" s="585"/>
      <c r="G21" s="585"/>
      <c r="H21" s="585"/>
      <c r="I21" s="585"/>
      <c r="J21" s="585"/>
      <c r="K21" s="585"/>
      <c r="L21" s="585"/>
      <c r="M21" s="585"/>
    </row>
    <row r="24" spans="4:36" ht="15" thickBot="1">
      <c r="D24" s="933" t="s">
        <v>1891</v>
      </c>
      <c r="E24" s="933"/>
      <c r="F24" s="380"/>
      <c r="G24" s="465"/>
      <c r="H24" s="1034">
        <v>63</v>
      </c>
      <c r="I24" s="1034"/>
      <c r="J24" s="586" t="s">
        <v>51</v>
      </c>
      <c r="K24" s="586"/>
      <c r="L24" s="933" t="s">
        <v>1856</v>
      </c>
      <c r="M24" s="933"/>
      <c r="N24" s="380"/>
      <c r="O24" s="465"/>
      <c r="P24" s="1034">
        <v>60</v>
      </c>
      <c r="Q24" s="1034"/>
      <c r="R24" s="587" t="str">
        <f ca="1">IF(P24="","ans","ans"&amp;" (soit dans "&amp;P24-(Données!F4-H14)&amp;" ans)")</f>
        <v>ans (soit dans 0 ans)</v>
      </c>
    </row>
    <row r="25" spans="4:36" ht="6.75" customHeight="1">
      <c r="L25" s="585"/>
      <c r="R25" s="384"/>
    </row>
    <row r="26" spans="4:36" ht="15" thickBot="1">
      <c r="D26" s="933" t="s">
        <v>1892</v>
      </c>
      <c r="E26" s="933"/>
      <c r="F26" s="380"/>
      <c r="G26" s="465"/>
      <c r="H26" s="1058">
        <v>35000</v>
      </c>
      <c r="I26" s="1058"/>
      <c r="L26" s="1086" t="str">
        <f>"Besoin complémentaire de revenu net à "&amp;P24&amp;" ans"</f>
        <v>Besoin complémentaire de revenu net à 60 ans</v>
      </c>
      <c r="M26" s="1086"/>
      <c r="N26" s="380"/>
      <c r="O26" s="465"/>
      <c r="P26" s="1058">
        <v>180000</v>
      </c>
      <c r="Q26" s="1058"/>
      <c r="R26" s="384"/>
    </row>
    <row r="27" spans="4:36" ht="6.75" customHeight="1"/>
    <row r="28" spans="4:36" ht="15" thickBot="1">
      <c r="D28" s="933" t="s">
        <v>1893</v>
      </c>
      <c r="E28" s="933"/>
      <c r="F28" s="380"/>
      <c r="G28" s="465"/>
      <c r="H28" s="1058">
        <v>0</v>
      </c>
      <c r="I28" s="1058"/>
    </row>
    <row r="42" spans="3:3" ht="15.75" customHeight="1"/>
    <row r="43" spans="3:3" ht="15.75" customHeight="1"/>
    <row r="44" spans="3:3" ht="7.5" customHeight="1"/>
    <row r="45" spans="3:3" ht="15.75" customHeight="1" thickBot="1">
      <c r="C45" s="461"/>
    </row>
    <row r="46" spans="3:3" ht="7.5" customHeight="1"/>
    <row r="47" spans="3:3" ht="15.75" customHeight="1" thickBot="1">
      <c r="C47" s="461"/>
    </row>
    <row r="48" spans="3:3" ht="7.5" customHeight="1"/>
    <row r="49" spans="1:20" ht="21" customHeight="1"/>
    <row r="51" spans="1:20" ht="15.75" customHeight="1"/>
    <row r="52" spans="1:20" ht="7.5" customHeight="1">
      <c r="A52" s="42"/>
      <c r="B52" s="42"/>
      <c r="C52" s="42"/>
    </row>
    <row r="53" spans="1:20" ht="15" customHeight="1">
      <c r="A53" s="42"/>
      <c r="B53" s="42"/>
      <c r="C53" s="42"/>
    </row>
    <row r="54" spans="1:20" ht="6.75" customHeight="1">
      <c r="A54" s="42"/>
      <c r="B54" s="42"/>
      <c r="C54" s="42"/>
    </row>
    <row r="55" spans="1:20">
      <c r="A55" s="42"/>
      <c r="B55" s="42"/>
      <c r="C55" s="42"/>
    </row>
    <row r="56" spans="1:20">
      <c r="A56" s="42"/>
      <c r="B56" s="42"/>
      <c r="C56" s="42"/>
    </row>
    <row r="57" spans="1:20">
      <c r="A57" s="42"/>
      <c r="B57" s="42"/>
      <c r="C57" s="42"/>
    </row>
    <row r="58" spans="1:20">
      <c r="A58" s="42"/>
      <c r="B58" s="42"/>
      <c r="C58" s="42"/>
      <c r="S58" s="42"/>
      <c r="T58" s="42"/>
    </row>
    <row r="59" spans="1:20">
      <c r="A59" s="42"/>
      <c r="B59" s="42"/>
      <c r="C59" s="42"/>
      <c r="S59" s="42"/>
      <c r="T59" s="42"/>
    </row>
    <row r="62" spans="1:20">
      <c r="F62" s="35"/>
      <c r="G62" s="36"/>
      <c r="H62" s="36"/>
    </row>
    <row r="63" spans="1:20">
      <c r="F63" s="35"/>
      <c r="G63" s="36"/>
      <c r="H63" s="36"/>
    </row>
    <row r="64" spans="1:20">
      <c r="F64" s="35"/>
      <c r="G64" s="36"/>
      <c r="H64" s="36"/>
    </row>
    <row r="65" spans="6:8">
      <c r="F65" s="35"/>
      <c r="G65" s="36"/>
      <c r="H65" s="36"/>
    </row>
  </sheetData>
  <sheetProtection selectLockedCells="1"/>
  <mergeCells count="33">
    <mergeCell ref="AC17:AD17"/>
    <mergeCell ref="AE17:AF17"/>
    <mergeCell ref="AC18:AD18"/>
    <mergeCell ref="AE18:AF18"/>
    <mergeCell ref="AG18:AH18"/>
    <mergeCell ref="AC15:AD15"/>
    <mergeCell ref="AE15:AF15"/>
    <mergeCell ref="AI15:AJ15"/>
    <mergeCell ref="AC16:AD16"/>
    <mergeCell ref="AE16:AF16"/>
    <mergeCell ref="AG5:AH5"/>
    <mergeCell ref="AF6:AH6"/>
    <mergeCell ref="AI6:AJ6"/>
    <mergeCell ref="AF7:AH7"/>
    <mergeCell ref="AI7:AJ7"/>
    <mergeCell ref="D28:E28"/>
    <mergeCell ref="H28:I28"/>
    <mergeCell ref="D20:E20"/>
    <mergeCell ref="H20:I20"/>
    <mergeCell ref="H14:I14"/>
    <mergeCell ref="H16:I16"/>
    <mergeCell ref="D16:E16"/>
    <mergeCell ref="D18:E18"/>
    <mergeCell ref="D14:E14"/>
    <mergeCell ref="D24:E24"/>
    <mergeCell ref="H24:I24"/>
    <mergeCell ref="D26:E26"/>
    <mergeCell ref="H26:I26"/>
    <mergeCell ref="L24:M24"/>
    <mergeCell ref="P24:Q24"/>
    <mergeCell ref="H18:I18"/>
    <mergeCell ref="L26:M26"/>
    <mergeCell ref="P26:Q26"/>
  </mergeCells>
  <conditionalFormatting sqref="H14">
    <cfRule type="cellIs" dxfId="52" priority="18" operator="equal">
      <formula>""</formula>
    </cfRule>
  </conditionalFormatting>
  <conditionalFormatting sqref="H16">
    <cfRule type="cellIs" dxfId="51" priority="14" operator="equal">
      <formula>""</formula>
    </cfRule>
  </conditionalFormatting>
  <conditionalFormatting sqref="H18">
    <cfRule type="cellIs" dxfId="50" priority="13" operator="equal">
      <formula>""</formula>
    </cfRule>
  </conditionalFormatting>
  <conditionalFormatting sqref="H20">
    <cfRule type="cellIs" dxfId="49" priority="3" operator="equal">
      <formula>""</formula>
    </cfRule>
  </conditionalFormatting>
  <conditionalFormatting sqref="H24">
    <cfRule type="cellIs" dxfId="48" priority="6" operator="equal">
      <formula>""</formula>
    </cfRule>
  </conditionalFormatting>
  <conditionalFormatting sqref="H26">
    <cfRule type="cellIs" dxfId="47" priority="5" operator="equal">
      <formula>""</formula>
    </cfRule>
  </conditionalFormatting>
  <conditionalFormatting sqref="H28">
    <cfRule type="cellIs" dxfId="46" priority="4" operator="equal">
      <formula>""</formula>
    </cfRule>
  </conditionalFormatting>
  <conditionalFormatting sqref="P24">
    <cfRule type="cellIs" dxfId="45" priority="17" operator="equal">
      <formula>""</formula>
    </cfRule>
  </conditionalFormatting>
  <conditionalFormatting sqref="P26">
    <cfRule type="cellIs" dxfId="44" priority="11" operator="equal">
      <formula>""</formula>
    </cfRule>
  </conditionalFormatting>
  <conditionalFormatting sqref="AI14">
    <cfRule type="expression" dxfId="43" priority="133">
      <formula>$W$30&gt;=$Z$30</formula>
    </cfRule>
  </conditionalFormatting>
  <conditionalFormatting sqref="AJ14">
    <cfRule type="expression" dxfId="42" priority="134">
      <formula>$Z$30&gt;$W$30</formula>
    </cfRule>
  </conditionalFormatting>
  <dataValidations count="4">
    <dataValidation type="whole" allowBlank="1" showInputMessage="1" showErrorMessage="1" error="Merci de saisir un age cohérent" sqref="H24:I24" xr:uid="{10A5DFA8-74DA-407C-AEE3-5889FD77F66B}">
      <formula1>60</formula1>
      <formula2>70</formula2>
    </dataValidation>
    <dataValidation type="whole" allowBlank="1" showInputMessage="1" showErrorMessage="1" error="Merci de saisir un montant cohérent" sqref="P26:Q26 H28:I28 H26:I26 H18:I18 H20:I20" xr:uid="{7F453347-CBCE-4DF9-B58B-0BA136CDF1B1}">
      <formula1>0</formula1>
      <formula2>100000000</formula2>
    </dataValidation>
    <dataValidation type="whole" allowBlank="1" showInputMessage="1" showErrorMessage="1" error="Merci de saisir une année de naissance cohérente" sqref="H14:I14" xr:uid="{06522D2D-87B5-418B-8039-3CF430BE8884}">
      <formula1>1950</formula1>
      <formula2>2020</formula2>
    </dataValidation>
    <dataValidation type="whole" allowBlank="1" showInputMessage="1" showErrorMessage="1" error="Merci de saisir un age cohérent" sqref="P24:Q24" xr:uid="{09001628-41CD-43E0-81F9-6123193B2CC8}">
      <formula1>20</formula1>
      <formula2>100</formula2>
    </dataValidation>
  </dataValidations>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8DF42E1-08CE-4F6F-8617-68EC52487B7B}">
          <x14:formula1>
            <xm:f>Données!$L$50:$L$51</xm:f>
          </x14:formula1>
          <xm:sqref>H16:I16</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DEBE-9533-456A-A9FB-89F724AEC756}">
  <sheetPr codeName="Feuil38">
    <tabColor theme="9" tint="-0.499984740745262"/>
  </sheetPr>
  <dimension ref="A2:V51"/>
  <sheetViews>
    <sheetView showGridLines="0" showRowColHeaders="0" topLeftCell="A7" zoomScale="123" zoomScaleNormal="123" workbookViewId="0">
      <selection activeCell="H14" sqref="H14:K14"/>
    </sheetView>
  </sheetViews>
  <sheetFormatPr baseColWidth="10" defaultRowHeight="14.4"/>
  <cols>
    <col min="2" max="2" width="11.6640625" customWidth="1"/>
    <col min="3" max="3" width="14.33203125" customWidth="1"/>
    <col min="4" max="4" width="23.88671875" customWidth="1"/>
    <col min="5" max="5" width="14.33203125" customWidth="1"/>
    <col min="6" max="7" width="1.44140625" customWidth="1"/>
    <col min="8" max="11" width="10.6640625" customWidth="1"/>
    <col min="12" max="12" width="8.44140625" customWidth="1"/>
    <col min="13" max="13" width="25.88671875" customWidth="1"/>
    <col min="14" max="14" width="18.88671875" customWidth="1"/>
    <col min="15" max="16" width="1.33203125" customWidth="1"/>
    <col min="17" max="17" width="11.33203125" customWidth="1"/>
    <col min="18" max="18" width="14.33203125" customWidth="1"/>
  </cols>
  <sheetData>
    <row r="2" spans="2:20">
      <c r="K2" s="516" t="b">
        <v>0</v>
      </c>
      <c r="L2" s="516" t="b">
        <v>1</v>
      </c>
    </row>
    <row r="4" spans="2:20">
      <c r="O4" s="2"/>
      <c r="P4" s="3"/>
      <c r="Q4" s="4"/>
    </row>
    <row r="5" spans="2:20">
      <c r="B5" s="1">
        <f ca="1">TODAY()</f>
        <v>46023</v>
      </c>
    </row>
    <row r="8" spans="2:20">
      <c r="L8" s="366"/>
      <c r="M8" s="366"/>
    </row>
    <row r="10" spans="2:20">
      <c r="H10" s="293"/>
    </row>
    <row r="12" spans="2:20">
      <c r="T12" s="384"/>
    </row>
    <row r="13" spans="2:20" ht="6.75" customHeight="1">
      <c r="T13" s="384"/>
    </row>
    <row r="14" spans="2:20" ht="15" thickBot="1">
      <c r="D14" s="933" t="s">
        <v>1855</v>
      </c>
      <c r="E14" s="933"/>
      <c r="F14" s="380"/>
      <c r="G14" s="465"/>
      <c r="H14" s="1058">
        <v>4000000</v>
      </c>
      <c r="I14" s="1058"/>
      <c r="J14" s="1058"/>
      <c r="K14" s="1058"/>
      <c r="N14" s="384"/>
      <c r="O14" s="384"/>
      <c r="P14" s="384"/>
      <c r="Q14" s="384"/>
      <c r="R14" s="384"/>
      <c r="S14" s="384"/>
    </row>
    <row r="15" spans="2:20" ht="6.75" customHeight="1">
      <c r="D15" s="508"/>
      <c r="E15" s="508"/>
      <c r="F15" s="380"/>
      <c r="G15" s="380"/>
      <c r="H15" s="366"/>
      <c r="N15" s="384"/>
      <c r="O15" s="384"/>
      <c r="P15" s="384"/>
      <c r="Q15" s="384"/>
      <c r="R15" s="384"/>
      <c r="S15" s="384"/>
      <c r="T15" s="384"/>
    </row>
    <row r="16" spans="2:20" ht="15.75" customHeight="1" thickBot="1">
      <c r="D16" s="933" t="s">
        <v>1907</v>
      </c>
      <c r="E16" s="933"/>
      <c r="F16" s="380"/>
      <c r="G16" s="465"/>
      <c r="H16" s="1058"/>
      <c r="I16" s="1058"/>
      <c r="J16" s="1058"/>
      <c r="K16" s="1058"/>
      <c r="M16" s="933" t="s">
        <v>1864</v>
      </c>
      <c r="N16" s="933"/>
      <c r="O16" s="380"/>
      <c r="P16" s="465"/>
      <c r="Q16" s="1089">
        <f>(H16+Q18)/(1-'Param treso'!H18)</f>
        <v>0</v>
      </c>
      <c r="R16" s="1089"/>
    </row>
    <row r="17" spans="3:22" ht="7.5" customHeight="1" thickBot="1">
      <c r="D17" s="933"/>
      <c r="E17" s="933"/>
      <c r="M17" s="384"/>
      <c r="N17" s="384"/>
      <c r="O17" s="384"/>
      <c r="P17" s="384"/>
      <c r="Q17" s="384"/>
      <c r="R17" s="384"/>
      <c r="S17" s="384"/>
    </row>
    <row r="18" spans="3:22" ht="15" thickBot="1">
      <c r="D18" s="933" t="s">
        <v>1858</v>
      </c>
      <c r="E18" s="933"/>
      <c r="F18" s="380"/>
      <c r="G18" s="465"/>
      <c r="H18" s="1093">
        <f>Données!F28+Données!F36</f>
        <v>0.3</v>
      </c>
      <c r="I18" s="1093"/>
      <c r="J18" s="1093"/>
      <c r="K18" s="1093"/>
      <c r="M18" s="933" t="s">
        <v>1865</v>
      </c>
      <c r="N18" s="933"/>
      <c r="O18" s="380"/>
      <c r="P18" s="465"/>
      <c r="Q18" s="1089">
        <f>IF('Treso IS'!H16=Données!L51,IF(('Treso IS'!H18+H16)&lt;Données!N13,0,IF(('Treso IS'!H18+H16)&lt;Données!N14,(('Treso IS'!H18+H16)-Données!N13)*Données!P14,((('Treso IS'!H18+H16)-Données!N14)*Données!P15)+((Données!N14-Données!N13)*Données!P14))),IF(('Treso IS'!H18+H16)&lt;Données!N14,0,IF(('Treso IS'!H18+H16)&lt;Données!N15,(('Treso IS'!H18+H16)-Données!N14)*Données!Q15,((('Treso IS'!H18+H16)-Données!N15)*Données!Q16+((Données!N15-Données!N14)*Données!Q15)))))</f>
        <v>0</v>
      </c>
      <c r="R18" s="1089"/>
    </row>
    <row r="19" spans="3:22" ht="6.75" customHeight="1">
      <c r="D19" s="508"/>
      <c r="E19" s="508"/>
      <c r="F19" s="380"/>
      <c r="G19" s="380"/>
      <c r="H19" s="366"/>
      <c r="I19" s="366"/>
      <c r="J19" s="366"/>
      <c r="K19" s="366"/>
      <c r="M19" s="384"/>
      <c r="N19" s="384"/>
      <c r="O19" s="384"/>
      <c r="P19" s="384"/>
      <c r="Q19" s="384"/>
      <c r="R19" s="384"/>
      <c r="T19" s="384"/>
    </row>
    <row r="20" spans="3:22" ht="15.75" customHeight="1" thickBot="1">
      <c r="D20" s="933" t="str">
        <f>"IS réduit "&amp;Données!L25*100&amp;"%"</f>
        <v>IS réduit 15%</v>
      </c>
      <c r="E20" s="933"/>
      <c r="F20" s="380"/>
      <c r="G20" s="465"/>
      <c r="H20" s="1061" t="s">
        <v>280</v>
      </c>
      <c r="I20" s="1061"/>
      <c r="J20" s="1061"/>
      <c r="K20" s="1061"/>
      <c r="M20" s="933" t="s">
        <v>1917</v>
      </c>
      <c r="N20" s="933"/>
      <c r="O20" s="380"/>
      <c r="P20" s="465"/>
      <c r="R20" s="699" t="s">
        <v>1908</v>
      </c>
    </row>
    <row r="21" spans="3:22" ht="6.75" customHeight="1"/>
    <row r="22" spans="3:22">
      <c r="S22" s="384"/>
    </row>
    <row r="23" spans="3:22">
      <c r="M23" s="384"/>
      <c r="N23" s="384"/>
      <c r="O23" s="384"/>
      <c r="P23" s="384"/>
      <c r="Q23" s="384"/>
    </row>
    <row r="24" spans="3:22" ht="15" customHeight="1" thickBot="1">
      <c r="D24" s="933" t="s">
        <v>1863</v>
      </c>
      <c r="E24" s="933"/>
      <c r="F24" s="380"/>
      <c r="G24" s="465"/>
      <c r="H24" s="1094">
        <f>'Param treso'!H14-'Param treso'!H28-'Param treso'!H37-IF(K2=FALSE,Q16,0)</f>
        <v>200000</v>
      </c>
      <c r="I24" s="1094"/>
      <c r="J24" s="1094"/>
      <c r="K24" s="1094"/>
      <c r="Q24" s="384"/>
    </row>
    <row r="25" spans="3:22" ht="15" customHeight="1">
      <c r="D25" s="585"/>
      <c r="E25" s="585"/>
      <c r="F25" s="585"/>
      <c r="G25" s="585"/>
      <c r="H25" s="585"/>
      <c r="I25" s="585"/>
      <c r="J25" s="585"/>
      <c r="K25" s="585"/>
      <c r="L25" s="585"/>
      <c r="Q25" s="384"/>
    </row>
    <row r="26" spans="3:22" ht="15" customHeight="1">
      <c r="D26" s="585"/>
      <c r="E26" s="585"/>
      <c r="F26" s="585"/>
      <c r="G26" s="585"/>
      <c r="H26" s="585"/>
      <c r="I26" s="585"/>
      <c r="J26" s="585"/>
      <c r="K26" s="585"/>
      <c r="L26" s="585"/>
      <c r="Q26" s="384"/>
      <c r="V26" s="384"/>
    </row>
    <row r="27" spans="3:22" ht="6.75" customHeight="1">
      <c r="G27" s="293"/>
      <c r="H27" s="293"/>
      <c r="I27" s="293"/>
      <c r="Q27" s="384"/>
    </row>
    <row r="28" spans="3:22" ht="15" customHeight="1" thickBot="1">
      <c r="C28" s="461"/>
      <c r="D28" s="933" t="s">
        <v>1861</v>
      </c>
      <c r="E28" s="933"/>
      <c r="F28" s="380"/>
      <c r="G28" s="465"/>
      <c r="H28" s="1092">
        <v>3000000</v>
      </c>
      <c r="I28" s="1092"/>
      <c r="J28" s="1092"/>
      <c r="K28" s="1092"/>
      <c r="Q28" s="384"/>
    </row>
    <row r="29" spans="3:22" ht="6.75" customHeight="1" thickBot="1">
      <c r="C29" s="1090" t="s">
        <v>53</v>
      </c>
      <c r="D29" s="933"/>
      <c r="E29" s="933"/>
      <c r="M29" s="585"/>
      <c r="N29" s="585"/>
      <c r="O29" s="585"/>
      <c r="P29" s="585"/>
      <c r="Q29" s="700"/>
      <c r="R29" s="585"/>
      <c r="S29" s="585"/>
    </row>
    <row r="30" spans="3:22" ht="15" customHeight="1" thickBot="1">
      <c r="C30" s="1091"/>
      <c r="D30" s="933" t="s">
        <v>1862</v>
      </c>
      <c r="E30" s="933"/>
      <c r="F30" s="380"/>
      <c r="G30" s="465"/>
      <c r="H30" s="927">
        <v>0.05</v>
      </c>
      <c r="I30" s="927"/>
      <c r="J30" s="927"/>
      <c r="K30" s="927"/>
      <c r="M30" s="933" t="s">
        <v>1933</v>
      </c>
      <c r="N30" s="933"/>
      <c r="O30" s="380"/>
      <c r="P30" s="465"/>
      <c r="R30" s="908" t="s">
        <v>1908</v>
      </c>
    </row>
    <row r="31" spans="3:22" ht="6.75" customHeight="1" thickBot="1">
      <c r="C31" s="1091"/>
      <c r="D31" s="507"/>
      <c r="E31" s="507"/>
      <c r="M31" s="933"/>
      <c r="N31" s="933"/>
      <c r="O31" s="380"/>
      <c r="P31" s="465"/>
      <c r="R31" s="908"/>
    </row>
    <row r="32" spans="3:22" ht="15" customHeight="1" thickBot="1">
      <c r="C32" s="1091"/>
      <c r="D32" s="933" t="s">
        <v>1554</v>
      </c>
      <c r="E32" s="933"/>
      <c r="F32" s="380"/>
      <c r="G32" s="465"/>
      <c r="H32" s="1061">
        <v>30</v>
      </c>
      <c r="I32" s="1061"/>
      <c r="J32" s="1061"/>
      <c r="K32" s="1061"/>
      <c r="L32" s="666" t="str">
        <f>IF(H32="",""," ans")</f>
        <v xml:space="preserve"> ans</v>
      </c>
      <c r="M32" s="933"/>
      <c r="N32" s="933"/>
      <c r="O32" s="380"/>
      <c r="P32" s="465"/>
      <c r="R32" s="1088"/>
    </row>
    <row r="33" spans="1:16" ht="6.75" customHeight="1" thickBot="1">
      <c r="C33" s="1091"/>
      <c r="D33" s="933"/>
      <c r="E33" s="933"/>
      <c r="O33" s="384"/>
    </row>
    <row r="34" spans="1:16" ht="15" customHeight="1" thickBot="1">
      <c r="D34" s="933" t="s">
        <v>25</v>
      </c>
      <c r="E34" s="933"/>
      <c r="F34" s="380"/>
      <c r="G34" s="465"/>
      <c r="H34" s="641" t="s">
        <v>1859</v>
      </c>
      <c r="I34" s="683">
        <f>H28*H30</f>
        <v>150000</v>
      </c>
      <c r="J34" s="683">
        <f>I34-IF('Param treso'!H20="Non",I34*Données!$L$24,IF(I34&lt;=Données!$L$26,I34*Données!$L$25,(Données!$L$26*Données!$L$25)+((I34-Données!$L$26)*Données!$L$24)))</f>
        <v>116750</v>
      </c>
      <c r="K34" s="683">
        <f>J34*(1-'Param treso'!H18)</f>
        <v>81725</v>
      </c>
      <c r="L34" s="586"/>
    </row>
    <row r="35" spans="1:16" ht="15" customHeight="1">
      <c r="I35" s="646" t="s">
        <v>1873</v>
      </c>
      <c r="J35" s="646" t="s">
        <v>1874</v>
      </c>
      <c r="K35" s="646" t="s">
        <v>1875</v>
      </c>
      <c r="L35" s="665"/>
    </row>
    <row r="36" spans="1:16" ht="15" customHeight="1"/>
    <row r="37" spans="1:16" ht="15" customHeight="1" thickBot="1">
      <c r="C37" s="461"/>
      <c r="D37" s="933" t="s">
        <v>1861</v>
      </c>
      <c r="E37" s="933"/>
      <c r="F37" s="380"/>
      <c r="G37" s="465"/>
      <c r="H37" s="1092">
        <v>800000</v>
      </c>
      <c r="I37" s="1092"/>
      <c r="J37" s="1092"/>
      <c r="K37" s="1092"/>
      <c r="M37" s="698"/>
    </row>
    <row r="38" spans="1:16" ht="6.75" customHeight="1" thickBot="1">
      <c r="C38" s="1090" t="s">
        <v>54</v>
      </c>
      <c r="D38" s="933"/>
      <c r="E38" s="933"/>
      <c r="P38" s="42"/>
    </row>
    <row r="39" spans="1:16" ht="15" customHeight="1" thickBot="1">
      <c r="A39" s="42"/>
      <c r="B39" s="42"/>
      <c r="C39" s="1091"/>
      <c r="D39" s="933" t="s">
        <v>1862</v>
      </c>
      <c r="E39" s="933"/>
      <c r="F39" s="380"/>
      <c r="G39" s="465"/>
      <c r="H39" s="927">
        <v>0.03</v>
      </c>
      <c r="I39" s="927"/>
      <c r="J39" s="927"/>
      <c r="K39" s="927"/>
    </row>
    <row r="40" spans="1:16" ht="6.75" customHeight="1" thickBot="1">
      <c r="A40" s="42"/>
      <c r="B40" s="42"/>
      <c r="C40" s="1091"/>
      <c r="D40" s="507"/>
      <c r="E40" s="507"/>
    </row>
    <row r="41" spans="1:16" ht="15" customHeight="1" thickBot="1">
      <c r="A41" s="42"/>
      <c r="B41" s="42"/>
      <c r="C41" s="1091"/>
      <c r="D41" s="933" t="s">
        <v>1554</v>
      </c>
      <c r="E41" s="933"/>
      <c r="F41" s="380"/>
      <c r="G41" s="465"/>
      <c r="H41" s="1061">
        <v>5</v>
      </c>
      <c r="I41" s="1061"/>
      <c r="J41" s="1061"/>
      <c r="K41" s="1061"/>
      <c r="L41" s="586" t="str">
        <f>IF(H41="",""," ans")</f>
        <v xml:space="preserve"> ans</v>
      </c>
    </row>
    <row r="42" spans="1:16" ht="6.75" customHeight="1" thickBot="1">
      <c r="A42" s="42"/>
      <c r="B42" s="42"/>
      <c r="C42" s="1091"/>
      <c r="D42" s="933"/>
      <c r="E42" s="933"/>
    </row>
    <row r="43" spans="1:16" ht="15" customHeight="1" thickBot="1">
      <c r="A43" s="42"/>
      <c r="B43" s="42"/>
      <c r="D43" s="933" t="s">
        <v>25</v>
      </c>
      <c r="E43" s="933"/>
      <c r="F43" s="380"/>
      <c r="G43" s="465"/>
      <c r="H43" s="1089" t="s">
        <v>1860</v>
      </c>
      <c r="I43" s="1089"/>
      <c r="J43" s="1089"/>
      <c r="K43" s="1089"/>
    </row>
    <row r="44" spans="1:16" ht="15" customHeight="1">
      <c r="A44" s="42"/>
      <c r="B44" s="42"/>
      <c r="D44" s="585"/>
      <c r="E44" s="585"/>
      <c r="F44" s="585"/>
      <c r="G44" s="585"/>
      <c r="H44" s="585"/>
      <c r="I44" s="585"/>
      <c r="J44" s="585"/>
      <c r="K44" s="585"/>
    </row>
    <row r="45" spans="1:16">
      <c r="A45" s="42"/>
      <c r="B45" s="42"/>
      <c r="D45" s="585"/>
      <c r="E45" s="585"/>
      <c r="F45" s="585"/>
      <c r="G45" s="585"/>
      <c r="H45" s="585"/>
      <c r="I45" s="585"/>
      <c r="J45" s="585"/>
      <c r="K45" s="585"/>
    </row>
    <row r="46" spans="1:16">
      <c r="A46" s="42"/>
      <c r="B46" s="42"/>
      <c r="C46" s="42"/>
      <c r="F46" s="35"/>
      <c r="G46" s="36"/>
      <c r="H46" s="36"/>
      <c r="J46" s="42"/>
    </row>
    <row r="47" spans="1:16">
      <c r="F47" s="35"/>
      <c r="G47" s="36"/>
      <c r="H47" s="36"/>
    </row>
    <row r="51" spans="15:16">
      <c r="O51" s="42"/>
      <c r="P51" s="42"/>
    </row>
  </sheetData>
  <sheetProtection selectLockedCells="1"/>
  <mergeCells count="39">
    <mergeCell ref="C29:C33"/>
    <mergeCell ref="H37:K37"/>
    <mergeCell ref="H39:K39"/>
    <mergeCell ref="H14:K14"/>
    <mergeCell ref="H18:K18"/>
    <mergeCell ref="H20:K20"/>
    <mergeCell ref="D24:E24"/>
    <mergeCell ref="H24:K24"/>
    <mergeCell ref="D16:E16"/>
    <mergeCell ref="D17:E17"/>
    <mergeCell ref="D38:E38"/>
    <mergeCell ref="D34:E34"/>
    <mergeCell ref="D14:E14"/>
    <mergeCell ref="D18:E18"/>
    <mergeCell ref="H16:K16"/>
    <mergeCell ref="D43:E43"/>
    <mergeCell ref="H43:K43"/>
    <mergeCell ref="D20:E20"/>
    <mergeCell ref="C38:C42"/>
    <mergeCell ref="D29:E29"/>
    <mergeCell ref="D32:E32"/>
    <mergeCell ref="H32:K32"/>
    <mergeCell ref="D33:E33"/>
    <mergeCell ref="D41:E41"/>
    <mergeCell ref="H41:K41"/>
    <mergeCell ref="D39:E39"/>
    <mergeCell ref="D42:E42"/>
    <mergeCell ref="D28:E28"/>
    <mergeCell ref="H28:K28"/>
    <mergeCell ref="D30:E30"/>
    <mergeCell ref="H30:K30"/>
    <mergeCell ref="M20:N20"/>
    <mergeCell ref="M30:N32"/>
    <mergeCell ref="R30:R32"/>
    <mergeCell ref="M16:N16"/>
    <mergeCell ref="D37:E37"/>
    <mergeCell ref="Q16:R16"/>
    <mergeCell ref="M18:N18"/>
    <mergeCell ref="Q18:R18"/>
  </mergeCells>
  <conditionalFormatting sqref="H14">
    <cfRule type="cellIs" dxfId="41" priority="26" operator="equal">
      <formula>""</formula>
    </cfRule>
  </conditionalFormatting>
  <conditionalFormatting sqref="H16">
    <cfRule type="cellIs" dxfId="40" priority="8" operator="equal">
      <formula>""</formula>
    </cfRule>
  </conditionalFormatting>
  <conditionalFormatting sqref="H18">
    <cfRule type="cellIs" dxfId="39" priority="22" operator="equal">
      <formula>""</formula>
    </cfRule>
  </conditionalFormatting>
  <conditionalFormatting sqref="H20">
    <cfRule type="cellIs" dxfId="38" priority="21" operator="equal">
      <formula>""</formula>
    </cfRule>
  </conditionalFormatting>
  <conditionalFormatting sqref="H24">
    <cfRule type="cellIs" dxfId="37" priority="10" operator="equal">
      <formula>""</formula>
    </cfRule>
  </conditionalFormatting>
  <conditionalFormatting sqref="H34">
    <cfRule type="cellIs" dxfId="36" priority="17" operator="equal">
      <formula>""</formula>
    </cfRule>
  </conditionalFormatting>
  <conditionalFormatting sqref="H28:J28">
    <cfRule type="cellIs" dxfId="35" priority="18" operator="equal">
      <formula>""</formula>
    </cfRule>
  </conditionalFormatting>
  <conditionalFormatting sqref="H30:J30">
    <cfRule type="cellIs" dxfId="34" priority="16" operator="equal">
      <formula>""</formula>
    </cfRule>
  </conditionalFormatting>
  <conditionalFormatting sqref="H32:J32">
    <cfRule type="cellIs" dxfId="33" priority="19" operator="equal">
      <formula>""</formula>
    </cfRule>
  </conditionalFormatting>
  <conditionalFormatting sqref="H37:J37">
    <cfRule type="cellIs" dxfId="32" priority="14" operator="equal">
      <formula>""</formula>
    </cfRule>
  </conditionalFormatting>
  <conditionalFormatting sqref="H39:J39">
    <cfRule type="cellIs" dxfId="31" priority="12" operator="equal">
      <formula>""</formula>
    </cfRule>
  </conditionalFormatting>
  <conditionalFormatting sqref="H41:J41">
    <cfRule type="cellIs" dxfId="30" priority="15" operator="equal">
      <formula>""</formula>
    </cfRule>
  </conditionalFormatting>
  <conditionalFormatting sqref="H43:J43">
    <cfRule type="cellIs" dxfId="29" priority="13" operator="equal">
      <formula>""</formula>
    </cfRule>
  </conditionalFormatting>
  <conditionalFormatting sqref="K34">
    <cfRule type="expression" dxfId="28" priority="204">
      <formula>$P$35&gt;$K$30</formula>
    </cfRule>
  </conditionalFormatting>
  <conditionalFormatting sqref="M20:P20">
    <cfRule type="expression" dxfId="27" priority="3">
      <formula>$H$37="Maximisation de la trésorerie"</formula>
    </cfRule>
  </conditionalFormatting>
  <conditionalFormatting sqref="Q4">
    <cfRule type="expression" dxfId="26" priority="43">
      <formula>$B$5-$Q$4&gt;7</formula>
    </cfRule>
  </conditionalFormatting>
  <conditionalFormatting sqref="R20">
    <cfRule type="expression" dxfId="25" priority="2">
      <formula>$H$37="Maximisation de la trésorerie"</formula>
    </cfRule>
  </conditionalFormatting>
  <dataValidations count="8">
    <dataValidation allowBlank="1" showInputMessage="1" showErrorMessage="1" error="Merci de saisir une année de naissance cohérente" sqref="Q16:R16 Q18:R18 H18 H24" xr:uid="{128876C1-894E-4989-81DC-B3609E4CCA0A}"/>
    <dataValidation allowBlank="1" showInputMessage="1" showErrorMessage="1" error="Merci de saisir un montant cohérent" sqref="I34:K34" xr:uid="{B56B6909-03F7-41A1-8B2C-6C7065A973A3}"/>
    <dataValidation type="list" allowBlank="1" showInputMessage="1" showErrorMessage="1" error="Merci de saisir un montant cohérent" sqref="H34 H43:K43" xr:uid="{051F37F4-E2B0-48BE-9CAF-F706D2E319A3}">
      <formula1>"Distribution,Capitalisation"</formula1>
    </dataValidation>
    <dataValidation type="whole" allowBlank="1" showInputMessage="1" showErrorMessage="1" error="Merci de saisir un montant cohérent" sqref="H32:K32 H41:K41" xr:uid="{DB654BCC-9C5A-4E95-8129-86834DAF5BD2}">
      <formula1>0</formula1>
      <formula2>100</formula2>
    </dataValidation>
    <dataValidation type="whole" allowBlank="1" showInputMessage="1" showErrorMessage="1" error="Merci de saisir un montant cohérent" sqref="H14 H16" xr:uid="{9CE7222A-2C32-4728-8ED6-0CB464B10F75}">
      <formula1>0</formula1>
      <formula2>100000000</formula2>
    </dataValidation>
    <dataValidation type="list" allowBlank="1" showInputMessage="1" showErrorMessage="1" sqref="H20" xr:uid="{48D8718B-8085-42D0-849B-6258B582B648}">
      <formula1>"Oui,Non"</formula1>
    </dataValidation>
    <dataValidation type="whole" allowBlank="1" showInputMessage="1" showErrorMessage="1" error="Merci de saisir un montant cohérent" sqref="H28:K28" xr:uid="{A8D7D9C4-6AF5-4006-AE4B-213FFFA0B5A1}">
      <formula1>0</formula1>
      <formula2>H14</formula2>
    </dataValidation>
    <dataValidation type="whole" allowBlank="1" showInputMessage="1" showErrorMessage="1" error="Merci de saisir un montant cohérent" sqref="H37:K37" xr:uid="{C6B802E1-8DAE-4673-861F-C4EE5785D2EF}">
      <formula1>0</formula1>
      <formula2>H14-H28</formula2>
    </dataValidation>
  </dataValidations>
  <pageMargins left="0.7" right="0.7" top="0.75" bottom="0.75" header="0.3" footer="0.3"/>
  <pageSetup paperSize="9" orientation="portrait" verticalDpi="0" r:id="rId1"/>
  <drawing r:id="rId2"/>
  <legacyDrawing r:id="rId3"/>
  <controls>
    <mc:AlternateContent xmlns:mc="http://schemas.openxmlformats.org/markup-compatibility/2006">
      <mc:Choice Requires="x14">
        <control shapeId="54284" r:id="rId4" name="CheckBox1">
          <controlPr defaultSize="0" autoLine="0" linkedCell="L2" r:id="rId5">
            <anchor moveWithCells="1">
              <from>
                <xdr:col>16</xdr:col>
                <xdr:colOff>30480</xdr:colOff>
                <xdr:row>29</xdr:row>
                <xdr:rowOff>22860</xdr:rowOff>
              </from>
              <to>
                <xdr:col>17</xdr:col>
                <xdr:colOff>297180</xdr:colOff>
                <xdr:row>32</xdr:row>
                <xdr:rowOff>7620</xdr:rowOff>
              </to>
            </anchor>
          </controlPr>
        </control>
      </mc:Choice>
      <mc:Fallback>
        <control shapeId="54284" r:id="rId4" name="CheckBox1"/>
      </mc:Fallback>
    </mc:AlternateContent>
    <mc:AlternateContent xmlns:mc="http://schemas.openxmlformats.org/markup-compatibility/2006">
      <mc:Choice Requires="x14">
        <control shapeId="54286" r:id="rId6" name="CheckBox2">
          <controlPr defaultSize="0" autoLine="0" linkedCell="K2" r:id="rId7">
            <anchor moveWithCells="1">
              <from>
                <xdr:col>16</xdr:col>
                <xdr:colOff>30480</xdr:colOff>
                <xdr:row>19</xdr:row>
                <xdr:rowOff>7620</xdr:rowOff>
              </from>
              <to>
                <xdr:col>17</xdr:col>
                <xdr:colOff>190500</xdr:colOff>
                <xdr:row>20</xdr:row>
                <xdr:rowOff>7620</xdr:rowOff>
              </to>
            </anchor>
          </controlPr>
        </control>
      </mc:Choice>
      <mc:Fallback>
        <control shapeId="54286" r:id="rId6" name="CheckBox2"/>
      </mc:Fallback>
    </mc:AlternateContent>
  </control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D5702-407C-445C-AA55-6B56842BDB65}">
  <sheetPr codeName="Feuil21">
    <tabColor theme="9" tint="-0.499984740745262"/>
  </sheetPr>
  <dimension ref="B4:R392"/>
  <sheetViews>
    <sheetView showGridLines="0" showRowColHeaders="0" zoomScale="123" zoomScaleNormal="123" workbookViewId="0">
      <selection activeCell="G15" sqref="G15"/>
    </sheetView>
  </sheetViews>
  <sheetFormatPr baseColWidth="10" defaultRowHeight="14.4"/>
  <cols>
    <col min="2" max="2" width="12.33203125" customWidth="1"/>
    <col min="3" max="3" width="4" customWidth="1"/>
    <col min="4" max="4" width="16.5546875" bestFit="1" customWidth="1"/>
    <col min="5" max="5" width="20.88671875" customWidth="1"/>
    <col min="6" max="6" width="21" customWidth="1"/>
    <col min="7" max="7" width="14.33203125" customWidth="1"/>
    <col min="8" max="10" width="15.6640625" customWidth="1"/>
    <col min="15" max="15" width="0" hidden="1" customWidth="1"/>
    <col min="16" max="16" width="17.33203125" hidden="1" customWidth="1"/>
    <col min="17" max="17" width="11.5546875" hidden="1" customWidth="1"/>
    <col min="18" max="18" width="16.33203125" customWidth="1"/>
  </cols>
  <sheetData>
    <row r="4" spans="2:18">
      <c r="P4" s="2"/>
      <c r="Q4" s="3"/>
      <c r="R4" s="4"/>
    </row>
    <row r="5" spans="2:18">
      <c r="B5" s="1">
        <f ca="1">TODAY()</f>
        <v>46023</v>
      </c>
    </row>
    <row r="7" spans="2:18">
      <c r="O7" s="680" t="s">
        <v>82</v>
      </c>
      <c r="P7" s="679" t="s">
        <v>1902</v>
      </c>
      <c r="Q7" s="679" t="s">
        <v>1905</v>
      </c>
    </row>
    <row r="8" spans="2:18">
      <c r="O8" s="680">
        <f ca="1">YEAR(G19)</f>
        <v>2027</v>
      </c>
      <c r="P8" s="692">
        <f ca="1">IFERROR(INDEX($K$23:$L$383,MATCH(O8,$L$23:$L$383,0),1),0)</f>
        <v>0</v>
      </c>
      <c r="Q8" s="692">
        <f ca="1">IFERROR(INDEX($L$23:$M$383,MATCH(O8,$L$23:$L$383,0),2),0)</f>
        <v>0</v>
      </c>
    </row>
    <row r="9" spans="2:18">
      <c r="O9" s="680">
        <f ca="1">IFERROR(IF(O8+1&lt;YEAR($G$19)+($G$16/12),O8+1,""),"")</f>
        <v>2028</v>
      </c>
      <c r="P9" s="692">
        <f t="shared" ref="P9:P72" ca="1" si="0">IFERROR(INDEX($K$23:$L$383,MATCH(O9,$L$23:$L$383,0),1),0)</f>
        <v>0</v>
      </c>
      <c r="Q9" s="692">
        <f t="shared" ref="Q9:Q72" ca="1" si="1">IFERROR(INDEX($L$23:$M$383,MATCH(O9,$L$23:$L$383,0),2),0)</f>
        <v>0</v>
      </c>
    </row>
    <row r="10" spans="2:18">
      <c r="O10" s="680">
        <f t="shared" ref="O10:O73" ca="1" si="2">IFERROR(IF(O9+1&lt;YEAR($G$19)+($G$16/12),O9+1,""),"")</f>
        <v>2029</v>
      </c>
      <c r="P10" s="692">
        <f t="shared" ca="1" si="0"/>
        <v>0</v>
      </c>
      <c r="Q10" s="692">
        <f t="shared" ca="1" si="1"/>
        <v>0</v>
      </c>
    </row>
    <row r="11" spans="2:18" ht="15" thickBot="1">
      <c r="O11" s="680">
        <f t="shared" ca="1" si="2"/>
        <v>2030</v>
      </c>
      <c r="P11" s="692">
        <f t="shared" ca="1" si="0"/>
        <v>0</v>
      </c>
      <c r="Q11" s="692">
        <f t="shared" ca="1" si="1"/>
        <v>0</v>
      </c>
    </row>
    <row r="12" spans="2:18">
      <c r="D12" s="54"/>
      <c r="E12" s="55"/>
      <c r="F12" s="55"/>
      <c r="G12" s="55"/>
      <c r="H12" s="55"/>
      <c r="I12" s="55"/>
      <c r="J12" s="55"/>
      <c r="K12" s="55"/>
      <c r="L12" s="56"/>
      <c r="O12" s="680">
        <f t="shared" ca="1" si="2"/>
        <v>2031</v>
      </c>
      <c r="P12" s="692">
        <f t="shared" ca="1" si="0"/>
        <v>0</v>
      </c>
      <c r="Q12" s="692">
        <f t="shared" ca="1" si="1"/>
        <v>0</v>
      </c>
    </row>
    <row r="13" spans="2:18">
      <c r="D13" s="57"/>
      <c r="E13" s="1095" t="s">
        <v>1909</v>
      </c>
      <c r="F13" s="1095"/>
      <c r="G13" s="690">
        <f>'Param treso'!H16</f>
        <v>0</v>
      </c>
      <c r="H13" s="58"/>
      <c r="I13" s="748" t="s">
        <v>79</v>
      </c>
      <c r="J13" s="748"/>
      <c r="K13" s="59">
        <f>-PMT(G15/12,G16,G13)</f>
        <v>0</v>
      </c>
      <c r="L13" s="60"/>
      <c r="O13" s="680">
        <f t="shared" ca="1" si="2"/>
        <v>2032</v>
      </c>
      <c r="P13" s="692">
        <f t="shared" ca="1" si="0"/>
        <v>0</v>
      </c>
      <c r="Q13" s="692">
        <f t="shared" ca="1" si="1"/>
        <v>0</v>
      </c>
    </row>
    <row r="14" spans="2:18" ht="6.75" customHeight="1">
      <c r="D14" s="57"/>
      <c r="E14" s="223"/>
      <c r="F14" s="223"/>
      <c r="G14" s="685"/>
      <c r="H14" s="58"/>
      <c r="I14" s="685"/>
      <c r="J14" s="685"/>
      <c r="K14" s="685"/>
      <c r="L14" s="60"/>
      <c r="O14" s="680">
        <f t="shared" ca="1" si="2"/>
        <v>2033</v>
      </c>
      <c r="P14" s="692">
        <f t="shared" ca="1" si="0"/>
        <v>0</v>
      </c>
      <c r="Q14" s="692">
        <f t="shared" ca="1" si="1"/>
        <v>0</v>
      </c>
    </row>
    <row r="15" spans="2:18">
      <c r="D15" s="57"/>
      <c r="E15" s="686" t="s">
        <v>78</v>
      </c>
      <c r="F15" s="687"/>
      <c r="G15" s="415">
        <v>3.95E-2</v>
      </c>
      <c r="H15" s="58"/>
      <c r="I15" s="58"/>
      <c r="J15" s="58"/>
      <c r="K15" s="58"/>
      <c r="L15" s="60"/>
      <c r="O15" s="680">
        <f t="shared" ca="1" si="2"/>
        <v>2034</v>
      </c>
      <c r="P15" s="692">
        <f t="shared" ca="1" si="0"/>
        <v>0</v>
      </c>
      <c r="Q15" s="692">
        <f t="shared" ca="1" si="1"/>
        <v>0</v>
      </c>
    </row>
    <row r="16" spans="2:18">
      <c r="D16" s="57"/>
      <c r="E16" s="688" t="s">
        <v>1900</v>
      </c>
      <c r="F16" s="689"/>
      <c r="G16" s="668">
        <v>240</v>
      </c>
      <c r="H16" s="58"/>
      <c r="I16" s="1097" t="s">
        <v>81</v>
      </c>
      <c r="J16" s="1097"/>
      <c r="K16" s="675"/>
      <c r="L16" s="60"/>
      <c r="O16" s="680">
        <f t="shared" ca="1" si="2"/>
        <v>2035</v>
      </c>
      <c r="P16" s="692">
        <f t="shared" ca="1" si="0"/>
        <v>0</v>
      </c>
      <c r="Q16" s="692">
        <f t="shared" ca="1" si="1"/>
        <v>0</v>
      </c>
    </row>
    <row r="17" spans="4:17">
      <c r="D17" s="57"/>
      <c r="E17" s="1096" t="s">
        <v>1890</v>
      </c>
      <c r="F17" s="1096"/>
      <c r="G17" s="712">
        <v>1</v>
      </c>
      <c r="H17" s="58"/>
      <c r="I17" s="751" t="s">
        <v>197</v>
      </c>
      <c r="J17" s="751"/>
      <c r="K17" s="684">
        <f>K13*12</f>
        <v>0</v>
      </c>
      <c r="L17" s="60"/>
      <c r="O17" s="680">
        <f t="shared" ca="1" si="2"/>
        <v>2036</v>
      </c>
      <c r="P17" s="692">
        <f t="shared" ca="1" si="0"/>
        <v>0</v>
      </c>
      <c r="Q17" s="692">
        <f t="shared" ca="1" si="1"/>
        <v>0</v>
      </c>
    </row>
    <row r="18" spans="4:17" ht="6.75" customHeight="1">
      <c r="D18" s="57"/>
      <c r="E18" s="667"/>
      <c r="F18" s="667"/>
      <c r="G18" s="667"/>
      <c r="H18" s="58"/>
      <c r="I18" s="667"/>
      <c r="J18" s="667"/>
      <c r="K18" s="667"/>
      <c r="L18" s="60"/>
      <c r="O18" s="680">
        <f t="shared" ca="1" si="2"/>
        <v>2037</v>
      </c>
      <c r="P18" s="692">
        <f t="shared" ca="1" si="0"/>
        <v>0</v>
      </c>
      <c r="Q18" s="692">
        <f t="shared" ca="1" si="1"/>
        <v>0</v>
      </c>
    </row>
    <row r="19" spans="4:17">
      <c r="D19" s="57"/>
      <c r="E19" s="642" t="s">
        <v>196</v>
      </c>
      <c r="F19" s="643"/>
      <c r="G19" s="691">
        <f ca="1">DATE(YEAR(TODAY())+1,1,1)</f>
        <v>46388</v>
      </c>
      <c r="H19" s="58"/>
      <c r="I19" s="753" t="s">
        <v>198</v>
      </c>
      <c r="J19" s="753"/>
      <c r="K19" s="229">
        <f>SUM(G23:G383)</f>
        <v>0</v>
      </c>
      <c r="L19" s="60"/>
      <c r="O19" s="680">
        <f t="shared" ca="1" si="2"/>
        <v>2038</v>
      </c>
      <c r="P19" s="692">
        <f t="shared" ca="1" si="0"/>
        <v>0</v>
      </c>
      <c r="Q19" s="692">
        <f t="shared" ca="1" si="1"/>
        <v>0</v>
      </c>
    </row>
    <row r="20" spans="4:17" ht="15" thickBot="1">
      <c r="D20" s="61"/>
      <c r="E20" s="222"/>
      <c r="F20" s="62"/>
      <c r="G20" s="62"/>
      <c r="H20" s="62"/>
      <c r="I20" s="1098" t="s">
        <v>193</v>
      </c>
      <c r="J20" s="1098"/>
      <c r="K20" s="676">
        <f ca="1">SUM(K23:K383)</f>
        <v>0</v>
      </c>
      <c r="L20" s="63"/>
      <c r="O20" s="680">
        <f t="shared" ca="1" si="2"/>
        <v>2039</v>
      </c>
      <c r="P20" s="692">
        <f t="shared" ca="1" si="0"/>
        <v>0</v>
      </c>
      <c r="Q20" s="692">
        <f t="shared" ca="1" si="1"/>
        <v>0</v>
      </c>
    </row>
    <row r="21" spans="4:17">
      <c r="O21" s="680">
        <f t="shared" ca="1" si="2"/>
        <v>2040</v>
      </c>
      <c r="P21" s="692">
        <f t="shared" ca="1" si="0"/>
        <v>0</v>
      </c>
      <c r="Q21" s="692">
        <f t="shared" ca="1" si="1"/>
        <v>0</v>
      </c>
    </row>
    <row r="22" spans="4:17">
      <c r="D22" s="64"/>
      <c r="E22" s="231" t="s">
        <v>82</v>
      </c>
      <c r="F22" s="231" t="s">
        <v>194</v>
      </c>
      <c r="G22" s="231" t="s">
        <v>83</v>
      </c>
      <c r="H22" s="231" t="s">
        <v>84</v>
      </c>
      <c r="I22" s="752" t="s">
        <v>85</v>
      </c>
      <c r="J22" s="752"/>
      <c r="K22" s="677" t="s">
        <v>1901</v>
      </c>
      <c r="L22" s="677" t="s">
        <v>1903</v>
      </c>
      <c r="M22" s="293" t="s">
        <v>1904</v>
      </c>
      <c r="O22" s="680">
        <f t="shared" ca="1" si="2"/>
        <v>2041</v>
      </c>
      <c r="P22" s="692">
        <f t="shared" ca="1" si="0"/>
        <v>0</v>
      </c>
      <c r="Q22" s="692">
        <f t="shared" ca="1" si="1"/>
        <v>0</v>
      </c>
    </row>
    <row r="23" spans="4:17">
      <c r="D23" s="697">
        <f ca="1">IF(E23="","",MONTH(E23))</f>
        <v>1</v>
      </c>
      <c r="E23" s="226">
        <f ca="1">IF(F23&lt;&gt;0,G19,0)</f>
        <v>46388</v>
      </c>
      <c r="F23" s="35">
        <f>IF(G16&gt;=1,1,"")</f>
        <v>1</v>
      </c>
      <c r="G23" s="36">
        <f t="shared" ref="G23:G86" si="3">IFERROR(IF(F23&lt;&gt;"",-IPMT($G$15/12,F23,$G$16,$G$13),""),0)</f>
        <v>0</v>
      </c>
      <c r="H23" s="36">
        <f t="shared" ref="H23:H86" si="4">IFERROR(IF(F23&lt;&gt;"",-PPMT($G$15/12,F23,$G$16,$G$13),""),0)</f>
        <v>0</v>
      </c>
      <c r="I23" s="747">
        <f>IF(F23&lt;&gt;"",G13-H23,"")</f>
        <v>0</v>
      </c>
      <c r="J23" s="747"/>
      <c r="K23" s="678" t="str">
        <f ca="1">IF(D23=12,G23+G22+G21+G20+G19+G18+G17+G16+G15+G14+G13+G12,"")</f>
        <v/>
      </c>
      <c r="L23" s="697" t="str">
        <f ca="1">IF(D23=12,YEAR(E23),"")</f>
        <v/>
      </c>
      <c r="M23" s="678" t="str">
        <f ca="1">IF(D23=12,H23+H22+H21+H20+H19+H18+H17+H16+H15+H14+H13+H12,"")</f>
        <v/>
      </c>
      <c r="O23" s="680">
        <f t="shared" ca="1" si="2"/>
        <v>2042</v>
      </c>
      <c r="P23" s="692">
        <f t="shared" ca="1" si="0"/>
        <v>0</v>
      </c>
      <c r="Q23" s="692">
        <f t="shared" ca="1" si="1"/>
        <v>0</v>
      </c>
    </row>
    <row r="24" spans="4:17">
      <c r="D24" s="697">
        <f t="shared" ref="D24:D87" ca="1" si="5">IF(E24="","",MONTH(E24))</f>
        <v>2</v>
      </c>
      <c r="E24" s="226">
        <f ca="1">IFERROR(IF($G$16&lt;=F23,"",DATE(YEAR(E23),MONTH(E23)+1,DAY(E23))),"")</f>
        <v>46419</v>
      </c>
      <c r="F24" s="35">
        <f>IF(OR(F23="",F23=$G$16),"",IF(F23&lt;$G$16,F23+1,0))</f>
        <v>2</v>
      </c>
      <c r="G24" s="36">
        <f t="shared" si="3"/>
        <v>0</v>
      </c>
      <c r="H24" s="36">
        <f t="shared" si="4"/>
        <v>0</v>
      </c>
      <c r="I24" s="747">
        <f>IF(F24&lt;&gt;"",I23-H24,"")</f>
        <v>0</v>
      </c>
      <c r="J24" s="747"/>
      <c r="K24" s="678" t="str">
        <f t="shared" ref="K24:K87" ca="1" si="6">IF(D24=12,G24+G23+G22+G21+G20+G19+G18+G17+G16+G15+G14+G13,"")</f>
        <v/>
      </c>
      <c r="L24" s="697" t="str">
        <f t="shared" ref="L24:L87" ca="1" si="7">IF(D24=12,YEAR(E24),"")</f>
        <v/>
      </c>
      <c r="M24" s="678" t="str">
        <f t="shared" ref="M24:M87" ca="1" si="8">IF(D24=12,H24+H23+H22+H21+H20+H19+H18+H17+H16+H15+H14+H13,"")</f>
        <v/>
      </c>
      <c r="O24" s="680">
        <f t="shared" ca="1" si="2"/>
        <v>2043</v>
      </c>
      <c r="P24" s="692">
        <f t="shared" ca="1" si="0"/>
        <v>0</v>
      </c>
      <c r="Q24" s="692">
        <f t="shared" ca="1" si="1"/>
        <v>0</v>
      </c>
    </row>
    <row r="25" spans="4:17">
      <c r="D25" s="697">
        <f t="shared" ca="1" si="5"/>
        <v>3</v>
      </c>
      <c r="E25" s="226">
        <f t="shared" ref="E25:E88" ca="1" si="9">IFERROR(IF($G$16&lt;=F24,"",DATE(YEAR(E24),MONTH(E24)+1,DAY(E24))),"")</f>
        <v>46447</v>
      </c>
      <c r="F25" s="35">
        <f t="shared" ref="F25:F88" si="10">IF(OR(F24="",F24=$G$16),"",IF(F24&lt;$G$16,F24+1,0))</f>
        <v>3</v>
      </c>
      <c r="G25" s="36">
        <f t="shared" si="3"/>
        <v>0</v>
      </c>
      <c r="H25" s="36">
        <f t="shared" si="4"/>
        <v>0</v>
      </c>
      <c r="I25" s="747">
        <f t="shared" ref="I25:I88" si="11">IF(F25&lt;&gt;"",I24-H25,"")</f>
        <v>0</v>
      </c>
      <c r="J25" s="747"/>
      <c r="K25" s="678" t="str">
        <f t="shared" ca="1" si="6"/>
        <v/>
      </c>
      <c r="L25" s="697" t="str">
        <f t="shared" ca="1" si="7"/>
        <v/>
      </c>
      <c r="M25" s="678" t="str">
        <f t="shared" ca="1" si="8"/>
        <v/>
      </c>
      <c r="O25" s="680">
        <f t="shared" ca="1" si="2"/>
        <v>2044</v>
      </c>
      <c r="P25" s="692">
        <f t="shared" ca="1" si="0"/>
        <v>0</v>
      </c>
      <c r="Q25" s="692">
        <f t="shared" ca="1" si="1"/>
        <v>0</v>
      </c>
    </row>
    <row r="26" spans="4:17">
      <c r="D26" s="697">
        <f t="shared" ca="1" si="5"/>
        <v>4</v>
      </c>
      <c r="E26" s="226">
        <f t="shared" ca="1" si="9"/>
        <v>46478</v>
      </c>
      <c r="F26" s="35">
        <f t="shared" si="10"/>
        <v>4</v>
      </c>
      <c r="G26" s="36">
        <f t="shared" si="3"/>
        <v>0</v>
      </c>
      <c r="H26" s="36">
        <f t="shared" si="4"/>
        <v>0</v>
      </c>
      <c r="I26" s="747">
        <f t="shared" si="11"/>
        <v>0</v>
      </c>
      <c r="J26" s="747"/>
      <c r="K26" s="678" t="str">
        <f t="shared" ca="1" si="6"/>
        <v/>
      </c>
      <c r="L26" s="697" t="str">
        <f t="shared" ca="1" si="7"/>
        <v/>
      </c>
      <c r="M26" s="678" t="str">
        <f t="shared" ca="1" si="8"/>
        <v/>
      </c>
      <c r="O26" s="680">
        <f t="shared" ca="1" si="2"/>
        <v>2045</v>
      </c>
      <c r="P26" s="692">
        <f t="shared" ca="1" si="0"/>
        <v>0</v>
      </c>
      <c r="Q26" s="692">
        <f t="shared" ca="1" si="1"/>
        <v>0</v>
      </c>
    </row>
    <row r="27" spans="4:17">
      <c r="D27" s="697">
        <f t="shared" ca="1" si="5"/>
        <v>5</v>
      </c>
      <c r="E27" s="226">
        <f t="shared" ca="1" si="9"/>
        <v>46508</v>
      </c>
      <c r="F27" s="35">
        <f t="shared" si="10"/>
        <v>5</v>
      </c>
      <c r="G27" s="36">
        <f t="shared" si="3"/>
        <v>0</v>
      </c>
      <c r="H27" s="36">
        <f t="shared" si="4"/>
        <v>0</v>
      </c>
      <c r="I27" s="747">
        <f t="shared" si="11"/>
        <v>0</v>
      </c>
      <c r="J27" s="747"/>
      <c r="K27" s="678" t="str">
        <f t="shared" ca="1" si="6"/>
        <v/>
      </c>
      <c r="L27" s="697" t="str">
        <f t="shared" ca="1" si="7"/>
        <v/>
      </c>
      <c r="M27" s="678" t="str">
        <f t="shared" ca="1" si="8"/>
        <v/>
      </c>
      <c r="O27" s="680">
        <f t="shared" ca="1" si="2"/>
        <v>2046</v>
      </c>
      <c r="P27" s="692">
        <f t="shared" ca="1" si="0"/>
        <v>0</v>
      </c>
      <c r="Q27" s="692">
        <f t="shared" ca="1" si="1"/>
        <v>0</v>
      </c>
    </row>
    <row r="28" spans="4:17">
      <c r="D28" s="697">
        <f t="shared" ca="1" si="5"/>
        <v>6</v>
      </c>
      <c r="E28" s="226">
        <f t="shared" ca="1" si="9"/>
        <v>46539</v>
      </c>
      <c r="F28" s="35">
        <f t="shared" si="10"/>
        <v>6</v>
      </c>
      <c r="G28" s="36">
        <f t="shared" si="3"/>
        <v>0</v>
      </c>
      <c r="H28" s="36">
        <f t="shared" si="4"/>
        <v>0</v>
      </c>
      <c r="I28" s="747">
        <f t="shared" si="11"/>
        <v>0</v>
      </c>
      <c r="J28" s="747"/>
      <c r="K28" s="678" t="str">
        <f t="shared" ca="1" si="6"/>
        <v/>
      </c>
      <c r="L28" s="697" t="str">
        <f t="shared" ca="1" si="7"/>
        <v/>
      </c>
      <c r="M28" s="678" t="str">
        <f t="shared" ca="1" si="8"/>
        <v/>
      </c>
      <c r="O28" s="680" t="str">
        <f t="shared" ca="1" si="2"/>
        <v/>
      </c>
      <c r="P28" s="692" t="str">
        <f t="shared" ca="1" si="0"/>
        <v/>
      </c>
      <c r="Q28" s="692" t="str">
        <f t="shared" ca="1" si="1"/>
        <v/>
      </c>
    </row>
    <row r="29" spans="4:17">
      <c r="D29" s="697">
        <f t="shared" ca="1" si="5"/>
        <v>7</v>
      </c>
      <c r="E29" s="226">
        <f t="shared" ca="1" si="9"/>
        <v>46569</v>
      </c>
      <c r="F29" s="35">
        <f t="shared" si="10"/>
        <v>7</v>
      </c>
      <c r="G29" s="36">
        <f t="shared" si="3"/>
        <v>0</v>
      </c>
      <c r="H29" s="36">
        <f t="shared" si="4"/>
        <v>0</v>
      </c>
      <c r="I29" s="747">
        <f t="shared" si="11"/>
        <v>0</v>
      </c>
      <c r="J29" s="747"/>
      <c r="K29" s="678" t="str">
        <f t="shared" ca="1" si="6"/>
        <v/>
      </c>
      <c r="L29" s="697" t="str">
        <f t="shared" ca="1" si="7"/>
        <v/>
      </c>
      <c r="M29" s="678" t="str">
        <f t="shared" ca="1" si="8"/>
        <v/>
      </c>
      <c r="O29" s="680" t="str">
        <f t="shared" ca="1" si="2"/>
        <v/>
      </c>
      <c r="P29" s="692" t="str">
        <f t="shared" ca="1" si="0"/>
        <v/>
      </c>
      <c r="Q29" s="692" t="str">
        <f t="shared" ca="1" si="1"/>
        <v/>
      </c>
    </row>
    <row r="30" spans="4:17">
      <c r="D30" s="697">
        <f t="shared" ca="1" si="5"/>
        <v>8</v>
      </c>
      <c r="E30" s="226">
        <f t="shared" ca="1" si="9"/>
        <v>46600</v>
      </c>
      <c r="F30" s="35">
        <f t="shared" si="10"/>
        <v>8</v>
      </c>
      <c r="G30" s="36">
        <f t="shared" si="3"/>
        <v>0</v>
      </c>
      <c r="H30" s="36">
        <f t="shared" si="4"/>
        <v>0</v>
      </c>
      <c r="I30" s="747">
        <f t="shared" si="11"/>
        <v>0</v>
      </c>
      <c r="J30" s="747"/>
      <c r="K30" s="678" t="str">
        <f t="shared" ca="1" si="6"/>
        <v/>
      </c>
      <c r="L30" s="697" t="str">
        <f t="shared" ca="1" si="7"/>
        <v/>
      </c>
      <c r="M30" s="678" t="str">
        <f t="shared" ca="1" si="8"/>
        <v/>
      </c>
      <c r="O30" s="680" t="str">
        <f t="shared" ca="1" si="2"/>
        <v/>
      </c>
      <c r="P30" s="692" t="str">
        <f t="shared" ca="1" si="0"/>
        <v/>
      </c>
      <c r="Q30" s="692" t="str">
        <f t="shared" ca="1" si="1"/>
        <v/>
      </c>
    </row>
    <row r="31" spans="4:17">
      <c r="D31" s="697">
        <f t="shared" ca="1" si="5"/>
        <v>9</v>
      </c>
      <c r="E31" s="226">
        <f t="shared" ca="1" si="9"/>
        <v>46631</v>
      </c>
      <c r="F31" s="35">
        <f t="shared" si="10"/>
        <v>9</v>
      </c>
      <c r="G31" s="36">
        <f t="shared" si="3"/>
        <v>0</v>
      </c>
      <c r="H31" s="36">
        <f t="shared" si="4"/>
        <v>0</v>
      </c>
      <c r="I31" s="747">
        <f t="shared" si="11"/>
        <v>0</v>
      </c>
      <c r="J31" s="747"/>
      <c r="K31" s="678" t="str">
        <f t="shared" ca="1" si="6"/>
        <v/>
      </c>
      <c r="L31" s="697" t="str">
        <f t="shared" ca="1" si="7"/>
        <v/>
      </c>
      <c r="M31" s="678" t="str">
        <f t="shared" ca="1" si="8"/>
        <v/>
      </c>
      <c r="O31" s="680" t="str">
        <f t="shared" ca="1" si="2"/>
        <v/>
      </c>
      <c r="P31" s="692" t="str">
        <f t="shared" ca="1" si="0"/>
        <v/>
      </c>
      <c r="Q31" s="692" t="str">
        <f t="shared" ca="1" si="1"/>
        <v/>
      </c>
    </row>
    <row r="32" spans="4:17">
      <c r="D32" s="697">
        <f t="shared" ca="1" si="5"/>
        <v>10</v>
      </c>
      <c r="E32" s="226">
        <f t="shared" ca="1" si="9"/>
        <v>46661</v>
      </c>
      <c r="F32" s="35">
        <f t="shared" si="10"/>
        <v>10</v>
      </c>
      <c r="G32" s="36">
        <f t="shared" si="3"/>
        <v>0</v>
      </c>
      <c r="H32" s="36">
        <f t="shared" si="4"/>
        <v>0</v>
      </c>
      <c r="I32" s="747">
        <f t="shared" si="11"/>
        <v>0</v>
      </c>
      <c r="J32" s="747"/>
      <c r="K32" s="678" t="str">
        <f t="shared" ca="1" si="6"/>
        <v/>
      </c>
      <c r="L32" s="697" t="str">
        <f t="shared" ca="1" si="7"/>
        <v/>
      </c>
      <c r="M32" s="678" t="str">
        <f t="shared" ca="1" si="8"/>
        <v/>
      </c>
      <c r="O32" s="680" t="str">
        <f t="shared" ca="1" si="2"/>
        <v/>
      </c>
      <c r="P32" s="692" t="str">
        <f t="shared" ca="1" si="0"/>
        <v/>
      </c>
      <c r="Q32" s="692" t="str">
        <f t="shared" ca="1" si="1"/>
        <v/>
      </c>
    </row>
    <row r="33" spans="4:17">
      <c r="D33" s="697">
        <f t="shared" ca="1" si="5"/>
        <v>11</v>
      </c>
      <c r="E33" s="226">
        <f t="shared" ca="1" si="9"/>
        <v>46692</v>
      </c>
      <c r="F33" s="35">
        <f t="shared" si="10"/>
        <v>11</v>
      </c>
      <c r="G33" s="36">
        <f t="shared" si="3"/>
        <v>0</v>
      </c>
      <c r="H33" s="36">
        <f t="shared" si="4"/>
        <v>0</v>
      </c>
      <c r="I33" s="747">
        <f t="shared" si="11"/>
        <v>0</v>
      </c>
      <c r="J33" s="747"/>
      <c r="K33" s="678" t="str">
        <f t="shared" ca="1" si="6"/>
        <v/>
      </c>
      <c r="L33" s="697" t="str">
        <f t="shared" ca="1" si="7"/>
        <v/>
      </c>
      <c r="M33" s="678" t="str">
        <f t="shared" ca="1" si="8"/>
        <v/>
      </c>
      <c r="O33" s="680" t="str">
        <f t="shared" ca="1" si="2"/>
        <v/>
      </c>
      <c r="P33" s="692" t="str">
        <f t="shared" ca="1" si="0"/>
        <v/>
      </c>
      <c r="Q33" s="692" t="str">
        <f t="shared" ca="1" si="1"/>
        <v/>
      </c>
    </row>
    <row r="34" spans="4:17">
      <c r="D34" s="697">
        <f t="shared" ca="1" si="5"/>
        <v>12</v>
      </c>
      <c r="E34" s="226">
        <f t="shared" ca="1" si="9"/>
        <v>46722</v>
      </c>
      <c r="F34" s="35">
        <f t="shared" si="10"/>
        <v>12</v>
      </c>
      <c r="G34" s="36">
        <f t="shared" si="3"/>
        <v>0</v>
      </c>
      <c r="H34" s="36">
        <f t="shared" si="4"/>
        <v>0</v>
      </c>
      <c r="I34" s="747">
        <f t="shared" si="11"/>
        <v>0</v>
      </c>
      <c r="J34" s="747"/>
      <c r="K34" s="678">
        <f t="shared" ca="1" si="6"/>
        <v>0</v>
      </c>
      <c r="L34" s="697">
        <f t="shared" ca="1" si="7"/>
        <v>2027</v>
      </c>
      <c r="M34" s="678">
        <f t="shared" ca="1" si="8"/>
        <v>0</v>
      </c>
      <c r="O34" s="680" t="str">
        <f t="shared" ca="1" si="2"/>
        <v/>
      </c>
      <c r="P34" s="692" t="str">
        <f t="shared" ca="1" si="0"/>
        <v/>
      </c>
      <c r="Q34" s="692" t="str">
        <f t="shared" ca="1" si="1"/>
        <v/>
      </c>
    </row>
    <row r="35" spans="4:17">
      <c r="D35" s="697">
        <f t="shared" ca="1" si="5"/>
        <v>1</v>
      </c>
      <c r="E35" s="226">
        <f t="shared" ca="1" si="9"/>
        <v>46753</v>
      </c>
      <c r="F35" s="35">
        <f t="shared" si="10"/>
        <v>13</v>
      </c>
      <c r="G35" s="36">
        <f t="shared" si="3"/>
        <v>0</v>
      </c>
      <c r="H35" s="36">
        <f t="shared" si="4"/>
        <v>0</v>
      </c>
      <c r="I35" s="747">
        <f t="shared" si="11"/>
        <v>0</v>
      </c>
      <c r="J35" s="747"/>
      <c r="K35" s="678" t="str">
        <f t="shared" ca="1" si="6"/>
        <v/>
      </c>
      <c r="L35" s="697" t="str">
        <f t="shared" ca="1" si="7"/>
        <v/>
      </c>
      <c r="M35" s="678" t="str">
        <f t="shared" ca="1" si="8"/>
        <v/>
      </c>
      <c r="O35" s="680" t="str">
        <f t="shared" ca="1" si="2"/>
        <v/>
      </c>
      <c r="P35" s="692" t="str">
        <f t="shared" ca="1" si="0"/>
        <v/>
      </c>
      <c r="Q35" s="692" t="str">
        <f t="shared" ca="1" si="1"/>
        <v/>
      </c>
    </row>
    <row r="36" spans="4:17">
      <c r="D36" s="697">
        <f t="shared" ca="1" si="5"/>
        <v>2</v>
      </c>
      <c r="E36" s="226">
        <f t="shared" ca="1" si="9"/>
        <v>46784</v>
      </c>
      <c r="F36" s="35">
        <f t="shared" si="10"/>
        <v>14</v>
      </c>
      <c r="G36" s="36">
        <f t="shared" si="3"/>
        <v>0</v>
      </c>
      <c r="H36" s="36">
        <f t="shared" si="4"/>
        <v>0</v>
      </c>
      <c r="I36" s="747">
        <f t="shared" si="11"/>
        <v>0</v>
      </c>
      <c r="J36" s="747"/>
      <c r="K36" s="678" t="str">
        <f t="shared" ca="1" si="6"/>
        <v/>
      </c>
      <c r="L36" s="697" t="str">
        <f t="shared" ca="1" si="7"/>
        <v/>
      </c>
      <c r="M36" s="678" t="str">
        <f t="shared" ca="1" si="8"/>
        <v/>
      </c>
      <c r="O36" s="680" t="str">
        <f t="shared" ca="1" si="2"/>
        <v/>
      </c>
      <c r="P36" s="692" t="str">
        <f t="shared" ca="1" si="0"/>
        <v/>
      </c>
      <c r="Q36" s="692" t="str">
        <f t="shared" ca="1" si="1"/>
        <v/>
      </c>
    </row>
    <row r="37" spans="4:17">
      <c r="D37" s="697">
        <f t="shared" ca="1" si="5"/>
        <v>3</v>
      </c>
      <c r="E37" s="226">
        <f t="shared" ca="1" si="9"/>
        <v>46813</v>
      </c>
      <c r="F37" s="35">
        <f t="shared" si="10"/>
        <v>15</v>
      </c>
      <c r="G37" s="36">
        <f t="shared" si="3"/>
        <v>0</v>
      </c>
      <c r="H37" s="36">
        <f t="shared" si="4"/>
        <v>0</v>
      </c>
      <c r="I37" s="747">
        <f t="shared" si="11"/>
        <v>0</v>
      </c>
      <c r="J37" s="747"/>
      <c r="K37" s="678" t="str">
        <f t="shared" ca="1" si="6"/>
        <v/>
      </c>
      <c r="L37" s="697" t="str">
        <f t="shared" ca="1" si="7"/>
        <v/>
      </c>
      <c r="M37" s="678" t="str">
        <f t="shared" ca="1" si="8"/>
        <v/>
      </c>
      <c r="O37" s="680" t="str">
        <f t="shared" ca="1" si="2"/>
        <v/>
      </c>
      <c r="P37" s="692" t="str">
        <f t="shared" ca="1" si="0"/>
        <v/>
      </c>
      <c r="Q37" s="692" t="str">
        <f t="shared" ca="1" si="1"/>
        <v/>
      </c>
    </row>
    <row r="38" spans="4:17">
      <c r="D38" s="697">
        <f t="shared" ca="1" si="5"/>
        <v>4</v>
      </c>
      <c r="E38" s="226">
        <f t="shared" ca="1" si="9"/>
        <v>46844</v>
      </c>
      <c r="F38" s="35">
        <f t="shared" si="10"/>
        <v>16</v>
      </c>
      <c r="G38" s="36">
        <f t="shared" si="3"/>
        <v>0</v>
      </c>
      <c r="H38" s="36">
        <f t="shared" si="4"/>
        <v>0</v>
      </c>
      <c r="I38" s="747">
        <f t="shared" si="11"/>
        <v>0</v>
      </c>
      <c r="J38" s="747"/>
      <c r="K38" s="678" t="str">
        <f t="shared" ca="1" si="6"/>
        <v/>
      </c>
      <c r="L38" s="697" t="str">
        <f t="shared" ca="1" si="7"/>
        <v/>
      </c>
      <c r="M38" s="678" t="str">
        <f t="shared" ca="1" si="8"/>
        <v/>
      </c>
      <c r="O38" s="680" t="str">
        <f t="shared" ca="1" si="2"/>
        <v/>
      </c>
      <c r="P38" s="692" t="str">
        <f t="shared" ca="1" si="0"/>
        <v/>
      </c>
      <c r="Q38" s="692" t="str">
        <f t="shared" ca="1" si="1"/>
        <v/>
      </c>
    </row>
    <row r="39" spans="4:17">
      <c r="D39" s="697">
        <f t="shared" ca="1" si="5"/>
        <v>5</v>
      </c>
      <c r="E39" s="226">
        <f t="shared" ca="1" si="9"/>
        <v>46874</v>
      </c>
      <c r="F39" s="35">
        <f t="shared" si="10"/>
        <v>17</v>
      </c>
      <c r="G39" s="36">
        <f t="shared" si="3"/>
        <v>0</v>
      </c>
      <c r="H39" s="36">
        <f t="shared" si="4"/>
        <v>0</v>
      </c>
      <c r="I39" s="747">
        <f t="shared" si="11"/>
        <v>0</v>
      </c>
      <c r="J39" s="747"/>
      <c r="K39" s="678" t="str">
        <f t="shared" ca="1" si="6"/>
        <v/>
      </c>
      <c r="L39" s="697" t="str">
        <f t="shared" ca="1" si="7"/>
        <v/>
      </c>
      <c r="M39" s="678" t="str">
        <f t="shared" ca="1" si="8"/>
        <v/>
      </c>
      <c r="O39" s="680" t="str">
        <f t="shared" ca="1" si="2"/>
        <v/>
      </c>
      <c r="P39" s="692" t="str">
        <f t="shared" ca="1" si="0"/>
        <v/>
      </c>
      <c r="Q39" s="692" t="str">
        <f t="shared" ca="1" si="1"/>
        <v/>
      </c>
    </row>
    <row r="40" spans="4:17">
      <c r="D40" s="697">
        <f t="shared" ca="1" si="5"/>
        <v>6</v>
      </c>
      <c r="E40" s="226">
        <f t="shared" ca="1" si="9"/>
        <v>46905</v>
      </c>
      <c r="F40" s="35">
        <f t="shared" si="10"/>
        <v>18</v>
      </c>
      <c r="G40" s="36">
        <f t="shared" si="3"/>
        <v>0</v>
      </c>
      <c r="H40" s="36">
        <f t="shared" si="4"/>
        <v>0</v>
      </c>
      <c r="I40" s="747">
        <f t="shared" si="11"/>
        <v>0</v>
      </c>
      <c r="J40" s="747"/>
      <c r="K40" s="678" t="str">
        <f t="shared" ca="1" si="6"/>
        <v/>
      </c>
      <c r="L40" s="697" t="str">
        <f t="shared" ca="1" si="7"/>
        <v/>
      </c>
      <c r="M40" s="678" t="str">
        <f t="shared" ca="1" si="8"/>
        <v/>
      </c>
      <c r="O40" s="680" t="str">
        <f t="shared" ca="1" si="2"/>
        <v/>
      </c>
      <c r="P40" s="692" t="str">
        <f t="shared" ca="1" si="0"/>
        <v/>
      </c>
      <c r="Q40" s="692" t="str">
        <f t="shared" ca="1" si="1"/>
        <v/>
      </c>
    </row>
    <row r="41" spans="4:17">
      <c r="D41" s="697">
        <f t="shared" ca="1" si="5"/>
        <v>7</v>
      </c>
      <c r="E41" s="226">
        <f t="shared" ca="1" si="9"/>
        <v>46935</v>
      </c>
      <c r="F41" s="35">
        <f t="shared" si="10"/>
        <v>19</v>
      </c>
      <c r="G41" s="36">
        <f t="shared" si="3"/>
        <v>0</v>
      </c>
      <c r="H41" s="36">
        <f t="shared" si="4"/>
        <v>0</v>
      </c>
      <c r="I41" s="747">
        <f t="shared" si="11"/>
        <v>0</v>
      </c>
      <c r="J41" s="747"/>
      <c r="K41" s="678" t="str">
        <f t="shared" ca="1" si="6"/>
        <v/>
      </c>
      <c r="L41" s="697" t="str">
        <f t="shared" ca="1" si="7"/>
        <v/>
      </c>
      <c r="M41" s="678" t="str">
        <f t="shared" ca="1" si="8"/>
        <v/>
      </c>
      <c r="O41" s="680" t="str">
        <f t="shared" ca="1" si="2"/>
        <v/>
      </c>
      <c r="P41" s="692" t="str">
        <f t="shared" ca="1" si="0"/>
        <v/>
      </c>
      <c r="Q41" s="692" t="str">
        <f t="shared" ca="1" si="1"/>
        <v/>
      </c>
    </row>
    <row r="42" spans="4:17">
      <c r="D42" s="697">
        <f t="shared" ca="1" si="5"/>
        <v>8</v>
      </c>
      <c r="E42" s="226">
        <f t="shared" ca="1" si="9"/>
        <v>46966</v>
      </c>
      <c r="F42" s="35">
        <f t="shared" si="10"/>
        <v>20</v>
      </c>
      <c r="G42" s="36">
        <f t="shared" si="3"/>
        <v>0</v>
      </c>
      <c r="H42" s="36">
        <f t="shared" si="4"/>
        <v>0</v>
      </c>
      <c r="I42" s="747">
        <f t="shared" si="11"/>
        <v>0</v>
      </c>
      <c r="J42" s="747"/>
      <c r="K42" s="678" t="str">
        <f t="shared" ca="1" si="6"/>
        <v/>
      </c>
      <c r="L42" s="697" t="str">
        <f t="shared" ca="1" si="7"/>
        <v/>
      </c>
      <c r="M42" s="678" t="str">
        <f t="shared" ca="1" si="8"/>
        <v/>
      </c>
      <c r="O42" s="680" t="str">
        <f t="shared" ca="1" si="2"/>
        <v/>
      </c>
      <c r="P42" s="692" t="str">
        <f t="shared" ca="1" si="0"/>
        <v/>
      </c>
      <c r="Q42" s="692" t="str">
        <f t="shared" ca="1" si="1"/>
        <v/>
      </c>
    </row>
    <row r="43" spans="4:17">
      <c r="D43" s="697">
        <f t="shared" ca="1" si="5"/>
        <v>9</v>
      </c>
      <c r="E43" s="226">
        <f t="shared" ca="1" si="9"/>
        <v>46997</v>
      </c>
      <c r="F43" s="35">
        <f t="shared" si="10"/>
        <v>21</v>
      </c>
      <c r="G43" s="36">
        <f t="shared" si="3"/>
        <v>0</v>
      </c>
      <c r="H43" s="36">
        <f t="shared" si="4"/>
        <v>0</v>
      </c>
      <c r="I43" s="747">
        <f t="shared" si="11"/>
        <v>0</v>
      </c>
      <c r="J43" s="747"/>
      <c r="K43" s="678" t="str">
        <f t="shared" ca="1" si="6"/>
        <v/>
      </c>
      <c r="L43" s="697" t="str">
        <f t="shared" ca="1" si="7"/>
        <v/>
      </c>
      <c r="M43" s="678" t="str">
        <f t="shared" ca="1" si="8"/>
        <v/>
      </c>
      <c r="O43" s="680" t="str">
        <f t="shared" ca="1" si="2"/>
        <v/>
      </c>
      <c r="P43" s="692" t="str">
        <f t="shared" ca="1" si="0"/>
        <v/>
      </c>
      <c r="Q43" s="692" t="str">
        <f t="shared" ca="1" si="1"/>
        <v/>
      </c>
    </row>
    <row r="44" spans="4:17">
      <c r="D44" s="697">
        <f t="shared" ca="1" si="5"/>
        <v>10</v>
      </c>
      <c r="E44" s="226">
        <f t="shared" ca="1" si="9"/>
        <v>47027</v>
      </c>
      <c r="F44" s="35">
        <f t="shared" si="10"/>
        <v>22</v>
      </c>
      <c r="G44" s="36">
        <f t="shared" si="3"/>
        <v>0</v>
      </c>
      <c r="H44" s="36">
        <f t="shared" si="4"/>
        <v>0</v>
      </c>
      <c r="I44" s="747">
        <f t="shared" si="11"/>
        <v>0</v>
      </c>
      <c r="J44" s="747"/>
      <c r="K44" s="678" t="str">
        <f t="shared" ca="1" si="6"/>
        <v/>
      </c>
      <c r="L44" s="697" t="str">
        <f t="shared" ca="1" si="7"/>
        <v/>
      </c>
      <c r="M44" s="678" t="str">
        <f t="shared" ca="1" si="8"/>
        <v/>
      </c>
      <c r="O44" s="680" t="str">
        <f t="shared" ca="1" si="2"/>
        <v/>
      </c>
      <c r="P44" s="692" t="str">
        <f t="shared" ca="1" si="0"/>
        <v/>
      </c>
      <c r="Q44" s="692" t="str">
        <f t="shared" ca="1" si="1"/>
        <v/>
      </c>
    </row>
    <row r="45" spans="4:17">
      <c r="D45" s="697">
        <f t="shared" ca="1" si="5"/>
        <v>11</v>
      </c>
      <c r="E45" s="226">
        <f t="shared" ca="1" si="9"/>
        <v>47058</v>
      </c>
      <c r="F45" s="35">
        <f t="shared" si="10"/>
        <v>23</v>
      </c>
      <c r="G45" s="36">
        <f t="shared" si="3"/>
        <v>0</v>
      </c>
      <c r="H45" s="36">
        <f t="shared" si="4"/>
        <v>0</v>
      </c>
      <c r="I45" s="747">
        <f t="shared" si="11"/>
        <v>0</v>
      </c>
      <c r="J45" s="747"/>
      <c r="K45" s="678" t="str">
        <f t="shared" ca="1" si="6"/>
        <v/>
      </c>
      <c r="L45" s="697" t="str">
        <f t="shared" ca="1" si="7"/>
        <v/>
      </c>
      <c r="M45" s="678" t="str">
        <f t="shared" ca="1" si="8"/>
        <v/>
      </c>
      <c r="O45" s="680" t="str">
        <f t="shared" ca="1" si="2"/>
        <v/>
      </c>
      <c r="P45" s="692" t="str">
        <f t="shared" ca="1" si="0"/>
        <v/>
      </c>
      <c r="Q45" s="692" t="str">
        <f t="shared" ca="1" si="1"/>
        <v/>
      </c>
    </row>
    <row r="46" spans="4:17">
      <c r="D46" s="697">
        <f t="shared" ca="1" si="5"/>
        <v>12</v>
      </c>
      <c r="E46" s="226">
        <f t="shared" ca="1" si="9"/>
        <v>47088</v>
      </c>
      <c r="F46" s="35">
        <f t="shared" si="10"/>
        <v>24</v>
      </c>
      <c r="G46" s="36">
        <f t="shared" si="3"/>
        <v>0</v>
      </c>
      <c r="H46" s="36">
        <f t="shared" si="4"/>
        <v>0</v>
      </c>
      <c r="I46" s="747">
        <f t="shared" si="11"/>
        <v>0</v>
      </c>
      <c r="J46" s="747"/>
      <c r="K46" s="678">
        <f t="shared" ca="1" si="6"/>
        <v>0</v>
      </c>
      <c r="L46" s="697">
        <f t="shared" ca="1" si="7"/>
        <v>2028</v>
      </c>
      <c r="M46" s="678">
        <f t="shared" ca="1" si="8"/>
        <v>0</v>
      </c>
      <c r="O46" s="680" t="str">
        <f t="shared" ca="1" si="2"/>
        <v/>
      </c>
      <c r="P46" s="692" t="str">
        <f t="shared" ca="1" si="0"/>
        <v/>
      </c>
      <c r="Q46" s="692" t="str">
        <f t="shared" ca="1" si="1"/>
        <v/>
      </c>
    </row>
    <row r="47" spans="4:17">
      <c r="D47" s="697">
        <f t="shared" ca="1" si="5"/>
        <v>1</v>
      </c>
      <c r="E47" s="226">
        <f t="shared" ca="1" si="9"/>
        <v>47119</v>
      </c>
      <c r="F47" s="35">
        <f t="shared" si="10"/>
        <v>25</v>
      </c>
      <c r="G47" s="36">
        <f t="shared" si="3"/>
        <v>0</v>
      </c>
      <c r="H47" s="36">
        <f t="shared" si="4"/>
        <v>0</v>
      </c>
      <c r="I47" s="747">
        <f t="shared" si="11"/>
        <v>0</v>
      </c>
      <c r="J47" s="747"/>
      <c r="K47" s="678" t="str">
        <f t="shared" ca="1" si="6"/>
        <v/>
      </c>
      <c r="L47" s="697" t="str">
        <f t="shared" ca="1" si="7"/>
        <v/>
      </c>
      <c r="M47" s="678" t="str">
        <f t="shared" ca="1" si="8"/>
        <v/>
      </c>
      <c r="O47" s="680" t="str">
        <f t="shared" ca="1" si="2"/>
        <v/>
      </c>
      <c r="P47" s="692" t="str">
        <f t="shared" ca="1" si="0"/>
        <v/>
      </c>
      <c r="Q47" s="692" t="str">
        <f t="shared" ca="1" si="1"/>
        <v/>
      </c>
    </row>
    <row r="48" spans="4:17">
      <c r="D48" s="697">
        <f t="shared" ca="1" si="5"/>
        <v>2</v>
      </c>
      <c r="E48" s="226">
        <f t="shared" ca="1" si="9"/>
        <v>47150</v>
      </c>
      <c r="F48" s="35">
        <f t="shared" si="10"/>
        <v>26</v>
      </c>
      <c r="G48" s="36">
        <f t="shared" si="3"/>
        <v>0</v>
      </c>
      <c r="H48" s="36">
        <f t="shared" si="4"/>
        <v>0</v>
      </c>
      <c r="I48" s="747">
        <f t="shared" si="11"/>
        <v>0</v>
      </c>
      <c r="J48" s="747"/>
      <c r="K48" s="678" t="str">
        <f t="shared" ca="1" si="6"/>
        <v/>
      </c>
      <c r="L48" s="697" t="str">
        <f t="shared" ca="1" si="7"/>
        <v/>
      </c>
      <c r="M48" s="678" t="str">
        <f t="shared" ca="1" si="8"/>
        <v/>
      </c>
      <c r="O48" s="680" t="str">
        <f t="shared" ca="1" si="2"/>
        <v/>
      </c>
      <c r="P48" s="692" t="str">
        <f t="shared" ca="1" si="0"/>
        <v/>
      </c>
      <c r="Q48" s="692" t="str">
        <f t="shared" ca="1" si="1"/>
        <v/>
      </c>
    </row>
    <row r="49" spans="4:17">
      <c r="D49" s="697">
        <f t="shared" ca="1" si="5"/>
        <v>3</v>
      </c>
      <c r="E49" s="226">
        <f t="shared" ca="1" si="9"/>
        <v>47178</v>
      </c>
      <c r="F49" s="35">
        <f t="shared" si="10"/>
        <v>27</v>
      </c>
      <c r="G49" s="36">
        <f t="shared" si="3"/>
        <v>0</v>
      </c>
      <c r="H49" s="36">
        <f t="shared" si="4"/>
        <v>0</v>
      </c>
      <c r="I49" s="747">
        <f t="shared" si="11"/>
        <v>0</v>
      </c>
      <c r="J49" s="747"/>
      <c r="K49" s="678" t="str">
        <f t="shared" ca="1" si="6"/>
        <v/>
      </c>
      <c r="L49" s="697" t="str">
        <f t="shared" ca="1" si="7"/>
        <v/>
      </c>
      <c r="M49" s="678" t="str">
        <f t="shared" ca="1" si="8"/>
        <v/>
      </c>
      <c r="O49" s="680" t="str">
        <f t="shared" ca="1" si="2"/>
        <v/>
      </c>
      <c r="P49" s="692" t="str">
        <f t="shared" ca="1" si="0"/>
        <v/>
      </c>
      <c r="Q49" s="692" t="str">
        <f t="shared" ca="1" si="1"/>
        <v/>
      </c>
    </row>
    <row r="50" spans="4:17">
      <c r="D50" s="697">
        <f t="shared" ca="1" si="5"/>
        <v>4</v>
      </c>
      <c r="E50" s="226">
        <f t="shared" ca="1" si="9"/>
        <v>47209</v>
      </c>
      <c r="F50" s="35">
        <f t="shared" si="10"/>
        <v>28</v>
      </c>
      <c r="G50" s="36">
        <f t="shared" si="3"/>
        <v>0</v>
      </c>
      <c r="H50" s="36">
        <f t="shared" si="4"/>
        <v>0</v>
      </c>
      <c r="I50" s="747">
        <f t="shared" si="11"/>
        <v>0</v>
      </c>
      <c r="J50" s="747"/>
      <c r="K50" s="678" t="str">
        <f t="shared" ca="1" si="6"/>
        <v/>
      </c>
      <c r="L50" s="697" t="str">
        <f t="shared" ca="1" si="7"/>
        <v/>
      </c>
      <c r="M50" s="678" t="str">
        <f t="shared" ca="1" si="8"/>
        <v/>
      </c>
      <c r="O50" s="680" t="str">
        <f t="shared" ca="1" si="2"/>
        <v/>
      </c>
      <c r="P50" s="692" t="str">
        <f t="shared" ca="1" si="0"/>
        <v/>
      </c>
      <c r="Q50" s="692" t="str">
        <f t="shared" ca="1" si="1"/>
        <v/>
      </c>
    </row>
    <row r="51" spans="4:17">
      <c r="D51" s="697">
        <f t="shared" ca="1" si="5"/>
        <v>5</v>
      </c>
      <c r="E51" s="226">
        <f t="shared" ca="1" si="9"/>
        <v>47239</v>
      </c>
      <c r="F51" s="35">
        <f t="shared" si="10"/>
        <v>29</v>
      </c>
      <c r="G51" s="36">
        <f t="shared" si="3"/>
        <v>0</v>
      </c>
      <c r="H51" s="36">
        <f t="shared" si="4"/>
        <v>0</v>
      </c>
      <c r="I51" s="747">
        <f t="shared" si="11"/>
        <v>0</v>
      </c>
      <c r="J51" s="747"/>
      <c r="K51" s="678" t="str">
        <f t="shared" ca="1" si="6"/>
        <v/>
      </c>
      <c r="L51" s="697" t="str">
        <f t="shared" ca="1" si="7"/>
        <v/>
      </c>
      <c r="M51" s="678" t="str">
        <f t="shared" ca="1" si="8"/>
        <v/>
      </c>
      <c r="O51" s="680" t="str">
        <f t="shared" ca="1" si="2"/>
        <v/>
      </c>
      <c r="P51" s="692" t="str">
        <f t="shared" ca="1" si="0"/>
        <v/>
      </c>
      <c r="Q51" s="692" t="str">
        <f t="shared" ca="1" si="1"/>
        <v/>
      </c>
    </row>
    <row r="52" spans="4:17">
      <c r="D52" s="697">
        <f t="shared" ca="1" si="5"/>
        <v>6</v>
      </c>
      <c r="E52" s="226">
        <f t="shared" ca="1" si="9"/>
        <v>47270</v>
      </c>
      <c r="F52" s="35">
        <f t="shared" si="10"/>
        <v>30</v>
      </c>
      <c r="G52" s="36">
        <f t="shared" si="3"/>
        <v>0</v>
      </c>
      <c r="H52" s="36">
        <f t="shared" si="4"/>
        <v>0</v>
      </c>
      <c r="I52" s="747">
        <f t="shared" si="11"/>
        <v>0</v>
      </c>
      <c r="J52" s="747"/>
      <c r="K52" s="678" t="str">
        <f t="shared" ca="1" si="6"/>
        <v/>
      </c>
      <c r="L52" s="697" t="str">
        <f t="shared" ca="1" si="7"/>
        <v/>
      </c>
      <c r="M52" s="678" t="str">
        <f t="shared" ca="1" si="8"/>
        <v/>
      </c>
      <c r="O52" s="680" t="str">
        <f t="shared" ca="1" si="2"/>
        <v/>
      </c>
      <c r="P52" s="692" t="str">
        <f t="shared" ca="1" si="0"/>
        <v/>
      </c>
      <c r="Q52" s="692" t="str">
        <f t="shared" ca="1" si="1"/>
        <v/>
      </c>
    </row>
    <row r="53" spans="4:17">
      <c r="D53" s="697">
        <f t="shared" ca="1" si="5"/>
        <v>7</v>
      </c>
      <c r="E53" s="226">
        <f t="shared" ca="1" si="9"/>
        <v>47300</v>
      </c>
      <c r="F53" s="35">
        <f t="shared" si="10"/>
        <v>31</v>
      </c>
      <c r="G53" s="36">
        <f t="shared" si="3"/>
        <v>0</v>
      </c>
      <c r="H53" s="36">
        <f t="shared" si="4"/>
        <v>0</v>
      </c>
      <c r="I53" s="747">
        <f t="shared" si="11"/>
        <v>0</v>
      </c>
      <c r="J53" s="747"/>
      <c r="K53" s="678" t="str">
        <f t="shared" ca="1" si="6"/>
        <v/>
      </c>
      <c r="L53" s="697" t="str">
        <f t="shared" ca="1" si="7"/>
        <v/>
      </c>
      <c r="M53" s="678" t="str">
        <f t="shared" ca="1" si="8"/>
        <v/>
      </c>
      <c r="O53" s="680" t="str">
        <f t="shared" ca="1" si="2"/>
        <v/>
      </c>
      <c r="P53" s="692" t="str">
        <f t="shared" ca="1" si="0"/>
        <v/>
      </c>
      <c r="Q53" s="692" t="str">
        <f t="shared" ca="1" si="1"/>
        <v/>
      </c>
    </row>
    <row r="54" spans="4:17">
      <c r="D54" s="697">
        <f t="shared" ca="1" si="5"/>
        <v>8</v>
      </c>
      <c r="E54" s="226">
        <f t="shared" ca="1" si="9"/>
        <v>47331</v>
      </c>
      <c r="F54" s="35">
        <f t="shared" si="10"/>
        <v>32</v>
      </c>
      <c r="G54" s="36">
        <f t="shared" si="3"/>
        <v>0</v>
      </c>
      <c r="H54" s="36">
        <f t="shared" si="4"/>
        <v>0</v>
      </c>
      <c r="I54" s="747">
        <f t="shared" si="11"/>
        <v>0</v>
      </c>
      <c r="J54" s="747"/>
      <c r="K54" s="678" t="str">
        <f t="shared" ca="1" si="6"/>
        <v/>
      </c>
      <c r="L54" s="697" t="str">
        <f t="shared" ca="1" si="7"/>
        <v/>
      </c>
      <c r="M54" s="678" t="str">
        <f t="shared" ca="1" si="8"/>
        <v/>
      </c>
      <c r="O54" s="680" t="str">
        <f t="shared" ca="1" si="2"/>
        <v/>
      </c>
      <c r="P54" s="692" t="str">
        <f t="shared" ca="1" si="0"/>
        <v/>
      </c>
      <c r="Q54" s="692" t="str">
        <f t="shared" ca="1" si="1"/>
        <v/>
      </c>
    </row>
    <row r="55" spans="4:17">
      <c r="D55" s="697">
        <f t="shared" ca="1" si="5"/>
        <v>9</v>
      </c>
      <c r="E55" s="226">
        <f t="shared" ca="1" si="9"/>
        <v>47362</v>
      </c>
      <c r="F55" s="35">
        <f t="shared" si="10"/>
        <v>33</v>
      </c>
      <c r="G55" s="36">
        <f t="shared" si="3"/>
        <v>0</v>
      </c>
      <c r="H55" s="36">
        <f t="shared" si="4"/>
        <v>0</v>
      </c>
      <c r="I55" s="747">
        <f t="shared" si="11"/>
        <v>0</v>
      </c>
      <c r="J55" s="747"/>
      <c r="K55" s="678" t="str">
        <f t="shared" ca="1" si="6"/>
        <v/>
      </c>
      <c r="L55" s="697" t="str">
        <f t="shared" ca="1" si="7"/>
        <v/>
      </c>
      <c r="M55" s="678" t="str">
        <f t="shared" ca="1" si="8"/>
        <v/>
      </c>
      <c r="O55" s="680" t="str">
        <f t="shared" ca="1" si="2"/>
        <v/>
      </c>
      <c r="P55" s="692" t="str">
        <f t="shared" ca="1" si="0"/>
        <v/>
      </c>
      <c r="Q55" s="692" t="str">
        <f t="shared" ca="1" si="1"/>
        <v/>
      </c>
    </row>
    <row r="56" spans="4:17">
      <c r="D56" s="697">
        <f t="shared" ca="1" si="5"/>
        <v>10</v>
      </c>
      <c r="E56" s="226">
        <f t="shared" ca="1" si="9"/>
        <v>47392</v>
      </c>
      <c r="F56" s="35">
        <f t="shared" si="10"/>
        <v>34</v>
      </c>
      <c r="G56" s="36">
        <f t="shared" si="3"/>
        <v>0</v>
      </c>
      <c r="H56" s="36">
        <f t="shared" si="4"/>
        <v>0</v>
      </c>
      <c r="I56" s="747">
        <f t="shared" si="11"/>
        <v>0</v>
      </c>
      <c r="J56" s="747"/>
      <c r="K56" s="678" t="str">
        <f t="shared" ca="1" si="6"/>
        <v/>
      </c>
      <c r="L56" s="697" t="str">
        <f t="shared" ca="1" si="7"/>
        <v/>
      </c>
      <c r="M56" s="678" t="str">
        <f t="shared" ca="1" si="8"/>
        <v/>
      </c>
      <c r="O56" s="680" t="str">
        <f t="shared" ca="1" si="2"/>
        <v/>
      </c>
      <c r="P56" s="692" t="str">
        <f t="shared" ca="1" si="0"/>
        <v/>
      </c>
      <c r="Q56" s="692" t="str">
        <f t="shared" ca="1" si="1"/>
        <v/>
      </c>
    </row>
    <row r="57" spans="4:17">
      <c r="D57" s="697">
        <f t="shared" ca="1" si="5"/>
        <v>11</v>
      </c>
      <c r="E57" s="226">
        <f t="shared" ca="1" si="9"/>
        <v>47423</v>
      </c>
      <c r="F57" s="35">
        <f t="shared" si="10"/>
        <v>35</v>
      </c>
      <c r="G57" s="36">
        <f t="shared" si="3"/>
        <v>0</v>
      </c>
      <c r="H57" s="36">
        <f t="shared" si="4"/>
        <v>0</v>
      </c>
      <c r="I57" s="747">
        <f t="shared" si="11"/>
        <v>0</v>
      </c>
      <c r="J57" s="747"/>
      <c r="K57" s="678" t="str">
        <f t="shared" ca="1" si="6"/>
        <v/>
      </c>
      <c r="L57" s="697" t="str">
        <f t="shared" ca="1" si="7"/>
        <v/>
      </c>
      <c r="M57" s="678" t="str">
        <f t="shared" ca="1" si="8"/>
        <v/>
      </c>
      <c r="O57" s="680" t="str">
        <f t="shared" ca="1" si="2"/>
        <v/>
      </c>
      <c r="P57" s="692" t="str">
        <f t="shared" ca="1" si="0"/>
        <v/>
      </c>
      <c r="Q57" s="692" t="str">
        <f t="shared" ca="1" si="1"/>
        <v/>
      </c>
    </row>
    <row r="58" spans="4:17">
      <c r="D58" s="697">
        <f t="shared" ca="1" si="5"/>
        <v>12</v>
      </c>
      <c r="E58" s="226">
        <f t="shared" ca="1" si="9"/>
        <v>47453</v>
      </c>
      <c r="F58" s="35">
        <f t="shared" si="10"/>
        <v>36</v>
      </c>
      <c r="G58" s="36">
        <f t="shared" si="3"/>
        <v>0</v>
      </c>
      <c r="H58" s="36">
        <f t="shared" si="4"/>
        <v>0</v>
      </c>
      <c r="I58" s="747">
        <f t="shared" si="11"/>
        <v>0</v>
      </c>
      <c r="J58" s="747"/>
      <c r="K58" s="678">
        <f t="shared" ca="1" si="6"/>
        <v>0</v>
      </c>
      <c r="L58" s="697">
        <f t="shared" ca="1" si="7"/>
        <v>2029</v>
      </c>
      <c r="M58" s="678">
        <f t="shared" ca="1" si="8"/>
        <v>0</v>
      </c>
      <c r="O58" s="680" t="str">
        <f t="shared" ca="1" si="2"/>
        <v/>
      </c>
      <c r="P58" s="692" t="str">
        <f t="shared" ca="1" si="0"/>
        <v/>
      </c>
      <c r="Q58" s="692" t="str">
        <f t="shared" ca="1" si="1"/>
        <v/>
      </c>
    </row>
    <row r="59" spans="4:17">
      <c r="D59" s="697">
        <f t="shared" ca="1" si="5"/>
        <v>1</v>
      </c>
      <c r="E59" s="226">
        <f t="shared" ca="1" si="9"/>
        <v>47484</v>
      </c>
      <c r="F59" s="35">
        <f t="shared" si="10"/>
        <v>37</v>
      </c>
      <c r="G59" s="36">
        <f t="shared" si="3"/>
        <v>0</v>
      </c>
      <c r="H59" s="36">
        <f t="shared" si="4"/>
        <v>0</v>
      </c>
      <c r="I59" s="747">
        <f t="shared" si="11"/>
        <v>0</v>
      </c>
      <c r="J59" s="747"/>
      <c r="K59" s="678" t="str">
        <f t="shared" ca="1" si="6"/>
        <v/>
      </c>
      <c r="L59" s="697" t="str">
        <f t="shared" ca="1" si="7"/>
        <v/>
      </c>
      <c r="M59" s="678" t="str">
        <f t="shared" ca="1" si="8"/>
        <v/>
      </c>
      <c r="O59" s="680" t="str">
        <f t="shared" ca="1" si="2"/>
        <v/>
      </c>
      <c r="P59" s="692" t="str">
        <f t="shared" ca="1" si="0"/>
        <v/>
      </c>
      <c r="Q59" s="692" t="str">
        <f t="shared" ca="1" si="1"/>
        <v/>
      </c>
    </row>
    <row r="60" spans="4:17">
      <c r="D60" s="697">
        <f t="shared" ca="1" si="5"/>
        <v>2</v>
      </c>
      <c r="E60" s="226">
        <f t="shared" ca="1" si="9"/>
        <v>47515</v>
      </c>
      <c r="F60" s="35">
        <f t="shared" si="10"/>
        <v>38</v>
      </c>
      <c r="G60" s="36">
        <f t="shared" si="3"/>
        <v>0</v>
      </c>
      <c r="H60" s="36">
        <f t="shared" si="4"/>
        <v>0</v>
      </c>
      <c r="I60" s="747">
        <f t="shared" si="11"/>
        <v>0</v>
      </c>
      <c r="J60" s="747"/>
      <c r="K60" s="678" t="str">
        <f t="shared" ca="1" si="6"/>
        <v/>
      </c>
      <c r="L60" s="697" t="str">
        <f t="shared" ca="1" si="7"/>
        <v/>
      </c>
      <c r="M60" s="678" t="str">
        <f t="shared" ca="1" si="8"/>
        <v/>
      </c>
      <c r="O60" s="680" t="str">
        <f t="shared" ca="1" si="2"/>
        <v/>
      </c>
      <c r="P60" s="692" t="str">
        <f t="shared" ca="1" si="0"/>
        <v/>
      </c>
      <c r="Q60" s="692" t="str">
        <f t="shared" ca="1" si="1"/>
        <v/>
      </c>
    </row>
    <row r="61" spans="4:17">
      <c r="D61" s="697">
        <f t="shared" ca="1" si="5"/>
        <v>3</v>
      </c>
      <c r="E61" s="226">
        <f t="shared" ca="1" si="9"/>
        <v>47543</v>
      </c>
      <c r="F61" s="35">
        <f t="shared" si="10"/>
        <v>39</v>
      </c>
      <c r="G61" s="36">
        <f t="shared" si="3"/>
        <v>0</v>
      </c>
      <c r="H61" s="36">
        <f t="shared" si="4"/>
        <v>0</v>
      </c>
      <c r="I61" s="747">
        <f t="shared" si="11"/>
        <v>0</v>
      </c>
      <c r="J61" s="747"/>
      <c r="K61" s="678" t="str">
        <f t="shared" ca="1" si="6"/>
        <v/>
      </c>
      <c r="L61" s="697" t="str">
        <f t="shared" ca="1" si="7"/>
        <v/>
      </c>
      <c r="M61" s="678" t="str">
        <f t="shared" ca="1" si="8"/>
        <v/>
      </c>
      <c r="O61" s="680" t="str">
        <f t="shared" ca="1" si="2"/>
        <v/>
      </c>
      <c r="P61" s="692" t="str">
        <f t="shared" ca="1" si="0"/>
        <v/>
      </c>
      <c r="Q61" s="692" t="str">
        <f t="shared" ca="1" si="1"/>
        <v/>
      </c>
    </row>
    <row r="62" spans="4:17">
      <c r="D62" s="697">
        <f t="shared" ca="1" si="5"/>
        <v>4</v>
      </c>
      <c r="E62" s="226">
        <f t="shared" ca="1" si="9"/>
        <v>47574</v>
      </c>
      <c r="F62" s="35">
        <f t="shared" si="10"/>
        <v>40</v>
      </c>
      <c r="G62" s="36">
        <f t="shared" si="3"/>
        <v>0</v>
      </c>
      <c r="H62" s="36">
        <f t="shared" si="4"/>
        <v>0</v>
      </c>
      <c r="I62" s="747">
        <f t="shared" si="11"/>
        <v>0</v>
      </c>
      <c r="J62" s="747"/>
      <c r="K62" s="678" t="str">
        <f t="shared" ca="1" si="6"/>
        <v/>
      </c>
      <c r="L62" s="697" t="str">
        <f t="shared" ca="1" si="7"/>
        <v/>
      </c>
      <c r="M62" s="678" t="str">
        <f t="shared" ca="1" si="8"/>
        <v/>
      </c>
      <c r="O62" s="680" t="str">
        <f t="shared" ca="1" si="2"/>
        <v/>
      </c>
      <c r="P62" s="692" t="str">
        <f t="shared" ca="1" si="0"/>
        <v/>
      </c>
      <c r="Q62" s="692" t="str">
        <f t="shared" ca="1" si="1"/>
        <v/>
      </c>
    </row>
    <row r="63" spans="4:17">
      <c r="D63" s="697">
        <f t="shared" ca="1" si="5"/>
        <v>5</v>
      </c>
      <c r="E63" s="226">
        <f t="shared" ca="1" si="9"/>
        <v>47604</v>
      </c>
      <c r="F63" s="35">
        <f t="shared" si="10"/>
        <v>41</v>
      </c>
      <c r="G63" s="36">
        <f t="shared" si="3"/>
        <v>0</v>
      </c>
      <c r="H63" s="36">
        <f t="shared" si="4"/>
        <v>0</v>
      </c>
      <c r="I63" s="747">
        <f t="shared" si="11"/>
        <v>0</v>
      </c>
      <c r="J63" s="747"/>
      <c r="K63" s="678" t="str">
        <f t="shared" ca="1" si="6"/>
        <v/>
      </c>
      <c r="L63" s="697" t="str">
        <f t="shared" ca="1" si="7"/>
        <v/>
      </c>
      <c r="M63" s="678" t="str">
        <f t="shared" ca="1" si="8"/>
        <v/>
      </c>
      <c r="O63" s="680" t="str">
        <f t="shared" ca="1" si="2"/>
        <v/>
      </c>
      <c r="P63" s="692" t="str">
        <f t="shared" ca="1" si="0"/>
        <v/>
      </c>
      <c r="Q63" s="692" t="str">
        <f t="shared" ca="1" si="1"/>
        <v/>
      </c>
    </row>
    <row r="64" spans="4:17">
      <c r="D64" s="697">
        <f t="shared" ca="1" si="5"/>
        <v>6</v>
      </c>
      <c r="E64" s="226">
        <f t="shared" ca="1" si="9"/>
        <v>47635</v>
      </c>
      <c r="F64" s="35">
        <f t="shared" si="10"/>
        <v>42</v>
      </c>
      <c r="G64" s="36">
        <f t="shared" si="3"/>
        <v>0</v>
      </c>
      <c r="H64" s="36">
        <f t="shared" si="4"/>
        <v>0</v>
      </c>
      <c r="I64" s="747">
        <f t="shared" si="11"/>
        <v>0</v>
      </c>
      <c r="J64" s="747"/>
      <c r="K64" s="678" t="str">
        <f t="shared" ca="1" si="6"/>
        <v/>
      </c>
      <c r="L64" s="697" t="str">
        <f t="shared" ca="1" si="7"/>
        <v/>
      </c>
      <c r="M64" s="678" t="str">
        <f t="shared" ca="1" si="8"/>
        <v/>
      </c>
      <c r="O64" s="680" t="str">
        <f t="shared" ca="1" si="2"/>
        <v/>
      </c>
      <c r="P64" s="692" t="str">
        <f t="shared" ca="1" si="0"/>
        <v/>
      </c>
      <c r="Q64" s="692" t="str">
        <f t="shared" ca="1" si="1"/>
        <v/>
      </c>
    </row>
    <row r="65" spans="4:17">
      <c r="D65" s="697">
        <f t="shared" ca="1" si="5"/>
        <v>7</v>
      </c>
      <c r="E65" s="226">
        <f t="shared" ca="1" si="9"/>
        <v>47665</v>
      </c>
      <c r="F65" s="35">
        <f t="shared" si="10"/>
        <v>43</v>
      </c>
      <c r="G65" s="36">
        <f t="shared" si="3"/>
        <v>0</v>
      </c>
      <c r="H65" s="36">
        <f t="shared" si="4"/>
        <v>0</v>
      </c>
      <c r="I65" s="747">
        <f t="shared" si="11"/>
        <v>0</v>
      </c>
      <c r="J65" s="747"/>
      <c r="K65" s="678" t="str">
        <f t="shared" ca="1" si="6"/>
        <v/>
      </c>
      <c r="L65" s="697" t="str">
        <f t="shared" ca="1" si="7"/>
        <v/>
      </c>
      <c r="M65" s="678" t="str">
        <f t="shared" ca="1" si="8"/>
        <v/>
      </c>
      <c r="O65" s="680" t="str">
        <f t="shared" ca="1" si="2"/>
        <v/>
      </c>
      <c r="P65" s="692" t="str">
        <f t="shared" ca="1" si="0"/>
        <v/>
      </c>
      <c r="Q65" s="692" t="str">
        <f t="shared" ca="1" si="1"/>
        <v/>
      </c>
    </row>
    <row r="66" spans="4:17">
      <c r="D66" s="697">
        <f t="shared" ca="1" si="5"/>
        <v>8</v>
      </c>
      <c r="E66" s="226">
        <f t="shared" ca="1" si="9"/>
        <v>47696</v>
      </c>
      <c r="F66" s="35">
        <f t="shared" si="10"/>
        <v>44</v>
      </c>
      <c r="G66" s="36">
        <f t="shared" si="3"/>
        <v>0</v>
      </c>
      <c r="H66" s="36">
        <f t="shared" si="4"/>
        <v>0</v>
      </c>
      <c r="I66" s="747">
        <f t="shared" si="11"/>
        <v>0</v>
      </c>
      <c r="J66" s="747"/>
      <c r="K66" s="678" t="str">
        <f t="shared" ca="1" si="6"/>
        <v/>
      </c>
      <c r="L66" s="697" t="str">
        <f t="shared" ca="1" si="7"/>
        <v/>
      </c>
      <c r="M66" s="678" t="str">
        <f t="shared" ca="1" si="8"/>
        <v/>
      </c>
      <c r="O66" s="680" t="str">
        <f t="shared" ca="1" si="2"/>
        <v/>
      </c>
      <c r="P66" s="692" t="str">
        <f t="shared" ca="1" si="0"/>
        <v/>
      </c>
      <c r="Q66" s="692" t="str">
        <f t="shared" ca="1" si="1"/>
        <v/>
      </c>
    </row>
    <row r="67" spans="4:17">
      <c r="D67" s="697">
        <f t="shared" ca="1" si="5"/>
        <v>9</v>
      </c>
      <c r="E67" s="226">
        <f t="shared" ca="1" si="9"/>
        <v>47727</v>
      </c>
      <c r="F67" s="35">
        <f t="shared" si="10"/>
        <v>45</v>
      </c>
      <c r="G67" s="36">
        <f t="shared" si="3"/>
        <v>0</v>
      </c>
      <c r="H67" s="36">
        <f t="shared" si="4"/>
        <v>0</v>
      </c>
      <c r="I67" s="747">
        <f t="shared" si="11"/>
        <v>0</v>
      </c>
      <c r="J67" s="747"/>
      <c r="K67" s="678" t="str">
        <f t="shared" ca="1" si="6"/>
        <v/>
      </c>
      <c r="L67" s="697" t="str">
        <f t="shared" ca="1" si="7"/>
        <v/>
      </c>
      <c r="M67" s="678" t="str">
        <f t="shared" ca="1" si="8"/>
        <v/>
      </c>
      <c r="O67" s="680" t="str">
        <f t="shared" ca="1" si="2"/>
        <v/>
      </c>
      <c r="P67" s="692" t="str">
        <f t="shared" ca="1" si="0"/>
        <v/>
      </c>
      <c r="Q67" s="692" t="str">
        <f t="shared" ca="1" si="1"/>
        <v/>
      </c>
    </row>
    <row r="68" spans="4:17">
      <c r="D68" s="697">
        <f t="shared" ca="1" si="5"/>
        <v>10</v>
      </c>
      <c r="E68" s="226">
        <f t="shared" ca="1" si="9"/>
        <v>47757</v>
      </c>
      <c r="F68" s="35">
        <f t="shared" si="10"/>
        <v>46</v>
      </c>
      <c r="G68" s="36">
        <f t="shared" si="3"/>
        <v>0</v>
      </c>
      <c r="H68" s="36">
        <f t="shared" si="4"/>
        <v>0</v>
      </c>
      <c r="I68" s="747">
        <f t="shared" si="11"/>
        <v>0</v>
      </c>
      <c r="J68" s="747"/>
      <c r="K68" s="678" t="str">
        <f t="shared" ca="1" si="6"/>
        <v/>
      </c>
      <c r="L68" s="697" t="str">
        <f t="shared" ca="1" si="7"/>
        <v/>
      </c>
      <c r="M68" s="678" t="str">
        <f t="shared" ca="1" si="8"/>
        <v/>
      </c>
      <c r="O68" s="680" t="str">
        <f t="shared" ca="1" si="2"/>
        <v/>
      </c>
      <c r="P68" s="692" t="str">
        <f t="shared" ca="1" si="0"/>
        <v/>
      </c>
      <c r="Q68" s="692" t="str">
        <f t="shared" ca="1" si="1"/>
        <v/>
      </c>
    </row>
    <row r="69" spans="4:17">
      <c r="D69" s="697">
        <f t="shared" ca="1" si="5"/>
        <v>11</v>
      </c>
      <c r="E69" s="226">
        <f t="shared" ca="1" si="9"/>
        <v>47788</v>
      </c>
      <c r="F69" s="35">
        <f t="shared" si="10"/>
        <v>47</v>
      </c>
      <c r="G69" s="36">
        <f t="shared" si="3"/>
        <v>0</v>
      </c>
      <c r="H69" s="36">
        <f t="shared" si="4"/>
        <v>0</v>
      </c>
      <c r="I69" s="747">
        <f t="shared" si="11"/>
        <v>0</v>
      </c>
      <c r="J69" s="747"/>
      <c r="K69" s="678" t="str">
        <f t="shared" ca="1" si="6"/>
        <v/>
      </c>
      <c r="L69" s="697" t="str">
        <f t="shared" ca="1" si="7"/>
        <v/>
      </c>
      <c r="M69" s="678" t="str">
        <f t="shared" ca="1" si="8"/>
        <v/>
      </c>
      <c r="O69" s="680" t="str">
        <f t="shared" ca="1" si="2"/>
        <v/>
      </c>
      <c r="P69" s="692" t="str">
        <f t="shared" ca="1" si="0"/>
        <v/>
      </c>
      <c r="Q69" s="692" t="str">
        <f t="shared" ca="1" si="1"/>
        <v/>
      </c>
    </row>
    <row r="70" spans="4:17">
      <c r="D70" s="697">
        <f t="shared" ca="1" si="5"/>
        <v>12</v>
      </c>
      <c r="E70" s="226">
        <f t="shared" ca="1" si="9"/>
        <v>47818</v>
      </c>
      <c r="F70" s="35">
        <f t="shared" si="10"/>
        <v>48</v>
      </c>
      <c r="G70" s="36">
        <f t="shared" si="3"/>
        <v>0</v>
      </c>
      <c r="H70" s="36">
        <f t="shared" si="4"/>
        <v>0</v>
      </c>
      <c r="I70" s="747">
        <f t="shared" si="11"/>
        <v>0</v>
      </c>
      <c r="J70" s="747"/>
      <c r="K70" s="678">
        <f t="shared" ca="1" si="6"/>
        <v>0</v>
      </c>
      <c r="L70" s="697">
        <f t="shared" ca="1" si="7"/>
        <v>2030</v>
      </c>
      <c r="M70" s="678">
        <f t="shared" ca="1" si="8"/>
        <v>0</v>
      </c>
      <c r="O70" s="680" t="str">
        <f t="shared" ca="1" si="2"/>
        <v/>
      </c>
      <c r="P70" s="692" t="str">
        <f t="shared" ca="1" si="0"/>
        <v/>
      </c>
      <c r="Q70" s="692" t="str">
        <f t="shared" ca="1" si="1"/>
        <v/>
      </c>
    </row>
    <row r="71" spans="4:17">
      <c r="D71" s="697">
        <f t="shared" ca="1" si="5"/>
        <v>1</v>
      </c>
      <c r="E71" s="226">
        <f t="shared" ca="1" si="9"/>
        <v>47849</v>
      </c>
      <c r="F71" s="35">
        <f t="shared" si="10"/>
        <v>49</v>
      </c>
      <c r="G71" s="36">
        <f t="shared" si="3"/>
        <v>0</v>
      </c>
      <c r="H71" s="36">
        <f t="shared" si="4"/>
        <v>0</v>
      </c>
      <c r="I71" s="747">
        <f t="shared" si="11"/>
        <v>0</v>
      </c>
      <c r="J71" s="747"/>
      <c r="K71" s="678" t="str">
        <f t="shared" ca="1" si="6"/>
        <v/>
      </c>
      <c r="L71" s="697" t="str">
        <f t="shared" ca="1" si="7"/>
        <v/>
      </c>
      <c r="M71" s="678" t="str">
        <f t="shared" ca="1" si="8"/>
        <v/>
      </c>
      <c r="O71" s="680" t="str">
        <f t="shared" ca="1" si="2"/>
        <v/>
      </c>
      <c r="P71" s="692" t="str">
        <f t="shared" ca="1" si="0"/>
        <v/>
      </c>
      <c r="Q71" s="692" t="str">
        <f t="shared" ca="1" si="1"/>
        <v/>
      </c>
    </row>
    <row r="72" spans="4:17">
      <c r="D72" s="697">
        <f t="shared" ca="1" si="5"/>
        <v>2</v>
      </c>
      <c r="E72" s="226">
        <f t="shared" ca="1" si="9"/>
        <v>47880</v>
      </c>
      <c r="F72" s="35">
        <f t="shared" si="10"/>
        <v>50</v>
      </c>
      <c r="G72" s="36">
        <f t="shared" si="3"/>
        <v>0</v>
      </c>
      <c r="H72" s="36">
        <f t="shared" si="4"/>
        <v>0</v>
      </c>
      <c r="I72" s="747">
        <f t="shared" si="11"/>
        <v>0</v>
      </c>
      <c r="J72" s="747"/>
      <c r="K72" s="678" t="str">
        <f t="shared" ca="1" si="6"/>
        <v/>
      </c>
      <c r="L72" s="697" t="str">
        <f t="shared" ca="1" si="7"/>
        <v/>
      </c>
      <c r="M72" s="678" t="str">
        <f t="shared" ca="1" si="8"/>
        <v/>
      </c>
      <c r="O72" s="680" t="str">
        <f t="shared" ca="1" si="2"/>
        <v/>
      </c>
      <c r="P72" s="692" t="str">
        <f t="shared" ca="1" si="0"/>
        <v/>
      </c>
      <c r="Q72" s="692" t="str">
        <f t="shared" ca="1" si="1"/>
        <v/>
      </c>
    </row>
    <row r="73" spans="4:17">
      <c r="D73" s="697">
        <f t="shared" ca="1" si="5"/>
        <v>3</v>
      </c>
      <c r="E73" s="226">
        <f t="shared" ca="1" si="9"/>
        <v>47908</v>
      </c>
      <c r="F73" s="35">
        <f t="shared" si="10"/>
        <v>51</v>
      </c>
      <c r="G73" s="36">
        <f t="shared" si="3"/>
        <v>0</v>
      </c>
      <c r="H73" s="36">
        <f t="shared" si="4"/>
        <v>0</v>
      </c>
      <c r="I73" s="747">
        <f t="shared" si="11"/>
        <v>0</v>
      </c>
      <c r="J73" s="747"/>
      <c r="K73" s="678" t="str">
        <f t="shared" ca="1" si="6"/>
        <v/>
      </c>
      <c r="L73" s="697" t="str">
        <f t="shared" ca="1" si="7"/>
        <v/>
      </c>
      <c r="M73" s="678" t="str">
        <f t="shared" ca="1" si="8"/>
        <v/>
      </c>
      <c r="O73" s="680" t="str">
        <f t="shared" ca="1" si="2"/>
        <v/>
      </c>
      <c r="P73" s="692" t="str">
        <f t="shared" ref="P73:P136" ca="1" si="12">IFERROR(INDEX($K$23:$L$383,MATCH(O73,$L$23:$L$383,0),1),0)</f>
        <v/>
      </c>
      <c r="Q73" s="692" t="str">
        <f t="shared" ref="Q73:Q136" ca="1" si="13">IFERROR(INDEX($L$23:$M$383,MATCH(O73,$L$23:$L$383,0),2),0)</f>
        <v/>
      </c>
    </row>
    <row r="74" spans="4:17">
      <c r="D74" s="697">
        <f t="shared" ca="1" si="5"/>
        <v>4</v>
      </c>
      <c r="E74" s="226">
        <f t="shared" ca="1" si="9"/>
        <v>47939</v>
      </c>
      <c r="F74" s="35">
        <f t="shared" si="10"/>
        <v>52</v>
      </c>
      <c r="G74" s="36">
        <f t="shared" si="3"/>
        <v>0</v>
      </c>
      <c r="H74" s="36">
        <f t="shared" si="4"/>
        <v>0</v>
      </c>
      <c r="I74" s="747">
        <f t="shared" si="11"/>
        <v>0</v>
      </c>
      <c r="J74" s="747"/>
      <c r="K74" s="678" t="str">
        <f t="shared" ca="1" si="6"/>
        <v/>
      </c>
      <c r="L74" s="697" t="str">
        <f t="shared" ca="1" si="7"/>
        <v/>
      </c>
      <c r="M74" s="678" t="str">
        <f t="shared" ca="1" si="8"/>
        <v/>
      </c>
      <c r="O74" s="680" t="str">
        <f t="shared" ref="O74:O137" ca="1" si="14">IFERROR(IF(O73+1&lt;YEAR($G$19)+($G$16/12),O73+1,""),"")</f>
        <v/>
      </c>
      <c r="P74" s="692" t="str">
        <f t="shared" ca="1" si="12"/>
        <v/>
      </c>
      <c r="Q74" s="692" t="str">
        <f t="shared" ca="1" si="13"/>
        <v/>
      </c>
    </row>
    <row r="75" spans="4:17">
      <c r="D75" s="697">
        <f t="shared" ca="1" si="5"/>
        <v>5</v>
      </c>
      <c r="E75" s="226">
        <f t="shared" ca="1" si="9"/>
        <v>47969</v>
      </c>
      <c r="F75" s="35">
        <f t="shared" si="10"/>
        <v>53</v>
      </c>
      <c r="G75" s="36">
        <f t="shared" si="3"/>
        <v>0</v>
      </c>
      <c r="H75" s="36">
        <f t="shared" si="4"/>
        <v>0</v>
      </c>
      <c r="I75" s="747">
        <f t="shared" si="11"/>
        <v>0</v>
      </c>
      <c r="J75" s="747"/>
      <c r="K75" s="678" t="str">
        <f t="shared" ca="1" si="6"/>
        <v/>
      </c>
      <c r="L75" s="697" t="str">
        <f t="shared" ca="1" si="7"/>
        <v/>
      </c>
      <c r="M75" s="678" t="str">
        <f t="shared" ca="1" si="8"/>
        <v/>
      </c>
      <c r="O75" s="680" t="str">
        <f t="shared" ca="1" si="14"/>
        <v/>
      </c>
      <c r="P75" s="692" t="str">
        <f t="shared" ca="1" si="12"/>
        <v/>
      </c>
      <c r="Q75" s="692" t="str">
        <f t="shared" ca="1" si="13"/>
        <v/>
      </c>
    </row>
    <row r="76" spans="4:17">
      <c r="D76" s="697">
        <f t="shared" ca="1" si="5"/>
        <v>6</v>
      </c>
      <c r="E76" s="226">
        <f t="shared" ca="1" si="9"/>
        <v>48000</v>
      </c>
      <c r="F76" s="35">
        <f t="shared" si="10"/>
        <v>54</v>
      </c>
      <c r="G76" s="36">
        <f t="shared" si="3"/>
        <v>0</v>
      </c>
      <c r="H76" s="36">
        <f t="shared" si="4"/>
        <v>0</v>
      </c>
      <c r="I76" s="747">
        <f t="shared" si="11"/>
        <v>0</v>
      </c>
      <c r="J76" s="747"/>
      <c r="K76" s="678" t="str">
        <f t="shared" ca="1" si="6"/>
        <v/>
      </c>
      <c r="L76" s="697" t="str">
        <f t="shared" ca="1" si="7"/>
        <v/>
      </c>
      <c r="M76" s="678" t="str">
        <f t="shared" ca="1" si="8"/>
        <v/>
      </c>
      <c r="O76" s="680" t="str">
        <f t="shared" ca="1" si="14"/>
        <v/>
      </c>
      <c r="P76" s="692" t="str">
        <f t="shared" ca="1" si="12"/>
        <v/>
      </c>
      <c r="Q76" s="692" t="str">
        <f t="shared" ca="1" si="13"/>
        <v/>
      </c>
    </row>
    <row r="77" spans="4:17">
      <c r="D77" s="697">
        <f t="shared" ca="1" si="5"/>
        <v>7</v>
      </c>
      <c r="E77" s="226">
        <f t="shared" ca="1" si="9"/>
        <v>48030</v>
      </c>
      <c r="F77" s="35">
        <f t="shared" si="10"/>
        <v>55</v>
      </c>
      <c r="G77" s="36">
        <f t="shared" si="3"/>
        <v>0</v>
      </c>
      <c r="H77" s="36">
        <f t="shared" si="4"/>
        <v>0</v>
      </c>
      <c r="I77" s="747">
        <f t="shared" si="11"/>
        <v>0</v>
      </c>
      <c r="J77" s="747"/>
      <c r="K77" s="678" t="str">
        <f t="shared" ca="1" si="6"/>
        <v/>
      </c>
      <c r="L77" s="697" t="str">
        <f t="shared" ca="1" si="7"/>
        <v/>
      </c>
      <c r="M77" s="678" t="str">
        <f t="shared" ca="1" si="8"/>
        <v/>
      </c>
      <c r="O77" s="680" t="str">
        <f t="shared" ca="1" si="14"/>
        <v/>
      </c>
      <c r="P77" s="692" t="str">
        <f t="shared" ca="1" si="12"/>
        <v/>
      </c>
      <c r="Q77" s="692" t="str">
        <f t="shared" ca="1" si="13"/>
        <v/>
      </c>
    </row>
    <row r="78" spans="4:17">
      <c r="D78" s="697">
        <f t="shared" ca="1" si="5"/>
        <v>8</v>
      </c>
      <c r="E78" s="226">
        <f t="shared" ca="1" si="9"/>
        <v>48061</v>
      </c>
      <c r="F78" s="35">
        <f t="shared" si="10"/>
        <v>56</v>
      </c>
      <c r="G78" s="36">
        <f t="shared" si="3"/>
        <v>0</v>
      </c>
      <c r="H78" s="36">
        <f t="shared" si="4"/>
        <v>0</v>
      </c>
      <c r="I78" s="747">
        <f t="shared" si="11"/>
        <v>0</v>
      </c>
      <c r="J78" s="747"/>
      <c r="K78" s="678" t="str">
        <f t="shared" ca="1" si="6"/>
        <v/>
      </c>
      <c r="L78" s="697" t="str">
        <f t="shared" ca="1" si="7"/>
        <v/>
      </c>
      <c r="M78" s="678" t="str">
        <f t="shared" ca="1" si="8"/>
        <v/>
      </c>
      <c r="O78" s="680" t="str">
        <f t="shared" ca="1" si="14"/>
        <v/>
      </c>
      <c r="P78" s="692" t="str">
        <f t="shared" ca="1" si="12"/>
        <v/>
      </c>
      <c r="Q78" s="692" t="str">
        <f t="shared" ca="1" si="13"/>
        <v/>
      </c>
    </row>
    <row r="79" spans="4:17">
      <c r="D79" s="697">
        <f t="shared" ca="1" si="5"/>
        <v>9</v>
      </c>
      <c r="E79" s="226">
        <f t="shared" ca="1" si="9"/>
        <v>48092</v>
      </c>
      <c r="F79" s="35">
        <f t="shared" si="10"/>
        <v>57</v>
      </c>
      <c r="G79" s="36">
        <f t="shared" si="3"/>
        <v>0</v>
      </c>
      <c r="H79" s="36">
        <f t="shared" si="4"/>
        <v>0</v>
      </c>
      <c r="I79" s="747">
        <f t="shared" si="11"/>
        <v>0</v>
      </c>
      <c r="J79" s="747"/>
      <c r="K79" s="678" t="str">
        <f t="shared" ca="1" si="6"/>
        <v/>
      </c>
      <c r="L79" s="697" t="str">
        <f t="shared" ca="1" si="7"/>
        <v/>
      </c>
      <c r="M79" s="678" t="str">
        <f t="shared" ca="1" si="8"/>
        <v/>
      </c>
      <c r="O79" s="680" t="str">
        <f t="shared" ca="1" si="14"/>
        <v/>
      </c>
      <c r="P79" s="692" t="str">
        <f t="shared" ca="1" si="12"/>
        <v/>
      </c>
      <c r="Q79" s="692" t="str">
        <f t="shared" ca="1" si="13"/>
        <v/>
      </c>
    </row>
    <row r="80" spans="4:17">
      <c r="D80" s="697">
        <f t="shared" ca="1" si="5"/>
        <v>10</v>
      </c>
      <c r="E80" s="226">
        <f t="shared" ca="1" si="9"/>
        <v>48122</v>
      </c>
      <c r="F80" s="35">
        <f t="shared" si="10"/>
        <v>58</v>
      </c>
      <c r="G80" s="36">
        <f t="shared" si="3"/>
        <v>0</v>
      </c>
      <c r="H80" s="36">
        <f t="shared" si="4"/>
        <v>0</v>
      </c>
      <c r="I80" s="747">
        <f t="shared" si="11"/>
        <v>0</v>
      </c>
      <c r="J80" s="747"/>
      <c r="K80" s="678" t="str">
        <f t="shared" ca="1" si="6"/>
        <v/>
      </c>
      <c r="L80" s="697" t="str">
        <f t="shared" ca="1" si="7"/>
        <v/>
      </c>
      <c r="M80" s="678" t="str">
        <f t="shared" ca="1" si="8"/>
        <v/>
      </c>
      <c r="O80" s="680" t="str">
        <f t="shared" ca="1" si="14"/>
        <v/>
      </c>
      <c r="P80" s="692" t="str">
        <f t="shared" ca="1" si="12"/>
        <v/>
      </c>
      <c r="Q80" s="692" t="str">
        <f t="shared" ca="1" si="13"/>
        <v/>
      </c>
    </row>
    <row r="81" spans="4:17">
      <c r="D81" s="697">
        <f t="shared" ca="1" si="5"/>
        <v>11</v>
      </c>
      <c r="E81" s="226">
        <f t="shared" ca="1" si="9"/>
        <v>48153</v>
      </c>
      <c r="F81" s="35">
        <f t="shared" si="10"/>
        <v>59</v>
      </c>
      <c r="G81" s="36">
        <f t="shared" si="3"/>
        <v>0</v>
      </c>
      <c r="H81" s="36">
        <f t="shared" si="4"/>
        <v>0</v>
      </c>
      <c r="I81" s="747">
        <f t="shared" si="11"/>
        <v>0</v>
      </c>
      <c r="J81" s="747"/>
      <c r="K81" s="678" t="str">
        <f t="shared" ca="1" si="6"/>
        <v/>
      </c>
      <c r="L81" s="697" t="str">
        <f t="shared" ca="1" si="7"/>
        <v/>
      </c>
      <c r="M81" s="678" t="str">
        <f t="shared" ca="1" si="8"/>
        <v/>
      </c>
      <c r="O81" s="680" t="str">
        <f t="shared" ca="1" si="14"/>
        <v/>
      </c>
      <c r="P81" s="692" t="str">
        <f t="shared" ca="1" si="12"/>
        <v/>
      </c>
      <c r="Q81" s="692" t="str">
        <f t="shared" ca="1" si="13"/>
        <v/>
      </c>
    </row>
    <row r="82" spans="4:17">
      <c r="D82" s="697">
        <f t="shared" ca="1" si="5"/>
        <v>12</v>
      </c>
      <c r="E82" s="226">
        <f t="shared" ca="1" si="9"/>
        <v>48183</v>
      </c>
      <c r="F82" s="35">
        <f t="shared" si="10"/>
        <v>60</v>
      </c>
      <c r="G82" s="36">
        <f t="shared" si="3"/>
        <v>0</v>
      </c>
      <c r="H82" s="36">
        <f t="shared" si="4"/>
        <v>0</v>
      </c>
      <c r="I82" s="747">
        <f t="shared" si="11"/>
        <v>0</v>
      </c>
      <c r="J82" s="747"/>
      <c r="K82" s="678">
        <f t="shared" ca="1" si="6"/>
        <v>0</v>
      </c>
      <c r="L82" s="697">
        <f t="shared" ca="1" si="7"/>
        <v>2031</v>
      </c>
      <c r="M82" s="678">
        <f t="shared" ca="1" si="8"/>
        <v>0</v>
      </c>
      <c r="O82" s="680" t="str">
        <f t="shared" ca="1" si="14"/>
        <v/>
      </c>
      <c r="P82" s="692" t="str">
        <f t="shared" ca="1" si="12"/>
        <v/>
      </c>
      <c r="Q82" s="692" t="str">
        <f t="shared" ca="1" si="13"/>
        <v/>
      </c>
    </row>
    <row r="83" spans="4:17">
      <c r="D83" s="697">
        <f t="shared" ca="1" si="5"/>
        <v>1</v>
      </c>
      <c r="E83" s="226">
        <f t="shared" ca="1" si="9"/>
        <v>48214</v>
      </c>
      <c r="F83" s="35">
        <f t="shared" si="10"/>
        <v>61</v>
      </c>
      <c r="G83" s="36">
        <f t="shared" si="3"/>
        <v>0</v>
      </c>
      <c r="H83" s="36">
        <f t="shared" si="4"/>
        <v>0</v>
      </c>
      <c r="I83" s="747">
        <f t="shared" si="11"/>
        <v>0</v>
      </c>
      <c r="J83" s="747"/>
      <c r="K83" s="678" t="str">
        <f t="shared" ca="1" si="6"/>
        <v/>
      </c>
      <c r="L83" s="697" t="str">
        <f t="shared" ca="1" si="7"/>
        <v/>
      </c>
      <c r="M83" s="678" t="str">
        <f t="shared" ca="1" si="8"/>
        <v/>
      </c>
      <c r="O83" s="680" t="str">
        <f t="shared" ca="1" si="14"/>
        <v/>
      </c>
      <c r="P83" s="692" t="str">
        <f t="shared" ca="1" si="12"/>
        <v/>
      </c>
      <c r="Q83" s="692" t="str">
        <f t="shared" ca="1" si="13"/>
        <v/>
      </c>
    </row>
    <row r="84" spans="4:17">
      <c r="D84" s="697">
        <f t="shared" ca="1" si="5"/>
        <v>2</v>
      </c>
      <c r="E84" s="226">
        <f t="shared" ca="1" si="9"/>
        <v>48245</v>
      </c>
      <c r="F84" s="35">
        <f t="shared" si="10"/>
        <v>62</v>
      </c>
      <c r="G84" s="36">
        <f t="shared" si="3"/>
        <v>0</v>
      </c>
      <c r="H84" s="36">
        <f t="shared" si="4"/>
        <v>0</v>
      </c>
      <c r="I84" s="747">
        <f t="shared" si="11"/>
        <v>0</v>
      </c>
      <c r="J84" s="747"/>
      <c r="K84" s="678" t="str">
        <f t="shared" ca="1" si="6"/>
        <v/>
      </c>
      <c r="L84" s="697" t="str">
        <f t="shared" ca="1" si="7"/>
        <v/>
      </c>
      <c r="M84" s="678" t="str">
        <f t="shared" ca="1" si="8"/>
        <v/>
      </c>
      <c r="O84" s="680" t="str">
        <f t="shared" ca="1" si="14"/>
        <v/>
      </c>
      <c r="P84" s="692" t="str">
        <f t="shared" ca="1" si="12"/>
        <v/>
      </c>
      <c r="Q84" s="692" t="str">
        <f t="shared" ca="1" si="13"/>
        <v/>
      </c>
    </row>
    <row r="85" spans="4:17">
      <c r="D85" s="697">
        <f t="shared" ca="1" si="5"/>
        <v>3</v>
      </c>
      <c r="E85" s="226">
        <f t="shared" ca="1" si="9"/>
        <v>48274</v>
      </c>
      <c r="F85" s="35">
        <f t="shared" si="10"/>
        <v>63</v>
      </c>
      <c r="G85" s="36">
        <f t="shared" si="3"/>
        <v>0</v>
      </c>
      <c r="H85" s="36">
        <f t="shared" si="4"/>
        <v>0</v>
      </c>
      <c r="I85" s="747">
        <f t="shared" si="11"/>
        <v>0</v>
      </c>
      <c r="J85" s="747"/>
      <c r="K85" s="678" t="str">
        <f t="shared" ca="1" si="6"/>
        <v/>
      </c>
      <c r="L85" s="697" t="str">
        <f t="shared" ca="1" si="7"/>
        <v/>
      </c>
      <c r="M85" s="678" t="str">
        <f t="shared" ca="1" si="8"/>
        <v/>
      </c>
      <c r="O85" s="680" t="str">
        <f t="shared" ca="1" si="14"/>
        <v/>
      </c>
      <c r="P85" s="692" t="str">
        <f t="shared" ca="1" si="12"/>
        <v/>
      </c>
      <c r="Q85" s="692" t="str">
        <f t="shared" ca="1" si="13"/>
        <v/>
      </c>
    </row>
    <row r="86" spans="4:17">
      <c r="D86" s="697">
        <f t="shared" ca="1" si="5"/>
        <v>4</v>
      </c>
      <c r="E86" s="226">
        <f t="shared" ca="1" si="9"/>
        <v>48305</v>
      </c>
      <c r="F86" s="35">
        <f t="shared" si="10"/>
        <v>64</v>
      </c>
      <c r="G86" s="36">
        <f t="shared" si="3"/>
        <v>0</v>
      </c>
      <c r="H86" s="36">
        <f t="shared" si="4"/>
        <v>0</v>
      </c>
      <c r="I86" s="747">
        <f t="shared" si="11"/>
        <v>0</v>
      </c>
      <c r="J86" s="747"/>
      <c r="K86" s="678" t="str">
        <f t="shared" ca="1" si="6"/>
        <v/>
      </c>
      <c r="L86" s="697" t="str">
        <f t="shared" ca="1" si="7"/>
        <v/>
      </c>
      <c r="M86" s="678" t="str">
        <f t="shared" ca="1" si="8"/>
        <v/>
      </c>
      <c r="O86" s="680" t="str">
        <f t="shared" ca="1" si="14"/>
        <v/>
      </c>
      <c r="P86" s="692" t="str">
        <f t="shared" ca="1" si="12"/>
        <v/>
      </c>
      <c r="Q86" s="692" t="str">
        <f t="shared" ca="1" si="13"/>
        <v/>
      </c>
    </row>
    <row r="87" spans="4:17">
      <c r="D87" s="697">
        <f t="shared" ca="1" si="5"/>
        <v>5</v>
      </c>
      <c r="E87" s="226">
        <f t="shared" ca="1" si="9"/>
        <v>48335</v>
      </c>
      <c r="F87" s="35">
        <f t="shared" si="10"/>
        <v>65</v>
      </c>
      <c r="G87" s="36">
        <f t="shared" ref="G87:G150" si="15">IFERROR(IF(F87&lt;&gt;"",-IPMT($G$15/12,F87,$G$16,$G$13),""),0)</f>
        <v>0</v>
      </c>
      <c r="H87" s="36">
        <f t="shared" ref="H87:H150" si="16">IFERROR(IF(F87&lt;&gt;"",-PPMT($G$15/12,F87,$G$16,$G$13),""),0)</f>
        <v>0</v>
      </c>
      <c r="I87" s="747">
        <f t="shared" si="11"/>
        <v>0</v>
      </c>
      <c r="J87" s="747"/>
      <c r="K87" s="678" t="str">
        <f t="shared" ca="1" si="6"/>
        <v/>
      </c>
      <c r="L87" s="697" t="str">
        <f t="shared" ca="1" si="7"/>
        <v/>
      </c>
      <c r="M87" s="678" t="str">
        <f t="shared" ca="1" si="8"/>
        <v/>
      </c>
      <c r="O87" s="680" t="str">
        <f t="shared" ca="1" si="14"/>
        <v/>
      </c>
      <c r="P87" s="692" t="str">
        <f t="shared" ca="1" si="12"/>
        <v/>
      </c>
      <c r="Q87" s="692" t="str">
        <f t="shared" ca="1" si="13"/>
        <v/>
      </c>
    </row>
    <row r="88" spans="4:17">
      <c r="D88" s="697">
        <f t="shared" ref="D88:D151" ca="1" si="17">IF(E88="","",MONTH(E88))</f>
        <v>6</v>
      </c>
      <c r="E88" s="226">
        <f t="shared" ca="1" si="9"/>
        <v>48366</v>
      </c>
      <c r="F88" s="35">
        <f t="shared" si="10"/>
        <v>66</v>
      </c>
      <c r="G88" s="36">
        <f t="shared" si="15"/>
        <v>0</v>
      </c>
      <c r="H88" s="36">
        <f t="shared" si="16"/>
        <v>0</v>
      </c>
      <c r="I88" s="747">
        <f t="shared" si="11"/>
        <v>0</v>
      </c>
      <c r="J88" s="747"/>
      <c r="K88" s="678" t="str">
        <f t="shared" ref="K88:K151" ca="1" si="18">IF(D88=12,G88+G87+G86+G85+G84+G83+G82+G81+G80+G79+G78+G77,"")</f>
        <v/>
      </c>
      <c r="L88" s="697" t="str">
        <f t="shared" ref="L88:L151" ca="1" si="19">IF(D88=12,YEAR(E88),"")</f>
        <v/>
      </c>
      <c r="M88" s="678" t="str">
        <f t="shared" ref="M88:M151" ca="1" si="20">IF(D88=12,H88+H87+H86+H85+H84+H83+H82+H81+H80+H79+H78+H77,"")</f>
        <v/>
      </c>
      <c r="O88" s="680" t="str">
        <f t="shared" ca="1" si="14"/>
        <v/>
      </c>
      <c r="P88" s="692" t="str">
        <f t="shared" ca="1" si="12"/>
        <v/>
      </c>
      <c r="Q88" s="692" t="str">
        <f t="shared" ca="1" si="13"/>
        <v/>
      </c>
    </row>
    <row r="89" spans="4:17">
      <c r="D89" s="697">
        <f t="shared" ca="1" si="17"/>
        <v>7</v>
      </c>
      <c r="E89" s="226">
        <f t="shared" ref="E89:E152" ca="1" si="21">IFERROR(IF($G$16&lt;=F88,"",DATE(YEAR(E88),MONTH(E88)+1,DAY(E88))),"")</f>
        <v>48396</v>
      </c>
      <c r="F89" s="35">
        <f t="shared" ref="F89:F152" si="22">IF(OR(F88="",F88=$G$16),"",IF(F88&lt;$G$16,F88+1,0))</f>
        <v>67</v>
      </c>
      <c r="G89" s="36">
        <f t="shared" si="15"/>
        <v>0</v>
      </c>
      <c r="H89" s="36">
        <f t="shared" si="16"/>
        <v>0</v>
      </c>
      <c r="I89" s="747">
        <f t="shared" ref="I89:I152" si="23">IF(F89&lt;&gt;"",I88-H89,"")</f>
        <v>0</v>
      </c>
      <c r="J89" s="747"/>
      <c r="K89" s="678" t="str">
        <f t="shared" ca="1" si="18"/>
        <v/>
      </c>
      <c r="L89" s="697" t="str">
        <f t="shared" ca="1" si="19"/>
        <v/>
      </c>
      <c r="M89" s="678" t="str">
        <f t="shared" ca="1" si="20"/>
        <v/>
      </c>
      <c r="O89" s="680" t="str">
        <f t="shared" ca="1" si="14"/>
        <v/>
      </c>
      <c r="P89" s="692" t="str">
        <f t="shared" ca="1" si="12"/>
        <v/>
      </c>
      <c r="Q89" s="692" t="str">
        <f t="shared" ca="1" si="13"/>
        <v/>
      </c>
    </row>
    <row r="90" spans="4:17">
      <c r="D90" s="697">
        <f t="shared" ca="1" si="17"/>
        <v>8</v>
      </c>
      <c r="E90" s="226">
        <f t="shared" ca="1" si="21"/>
        <v>48427</v>
      </c>
      <c r="F90" s="35">
        <f t="shared" si="22"/>
        <v>68</v>
      </c>
      <c r="G90" s="36">
        <f t="shared" si="15"/>
        <v>0</v>
      </c>
      <c r="H90" s="36">
        <f t="shared" si="16"/>
        <v>0</v>
      </c>
      <c r="I90" s="747">
        <f t="shared" si="23"/>
        <v>0</v>
      </c>
      <c r="J90" s="747"/>
      <c r="K90" s="678" t="str">
        <f t="shared" ca="1" si="18"/>
        <v/>
      </c>
      <c r="L90" s="697" t="str">
        <f t="shared" ca="1" si="19"/>
        <v/>
      </c>
      <c r="M90" s="678" t="str">
        <f t="shared" ca="1" si="20"/>
        <v/>
      </c>
      <c r="O90" s="680" t="str">
        <f t="shared" ca="1" si="14"/>
        <v/>
      </c>
      <c r="P90" s="692" t="str">
        <f t="shared" ca="1" si="12"/>
        <v/>
      </c>
      <c r="Q90" s="692" t="str">
        <f t="shared" ca="1" si="13"/>
        <v/>
      </c>
    </row>
    <row r="91" spans="4:17">
      <c r="D91" s="697">
        <f t="shared" ca="1" si="17"/>
        <v>9</v>
      </c>
      <c r="E91" s="226">
        <f t="shared" ca="1" si="21"/>
        <v>48458</v>
      </c>
      <c r="F91" s="35">
        <f t="shared" si="22"/>
        <v>69</v>
      </c>
      <c r="G91" s="36">
        <f t="shared" si="15"/>
        <v>0</v>
      </c>
      <c r="H91" s="36">
        <f t="shared" si="16"/>
        <v>0</v>
      </c>
      <c r="I91" s="747">
        <f t="shared" si="23"/>
        <v>0</v>
      </c>
      <c r="J91" s="747"/>
      <c r="K91" s="678" t="str">
        <f t="shared" ca="1" si="18"/>
        <v/>
      </c>
      <c r="L91" s="697" t="str">
        <f t="shared" ca="1" si="19"/>
        <v/>
      </c>
      <c r="M91" s="678" t="str">
        <f t="shared" ca="1" si="20"/>
        <v/>
      </c>
      <c r="O91" s="680" t="str">
        <f t="shared" ca="1" si="14"/>
        <v/>
      </c>
      <c r="P91" s="692" t="str">
        <f t="shared" ca="1" si="12"/>
        <v/>
      </c>
      <c r="Q91" s="692" t="str">
        <f t="shared" ca="1" si="13"/>
        <v/>
      </c>
    </row>
    <row r="92" spans="4:17">
      <c r="D92" s="697">
        <f t="shared" ca="1" si="17"/>
        <v>10</v>
      </c>
      <c r="E92" s="226">
        <f t="shared" ca="1" si="21"/>
        <v>48488</v>
      </c>
      <c r="F92" s="35">
        <f t="shared" si="22"/>
        <v>70</v>
      </c>
      <c r="G92" s="36">
        <f t="shared" si="15"/>
        <v>0</v>
      </c>
      <c r="H92" s="36">
        <f t="shared" si="16"/>
        <v>0</v>
      </c>
      <c r="I92" s="747">
        <f t="shared" si="23"/>
        <v>0</v>
      </c>
      <c r="J92" s="747"/>
      <c r="K92" s="678" t="str">
        <f t="shared" ca="1" si="18"/>
        <v/>
      </c>
      <c r="L92" s="697" t="str">
        <f t="shared" ca="1" si="19"/>
        <v/>
      </c>
      <c r="M92" s="678" t="str">
        <f t="shared" ca="1" si="20"/>
        <v/>
      </c>
      <c r="O92" s="680" t="str">
        <f t="shared" ca="1" si="14"/>
        <v/>
      </c>
      <c r="P92" s="692" t="str">
        <f t="shared" ca="1" si="12"/>
        <v/>
      </c>
      <c r="Q92" s="692" t="str">
        <f t="shared" ca="1" si="13"/>
        <v/>
      </c>
    </row>
    <row r="93" spans="4:17">
      <c r="D93" s="697">
        <f t="shared" ca="1" si="17"/>
        <v>11</v>
      </c>
      <c r="E93" s="226">
        <f t="shared" ca="1" si="21"/>
        <v>48519</v>
      </c>
      <c r="F93" s="35">
        <f t="shared" si="22"/>
        <v>71</v>
      </c>
      <c r="G93" s="36">
        <f t="shared" si="15"/>
        <v>0</v>
      </c>
      <c r="H93" s="36">
        <f t="shared" si="16"/>
        <v>0</v>
      </c>
      <c r="I93" s="747">
        <f t="shared" si="23"/>
        <v>0</v>
      </c>
      <c r="J93" s="747"/>
      <c r="K93" s="678" t="str">
        <f t="shared" ca="1" si="18"/>
        <v/>
      </c>
      <c r="L93" s="697" t="str">
        <f t="shared" ca="1" si="19"/>
        <v/>
      </c>
      <c r="M93" s="678" t="str">
        <f t="shared" ca="1" si="20"/>
        <v/>
      </c>
      <c r="O93" s="680" t="str">
        <f t="shared" ca="1" si="14"/>
        <v/>
      </c>
      <c r="P93" s="692" t="str">
        <f t="shared" ca="1" si="12"/>
        <v/>
      </c>
      <c r="Q93" s="692" t="str">
        <f t="shared" ca="1" si="13"/>
        <v/>
      </c>
    </row>
    <row r="94" spans="4:17">
      <c r="D94" s="697">
        <f t="shared" ca="1" si="17"/>
        <v>12</v>
      </c>
      <c r="E94" s="226">
        <f t="shared" ca="1" si="21"/>
        <v>48549</v>
      </c>
      <c r="F94" s="35">
        <f t="shared" si="22"/>
        <v>72</v>
      </c>
      <c r="G94" s="36">
        <f t="shared" si="15"/>
        <v>0</v>
      </c>
      <c r="H94" s="36">
        <f t="shared" si="16"/>
        <v>0</v>
      </c>
      <c r="I94" s="747">
        <f t="shared" si="23"/>
        <v>0</v>
      </c>
      <c r="J94" s="747"/>
      <c r="K94" s="678">
        <f t="shared" ca="1" si="18"/>
        <v>0</v>
      </c>
      <c r="L94" s="697">
        <f t="shared" ca="1" si="19"/>
        <v>2032</v>
      </c>
      <c r="M94" s="678">
        <f t="shared" ca="1" si="20"/>
        <v>0</v>
      </c>
      <c r="O94" s="680" t="str">
        <f t="shared" ca="1" si="14"/>
        <v/>
      </c>
      <c r="P94" s="692" t="str">
        <f t="shared" ca="1" si="12"/>
        <v/>
      </c>
      <c r="Q94" s="692" t="str">
        <f t="shared" ca="1" si="13"/>
        <v/>
      </c>
    </row>
    <row r="95" spans="4:17">
      <c r="D95" s="697">
        <f t="shared" ca="1" si="17"/>
        <v>1</v>
      </c>
      <c r="E95" s="226">
        <f t="shared" ca="1" si="21"/>
        <v>48580</v>
      </c>
      <c r="F95" s="35">
        <f t="shared" si="22"/>
        <v>73</v>
      </c>
      <c r="G95" s="36">
        <f t="shared" si="15"/>
        <v>0</v>
      </c>
      <c r="H95" s="36">
        <f t="shared" si="16"/>
        <v>0</v>
      </c>
      <c r="I95" s="747">
        <f t="shared" si="23"/>
        <v>0</v>
      </c>
      <c r="J95" s="747"/>
      <c r="K95" s="678" t="str">
        <f t="shared" ca="1" si="18"/>
        <v/>
      </c>
      <c r="L95" s="697" t="str">
        <f t="shared" ca="1" si="19"/>
        <v/>
      </c>
      <c r="M95" s="678" t="str">
        <f t="shared" ca="1" si="20"/>
        <v/>
      </c>
      <c r="O95" s="680" t="str">
        <f t="shared" ca="1" si="14"/>
        <v/>
      </c>
      <c r="P95" s="692" t="str">
        <f t="shared" ca="1" si="12"/>
        <v/>
      </c>
      <c r="Q95" s="692" t="str">
        <f t="shared" ca="1" si="13"/>
        <v/>
      </c>
    </row>
    <row r="96" spans="4:17">
      <c r="D96" s="697">
        <f t="shared" ca="1" si="17"/>
        <v>2</v>
      </c>
      <c r="E96" s="226">
        <f t="shared" ca="1" si="21"/>
        <v>48611</v>
      </c>
      <c r="F96" s="35">
        <f t="shared" si="22"/>
        <v>74</v>
      </c>
      <c r="G96" s="36">
        <f t="shared" si="15"/>
        <v>0</v>
      </c>
      <c r="H96" s="36">
        <f t="shared" si="16"/>
        <v>0</v>
      </c>
      <c r="I96" s="747">
        <f t="shared" si="23"/>
        <v>0</v>
      </c>
      <c r="J96" s="747"/>
      <c r="K96" s="678" t="str">
        <f t="shared" ca="1" si="18"/>
        <v/>
      </c>
      <c r="L96" s="697" t="str">
        <f t="shared" ca="1" si="19"/>
        <v/>
      </c>
      <c r="M96" s="678" t="str">
        <f t="shared" ca="1" si="20"/>
        <v/>
      </c>
      <c r="O96" s="680" t="str">
        <f t="shared" ca="1" si="14"/>
        <v/>
      </c>
      <c r="P96" s="692" t="str">
        <f t="shared" ca="1" si="12"/>
        <v/>
      </c>
      <c r="Q96" s="692" t="str">
        <f t="shared" ca="1" si="13"/>
        <v/>
      </c>
    </row>
    <row r="97" spans="4:17">
      <c r="D97" s="697">
        <f t="shared" ca="1" si="17"/>
        <v>3</v>
      </c>
      <c r="E97" s="226">
        <f t="shared" ca="1" si="21"/>
        <v>48639</v>
      </c>
      <c r="F97" s="35">
        <f t="shared" si="22"/>
        <v>75</v>
      </c>
      <c r="G97" s="36">
        <f t="shared" si="15"/>
        <v>0</v>
      </c>
      <c r="H97" s="36">
        <f t="shared" si="16"/>
        <v>0</v>
      </c>
      <c r="I97" s="747">
        <f t="shared" si="23"/>
        <v>0</v>
      </c>
      <c r="J97" s="747"/>
      <c r="K97" s="678" t="str">
        <f t="shared" ca="1" si="18"/>
        <v/>
      </c>
      <c r="L97" s="697" t="str">
        <f t="shared" ca="1" si="19"/>
        <v/>
      </c>
      <c r="M97" s="678" t="str">
        <f t="shared" ca="1" si="20"/>
        <v/>
      </c>
      <c r="O97" s="680" t="str">
        <f t="shared" ca="1" si="14"/>
        <v/>
      </c>
      <c r="P97" s="692" t="str">
        <f t="shared" ca="1" si="12"/>
        <v/>
      </c>
      <c r="Q97" s="692" t="str">
        <f t="shared" ca="1" si="13"/>
        <v/>
      </c>
    </row>
    <row r="98" spans="4:17">
      <c r="D98" s="697">
        <f t="shared" ca="1" si="17"/>
        <v>4</v>
      </c>
      <c r="E98" s="226">
        <f t="shared" ca="1" si="21"/>
        <v>48670</v>
      </c>
      <c r="F98" s="35">
        <f t="shared" si="22"/>
        <v>76</v>
      </c>
      <c r="G98" s="36">
        <f t="shared" si="15"/>
        <v>0</v>
      </c>
      <c r="H98" s="36">
        <f t="shared" si="16"/>
        <v>0</v>
      </c>
      <c r="I98" s="747">
        <f t="shared" si="23"/>
        <v>0</v>
      </c>
      <c r="J98" s="747"/>
      <c r="K98" s="678" t="str">
        <f t="shared" ca="1" si="18"/>
        <v/>
      </c>
      <c r="L98" s="697" t="str">
        <f t="shared" ca="1" si="19"/>
        <v/>
      </c>
      <c r="M98" s="678" t="str">
        <f t="shared" ca="1" si="20"/>
        <v/>
      </c>
      <c r="O98" s="680" t="str">
        <f t="shared" ca="1" si="14"/>
        <v/>
      </c>
      <c r="P98" s="692" t="str">
        <f t="shared" ca="1" si="12"/>
        <v/>
      </c>
      <c r="Q98" s="692" t="str">
        <f t="shared" ca="1" si="13"/>
        <v/>
      </c>
    </row>
    <row r="99" spans="4:17">
      <c r="D99" s="697">
        <f t="shared" ca="1" si="17"/>
        <v>5</v>
      </c>
      <c r="E99" s="226">
        <f t="shared" ca="1" si="21"/>
        <v>48700</v>
      </c>
      <c r="F99" s="35">
        <f t="shared" si="22"/>
        <v>77</v>
      </c>
      <c r="G99" s="36">
        <f t="shared" si="15"/>
        <v>0</v>
      </c>
      <c r="H99" s="36">
        <f t="shared" si="16"/>
        <v>0</v>
      </c>
      <c r="I99" s="747">
        <f t="shared" si="23"/>
        <v>0</v>
      </c>
      <c r="J99" s="747"/>
      <c r="K99" s="678" t="str">
        <f t="shared" ca="1" si="18"/>
        <v/>
      </c>
      <c r="L99" s="697" t="str">
        <f t="shared" ca="1" si="19"/>
        <v/>
      </c>
      <c r="M99" s="678" t="str">
        <f t="shared" ca="1" si="20"/>
        <v/>
      </c>
      <c r="O99" s="680" t="str">
        <f t="shared" ca="1" si="14"/>
        <v/>
      </c>
      <c r="P99" s="692" t="str">
        <f t="shared" ca="1" si="12"/>
        <v/>
      </c>
      <c r="Q99" s="692" t="str">
        <f t="shared" ca="1" si="13"/>
        <v/>
      </c>
    </row>
    <row r="100" spans="4:17">
      <c r="D100" s="697">
        <f t="shared" ca="1" si="17"/>
        <v>6</v>
      </c>
      <c r="E100" s="226">
        <f t="shared" ca="1" si="21"/>
        <v>48731</v>
      </c>
      <c r="F100" s="35">
        <f t="shared" si="22"/>
        <v>78</v>
      </c>
      <c r="G100" s="36">
        <f t="shared" si="15"/>
        <v>0</v>
      </c>
      <c r="H100" s="36">
        <f t="shared" si="16"/>
        <v>0</v>
      </c>
      <c r="I100" s="747">
        <f t="shared" si="23"/>
        <v>0</v>
      </c>
      <c r="J100" s="747"/>
      <c r="K100" s="678" t="str">
        <f t="shared" ca="1" si="18"/>
        <v/>
      </c>
      <c r="L100" s="697" t="str">
        <f t="shared" ca="1" si="19"/>
        <v/>
      </c>
      <c r="M100" s="678" t="str">
        <f t="shared" ca="1" si="20"/>
        <v/>
      </c>
      <c r="O100" s="680" t="str">
        <f t="shared" ca="1" si="14"/>
        <v/>
      </c>
      <c r="P100" s="692" t="str">
        <f t="shared" ca="1" si="12"/>
        <v/>
      </c>
      <c r="Q100" s="692" t="str">
        <f t="shared" ca="1" si="13"/>
        <v/>
      </c>
    </row>
    <row r="101" spans="4:17">
      <c r="D101" s="697">
        <f t="shared" ca="1" si="17"/>
        <v>7</v>
      </c>
      <c r="E101" s="226">
        <f t="shared" ca="1" si="21"/>
        <v>48761</v>
      </c>
      <c r="F101" s="35">
        <f t="shared" si="22"/>
        <v>79</v>
      </c>
      <c r="G101" s="36">
        <f t="shared" si="15"/>
        <v>0</v>
      </c>
      <c r="H101" s="36">
        <f t="shared" si="16"/>
        <v>0</v>
      </c>
      <c r="I101" s="747">
        <f t="shared" si="23"/>
        <v>0</v>
      </c>
      <c r="J101" s="747"/>
      <c r="K101" s="678" t="str">
        <f t="shared" ca="1" si="18"/>
        <v/>
      </c>
      <c r="L101" s="697" t="str">
        <f t="shared" ca="1" si="19"/>
        <v/>
      </c>
      <c r="M101" s="678" t="str">
        <f t="shared" ca="1" si="20"/>
        <v/>
      </c>
      <c r="O101" s="680" t="str">
        <f t="shared" ca="1" si="14"/>
        <v/>
      </c>
      <c r="P101" s="692" t="str">
        <f t="shared" ca="1" si="12"/>
        <v/>
      </c>
      <c r="Q101" s="692" t="str">
        <f t="shared" ca="1" si="13"/>
        <v/>
      </c>
    </row>
    <row r="102" spans="4:17">
      <c r="D102" s="697">
        <f t="shared" ca="1" si="17"/>
        <v>8</v>
      </c>
      <c r="E102" s="226">
        <f t="shared" ca="1" si="21"/>
        <v>48792</v>
      </c>
      <c r="F102" s="35">
        <f t="shared" si="22"/>
        <v>80</v>
      </c>
      <c r="G102" s="36">
        <f t="shared" si="15"/>
        <v>0</v>
      </c>
      <c r="H102" s="36">
        <f t="shared" si="16"/>
        <v>0</v>
      </c>
      <c r="I102" s="747">
        <f t="shared" si="23"/>
        <v>0</v>
      </c>
      <c r="J102" s="747"/>
      <c r="K102" s="678" t="str">
        <f t="shared" ca="1" si="18"/>
        <v/>
      </c>
      <c r="L102" s="697" t="str">
        <f t="shared" ca="1" si="19"/>
        <v/>
      </c>
      <c r="M102" s="678" t="str">
        <f t="shared" ca="1" si="20"/>
        <v/>
      </c>
      <c r="O102" s="680" t="str">
        <f t="shared" ca="1" si="14"/>
        <v/>
      </c>
      <c r="P102" s="692" t="str">
        <f t="shared" ca="1" si="12"/>
        <v/>
      </c>
      <c r="Q102" s="692" t="str">
        <f t="shared" ca="1" si="13"/>
        <v/>
      </c>
    </row>
    <row r="103" spans="4:17">
      <c r="D103" s="697">
        <f t="shared" ca="1" si="17"/>
        <v>9</v>
      </c>
      <c r="E103" s="226">
        <f t="shared" ca="1" si="21"/>
        <v>48823</v>
      </c>
      <c r="F103" s="35">
        <f t="shared" si="22"/>
        <v>81</v>
      </c>
      <c r="G103" s="36">
        <f t="shared" si="15"/>
        <v>0</v>
      </c>
      <c r="H103" s="36">
        <f t="shared" si="16"/>
        <v>0</v>
      </c>
      <c r="I103" s="747">
        <f t="shared" si="23"/>
        <v>0</v>
      </c>
      <c r="J103" s="747"/>
      <c r="K103" s="678" t="str">
        <f t="shared" ca="1" si="18"/>
        <v/>
      </c>
      <c r="L103" s="697" t="str">
        <f t="shared" ca="1" si="19"/>
        <v/>
      </c>
      <c r="M103" s="678" t="str">
        <f t="shared" ca="1" si="20"/>
        <v/>
      </c>
      <c r="O103" s="680" t="str">
        <f t="shared" ca="1" si="14"/>
        <v/>
      </c>
      <c r="P103" s="692" t="str">
        <f t="shared" ca="1" si="12"/>
        <v/>
      </c>
      <c r="Q103" s="692" t="str">
        <f t="shared" ca="1" si="13"/>
        <v/>
      </c>
    </row>
    <row r="104" spans="4:17">
      <c r="D104" s="697">
        <f t="shared" ca="1" si="17"/>
        <v>10</v>
      </c>
      <c r="E104" s="226">
        <f t="shared" ca="1" si="21"/>
        <v>48853</v>
      </c>
      <c r="F104" s="35">
        <f t="shared" si="22"/>
        <v>82</v>
      </c>
      <c r="G104" s="36">
        <f t="shared" si="15"/>
        <v>0</v>
      </c>
      <c r="H104" s="36">
        <f t="shared" si="16"/>
        <v>0</v>
      </c>
      <c r="I104" s="747">
        <f t="shared" si="23"/>
        <v>0</v>
      </c>
      <c r="J104" s="747"/>
      <c r="K104" s="678" t="str">
        <f t="shared" ca="1" si="18"/>
        <v/>
      </c>
      <c r="L104" s="697" t="str">
        <f t="shared" ca="1" si="19"/>
        <v/>
      </c>
      <c r="M104" s="678" t="str">
        <f t="shared" ca="1" si="20"/>
        <v/>
      </c>
      <c r="O104" s="680" t="str">
        <f t="shared" ca="1" si="14"/>
        <v/>
      </c>
      <c r="P104" s="692" t="str">
        <f t="shared" ca="1" si="12"/>
        <v/>
      </c>
      <c r="Q104" s="692" t="str">
        <f t="shared" ca="1" si="13"/>
        <v/>
      </c>
    </row>
    <row r="105" spans="4:17">
      <c r="D105" s="697">
        <f t="shared" ca="1" si="17"/>
        <v>11</v>
      </c>
      <c r="E105" s="226">
        <f t="shared" ca="1" si="21"/>
        <v>48884</v>
      </c>
      <c r="F105" s="35">
        <f t="shared" si="22"/>
        <v>83</v>
      </c>
      <c r="G105" s="36">
        <f t="shared" si="15"/>
        <v>0</v>
      </c>
      <c r="H105" s="36">
        <f t="shared" si="16"/>
        <v>0</v>
      </c>
      <c r="I105" s="747">
        <f t="shared" si="23"/>
        <v>0</v>
      </c>
      <c r="J105" s="747"/>
      <c r="K105" s="678" t="str">
        <f t="shared" ca="1" si="18"/>
        <v/>
      </c>
      <c r="L105" s="697" t="str">
        <f t="shared" ca="1" si="19"/>
        <v/>
      </c>
      <c r="M105" s="678" t="str">
        <f t="shared" ca="1" si="20"/>
        <v/>
      </c>
      <c r="O105" s="680" t="str">
        <f t="shared" ca="1" si="14"/>
        <v/>
      </c>
      <c r="P105" s="692" t="str">
        <f t="shared" ca="1" si="12"/>
        <v/>
      </c>
      <c r="Q105" s="692" t="str">
        <f t="shared" ca="1" si="13"/>
        <v/>
      </c>
    </row>
    <row r="106" spans="4:17">
      <c r="D106" s="697">
        <f t="shared" ca="1" si="17"/>
        <v>12</v>
      </c>
      <c r="E106" s="226">
        <f t="shared" ca="1" si="21"/>
        <v>48914</v>
      </c>
      <c r="F106" s="35">
        <f t="shared" si="22"/>
        <v>84</v>
      </c>
      <c r="G106" s="36">
        <f t="shared" si="15"/>
        <v>0</v>
      </c>
      <c r="H106" s="36">
        <f t="shared" si="16"/>
        <v>0</v>
      </c>
      <c r="I106" s="747">
        <f t="shared" si="23"/>
        <v>0</v>
      </c>
      <c r="J106" s="747"/>
      <c r="K106" s="678">
        <f t="shared" ca="1" si="18"/>
        <v>0</v>
      </c>
      <c r="L106" s="697">
        <f t="shared" ca="1" si="19"/>
        <v>2033</v>
      </c>
      <c r="M106" s="678">
        <f t="shared" ca="1" si="20"/>
        <v>0</v>
      </c>
      <c r="O106" s="680" t="str">
        <f t="shared" ca="1" si="14"/>
        <v/>
      </c>
      <c r="P106" s="692" t="str">
        <f t="shared" ca="1" si="12"/>
        <v/>
      </c>
      <c r="Q106" s="692" t="str">
        <f t="shared" ca="1" si="13"/>
        <v/>
      </c>
    </row>
    <row r="107" spans="4:17">
      <c r="D107" s="697">
        <f t="shared" ca="1" si="17"/>
        <v>1</v>
      </c>
      <c r="E107" s="226">
        <f t="shared" ca="1" si="21"/>
        <v>48945</v>
      </c>
      <c r="F107" s="35">
        <f t="shared" si="22"/>
        <v>85</v>
      </c>
      <c r="G107" s="36">
        <f t="shared" si="15"/>
        <v>0</v>
      </c>
      <c r="H107" s="36">
        <f t="shared" si="16"/>
        <v>0</v>
      </c>
      <c r="I107" s="747">
        <f t="shared" si="23"/>
        <v>0</v>
      </c>
      <c r="J107" s="747"/>
      <c r="K107" s="678" t="str">
        <f t="shared" ca="1" si="18"/>
        <v/>
      </c>
      <c r="L107" s="697" t="str">
        <f t="shared" ca="1" si="19"/>
        <v/>
      </c>
      <c r="M107" s="678" t="str">
        <f t="shared" ca="1" si="20"/>
        <v/>
      </c>
      <c r="O107" s="680" t="str">
        <f t="shared" ca="1" si="14"/>
        <v/>
      </c>
      <c r="P107" s="692" t="str">
        <f t="shared" ca="1" si="12"/>
        <v/>
      </c>
      <c r="Q107" s="692" t="str">
        <f t="shared" ca="1" si="13"/>
        <v/>
      </c>
    </row>
    <row r="108" spans="4:17">
      <c r="D108" s="697">
        <f t="shared" ca="1" si="17"/>
        <v>2</v>
      </c>
      <c r="E108" s="226">
        <f t="shared" ca="1" si="21"/>
        <v>48976</v>
      </c>
      <c r="F108" s="35">
        <f t="shared" si="22"/>
        <v>86</v>
      </c>
      <c r="G108" s="36">
        <f t="shared" si="15"/>
        <v>0</v>
      </c>
      <c r="H108" s="36">
        <f t="shared" si="16"/>
        <v>0</v>
      </c>
      <c r="I108" s="747">
        <f t="shared" si="23"/>
        <v>0</v>
      </c>
      <c r="J108" s="747"/>
      <c r="K108" s="678" t="str">
        <f t="shared" ca="1" si="18"/>
        <v/>
      </c>
      <c r="L108" s="697" t="str">
        <f t="shared" ca="1" si="19"/>
        <v/>
      </c>
      <c r="M108" s="678" t="str">
        <f t="shared" ca="1" si="20"/>
        <v/>
      </c>
      <c r="O108" s="680" t="str">
        <f t="shared" ca="1" si="14"/>
        <v/>
      </c>
      <c r="P108" s="692" t="str">
        <f t="shared" ca="1" si="12"/>
        <v/>
      </c>
      <c r="Q108" s="692" t="str">
        <f t="shared" ca="1" si="13"/>
        <v/>
      </c>
    </row>
    <row r="109" spans="4:17">
      <c r="D109" s="697">
        <f t="shared" ca="1" si="17"/>
        <v>3</v>
      </c>
      <c r="E109" s="226">
        <f t="shared" ca="1" si="21"/>
        <v>49004</v>
      </c>
      <c r="F109" s="35">
        <f t="shared" si="22"/>
        <v>87</v>
      </c>
      <c r="G109" s="36">
        <f t="shared" si="15"/>
        <v>0</v>
      </c>
      <c r="H109" s="36">
        <f t="shared" si="16"/>
        <v>0</v>
      </c>
      <c r="I109" s="747">
        <f t="shared" si="23"/>
        <v>0</v>
      </c>
      <c r="J109" s="747"/>
      <c r="K109" s="678" t="str">
        <f t="shared" ca="1" si="18"/>
        <v/>
      </c>
      <c r="L109" s="697" t="str">
        <f t="shared" ca="1" si="19"/>
        <v/>
      </c>
      <c r="M109" s="678" t="str">
        <f t="shared" ca="1" si="20"/>
        <v/>
      </c>
      <c r="O109" s="680" t="str">
        <f t="shared" ca="1" si="14"/>
        <v/>
      </c>
      <c r="P109" s="692" t="str">
        <f t="shared" ca="1" si="12"/>
        <v/>
      </c>
      <c r="Q109" s="692" t="str">
        <f t="shared" ca="1" si="13"/>
        <v/>
      </c>
    </row>
    <row r="110" spans="4:17">
      <c r="D110" s="697">
        <f t="shared" ca="1" si="17"/>
        <v>4</v>
      </c>
      <c r="E110" s="226">
        <f t="shared" ca="1" si="21"/>
        <v>49035</v>
      </c>
      <c r="F110" s="35">
        <f t="shared" si="22"/>
        <v>88</v>
      </c>
      <c r="G110" s="36">
        <f t="shared" si="15"/>
        <v>0</v>
      </c>
      <c r="H110" s="36">
        <f t="shared" si="16"/>
        <v>0</v>
      </c>
      <c r="I110" s="747">
        <f t="shared" si="23"/>
        <v>0</v>
      </c>
      <c r="J110" s="747"/>
      <c r="K110" s="678" t="str">
        <f t="shared" ca="1" si="18"/>
        <v/>
      </c>
      <c r="L110" s="697" t="str">
        <f t="shared" ca="1" si="19"/>
        <v/>
      </c>
      <c r="M110" s="678" t="str">
        <f t="shared" ca="1" si="20"/>
        <v/>
      </c>
      <c r="O110" s="680" t="str">
        <f t="shared" ca="1" si="14"/>
        <v/>
      </c>
      <c r="P110" s="692" t="str">
        <f t="shared" ca="1" si="12"/>
        <v/>
      </c>
      <c r="Q110" s="692" t="str">
        <f t="shared" ca="1" si="13"/>
        <v/>
      </c>
    </row>
    <row r="111" spans="4:17">
      <c r="D111" s="697">
        <f t="shared" ca="1" si="17"/>
        <v>5</v>
      </c>
      <c r="E111" s="226">
        <f t="shared" ca="1" si="21"/>
        <v>49065</v>
      </c>
      <c r="F111" s="35">
        <f t="shared" si="22"/>
        <v>89</v>
      </c>
      <c r="G111" s="36">
        <f t="shared" si="15"/>
        <v>0</v>
      </c>
      <c r="H111" s="36">
        <f t="shared" si="16"/>
        <v>0</v>
      </c>
      <c r="I111" s="747">
        <f t="shared" si="23"/>
        <v>0</v>
      </c>
      <c r="J111" s="747"/>
      <c r="K111" s="678" t="str">
        <f t="shared" ca="1" si="18"/>
        <v/>
      </c>
      <c r="L111" s="697" t="str">
        <f t="shared" ca="1" si="19"/>
        <v/>
      </c>
      <c r="M111" s="678" t="str">
        <f t="shared" ca="1" si="20"/>
        <v/>
      </c>
      <c r="O111" s="680" t="str">
        <f t="shared" ca="1" si="14"/>
        <v/>
      </c>
      <c r="P111" s="692" t="str">
        <f t="shared" ca="1" si="12"/>
        <v/>
      </c>
      <c r="Q111" s="692" t="str">
        <f t="shared" ca="1" si="13"/>
        <v/>
      </c>
    </row>
    <row r="112" spans="4:17">
      <c r="D112" s="697">
        <f t="shared" ca="1" si="17"/>
        <v>6</v>
      </c>
      <c r="E112" s="226">
        <f t="shared" ca="1" si="21"/>
        <v>49096</v>
      </c>
      <c r="F112" s="35">
        <f t="shared" si="22"/>
        <v>90</v>
      </c>
      <c r="G112" s="36">
        <f t="shared" si="15"/>
        <v>0</v>
      </c>
      <c r="H112" s="36">
        <f t="shared" si="16"/>
        <v>0</v>
      </c>
      <c r="I112" s="747">
        <f t="shared" si="23"/>
        <v>0</v>
      </c>
      <c r="J112" s="747"/>
      <c r="K112" s="678" t="str">
        <f t="shared" ca="1" si="18"/>
        <v/>
      </c>
      <c r="L112" s="697" t="str">
        <f t="shared" ca="1" si="19"/>
        <v/>
      </c>
      <c r="M112" s="678" t="str">
        <f t="shared" ca="1" si="20"/>
        <v/>
      </c>
      <c r="O112" s="680" t="str">
        <f t="shared" ca="1" si="14"/>
        <v/>
      </c>
      <c r="P112" s="692" t="str">
        <f t="shared" ca="1" si="12"/>
        <v/>
      </c>
      <c r="Q112" s="692" t="str">
        <f t="shared" ca="1" si="13"/>
        <v/>
      </c>
    </row>
    <row r="113" spans="4:17">
      <c r="D113" s="697">
        <f t="shared" ca="1" si="17"/>
        <v>7</v>
      </c>
      <c r="E113" s="226">
        <f t="shared" ca="1" si="21"/>
        <v>49126</v>
      </c>
      <c r="F113" s="35">
        <f t="shared" si="22"/>
        <v>91</v>
      </c>
      <c r="G113" s="36">
        <f t="shared" si="15"/>
        <v>0</v>
      </c>
      <c r="H113" s="36">
        <f t="shared" si="16"/>
        <v>0</v>
      </c>
      <c r="I113" s="747">
        <f t="shared" si="23"/>
        <v>0</v>
      </c>
      <c r="J113" s="747"/>
      <c r="K113" s="678" t="str">
        <f t="shared" ca="1" si="18"/>
        <v/>
      </c>
      <c r="L113" s="697" t="str">
        <f t="shared" ca="1" si="19"/>
        <v/>
      </c>
      <c r="M113" s="678" t="str">
        <f t="shared" ca="1" si="20"/>
        <v/>
      </c>
      <c r="O113" s="680" t="str">
        <f t="shared" ca="1" si="14"/>
        <v/>
      </c>
      <c r="P113" s="692" t="str">
        <f t="shared" ca="1" si="12"/>
        <v/>
      </c>
      <c r="Q113" s="692" t="str">
        <f t="shared" ca="1" si="13"/>
        <v/>
      </c>
    </row>
    <row r="114" spans="4:17">
      <c r="D114" s="697">
        <f t="shared" ca="1" si="17"/>
        <v>8</v>
      </c>
      <c r="E114" s="226">
        <f t="shared" ca="1" si="21"/>
        <v>49157</v>
      </c>
      <c r="F114" s="35">
        <f t="shared" si="22"/>
        <v>92</v>
      </c>
      <c r="G114" s="36">
        <f t="shared" si="15"/>
        <v>0</v>
      </c>
      <c r="H114" s="36">
        <f t="shared" si="16"/>
        <v>0</v>
      </c>
      <c r="I114" s="747">
        <f t="shared" si="23"/>
        <v>0</v>
      </c>
      <c r="J114" s="747"/>
      <c r="K114" s="678" t="str">
        <f t="shared" ca="1" si="18"/>
        <v/>
      </c>
      <c r="L114" s="697" t="str">
        <f t="shared" ca="1" si="19"/>
        <v/>
      </c>
      <c r="M114" s="678" t="str">
        <f t="shared" ca="1" si="20"/>
        <v/>
      </c>
      <c r="O114" s="680" t="str">
        <f t="shared" ca="1" si="14"/>
        <v/>
      </c>
      <c r="P114" s="692" t="str">
        <f t="shared" ca="1" si="12"/>
        <v/>
      </c>
      <c r="Q114" s="692" t="str">
        <f t="shared" ca="1" si="13"/>
        <v/>
      </c>
    </row>
    <row r="115" spans="4:17">
      <c r="D115" s="697">
        <f t="shared" ca="1" si="17"/>
        <v>9</v>
      </c>
      <c r="E115" s="226">
        <f t="shared" ca="1" si="21"/>
        <v>49188</v>
      </c>
      <c r="F115" s="35">
        <f t="shared" si="22"/>
        <v>93</v>
      </c>
      <c r="G115" s="36">
        <f t="shared" si="15"/>
        <v>0</v>
      </c>
      <c r="H115" s="36">
        <f t="shared" si="16"/>
        <v>0</v>
      </c>
      <c r="I115" s="747">
        <f t="shared" si="23"/>
        <v>0</v>
      </c>
      <c r="J115" s="747"/>
      <c r="K115" s="678" t="str">
        <f t="shared" ca="1" si="18"/>
        <v/>
      </c>
      <c r="L115" s="697" t="str">
        <f t="shared" ca="1" si="19"/>
        <v/>
      </c>
      <c r="M115" s="678" t="str">
        <f t="shared" ca="1" si="20"/>
        <v/>
      </c>
      <c r="O115" s="680" t="str">
        <f t="shared" ca="1" si="14"/>
        <v/>
      </c>
      <c r="P115" s="692" t="str">
        <f t="shared" ca="1" si="12"/>
        <v/>
      </c>
      <c r="Q115" s="692" t="str">
        <f t="shared" ca="1" si="13"/>
        <v/>
      </c>
    </row>
    <row r="116" spans="4:17">
      <c r="D116" s="697">
        <f t="shared" ca="1" si="17"/>
        <v>10</v>
      </c>
      <c r="E116" s="226">
        <f t="shared" ca="1" si="21"/>
        <v>49218</v>
      </c>
      <c r="F116" s="35">
        <f t="shared" si="22"/>
        <v>94</v>
      </c>
      <c r="G116" s="36">
        <f t="shared" si="15"/>
        <v>0</v>
      </c>
      <c r="H116" s="36">
        <f t="shared" si="16"/>
        <v>0</v>
      </c>
      <c r="I116" s="747">
        <f t="shared" si="23"/>
        <v>0</v>
      </c>
      <c r="J116" s="747"/>
      <c r="K116" s="678" t="str">
        <f t="shared" ca="1" si="18"/>
        <v/>
      </c>
      <c r="L116" s="697" t="str">
        <f t="shared" ca="1" si="19"/>
        <v/>
      </c>
      <c r="M116" s="678" t="str">
        <f t="shared" ca="1" si="20"/>
        <v/>
      </c>
      <c r="O116" s="680" t="str">
        <f t="shared" ca="1" si="14"/>
        <v/>
      </c>
      <c r="P116" s="692" t="str">
        <f t="shared" ca="1" si="12"/>
        <v/>
      </c>
      <c r="Q116" s="692" t="str">
        <f t="shared" ca="1" si="13"/>
        <v/>
      </c>
    </row>
    <row r="117" spans="4:17">
      <c r="D117" s="697">
        <f t="shared" ca="1" si="17"/>
        <v>11</v>
      </c>
      <c r="E117" s="226">
        <f t="shared" ca="1" si="21"/>
        <v>49249</v>
      </c>
      <c r="F117" s="35">
        <f t="shared" si="22"/>
        <v>95</v>
      </c>
      <c r="G117" s="36">
        <f t="shared" si="15"/>
        <v>0</v>
      </c>
      <c r="H117" s="36">
        <f t="shared" si="16"/>
        <v>0</v>
      </c>
      <c r="I117" s="747">
        <f t="shared" si="23"/>
        <v>0</v>
      </c>
      <c r="J117" s="747"/>
      <c r="K117" s="678" t="str">
        <f t="shared" ca="1" si="18"/>
        <v/>
      </c>
      <c r="L117" s="697" t="str">
        <f t="shared" ca="1" si="19"/>
        <v/>
      </c>
      <c r="M117" s="678" t="str">
        <f t="shared" ca="1" si="20"/>
        <v/>
      </c>
      <c r="O117" s="680" t="str">
        <f t="shared" ca="1" si="14"/>
        <v/>
      </c>
      <c r="P117" s="692" t="str">
        <f t="shared" ca="1" si="12"/>
        <v/>
      </c>
      <c r="Q117" s="692" t="str">
        <f t="shared" ca="1" si="13"/>
        <v/>
      </c>
    </row>
    <row r="118" spans="4:17">
      <c r="D118" s="697">
        <f t="shared" ca="1" si="17"/>
        <v>12</v>
      </c>
      <c r="E118" s="226">
        <f t="shared" ca="1" si="21"/>
        <v>49279</v>
      </c>
      <c r="F118" s="35">
        <f t="shared" si="22"/>
        <v>96</v>
      </c>
      <c r="G118" s="36">
        <f t="shared" si="15"/>
        <v>0</v>
      </c>
      <c r="H118" s="36">
        <f t="shared" si="16"/>
        <v>0</v>
      </c>
      <c r="I118" s="747">
        <f t="shared" si="23"/>
        <v>0</v>
      </c>
      <c r="J118" s="747"/>
      <c r="K118" s="678">
        <f t="shared" ca="1" si="18"/>
        <v>0</v>
      </c>
      <c r="L118" s="697">
        <f t="shared" ca="1" si="19"/>
        <v>2034</v>
      </c>
      <c r="M118" s="678">
        <f t="shared" ca="1" si="20"/>
        <v>0</v>
      </c>
      <c r="O118" s="680" t="str">
        <f t="shared" ca="1" si="14"/>
        <v/>
      </c>
      <c r="P118" s="692" t="str">
        <f t="shared" ca="1" si="12"/>
        <v/>
      </c>
      <c r="Q118" s="692" t="str">
        <f t="shared" ca="1" si="13"/>
        <v/>
      </c>
    </row>
    <row r="119" spans="4:17">
      <c r="D119" s="697">
        <f t="shared" ca="1" si="17"/>
        <v>1</v>
      </c>
      <c r="E119" s="226">
        <f t="shared" ca="1" si="21"/>
        <v>49310</v>
      </c>
      <c r="F119" s="35">
        <f t="shared" si="22"/>
        <v>97</v>
      </c>
      <c r="G119" s="36">
        <f t="shared" si="15"/>
        <v>0</v>
      </c>
      <c r="H119" s="36">
        <f t="shared" si="16"/>
        <v>0</v>
      </c>
      <c r="I119" s="747">
        <f t="shared" si="23"/>
        <v>0</v>
      </c>
      <c r="J119" s="747"/>
      <c r="K119" s="678" t="str">
        <f t="shared" ca="1" si="18"/>
        <v/>
      </c>
      <c r="L119" s="697" t="str">
        <f t="shared" ca="1" si="19"/>
        <v/>
      </c>
      <c r="M119" s="678" t="str">
        <f t="shared" ca="1" si="20"/>
        <v/>
      </c>
      <c r="O119" s="680" t="str">
        <f t="shared" ca="1" si="14"/>
        <v/>
      </c>
      <c r="P119" s="692" t="str">
        <f t="shared" ca="1" si="12"/>
        <v/>
      </c>
      <c r="Q119" s="692" t="str">
        <f t="shared" ca="1" si="13"/>
        <v/>
      </c>
    </row>
    <row r="120" spans="4:17">
      <c r="D120" s="697">
        <f t="shared" ca="1" si="17"/>
        <v>2</v>
      </c>
      <c r="E120" s="226">
        <f t="shared" ca="1" si="21"/>
        <v>49341</v>
      </c>
      <c r="F120" s="35">
        <f t="shared" si="22"/>
        <v>98</v>
      </c>
      <c r="G120" s="36">
        <f t="shared" si="15"/>
        <v>0</v>
      </c>
      <c r="H120" s="36">
        <f t="shared" si="16"/>
        <v>0</v>
      </c>
      <c r="I120" s="747">
        <f t="shared" si="23"/>
        <v>0</v>
      </c>
      <c r="J120" s="747"/>
      <c r="K120" s="678" t="str">
        <f t="shared" ca="1" si="18"/>
        <v/>
      </c>
      <c r="L120" s="697" t="str">
        <f t="shared" ca="1" si="19"/>
        <v/>
      </c>
      <c r="M120" s="678" t="str">
        <f t="shared" ca="1" si="20"/>
        <v/>
      </c>
      <c r="O120" s="680" t="str">
        <f t="shared" ca="1" si="14"/>
        <v/>
      </c>
      <c r="P120" s="692" t="str">
        <f t="shared" ca="1" si="12"/>
        <v/>
      </c>
      <c r="Q120" s="692" t="str">
        <f t="shared" ca="1" si="13"/>
        <v/>
      </c>
    </row>
    <row r="121" spans="4:17">
      <c r="D121" s="697">
        <f t="shared" ca="1" si="17"/>
        <v>3</v>
      </c>
      <c r="E121" s="226">
        <f t="shared" ca="1" si="21"/>
        <v>49369</v>
      </c>
      <c r="F121" s="35">
        <f t="shared" si="22"/>
        <v>99</v>
      </c>
      <c r="G121" s="36">
        <f t="shared" si="15"/>
        <v>0</v>
      </c>
      <c r="H121" s="36">
        <f t="shared" si="16"/>
        <v>0</v>
      </c>
      <c r="I121" s="747">
        <f t="shared" si="23"/>
        <v>0</v>
      </c>
      <c r="J121" s="747"/>
      <c r="K121" s="678" t="str">
        <f t="shared" ca="1" si="18"/>
        <v/>
      </c>
      <c r="L121" s="697" t="str">
        <f t="shared" ca="1" si="19"/>
        <v/>
      </c>
      <c r="M121" s="678" t="str">
        <f t="shared" ca="1" si="20"/>
        <v/>
      </c>
      <c r="O121" s="680" t="str">
        <f t="shared" ca="1" si="14"/>
        <v/>
      </c>
      <c r="P121" s="692" t="str">
        <f t="shared" ca="1" si="12"/>
        <v/>
      </c>
      <c r="Q121" s="692" t="str">
        <f t="shared" ca="1" si="13"/>
        <v/>
      </c>
    </row>
    <row r="122" spans="4:17">
      <c r="D122" s="697">
        <f t="shared" ca="1" si="17"/>
        <v>4</v>
      </c>
      <c r="E122" s="226">
        <f t="shared" ca="1" si="21"/>
        <v>49400</v>
      </c>
      <c r="F122" s="35">
        <f t="shared" si="22"/>
        <v>100</v>
      </c>
      <c r="G122" s="36">
        <f t="shared" si="15"/>
        <v>0</v>
      </c>
      <c r="H122" s="36">
        <f t="shared" si="16"/>
        <v>0</v>
      </c>
      <c r="I122" s="747">
        <f t="shared" si="23"/>
        <v>0</v>
      </c>
      <c r="J122" s="747"/>
      <c r="K122" s="678" t="str">
        <f t="shared" ca="1" si="18"/>
        <v/>
      </c>
      <c r="L122" s="697" t="str">
        <f t="shared" ca="1" si="19"/>
        <v/>
      </c>
      <c r="M122" s="678" t="str">
        <f t="shared" ca="1" si="20"/>
        <v/>
      </c>
      <c r="O122" s="680" t="str">
        <f t="shared" ca="1" si="14"/>
        <v/>
      </c>
      <c r="P122" s="692" t="str">
        <f t="shared" ca="1" si="12"/>
        <v/>
      </c>
      <c r="Q122" s="692" t="str">
        <f t="shared" ca="1" si="13"/>
        <v/>
      </c>
    </row>
    <row r="123" spans="4:17">
      <c r="D123" s="697">
        <f t="shared" ca="1" si="17"/>
        <v>5</v>
      </c>
      <c r="E123" s="226">
        <f t="shared" ca="1" si="21"/>
        <v>49430</v>
      </c>
      <c r="F123" s="35">
        <f t="shared" si="22"/>
        <v>101</v>
      </c>
      <c r="G123" s="36">
        <f t="shared" si="15"/>
        <v>0</v>
      </c>
      <c r="H123" s="36">
        <f t="shared" si="16"/>
        <v>0</v>
      </c>
      <c r="I123" s="747">
        <f t="shared" si="23"/>
        <v>0</v>
      </c>
      <c r="J123" s="747"/>
      <c r="K123" s="678" t="str">
        <f t="shared" ca="1" si="18"/>
        <v/>
      </c>
      <c r="L123" s="697" t="str">
        <f t="shared" ca="1" si="19"/>
        <v/>
      </c>
      <c r="M123" s="678" t="str">
        <f t="shared" ca="1" si="20"/>
        <v/>
      </c>
      <c r="O123" s="680" t="str">
        <f t="shared" ca="1" si="14"/>
        <v/>
      </c>
      <c r="P123" s="692" t="str">
        <f t="shared" ca="1" si="12"/>
        <v/>
      </c>
      <c r="Q123" s="692" t="str">
        <f t="shared" ca="1" si="13"/>
        <v/>
      </c>
    </row>
    <row r="124" spans="4:17">
      <c r="D124" s="697">
        <f t="shared" ca="1" si="17"/>
        <v>6</v>
      </c>
      <c r="E124" s="226">
        <f t="shared" ca="1" si="21"/>
        <v>49461</v>
      </c>
      <c r="F124" s="35">
        <f t="shared" si="22"/>
        <v>102</v>
      </c>
      <c r="G124" s="36">
        <f t="shared" si="15"/>
        <v>0</v>
      </c>
      <c r="H124" s="36">
        <f t="shared" si="16"/>
        <v>0</v>
      </c>
      <c r="I124" s="747">
        <f t="shared" si="23"/>
        <v>0</v>
      </c>
      <c r="J124" s="747"/>
      <c r="K124" s="678" t="str">
        <f t="shared" ca="1" si="18"/>
        <v/>
      </c>
      <c r="L124" s="697" t="str">
        <f t="shared" ca="1" si="19"/>
        <v/>
      </c>
      <c r="M124" s="678" t="str">
        <f t="shared" ca="1" si="20"/>
        <v/>
      </c>
      <c r="O124" s="680" t="str">
        <f t="shared" ca="1" si="14"/>
        <v/>
      </c>
      <c r="P124" s="692" t="str">
        <f t="shared" ca="1" si="12"/>
        <v/>
      </c>
      <c r="Q124" s="692" t="str">
        <f t="shared" ca="1" si="13"/>
        <v/>
      </c>
    </row>
    <row r="125" spans="4:17">
      <c r="D125" s="697">
        <f t="shared" ca="1" si="17"/>
        <v>7</v>
      </c>
      <c r="E125" s="226">
        <f t="shared" ca="1" si="21"/>
        <v>49491</v>
      </c>
      <c r="F125" s="35">
        <f t="shared" si="22"/>
        <v>103</v>
      </c>
      <c r="G125" s="36">
        <f t="shared" si="15"/>
        <v>0</v>
      </c>
      <c r="H125" s="36">
        <f t="shared" si="16"/>
        <v>0</v>
      </c>
      <c r="I125" s="747">
        <f t="shared" si="23"/>
        <v>0</v>
      </c>
      <c r="J125" s="747"/>
      <c r="K125" s="678" t="str">
        <f t="shared" ca="1" si="18"/>
        <v/>
      </c>
      <c r="L125" s="697" t="str">
        <f t="shared" ca="1" si="19"/>
        <v/>
      </c>
      <c r="M125" s="678" t="str">
        <f t="shared" ca="1" si="20"/>
        <v/>
      </c>
      <c r="O125" s="680" t="str">
        <f t="shared" ca="1" si="14"/>
        <v/>
      </c>
      <c r="P125" s="692" t="str">
        <f t="shared" ca="1" si="12"/>
        <v/>
      </c>
      <c r="Q125" s="692" t="str">
        <f t="shared" ca="1" si="13"/>
        <v/>
      </c>
    </row>
    <row r="126" spans="4:17">
      <c r="D126" s="697">
        <f t="shared" ca="1" si="17"/>
        <v>8</v>
      </c>
      <c r="E126" s="226">
        <f t="shared" ca="1" si="21"/>
        <v>49522</v>
      </c>
      <c r="F126" s="35">
        <f t="shared" si="22"/>
        <v>104</v>
      </c>
      <c r="G126" s="36">
        <f t="shared" si="15"/>
        <v>0</v>
      </c>
      <c r="H126" s="36">
        <f t="shared" si="16"/>
        <v>0</v>
      </c>
      <c r="I126" s="747">
        <f t="shared" si="23"/>
        <v>0</v>
      </c>
      <c r="J126" s="747"/>
      <c r="K126" s="678" t="str">
        <f t="shared" ca="1" si="18"/>
        <v/>
      </c>
      <c r="L126" s="697" t="str">
        <f t="shared" ca="1" si="19"/>
        <v/>
      </c>
      <c r="M126" s="678" t="str">
        <f t="shared" ca="1" si="20"/>
        <v/>
      </c>
      <c r="O126" s="680" t="str">
        <f t="shared" ca="1" si="14"/>
        <v/>
      </c>
      <c r="P126" s="692" t="str">
        <f t="shared" ca="1" si="12"/>
        <v/>
      </c>
      <c r="Q126" s="692" t="str">
        <f t="shared" ca="1" si="13"/>
        <v/>
      </c>
    </row>
    <row r="127" spans="4:17">
      <c r="D127" s="697">
        <f t="shared" ca="1" si="17"/>
        <v>9</v>
      </c>
      <c r="E127" s="226">
        <f t="shared" ca="1" si="21"/>
        <v>49553</v>
      </c>
      <c r="F127" s="35">
        <f t="shared" si="22"/>
        <v>105</v>
      </c>
      <c r="G127" s="36">
        <f t="shared" si="15"/>
        <v>0</v>
      </c>
      <c r="H127" s="36">
        <f t="shared" si="16"/>
        <v>0</v>
      </c>
      <c r="I127" s="747">
        <f t="shared" si="23"/>
        <v>0</v>
      </c>
      <c r="J127" s="747"/>
      <c r="K127" s="678" t="str">
        <f t="shared" ca="1" si="18"/>
        <v/>
      </c>
      <c r="L127" s="697" t="str">
        <f t="shared" ca="1" si="19"/>
        <v/>
      </c>
      <c r="M127" s="678" t="str">
        <f t="shared" ca="1" si="20"/>
        <v/>
      </c>
      <c r="O127" s="680" t="str">
        <f t="shared" ca="1" si="14"/>
        <v/>
      </c>
      <c r="P127" s="692" t="str">
        <f t="shared" ca="1" si="12"/>
        <v/>
      </c>
      <c r="Q127" s="692" t="str">
        <f t="shared" ca="1" si="13"/>
        <v/>
      </c>
    </row>
    <row r="128" spans="4:17">
      <c r="D128" s="697">
        <f t="shared" ca="1" si="17"/>
        <v>10</v>
      </c>
      <c r="E128" s="226">
        <f t="shared" ca="1" si="21"/>
        <v>49583</v>
      </c>
      <c r="F128" s="35">
        <f t="shared" si="22"/>
        <v>106</v>
      </c>
      <c r="G128" s="36">
        <f t="shared" si="15"/>
        <v>0</v>
      </c>
      <c r="H128" s="36">
        <f t="shared" si="16"/>
        <v>0</v>
      </c>
      <c r="I128" s="747">
        <f t="shared" si="23"/>
        <v>0</v>
      </c>
      <c r="J128" s="747"/>
      <c r="K128" s="678" t="str">
        <f t="shared" ca="1" si="18"/>
        <v/>
      </c>
      <c r="L128" s="697" t="str">
        <f t="shared" ca="1" si="19"/>
        <v/>
      </c>
      <c r="M128" s="678" t="str">
        <f t="shared" ca="1" si="20"/>
        <v/>
      </c>
      <c r="O128" s="680" t="str">
        <f t="shared" ca="1" si="14"/>
        <v/>
      </c>
      <c r="P128" s="692" t="str">
        <f t="shared" ca="1" si="12"/>
        <v/>
      </c>
      <c r="Q128" s="692" t="str">
        <f t="shared" ca="1" si="13"/>
        <v/>
      </c>
    </row>
    <row r="129" spans="4:17">
      <c r="D129" s="697">
        <f t="shared" ca="1" si="17"/>
        <v>11</v>
      </c>
      <c r="E129" s="226">
        <f t="shared" ca="1" si="21"/>
        <v>49614</v>
      </c>
      <c r="F129" s="35">
        <f t="shared" si="22"/>
        <v>107</v>
      </c>
      <c r="G129" s="36">
        <f t="shared" si="15"/>
        <v>0</v>
      </c>
      <c r="H129" s="36">
        <f t="shared" si="16"/>
        <v>0</v>
      </c>
      <c r="I129" s="747">
        <f t="shared" si="23"/>
        <v>0</v>
      </c>
      <c r="J129" s="747"/>
      <c r="K129" s="678" t="str">
        <f t="shared" ca="1" si="18"/>
        <v/>
      </c>
      <c r="L129" s="697" t="str">
        <f t="shared" ca="1" si="19"/>
        <v/>
      </c>
      <c r="M129" s="678" t="str">
        <f t="shared" ca="1" si="20"/>
        <v/>
      </c>
      <c r="O129" s="680" t="str">
        <f t="shared" ca="1" si="14"/>
        <v/>
      </c>
      <c r="P129" s="692" t="str">
        <f t="shared" ca="1" si="12"/>
        <v/>
      </c>
      <c r="Q129" s="692" t="str">
        <f t="shared" ca="1" si="13"/>
        <v/>
      </c>
    </row>
    <row r="130" spans="4:17">
      <c r="D130" s="697">
        <f t="shared" ca="1" si="17"/>
        <v>12</v>
      </c>
      <c r="E130" s="226">
        <f t="shared" ca="1" si="21"/>
        <v>49644</v>
      </c>
      <c r="F130" s="35">
        <f t="shared" si="22"/>
        <v>108</v>
      </c>
      <c r="G130" s="36">
        <f t="shared" si="15"/>
        <v>0</v>
      </c>
      <c r="H130" s="36">
        <f t="shared" si="16"/>
        <v>0</v>
      </c>
      <c r="I130" s="747">
        <f t="shared" si="23"/>
        <v>0</v>
      </c>
      <c r="J130" s="747"/>
      <c r="K130" s="678">
        <f t="shared" ca="1" si="18"/>
        <v>0</v>
      </c>
      <c r="L130" s="697">
        <f t="shared" ca="1" si="19"/>
        <v>2035</v>
      </c>
      <c r="M130" s="678">
        <f t="shared" ca="1" si="20"/>
        <v>0</v>
      </c>
      <c r="O130" s="680" t="str">
        <f t="shared" ca="1" si="14"/>
        <v/>
      </c>
      <c r="P130" s="692" t="str">
        <f t="shared" ca="1" si="12"/>
        <v/>
      </c>
      <c r="Q130" s="692" t="str">
        <f t="shared" ca="1" si="13"/>
        <v/>
      </c>
    </row>
    <row r="131" spans="4:17">
      <c r="D131" s="697">
        <f t="shared" ca="1" si="17"/>
        <v>1</v>
      </c>
      <c r="E131" s="226">
        <f t="shared" ca="1" si="21"/>
        <v>49675</v>
      </c>
      <c r="F131" s="35">
        <f t="shared" si="22"/>
        <v>109</v>
      </c>
      <c r="G131" s="36">
        <f t="shared" si="15"/>
        <v>0</v>
      </c>
      <c r="H131" s="36">
        <f t="shared" si="16"/>
        <v>0</v>
      </c>
      <c r="I131" s="747">
        <f t="shared" si="23"/>
        <v>0</v>
      </c>
      <c r="J131" s="747"/>
      <c r="K131" s="678" t="str">
        <f t="shared" ca="1" si="18"/>
        <v/>
      </c>
      <c r="L131" s="697" t="str">
        <f t="shared" ca="1" si="19"/>
        <v/>
      </c>
      <c r="M131" s="678" t="str">
        <f t="shared" ca="1" si="20"/>
        <v/>
      </c>
      <c r="O131" s="680" t="str">
        <f t="shared" ca="1" si="14"/>
        <v/>
      </c>
      <c r="P131" s="692" t="str">
        <f t="shared" ca="1" si="12"/>
        <v/>
      </c>
      <c r="Q131" s="692" t="str">
        <f t="shared" ca="1" si="13"/>
        <v/>
      </c>
    </row>
    <row r="132" spans="4:17">
      <c r="D132" s="697">
        <f t="shared" ca="1" si="17"/>
        <v>2</v>
      </c>
      <c r="E132" s="226">
        <f t="shared" ca="1" si="21"/>
        <v>49706</v>
      </c>
      <c r="F132" s="35">
        <f t="shared" si="22"/>
        <v>110</v>
      </c>
      <c r="G132" s="36">
        <f t="shared" si="15"/>
        <v>0</v>
      </c>
      <c r="H132" s="36">
        <f t="shared" si="16"/>
        <v>0</v>
      </c>
      <c r="I132" s="747">
        <f t="shared" si="23"/>
        <v>0</v>
      </c>
      <c r="J132" s="747"/>
      <c r="K132" s="678" t="str">
        <f t="shared" ca="1" si="18"/>
        <v/>
      </c>
      <c r="L132" s="697" t="str">
        <f t="shared" ca="1" si="19"/>
        <v/>
      </c>
      <c r="M132" s="678" t="str">
        <f t="shared" ca="1" si="20"/>
        <v/>
      </c>
      <c r="O132" s="680" t="str">
        <f t="shared" ca="1" si="14"/>
        <v/>
      </c>
      <c r="P132" s="692" t="str">
        <f t="shared" ca="1" si="12"/>
        <v/>
      </c>
      <c r="Q132" s="692" t="str">
        <f t="shared" ca="1" si="13"/>
        <v/>
      </c>
    </row>
    <row r="133" spans="4:17">
      <c r="D133" s="697">
        <f t="shared" ca="1" si="17"/>
        <v>3</v>
      </c>
      <c r="E133" s="226">
        <f t="shared" ca="1" si="21"/>
        <v>49735</v>
      </c>
      <c r="F133" s="35">
        <f t="shared" si="22"/>
        <v>111</v>
      </c>
      <c r="G133" s="36">
        <f t="shared" si="15"/>
        <v>0</v>
      </c>
      <c r="H133" s="36">
        <f t="shared" si="16"/>
        <v>0</v>
      </c>
      <c r="I133" s="747">
        <f t="shared" si="23"/>
        <v>0</v>
      </c>
      <c r="J133" s="747"/>
      <c r="K133" s="678" t="str">
        <f t="shared" ca="1" si="18"/>
        <v/>
      </c>
      <c r="L133" s="697" t="str">
        <f t="shared" ca="1" si="19"/>
        <v/>
      </c>
      <c r="M133" s="678" t="str">
        <f t="shared" ca="1" si="20"/>
        <v/>
      </c>
      <c r="O133" s="680" t="str">
        <f t="shared" ca="1" si="14"/>
        <v/>
      </c>
      <c r="P133" s="692" t="str">
        <f t="shared" ca="1" si="12"/>
        <v/>
      </c>
      <c r="Q133" s="692" t="str">
        <f t="shared" ca="1" si="13"/>
        <v/>
      </c>
    </row>
    <row r="134" spans="4:17">
      <c r="D134" s="697">
        <f t="shared" ca="1" si="17"/>
        <v>4</v>
      </c>
      <c r="E134" s="226">
        <f t="shared" ca="1" si="21"/>
        <v>49766</v>
      </c>
      <c r="F134" s="35">
        <f t="shared" si="22"/>
        <v>112</v>
      </c>
      <c r="G134" s="36">
        <f t="shared" si="15"/>
        <v>0</v>
      </c>
      <c r="H134" s="36">
        <f t="shared" si="16"/>
        <v>0</v>
      </c>
      <c r="I134" s="747">
        <f t="shared" si="23"/>
        <v>0</v>
      </c>
      <c r="J134" s="747"/>
      <c r="K134" s="678" t="str">
        <f t="shared" ca="1" si="18"/>
        <v/>
      </c>
      <c r="L134" s="697" t="str">
        <f t="shared" ca="1" si="19"/>
        <v/>
      </c>
      <c r="M134" s="678" t="str">
        <f t="shared" ca="1" si="20"/>
        <v/>
      </c>
      <c r="O134" s="680" t="str">
        <f t="shared" ca="1" si="14"/>
        <v/>
      </c>
      <c r="P134" s="692" t="str">
        <f t="shared" ca="1" si="12"/>
        <v/>
      </c>
      <c r="Q134" s="692" t="str">
        <f t="shared" ca="1" si="13"/>
        <v/>
      </c>
    </row>
    <row r="135" spans="4:17">
      <c r="D135" s="697">
        <f t="shared" ca="1" si="17"/>
        <v>5</v>
      </c>
      <c r="E135" s="226">
        <f t="shared" ca="1" si="21"/>
        <v>49796</v>
      </c>
      <c r="F135" s="35">
        <f t="shared" si="22"/>
        <v>113</v>
      </c>
      <c r="G135" s="36">
        <f t="shared" si="15"/>
        <v>0</v>
      </c>
      <c r="H135" s="36">
        <f t="shared" si="16"/>
        <v>0</v>
      </c>
      <c r="I135" s="747">
        <f t="shared" si="23"/>
        <v>0</v>
      </c>
      <c r="J135" s="747"/>
      <c r="K135" s="678" t="str">
        <f t="shared" ca="1" si="18"/>
        <v/>
      </c>
      <c r="L135" s="697" t="str">
        <f t="shared" ca="1" si="19"/>
        <v/>
      </c>
      <c r="M135" s="678" t="str">
        <f t="shared" ca="1" si="20"/>
        <v/>
      </c>
      <c r="O135" s="680" t="str">
        <f t="shared" ca="1" si="14"/>
        <v/>
      </c>
      <c r="P135" s="692" t="str">
        <f t="shared" ca="1" si="12"/>
        <v/>
      </c>
      <c r="Q135" s="692" t="str">
        <f t="shared" ca="1" si="13"/>
        <v/>
      </c>
    </row>
    <row r="136" spans="4:17">
      <c r="D136" s="697">
        <f t="shared" ca="1" si="17"/>
        <v>6</v>
      </c>
      <c r="E136" s="226">
        <f t="shared" ca="1" si="21"/>
        <v>49827</v>
      </c>
      <c r="F136" s="35">
        <f t="shared" si="22"/>
        <v>114</v>
      </c>
      <c r="G136" s="36">
        <f t="shared" si="15"/>
        <v>0</v>
      </c>
      <c r="H136" s="36">
        <f t="shared" si="16"/>
        <v>0</v>
      </c>
      <c r="I136" s="747">
        <f t="shared" si="23"/>
        <v>0</v>
      </c>
      <c r="J136" s="747"/>
      <c r="K136" s="678" t="str">
        <f t="shared" ca="1" si="18"/>
        <v/>
      </c>
      <c r="L136" s="697" t="str">
        <f t="shared" ca="1" si="19"/>
        <v/>
      </c>
      <c r="M136" s="678" t="str">
        <f t="shared" ca="1" si="20"/>
        <v/>
      </c>
      <c r="O136" s="680" t="str">
        <f t="shared" ca="1" si="14"/>
        <v/>
      </c>
      <c r="P136" s="692" t="str">
        <f t="shared" ca="1" si="12"/>
        <v/>
      </c>
      <c r="Q136" s="692" t="str">
        <f t="shared" ca="1" si="13"/>
        <v/>
      </c>
    </row>
    <row r="137" spans="4:17">
      <c r="D137" s="697">
        <f t="shared" ca="1" si="17"/>
        <v>7</v>
      </c>
      <c r="E137" s="226">
        <f t="shared" ca="1" si="21"/>
        <v>49857</v>
      </c>
      <c r="F137" s="35">
        <f t="shared" si="22"/>
        <v>115</v>
      </c>
      <c r="G137" s="36">
        <f t="shared" si="15"/>
        <v>0</v>
      </c>
      <c r="H137" s="36">
        <f t="shared" si="16"/>
        <v>0</v>
      </c>
      <c r="I137" s="747">
        <f t="shared" si="23"/>
        <v>0</v>
      </c>
      <c r="J137" s="747"/>
      <c r="K137" s="678" t="str">
        <f t="shared" ca="1" si="18"/>
        <v/>
      </c>
      <c r="L137" s="697" t="str">
        <f t="shared" ca="1" si="19"/>
        <v/>
      </c>
      <c r="M137" s="678" t="str">
        <f t="shared" ca="1" si="20"/>
        <v/>
      </c>
      <c r="O137" s="680" t="str">
        <f t="shared" ca="1" si="14"/>
        <v/>
      </c>
      <c r="P137" s="692" t="str">
        <f t="shared" ref="P137:P144" ca="1" si="24">IFERROR(INDEX($K$23:$L$383,MATCH(O137,$L$23:$L$383,0),1),0)</f>
        <v/>
      </c>
      <c r="Q137" s="692" t="str">
        <f t="shared" ref="Q137:Q144" ca="1" si="25">IFERROR(INDEX($L$23:$M$383,MATCH(O137,$L$23:$L$383,0),2),0)</f>
        <v/>
      </c>
    </row>
    <row r="138" spans="4:17">
      <c r="D138" s="697">
        <f t="shared" ca="1" si="17"/>
        <v>8</v>
      </c>
      <c r="E138" s="226">
        <f t="shared" ca="1" si="21"/>
        <v>49888</v>
      </c>
      <c r="F138" s="35">
        <f t="shared" si="22"/>
        <v>116</v>
      </c>
      <c r="G138" s="36">
        <f t="shared" si="15"/>
        <v>0</v>
      </c>
      <c r="H138" s="36">
        <f t="shared" si="16"/>
        <v>0</v>
      </c>
      <c r="I138" s="747">
        <f t="shared" si="23"/>
        <v>0</v>
      </c>
      <c r="J138" s="747"/>
      <c r="K138" s="678" t="str">
        <f t="shared" ca="1" si="18"/>
        <v/>
      </c>
      <c r="L138" s="697" t="str">
        <f t="shared" ca="1" si="19"/>
        <v/>
      </c>
      <c r="M138" s="678" t="str">
        <f t="shared" ca="1" si="20"/>
        <v/>
      </c>
      <c r="O138" s="680" t="str">
        <f t="shared" ref="O138:O144" ca="1" si="26">IFERROR(IF(O137+1&lt;YEAR($G$19)+($G$16/12),O137+1,""),"")</f>
        <v/>
      </c>
      <c r="P138" s="692" t="str">
        <f t="shared" ca="1" si="24"/>
        <v/>
      </c>
      <c r="Q138" s="692" t="str">
        <f t="shared" ca="1" si="25"/>
        <v/>
      </c>
    </row>
    <row r="139" spans="4:17">
      <c r="D139" s="697">
        <f t="shared" ca="1" si="17"/>
        <v>9</v>
      </c>
      <c r="E139" s="226">
        <f t="shared" ca="1" si="21"/>
        <v>49919</v>
      </c>
      <c r="F139" s="35">
        <f t="shared" si="22"/>
        <v>117</v>
      </c>
      <c r="G139" s="36">
        <f t="shared" si="15"/>
        <v>0</v>
      </c>
      <c r="H139" s="36">
        <f t="shared" si="16"/>
        <v>0</v>
      </c>
      <c r="I139" s="747">
        <f t="shared" si="23"/>
        <v>0</v>
      </c>
      <c r="J139" s="747"/>
      <c r="K139" s="678" t="str">
        <f t="shared" ca="1" si="18"/>
        <v/>
      </c>
      <c r="L139" s="697" t="str">
        <f t="shared" ca="1" si="19"/>
        <v/>
      </c>
      <c r="M139" s="678" t="str">
        <f t="shared" ca="1" si="20"/>
        <v/>
      </c>
      <c r="O139" s="680" t="str">
        <f t="shared" ca="1" si="26"/>
        <v/>
      </c>
      <c r="P139" s="692" t="str">
        <f t="shared" ca="1" si="24"/>
        <v/>
      </c>
      <c r="Q139" s="692" t="str">
        <f t="shared" ca="1" si="25"/>
        <v/>
      </c>
    </row>
    <row r="140" spans="4:17">
      <c r="D140" s="697">
        <f t="shared" ca="1" si="17"/>
        <v>10</v>
      </c>
      <c r="E140" s="226">
        <f t="shared" ca="1" si="21"/>
        <v>49949</v>
      </c>
      <c r="F140" s="35">
        <f t="shared" si="22"/>
        <v>118</v>
      </c>
      <c r="G140" s="36">
        <f t="shared" si="15"/>
        <v>0</v>
      </c>
      <c r="H140" s="36">
        <f t="shared" si="16"/>
        <v>0</v>
      </c>
      <c r="I140" s="747">
        <f t="shared" si="23"/>
        <v>0</v>
      </c>
      <c r="J140" s="747"/>
      <c r="K140" s="678" t="str">
        <f t="shared" ca="1" si="18"/>
        <v/>
      </c>
      <c r="L140" s="697" t="str">
        <f t="shared" ca="1" si="19"/>
        <v/>
      </c>
      <c r="M140" s="678" t="str">
        <f t="shared" ca="1" si="20"/>
        <v/>
      </c>
      <c r="O140" s="680" t="str">
        <f t="shared" ca="1" si="26"/>
        <v/>
      </c>
      <c r="P140" s="692" t="str">
        <f t="shared" ca="1" si="24"/>
        <v/>
      </c>
      <c r="Q140" s="692" t="str">
        <f t="shared" ca="1" si="25"/>
        <v/>
      </c>
    </row>
    <row r="141" spans="4:17">
      <c r="D141" s="697">
        <f t="shared" ca="1" si="17"/>
        <v>11</v>
      </c>
      <c r="E141" s="226">
        <f t="shared" ca="1" si="21"/>
        <v>49980</v>
      </c>
      <c r="F141" s="35">
        <f t="shared" si="22"/>
        <v>119</v>
      </c>
      <c r="G141" s="36">
        <f t="shared" si="15"/>
        <v>0</v>
      </c>
      <c r="H141" s="36">
        <f t="shared" si="16"/>
        <v>0</v>
      </c>
      <c r="I141" s="747">
        <f t="shared" si="23"/>
        <v>0</v>
      </c>
      <c r="J141" s="747"/>
      <c r="K141" s="678" t="str">
        <f t="shared" ca="1" si="18"/>
        <v/>
      </c>
      <c r="L141" s="697" t="str">
        <f t="shared" ca="1" si="19"/>
        <v/>
      </c>
      <c r="M141" s="678" t="str">
        <f t="shared" ca="1" si="20"/>
        <v/>
      </c>
      <c r="O141" s="680" t="str">
        <f t="shared" ca="1" si="26"/>
        <v/>
      </c>
      <c r="P141" s="692" t="str">
        <f t="shared" ca="1" si="24"/>
        <v/>
      </c>
      <c r="Q141" s="692" t="str">
        <f t="shared" ca="1" si="25"/>
        <v/>
      </c>
    </row>
    <row r="142" spans="4:17">
      <c r="D142" s="697">
        <f t="shared" ca="1" si="17"/>
        <v>12</v>
      </c>
      <c r="E142" s="226">
        <f t="shared" ca="1" si="21"/>
        <v>50010</v>
      </c>
      <c r="F142" s="35">
        <f t="shared" si="22"/>
        <v>120</v>
      </c>
      <c r="G142" s="36">
        <f t="shared" si="15"/>
        <v>0</v>
      </c>
      <c r="H142" s="36">
        <f t="shared" si="16"/>
        <v>0</v>
      </c>
      <c r="I142" s="747">
        <f t="shared" si="23"/>
        <v>0</v>
      </c>
      <c r="J142" s="747"/>
      <c r="K142" s="678">
        <f t="shared" ca="1" si="18"/>
        <v>0</v>
      </c>
      <c r="L142" s="697">
        <f t="shared" ca="1" si="19"/>
        <v>2036</v>
      </c>
      <c r="M142" s="678">
        <f t="shared" ca="1" si="20"/>
        <v>0</v>
      </c>
      <c r="O142" s="680" t="str">
        <f t="shared" ca="1" si="26"/>
        <v/>
      </c>
      <c r="P142" s="692" t="str">
        <f t="shared" ca="1" si="24"/>
        <v/>
      </c>
      <c r="Q142" s="692" t="str">
        <f t="shared" ca="1" si="25"/>
        <v/>
      </c>
    </row>
    <row r="143" spans="4:17">
      <c r="D143" s="697">
        <f t="shared" ca="1" si="17"/>
        <v>1</v>
      </c>
      <c r="E143" s="226">
        <f t="shared" ca="1" si="21"/>
        <v>50041</v>
      </c>
      <c r="F143" s="35">
        <f t="shared" si="22"/>
        <v>121</v>
      </c>
      <c r="G143" s="36">
        <f t="shared" si="15"/>
        <v>0</v>
      </c>
      <c r="H143" s="36">
        <f t="shared" si="16"/>
        <v>0</v>
      </c>
      <c r="I143" s="747">
        <f t="shared" si="23"/>
        <v>0</v>
      </c>
      <c r="J143" s="747"/>
      <c r="K143" s="678" t="str">
        <f t="shared" ca="1" si="18"/>
        <v/>
      </c>
      <c r="L143" s="697" t="str">
        <f t="shared" ca="1" si="19"/>
        <v/>
      </c>
      <c r="M143" s="678" t="str">
        <f t="shared" ca="1" si="20"/>
        <v/>
      </c>
      <c r="O143" s="680" t="str">
        <f t="shared" ca="1" si="26"/>
        <v/>
      </c>
      <c r="P143" s="692" t="str">
        <f t="shared" ca="1" si="24"/>
        <v/>
      </c>
      <c r="Q143" s="692" t="str">
        <f t="shared" ca="1" si="25"/>
        <v/>
      </c>
    </row>
    <row r="144" spans="4:17">
      <c r="D144" s="697">
        <f t="shared" ca="1" si="17"/>
        <v>2</v>
      </c>
      <c r="E144" s="226">
        <f t="shared" ca="1" si="21"/>
        <v>50072</v>
      </c>
      <c r="F144" s="35">
        <f t="shared" si="22"/>
        <v>122</v>
      </c>
      <c r="G144" s="36">
        <f t="shared" si="15"/>
        <v>0</v>
      </c>
      <c r="H144" s="36">
        <f t="shared" si="16"/>
        <v>0</v>
      </c>
      <c r="I144" s="747">
        <f t="shared" si="23"/>
        <v>0</v>
      </c>
      <c r="J144" s="747"/>
      <c r="K144" s="678" t="str">
        <f t="shared" ca="1" si="18"/>
        <v/>
      </c>
      <c r="L144" s="697" t="str">
        <f t="shared" ca="1" si="19"/>
        <v/>
      </c>
      <c r="M144" s="678" t="str">
        <f t="shared" ca="1" si="20"/>
        <v/>
      </c>
      <c r="O144" s="680" t="str">
        <f t="shared" ca="1" si="26"/>
        <v/>
      </c>
      <c r="P144" s="692" t="str">
        <f t="shared" ca="1" si="24"/>
        <v/>
      </c>
      <c r="Q144" s="692" t="str">
        <f t="shared" ca="1" si="25"/>
        <v/>
      </c>
    </row>
    <row r="145" spans="4:13">
      <c r="D145" s="697">
        <f t="shared" ca="1" si="17"/>
        <v>3</v>
      </c>
      <c r="E145" s="226">
        <f t="shared" ca="1" si="21"/>
        <v>50100</v>
      </c>
      <c r="F145" s="35">
        <f t="shared" si="22"/>
        <v>123</v>
      </c>
      <c r="G145" s="36">
        <f t="shared" si="15"/>
        <v>0</v>
      </c>
      <c r="H145" s="36">
        <f t="shared" si="16"/>
        <v>0</v>
      </c>
      <c r="I145" s="747">
        <f t="shared" si="23"/>
        <v>0</v>
      </c>
      <c r="J145" s="747"/>
      <c r="K145" s="678" t="str">
        <f t="shared" ca="1" si="18"/>
        <v/>
      </c>
      <c r="L145" s="697" t="str">
        <f t="shared" ca="1" si="19"/>
        <v/>
      </c>
      <c r="M145" s="678" t="str">
        <f t="shared" ca="1" si="20"/>
        <v/>
      </c>
    </row>
    <row r="146" spans="4:13">
      <c r="D146" s="697">
        <f t="shared" ca="1" si="17"/>
        <v>4</v>
      </c>
      <c r="E146" s="226">
        <f t="shared" ca="1" si="21"/>
        <v>50131</v>
      </c>
      <c r="F146" s="35">
        <f t="shared" si="22"/>
        <v>124</v>
      </c>
      <c r="G146" s="36">
        <f t="shared" si="15"/>
        <v>0</v>
      </c>
      <c r="H146" s="36">
        <f t="shared" si="16"/>
        <v>0</v>
      </c>
      <c r="I146" s="747">
        <f t="shared" si="23"/>
        <v>0</v>
      </c>
      <c r="J146" s="747"/>
      <c r="K146" s="678" t="str">
        <f t="shared" ca="1" si="18"/>
        <v/>
      </c>
      <c r="L146" s="697" t="str">
        <f t="shared" ca="1" si="19"/>
        <v/>
      </c>
      <c r="M146" s="678" t="str">
        <f t="shared" ca="1" si="20"/>
        <v/>
      </c>
    </row>
    <row r="147" spans="4:13">
      <c r="D147" s="697">
        <f t="shared" ca="1" si="17"/>
        <v>5</v>
      </c>
      <c r="E147" s="226">
        <f t="shared" ca="1" si="21"/>
        <v>50161</v>
      </c>
      <c r="F147" s="35">
        <f t="shared" si="22"/>
        <v>125</v>
      </c>
      <c r="G147" s="36">
        <f t="shared" si="15"/>
        <v>0</v>
      </c>
      <c r="H147" s="36">
        <f t="shared" si="16"/>
        <v>0</v>
      </c>
      <c r="I147" s="747">
        <f t="shared" si="23"/>
        <v>0</v>
      </c>
      <c r="J147" s="747"/>
      <c r="K147" s="678" t="str">
        <f t="shared" ca="1" si="18"/>
        <v/>
      </c>
      <c r="L147" s="697" t="str">
        <f t="shared" ca="1" si="19"/>
        <v/>
      </c>
      <c r="M147" s="678" t="str">
        <f t="shared" ca="1" si="20"/>
        <v/>
      </c>
    </row>
    <row r="148" spans="4:13">
      <c r="D148" s="697">
        <f t="shared" ca="1" si="17"/>
        <v>6</v>
      </c>
      <c r="E148" s="226">
        <f t="shared" ca="1" si="21"/>
        <v>50192</v>
      </c>
      <c r="F148" s="35">
        <f t="shared" si="22"/>
        <v>126</v>
      </c>
      <c r="G148" s="36">
        <f t="shared" si="15"/>
        <v>0</v>
      </c>
      <c r="H148" s="36">
        <f t="shared" si="16"/>
        <v>0</v>
      </c>
      <c r="I148" s="747">
        <f t="shared" si="23"/>
        <v>0</v>
      </c>
      <c r="J148" s="747"/>
      <c r="K148" s="678" t="str">
        <f t="shared" ca="1" si="18"/>
        <v/>
      </c>
      <c r="L148" s="697" t="str">
        <f t="shared" ca="1" si="19"/>
        <v/>
      </c>
      <c r="M148" s="678" t="str">
        <f t="shared" ca="1" si="20"/>
        <v/>
      </c>
    </row>
    <row r="149" spans="4:13">
      <c r="D149" s="697">
        <f t="shared" ca="1" si="17"/>
        <v>7</v>
      </c>
      <c r="E149" s="226">
        <f t="shared" ca="1" si="21"/>
        <v>50222</v>
      </c>
      <c r="F149" s="35">
        <f t="shared" si="22"/>
        <v>127</v>
      </c>
      <c r="G149" s="36">
        <f t="shared" si="15"/>
        <v>0</v>
      </c>
      <c r="H149" s="36">
        <f t="shared" si="16"/>
        <v>0</v>
      </c>
      <c r="I149" s="747">
        <f t="shared" si="23"/>
        <v>0</v>
      </c>
      <c r="J149" s="747"/>
      <c r="K149" s="678" t="str">
        <f t="shared" ca="1" si="18"/>
        <v/>
      </c>
      <c r="L149" s="697" t="str">
        <f t="shared" ca="1" si="19"/>
        <v/>
      </c>
      <c r="M149" s="678" t="str">
        <f t="shared" ca="1" si="20"/>
        <v/>
      </c>
    </row>
    <row r="150" spans="4:13">
      <c r="D150" s="697">
        <f t="shared" ca="1" si="17"/>
        <v>8</v>
      </c>
      <c r="E150" s="226">
        <f t="shared" ca="1" si="21"/>
        <v>50253</v>
      </c>
      <c r="F150" s="35">
        <f t="shared" si="22"/>
        <v>128</v>
      </c>
      <c r="G150" s="36">
        <f t="shared" si="15"/>
        <v>0</v>
      </c>
      <c r="H150" s="36">
        <f t="shared" si="16"/>
        <v>0</v>
      </c>
      <c r="I150" s="747">
        <f t="shared" si="23"/>
        <v>0</v>
      </c>
      <c r="J150" s="747"/>
      <c r="K150" s="678" t="str">
        <f t="shared" ca="1" si="18"/>
        <v/>
      </c>
      <c r="L150" s="697" t="str">
        <f t="shared" ca="1" si="19"/>
        <v/>
      </c>
      <c r="M150" s="678" t="str">
        <f t="shared" ca="1" si="20"/>
        <v/>
      </c>
    </row>
    <row r="151" spans="4:13">
      <c r="D151" s="697">
        <f t="shared" ca="1" si="17"/>
        <v>9</v>
      </c>
      <c r="E151" s="226">
        <f t="shared" ca="1" si="21"/>
        <v>50284</v>
      </c>
      <c r="F151" s="35">
        <f t="shared" si="22"/>
        <v>129</v>
      </c>
      <c r="G151" s="36">
        <f t="shared" ref="G151:G214" si="27">IFERROR(IF(F151&lt;&gt;"",-IPMT($G$15/12,F151,$G$16,$G$13),""),0)</f>
        <v>0</v>
      </c>
      <c r="H151" s="36">
        <f t="shared" ref="H151:H214" si="28">IFERROR(IF(F151&lt;&gt;"",-PPMT($G$15/12,F151,$G$16,$G$13),""),0)</f>
        <v>0</v>
      </c>
      <c r="I151" s="747">
        <f t="shared" si="23"/>
        <v>0</v>
      </c>
      <c r="J151" s="747"/>
      <c r="K151" s="678" t="str">
        <f t="shared" ca="1" si="18"/>
        <v/>
      </c>
      <c r="L151" s="697" t="str">
        <f t="shared" ca="1" si="19"/>
        <v/>
      </c>
      <c r="M151" s="678" t="str">
        <f t="shared" ca="1" si="20"/>
        <v/>
      </c>
    </row>
    <row r="152" spans="4:13">
      <c r="D152" s="697">
        <f t="shared" ref="D152:D215" ca="1" si="29">IF(E152="","",MONTH(E152))</f>
        <v>10</v>
      </c>
      <c r="E152" s="226">
        <f t="shared" ca="1" si="21"/>
        <v>50314</v>
      </c>
      <c r="F152" s="35">
        <f t="shared" si="22"/>
        <v>130</v>
      </c>
      <c r="G152" s="36">
        <f t="shared" si="27"/>
        <v>0</v>
      </c>
      <c r="H152" s="36">
        <f t="shared" si="28"/>
        <v>0</v>
      </c>
      <c r="I152" s="747">
        <f t="shared" si="23"/>
        <v>0</v>
      </c>
      <c r="J152" s="747"/>
      <c r="K152" s="678" t="str">
        <f t="shared" ref="K152:K215" ca="1" si="30">IF(D152=12,G152+G151+G150+G149+G148+G147+G146+G145+G144+G143+G142+G141,"")</f>
        <v/>
      </c>
      <c r="L152" s="697" t="str">
        <f t="shared" ref="L152:L215" ca="1" si="31">IF(D152=12,YEAR(E152),"")</f>
        <v/>
      </c>
      <c r="M152" s="678" t="str">
        <f t="shared" ref="M152:M215" ca="1" si="32">IF(D152=12,H152+H151+H150+H149+H148+H147+H146+H145+H144+H143+H142+H141,"")</f>
        <v/>
      </c>
    </row>
    <row r="153" spans="4:13">
      <c r="D153" s="697">
        <f t="shared" ca="1" si="29"/>
        <v>11</v>
      </c>
      <c r="E153" s="226">
        <f t="shared" ref="E153:E216" ca="1" si="33">IFERROR(IF($G$16&lt;=F152,"",DATE(YEAR(E152),MONTH(E152)+1,DAY(E152))),"")</f>
        <v>50345</v>
      </c>
      <c r="F153" s="35">
        <f t="shared" ref="F153:F216" si="34">IF(OR(F152="",F152=$G$16),"",IF(F152&lt;$G$16,F152+1,0))</f>
        <v>131</v>
      </c>
      <c r="G153" s="36">
        <f t="shared" si="27"/>
        <v>0</v>
      </c>
      <c r="H153" s="36">
        <f t="shared" si="28"/>
        <v>0</v>
      </c>
      <c r="I153" s="747">
        <f t="shared" ref="I153:I216" si="35">IF(F153&lt;&gt;"",I152-H153,"")</f>
        <v>0</v>
      </c>
      <c r="J153" s="747"/>
      <c r="K153" s="678" t="str">
        <f t="shared" ca="1" si="30"/>
        <v/>
      </c>
      <c r="L153" s="697" t="str">
        <f t="shared" ca="1" si="31"/>
        <v/>
      </c>
      <c r="M153" s="678" t="str">
        <f t="shared" ca="1" si="32"/>
        <v/>
      </c>
    </row>
    <row r="154" spans="4:13">
      <c r="D154" s="697">
        <f t="shared" ca="1" si="29"/>
        <v>12</v>
      </c>
      <c r="E154" s="226">
        <f t="shared" ca="1" si="33"/>
        <v>50375</v>
      </c>
      <c r="F154" s="35">
        <f t="shared" si="34"/>
        <v>132</v>
      </c>
      <c r="G154" s="36">
        <f t="shared" si="27"/>
        <v>0</v>
      </c>
      <c r="H154" s="36">
        <f t="shared" si="28"/>
        <v>0</v>
      </c>
      <c r="I154" s="747">
        <f t="shared" si="35"/>
        <v>0</v>
      </c>
      <c r="J154" s="747"/>
      <c r="K154" s="678">
        <f t="shared" ca="1" si="30"/>
        <v>0</v>
      </c>
      <c r="L154" s="697">
        <f t="shared" ca="1" si="31"/>
        <v>2037</v>
      </c>
      <c r="M154" s="678">
        <f t="shared" ca="1" si="32"/>
        <v>0</v>
      </c>
    </row>
    <row r="155" spans="4:13">
      <c r="D155" s="697">
        <f t="shared" ca="1" si="29"/>
        <v>1</v>
      </c>
      <c r="E155" s="226">
        <f t="shared" ca="1" si="33"/>
        <v>50406</v>
      </c>
      <c r="F155" s="35">
        <f t="shared" si="34"/>
        <v>133</v>
      </c>
      <c r="G155" s="36">
        <f t="shared" si="27"/>
        <v>0</v>
      </c>
      <c r="H155" s="36">
        <f t="shared" si="28"/>
        <v>0</v>
      </c>
      <c r="I155" s="747">
        <f t="shared" si="35"/>
        <v>0</v>
      </c>
      <c r="J155" s="747"/>
      <c r="K155" s="678" t="str">
        <f t="shared" ca="1" si="30"/>
        <v/>
      </c>
      <c r="L155" s="697" t="str">
        <f t="shared" ca="1" si="31"/>
        <v/>
      </c>
      <c r="M155" s="678" t="str">
        <f t="shared" ca="1" si="32"/>
        <v/>
      </c>
    </row>
    <row r="156" spans="4:13">
      <c r="D156" s="697">
        <f t="shared" ca="1" si="29"/>
        <v>2</v>
      </c>
      <c r="E156" s="226">
        <f t="shared" ca="1" si="33"/>
        <v>50437</v>
      </c>
      <c r="F156" s="35">
        <f t="shared" si="34"/>
        <v>134</v>
      </c>
      <c r="G156" s="36">
        <f t="shared" si="27"/>
        <v>0</v>
      </c>
      <c r="H156" s="36">
        <f t="shared" si="28"/>
        <v>0</v>
      </c>
      <c r="I156" s="747">
        <f t="shared" si="35"/>
        <v>0</v>
      </c>
      <c r="J156" s="747"/>
      <c r="K156" s="678" t="str">
        <f t="shared" ca="1" si="30"/>
        <v/>
      </c>
      <c r="L156" s="697" t="str">
        <f t="shared" ca="1" si="31"/>
        <v/>
      </c>
      <c r="M156" s="678" t="str">
        <f t="shared" ca="1" si="32"/>
        <v/>
      </c>
    </row>
    <row r="157" spans="4:13">
      <c r="D157" s="697">
        <f t="shared" ca="1" si="29"/>
        <v>3</v>
      </c>
      <c r="E157" s="226">
        <f t="shared" ca="1" si="33"/>
        <v>50465</v>
      </c>
      <c r="F157" s="35">
        <f t="shared" si="34"/>
        <v>135</v>
      </c>
      <c r="G157" s="36">
        <f t="shared" si="27"/>
        <v>0</v>
      </c>
      <c r="H157" s="36">
        <f t="shared" si="28"/>
        <v>0</v>
      </c>
      <c r="I157" s="747">
        <f t="shared" si="35"/>
        <v>0</v>
      </c>
      <c r="J157" s="747"/>
      <c r="K157" s="678" t="str">
        <f t="shared" ca="1" si="30"/>
        <v/>
      </c>
      <c r="L157" s="697" t="str">
        <f t="shared" ca="1" si="31"/>
        <v/>
      </c>
      <c r="M157" s="678" t="str">
        <f t="shared" ca="1" si="32"/>
        <v/>
      </c>
    </row>
    <row r="158" spans="4:13">
      <c r="D158" s="697">
        <f t="shared" ca="1" si="29"/>
        <v>4</v>
      </c>
      <c r="E158" s="226">
        <f t="shared" ca="1" si="33"/>
        <v>50496</v>
      </c>
      <c r="F158" s="35">
        <f t="shared" si="34"/>
        <v>136</v>
      </c>
      <c r="G158" s="36">
        <f t="shared" si="27"/>
        <v>0</v>
      </c>
      <c r="H158" s="36">
        <f t="shared" si="28"/>
        <v>0</v>
      </c>
      <c r="I158" s="747">
        <f t="shared" si="35"/>
        <v>0</v>
      </c>
      <c r="J158" s="747"/>
      <c r="K158" s="678" t="str">
        <f t="shared" ca="1" si="30"/>
        <v/>
      </c>
      <c r="L158" s="697" t="str">
        <f t="shared" ca="1" si="31"/>
        <v/>
      </c>
      <c r="M158" s="678" t="str">
        <f t="shared" ca="1" si="32"/>
        <v/>
      </c>
    </row>
    <row r="159" spans="4:13">
      <c r="D159" s="697">
        <f t="shared" ca="1" si="29"/>
        <v>5</v>
      </c>
      <c r="E159" s="226">
        <f t="shared" ca="1" si="33"/>
        <v>50526</v>
      </c>
      <c r="F159" s="35">
        <f t="shared" si="34"/>
        <v>137</v>
      </c>
      <c r="G159" s="36">
        <f t="shared" si="27"/>
        <v>0</v>
      </c>
      <c r="H159" s="36">
        <f t="shared" si="28"/>
        <v>0</v>
      </c>
      <c r="I159" s="747">
        <f t="shared" si="35"/>
        <v>0</v>
      </c>
      <c r="J159" s="747"/>
      <c r="K159" s="678" t="str">
        <f t="shared" ca="1" si="30"/>
        <v/>
      </c>
      <c r="L159" s="697" t="str">
        <f t="shared" ca="1" si="31"/>
        <v/>
      </c>
      <c r="M159" s="678" t="str">
        <f t="shared" ca="1" si="32"/>
        <v/>
      </c>
    </row>
    <row r="160" spans="4:13">
      <c r="D160" s="697">
        <f t="shared" ca="1" si="29"/>
        <v>6</v>
      </c>
      <c r="E160" s="226">
        <f t="shared" ca="1" si="33"/>
        <v>50557</v>
      </c>
      <c r="F160" s="35">
        <f t="shared" si="34"/>
        <v>138</v>
      </c>
      <c r="G160" s="36">
        <f t="shared" si="27"/>
        <v>0</v>
      </c>
      <c r="H160" s="36">
        <f t="shared" si="28"/>
        <v>0</v>
      </c>
      <c r="I160" s="747">
        <f t="shared" si="35"/>
        <v>0</v>
      </c>
      <c r="J160" s="747"/>
      <c r="K160" s="678" t="str">
        <f t="shared" ca="1" si="30"/>
        <v/>
      </c>
      <c r="L160" s="697" t="str">
        <f t="shared" ca="1" si="31"/>
        <v/>
      </c>
      <c r="M160" s="678" t="str">
        <f t="shared" ca="1" si="32"/>
        <v/>
      </c>
    </row>
    <row r="161" spans="4:13">
      <c r="D161" s="697">
        <f t="shared" ca="1" si="29"/>
        <v>7</v>
      </c>
      <c r="E161" s="226">
        <f t="shared" ca="1" si="33"/>
        <v>50587</v>
      </c>
      <c r="F161" s="35">
        <f t="shared" si="34"/>
        <v>139</v>
      </c>
      <c r="G161" s="36">
        <f t="shared" si="27"/>
        <v>0</v>
      </c>
      <c r="H161" s="36">
        <f t="shared" si="28"/>
        <v>0</v>
      </c>
      <c r="I161" s="747">
        <f t="shared" si="35"/>
        <v>0</v>
      </c>
      <c r="J161" s="747"/>
      <c r="K161" s="678" t="str">
        <f t="shared" ca="1" si="30"/>
        <v/>
      </c>
      <c r="L161" s="697" t="str">
        <f t="shared" ca="1" si="31"/>
        <v/>
      </c>
      <c r="M161" s="678" t="str">
        <f t="shared" ca="1" si="32"/>
        <v/>
      </c>
    </row>
    <row r="162" spans="4:13">
      <c r="D162" s="697">
        <f t="shared" ca="1" si="29"/>
        <v>8</v>
      </c>
      <c r="E162" s="226">
        <f t="shared" ca="1" si="33"/>
        <v>50618</v>
      </c>
      <c r="F162" s="35">
        <f t="shared" si="34"/>
        <v>140</v>
      </c>
      <c r="G162" s="36">
        <f t="shared" si="27"/>
        <v>0</v>
      </c>
      <c r="H162" s="36">
        <f t="shared" si="28"/>
        <v>0</v>
      </c>
      <c r="I162" s="747">
        <f t="shared" si="35"/>
        <v>0</v>
      </c>
      <c r="J162" s="747"/>
      <c r="K162" s="678" t="str">
        <f t="shared" ca="1" si="30"/>
        <v/>
      </c>
      <c r="L162" s="697" t="str">
        <f t="shared" ca="1" si="31"/>
        <v/>
      </c>
      <c r="M162" s="678" t="str">
        <f t="shared" ca="1" si="32"/>
        <v/>
      </c>
    </row>
    <row r="163" spans="4:13">
      <c r="D163" s="697">
        <f t="shared" ca="1" si="29"/>
        <v>9</v>
      </c>
      <c r="E163" s="226">
        <f t="shared" ca="1" si="33"/>
        <v>50649</v>
      </c>
      <c r="F163" s="35">
        <f t="shared" si="34"/>
        <v>141</v>
      </c>
      <c r="G163" s="36">
        <f t="shared" si="27"/>
        <v>0</v>
      </c>
      <c r="H163" s="36">
        <f t="shared" si="28"/>
        <v>0</v>
      </c>
      <c r="I163" s="747">
        <f t="shared" si="35"/>
        <v>0</v>
      </c>
      <c r="J163" s="747"/>
      <c r="K163" s="678" t="str">
        <f t="shared" ca="1" si="30"/>
        <v/>
      </c>
      <c r="L163" s="697" t="str">
        <f t="shared" ca="1" si="31"/>
        <v/>
      </c>
      <c r="M163" s="678" t="str">
        <f t="shared" ca="1" si="32"/>
        <v/>
      </c>
    </row>
    <row r="164" spans="4:13">
      <c r="D164" s="697">
        <f t="shared" ca="1" si="29"/>
        <v>10</v>
      </c>
      <c r="E164" s="226">
        <f t="shared" ca="1" si="33"/>
        <v>50679</v>
      </c>
      <c r="F164" s="35">
        <f t="shared" si="34"/>
        <v>142</v>
      </c>
      <c r="G164" s="36">
        <f t="shared" si="27"/>
        <v>0</v>
      </c>
      <c r="H164" s="36">
        <f t="shared" si="28"/>
        <v>0</v>
      </c>
      <c r="I164" s="747">
        <f t="shared" si="35"/>
        <v>0</v>
      </c>
      <c r="J164" s="747"/>
      <c r="K164" s="678" t="str">
        <f t="shared" ca="1" si="30"/>
        <v/>
      </c>
      <c r="L164" s="697" t="str">
        <f t="shared" ca="1" si="31"/>
        <v/>
      </c>
      <c r="M164" s="678" t="str">
        <f t="shared" ca="1" si="32"/>
        <v/>
      </c>
    </row>
    <row r="165" spans="4:13">
      <c r="D165" s="697">
        <f t="shared" ca="1" si="29"/>
        <v>11</v>
      </c>
      <c r="E165" s="226">
        <f t="shared" ca="1" si="33"/>
        <v>50710</v>
      </c>
      <c r="F165" s="35">
        <f t="shared" si="34"/>
        <v>143</v>
      </c>
      <c r="G165" s="36">
        <f t="shared" si="27"/>
        <v>0</v>
      </c>
      <c r="H165" s="36">
        <f t="shared" si="28"/>
        <v>0</v>
      </c>
      <c r="I165" s="747">
        <f t="shared" si="35"/>
        <v>0</v>
      </c>
      <c r="J165" s="747"/>
      <c r="K165" s="678" t="str">
        <f t="shared" ca="1" si="30"/>
        <v/>
      </c>
      <c r="L165" s="697" t="str">
        <f t="shared" ca="1" si="31"/>
        <v/>
      </c>
      <c r="M165" s="678" t="str">
        <f t="shared" ca="1" si="32"/>
        <v/>
      </c>
    </row>
    <row r="166" spans="4:13">
      <c r="D166" s="697">
        <f t="shared" ca="1" si="29"/>
        <v>12</v>
      </c>
      <c r="E166" s="226">
        <f t="shared" ca="1" si="33"/>
        <v>50740</v>
      </c>
      <c r="F166" s="35">
        <f t="shared" si="34"/>
        <v>144</v>
      </c>
      <c r="G166" s="36">
        <f t="shared" si="27"/>
        <v>0</v>
      </c>
      <c r="H166" s="36">
        <f t="shared" si="28"/>
        <v>0</v>
      </c>
      <c r="I166" s="747">
        <f t="shared" si="35"/>
        <v>0</v>
      </c>
      <c r="J166" s="747"/>
      <c r="K166" s="678">
        <f t="shared" ca="1" si="30"/>
        <v>0</v>
      </c>
      <c r="L166" s="697">
        <f t="shared" ca="1" si="31"/>
        <v>2038</v>
      </c>
      <c r="M166" s="678">
        <f t="shared" ca="1" si="32"/>
        <v>0</v>
      </c>
    </row>
    <row r="167" spans="4:13">
      <c r="D167" s="697">
        <f t="shared" ca="1" si="29"/>
        <v>1</v>
      </c>
      <c r="E167" s="226">
        <f t="shared" ca="1" si="33"/>
        <v>50771</v>
      </c>
      <c r="F167" s="35">
        <f t="shared" si="34"/>
        <v>145</v>
      </c>
      <c r="G167" s="36">
        <f t="shared" si="27"/>
        <v>0</v>
      </c>
      <c r="H167" s="36">
        <f t="shared" si="28"/>
        <v>0</v>
      </c>
      <c r="I167" s="747">
        <f t="shared" si="35"/>
        <v>0</v>
      </c>
      <c r="J167" s="747"/>
      <c r="K167" s="678" t="str">
        <f t="shared" ca="1" si="30"/>
        <v/>
      </c>
      <c r="L167" s="697" t="str">
        <f t="shared" ca="1" si="31"/>
        <v/>
      </c>
      <c r="M167" s="678" t="str">
        <f t="shared" ca="1" si="32"/>
        <v/>
      </c>
    </row>
    <row r="168" spans="4:13">
      <c r="D168" s="697">
        <f t="shared" ca="1" si="29"/>
        <v>2</v>
      </c>
      <c r="E168" s="226">
        <f t="shared" ca="1" si="33"/>
        <v>50802</v>
      </c>
      <c r="F168" s="35">
        <f t="shared" si="34"/>
        <v>146</v>
      </c>
      <c r="G168" s="36">
        <f t="shared" si="27"/>
        <v>0</v>
      </c>
      <c r="H168" s="36">
        <f t="shared" si="28"/>
        <v>0</v>
      </c>
      <c r="I168" s="747">
        <f t="shared" si="35"/>
        <v>0</v>
      </c>
      <c r="J168" s="747"/>
      <c r="K168" s="678" t="str">
        <f t="shared" ca="1" si="30"/>
        <v/>
      </c>
      <c r="L168" s="697" t="str">
        <f t="shared" ca="1" si="31"/>
        <v/>
      </c>
      <c r="M168" s="678" t="str">
        <f t="shared" ca="1" si="32"/>
        <v/>
      </c>
    </row>
    <row r="169" spans="4:13">
      <c r="D169" s="697">
        <f t="shared" ca="1" si="29"/>
        <v>3</v>
      </c>
      <c r="E169" s="226">
        <f t="shared" ca="1" si="33"/>
        <v>50830</v>
      </c>
      <c r="F169" s="35">
        <f t="shared" si="34"/>
        <v>147</v>
      </c>
      <c r="G169" s="36">
        <f t="shared" si="27"/>
        <v>0</v>
      </c>
      <c r="H169" s="36">
        <f t="shared" si="28"/>
        <v>0</v>
      </c>
      <c r="I169" s="747">
        <f t="shared" si="35"/>
        <v>0</v>
      </c>
      <c r="J169" s="747"/>
      <c r="K169" s="678" t="str">
        <f t="shared" ca="1" si="30"/>
        <v/>
      </c>
      <c r="L169" s="697" t="str">
        <f t="shared" ca="1" si="31"/>
        <v/>
      </c>
      <c r="M169" s="678" t="str">
        <f t="shared" ca="1" si="32"/>
        <v/>
      </c>
    </row>
    <row r="170" spans="4:13">
      <c r="D170" s="697">
        <f t="shared" ca="1" si="29"/>
        <v>4</v>
      </c>
      <c r="E170" s="226">
        <f t="shared" ca="1" si="33"/>
        <v>50861</v>
      </c>
      <c r="F170" s="35">
        <f t="shared" si="34"/>
        <v>148</v>
      </c>
      <c r="G170" s="36">
        <f t="shared" si="27"/>
        <v>0</v>
      </c>
      <c r="H170" s="36">
        <f t="shared" si="28"/>
        <v>0</v>
      </c>
      <c r="I170" s="747">
        <f t="shared" si="35"/>
        <v>0</v>
      </c>
      <c r="J170" s="747"/>
      <c r="K170" s="678" t="str">
        <f t="shared" ca="1" si="30"/>
        <v/>
      </c>
      <c r="L170" s="697" t="str">
        <f t="shared" ca="1" si="31"/>
        <v/>
      </c>
      <c r="M170" s="678" t="str">
        <f t="shared" ca="1" si="32"/>
        <v/>
      </c>
    </row>
    <row r="171" spans="4:13">
      <c r="D171" s="697">
        <f t="shared" ca="1" si="29"/>
        <v>5</v>
      </c>
      <c r="E171" s="226">
        <f t="shared" ca="1" si="33"/>
        <v>50891</v>
      </c>
      <c r="F171" s="35">
        <f t="shared" si="34"/>
        <v>149</v>
      </c>
      <c r="G171" s="36">
        <f t="shared" si="27"/>
        <v>0</v>
      </c>
      <c r="H171" s="36">
        <f t="shared" si="28"/>
        <v>0</v>
      </c>
      <c r="I171" s="747">
        <f t="shared" si="35"/>
        <v>0</v>
      </c>
      <c r="J171" s="747"/>
      <c r="K171" s="678" t="str">
        <f t="shared" ca="1" si="30"/>
        <v/>
      </c>
      <c r="L171" s="697" t="str">
        <f t="shared" ca="1" si="31"/>
        <v/>
      </c>
      <c r="M171" s="678" t="str">
        <f t="shared" ca="1" si="32"/>
        <v/>
      </c>
    </row>
    <row r="172" spans="4:13">
      <c r="D172" s="697">
        <f t="shared" ca="1" si="29"/>
        <v>6</v>
      </c>
      <c r="E172" s="226">
        <f t="shared" ca="1" si="33"/>
        <v>50922</v>
      </c>
      <c r="F172" s="35">
        <f t="shared" si="34"/>
        <v>150</v>
      </c>
      <c r="G172" s="36">
        <f t="shared" si="27"/>
        <v>0</v>
      </c>
      <c r="H172" s="36">
        <f t="shared" si="28"/>
        <v>0</v>
      </c>
      <c r="I172" s="747">
        <f t="shared" si="35"/>
        <v>0</v>
      </c>
      <c r="J172" s="747"/>
      <c r="K172" s="678" t="str">
        <f t="shared" ca="1" si="30"/>
        <v/>
      </c>
      <c r="L172" s="697" t="str">
        <f t="shared" ca="1" si="31"/>
        <v/>
      </c>
      <c r="M172" s="678" t="str">
        <f t="shared" ca="1" si="32"/>
        <v/>
      </c>
    </row>
    <row r="173" spans="4:13">
      <c r="D173" s="697">
        <f t="shared" ca="1" si="29"/>
        <v>7</v>
      </c>
      <c r="E173" s="226">
        <f t="shared" ca="1" si="33"/>
        <v>50952</v>
      </c>
      <c r="F173" s="35">
        <f t="shared" si="34"/>
        <v>151</v>
      </c>
      <c r="G173" s="36">
        <f t="shared" si="27"/>
        <v>0</v>
      </c>
      <c r="H173" s="36">
        <f t="shared" si="28"/>
        <v>0</v>
      </c>
      <c r="I173" s="747">
        <f t="shared" si="35"/>
        <v>0</v>
      </c>
      <c r="J173" s="747"/>
      <c r="K173" s="678" t="str">
        <f t="shared" ca="1" si="30"/>
        <v/>
      </c>
      <c r="L173" s="697" t="str">
        <f t="shared" ca="1" si="31"/>
        <v/>
      </c>
      <c r="M173" s="678" t="str">
        <f t="shared" ca="1" si="32"/>
        <v/>
      </c>
    </row>
    <row r="174" spans="4:13">
      <c r="D174" s="697">
        <f t="shared" ca="1" si="29"/>
        <v>8</v>
      </c>
      <c r="E174" s="226">
        <f t="shared" ca="1" si="33"/>
        <v>50983</v>
      </c>
      <c r="F174" s="35">
        <f t="shared" si="34"/>
        <v>152</v>
      </c>
      <c r="G174" s="36">
        <f t="shared" si="27"/>
        <v>0</v>
      </c>
      <c r="H174" s="36">
        <f t="shared" si="28"/>
        <v>0</v>
      </c>
      <c r="I174" s="747">
        <f t="shared" si="35"/>
        <v>0</v>
      </c>
      <c r="J174" s="747"/>
      <c r="K174" s="678" t="str">
        <f t="shared" ca="1" si="30"/>
        <v/>
      </c>
      <c r="L174" s="697" t="str">
        <f t="shared" ca="1" si="31"/>
        <v/>
      </c>
      <c r="M174" s="678" t="str">
        <f t="shared" ca="1" si="32"/>
        <v/>
      </c>
    </row>
    <row r="175" spans="4:13">
      <c r="D175" s="697">
        <f t="shared" ca="1" si="29"/>
        <v>9</v>
      </c>
      <c r="E175" s="226">
        <f t="shared" ca="1" si="33"/>
        <v>51014</v>
      </c>
      <c r="F175" s="35">
        <f t="shared" si="34"/>
        <v>153</v>
      </c>
      <c r="G175" s="36">
        <f t="shared" si="27"/>
        <v>0</v>
      </c>
      <c r="H175" s="36">
        <f t="shared" si="28"/>
        <v>0</v>
      </c>
      <c r="I175" s="747">
        <f t="shared" si="35"/>
        <v>0</v>
      </c>
      <c r="J175" s="747"/>
      <c r="K175" s="678" t="str">
        <f t="shared" ca="1" si="30"/>
        <v/>
      </c>
      <c r="L175" s="697" t="str">
        <f t="shared" ca="1" si="31"/>
        <v/>
      </c>
      <c r="M175" s="678" t="str">
        <f t="shared" ca="1" si="32"/>
        <v/>
      </c>
    </row>
    <row r="176" spans="4:13">
      <c r="D176" s="697">
        <f t="shared" ca="1" si="29"/>
        <v>10</v>
      </c>
      <c r="E176" s="226">
        <f t="shared" ca="1" si="33"/>
        <v>51044</v>
      </c>
      <c r="F176" s="35">
        <f t="shared" si="34"/>
        <v>154</v>
      </c>
      <c r="G176" s="36">
        <f t="shared" si="27"/>
        <v>0</v>
      </c>
      <c r="H176" s="36">
        <f t="shared" si="28"/>
        <v>0</v>
      </c>
      <c r="I176" s="747">
        <f t="shared" si="35"/>
        <v>0</v>
      </c>
      <c r="J176" s="747"/>
      <c r="K176" s="678" t="str">
        <f t="shared" ca="1" si="30"/>
        <v/>
      </c>
      <c r="L176" s="697" t="str">
        <f t="shared" ca="1" si="31"/>
        <v/>
      </c>
      <c r="M176" s="678" t="str">
        <f t="shared" ca="1" si="32"/>
        <v/>
      </c>
    </row>
    <row r="177" spans="4:13">
      <c r="D177" s="697">
        <f t="shared" ca="1" si="29"/>
        <v>11</v>
      </c>
      <c r="E177" s="226">
        <f t="shared" ca="1" si="33"/>
        <v>51075</v>
      </c>
      <c r="F177" s="35">
        <f t="shared" si="34"/>
        <v>155</v>
      </c>
      <c r="G177" s="36">
        <f t="shared" si="27"/>
        <v>0</v>
      </c>
      <c r="H177" s="36">
        <f t="shared" si="28"/>
        <v>0</v>
      </c>
      <c r="I177" s="747">
        <f t="shared" si="35"/>
        <v>0</v>
      </c>
      <c r="J177" s="747"/>
      <c r="K177" s="678" t="str">
        <f t="shared" ca="1" si="30"/>
        <v/>
      </c>
      <c r="L177" s="697" t="str">
        <f t="shared" ca="1" si="31"/>
        <v/>
      </c>
      <c r="M177" s="678" t="str">
        <f t="shared" ca="1" si="32"/>
        <v/>
      </c>
    </row>
    <row r="178" spans="4:13">
      <c r="D178" s="697">
        <f t="shared" ca="1" si="29"/>
        <v>12</v>
      </c>
      <c r="E178" s="226">
        <f t="shared" ca="1" si="33"/>
        <v>51105</v>
      </c>
      <c r="F178" s="35">
        <f t="shared" si="34"/>
        <v>156</v>
      </c>
      <c r="G178" s="36">
        <f t="shared" si="27"/>
        <v>0</v>
      </c>
      <c r="H178" s="36">
        <f t="shared" si="28"/>
        <v>0</v>
      </c>
      <c r="I178" s="747">
        <f t="shared" si="35"/>
        <v>0</v>
      </c>
      <c r="J178" s="747"/>
      <c r="K178" s="678">
        <f t="shared" ca="1" si="30"/>
        <v>0</v>
      </c>
      <c r="L178" s="697">
        <f t="shared" ca="1" si="31"/>
        <v>2039</v>
      </c>
      <c r="M178" s="678">
        <f t="shared" ca="1" si="32"/>
        <v>0</v>
      </c>
    </row>
    <row r="179" spans="4:13">
      <c r="D179" s="697">
        <f t="shared" ca="1" si="29"/>
        <v>1</v>
      </c>
      <c r="E179" s="226">
        <f t="shared" ca="1" si="33"/>
        <v>51136</v>
      </c>
      <c r="F179" s="35">
        <f t="shared" si="34"/>
        <v>157</v>
      </c>
      <c r="G179" s="36">
        <f t="shared" si="27"/>
        <v>0</v>
      </c>
      <c r="H179" s="36">
        <f t="shared" si="28"/>
        <v>0</v>
      </c>
      <c r="I179" s="747">
        <f t="shared" si="35"/>
        <v>0</v>
      </c>
      <c r="J179" s="747"/>
      <c r="K179" s="678" t="str">
        <f t="shared" ca="1" si="30"/>
        <v/>
      </c>
      <c r="L179" s="697" t="str">
        <f t="shared" ca="1" si="31"/>
        <v/>
      </c>
      <c r="M179" s="678" t="str">
        <f t="shared" ca="1" si="32"/>
        <v/>
      </c>
    </row>
    <row r="180" spans="4:13">
      <c r="D180" s="697">
        <f t="shared" ca="1" si="29"/>
        <v>2</v>
      </c>
      <c r="E180" s="226">
        <f t="shared" ca="1" si="33"/>
        <v>51167</v>
      </c>
      <c r="F180" s="35">
        <f t="shared" si="34"/>
        <v>158</v>
      </c>
      <c r="G180" s="36">
        <f t="shared" si="27"/>
        <v>0</v>
      </c>
      <c r="H180" s="36">
        <f t="shared" si="28"/>
        <v>0</v>
      </c>
      <c r="I180" s="747">
        <f t="shared" si="35"/>
        <v>0</v>
      </c>
      <c r="J180" s="747"/>
      <c r="K180" s="678" t="str">
        <f t="shared" ca="1" si="30"/>
        <v/>
      </c>
      <c r="L180" s="697" t="str">
        <f t="shared" ca="1" si="31"/>
        <v/>
      </c>
      <c r="M180" s="678" t="str">
        <f t="shared" ca="1" si="32"/>
        <v/>
      </c>
    </row>
    <row r="181" spans="4:13">
      <c r="D181" s="697">
        <f t="shared" ca="1" si="29"/>
        <v>3</v>
      </c>
      <c r="E181" s="226">
        <f t="shared" ca="1" si="33"/>
        <v>51196</v>
      </c>
      <c r="F181" s="35">
        <f t="shared" si="34"/>
        <v>159</v>
      </c>
      <c r="G181" s="36">
        <f t="shared" si="27"/>
        <v>0</v>
      </c>
      <c r="H181" s="36">
        <f t="shared" si="28"/>
        <v>0</v>
      </c>
      <c r="I181" s="747">
        <f t="shared" si="35"/>
        <v>0</v>
      </c>
      <c r="J181" s="747"/>
      <c r="K181" s="678" t="str">
        <f t="shared" ca="1" si="30"/>
        <v/>
      </c>
      <c r="L181" s="697" t="str">
        <f t="shared" ca="1" si="31"/>
        <v/>
      </c>
      <c r="M181" s="678" t="str">
        <f t="shared" ca="1" si="32"/>
        <v/>
      </c>
    </row>
    <row r="182" spans="4:13">
      <c r="D182" s="697">
        <f t="shared" ca="1" si="29"/>
        <v>4</v>
      </c>
      <c r="E182" s="226">
        <f t="shared" ca="1" si="33"/>
        <v>51227</v>
      </c>
      <c r="F182" s="35">
        <f t="shared" si="34"/>
        <v>160</v>
      </c>
      <c r="G182" s="36">
        <f t="shared" si="27"/>
        <v>0</v>
      </c>
      <c r="H182" s="36">
        <f t="shared" si="28"/>
        <v>0</v>
      </c>
      <c r="I182" s="747">
        <f t="shared" si="35"/>
        <v>0</v>
      </c>
      <c r="J182" s="747"/>
      <c r="K182" s="678" t="str">
        <f t="shared" ca="1" si="30"/>
        <v/>
      </c>
      <c r="L182" s="697" t="str">
        <f t="shared" ca="1" si="31"/>
        <v/>
      </c>
      <c r="M182" s="678" t="str">
        <f t="shared" ca="1" si="32"/>
        <v/>
      </c>
    </row>
    <row r="183" spans="4:13">
      <c r="D183" s="697">
        <f t="shared" ca="1" si="29"/>
        <v>5</v>
      </c>
      <c r="E183" s="226">
        <f t="shared" ca="1" si="33"/>
        <v>51257</v>
      </c>
      <c r="F183" s="35">
        <f t="shared" si="34"/>
        <v>161</v>
      </c>
      <c r="G183" s="36">
        <f t="shared" si="27"/>
        <v>0</v>
      </c>
      <c r="H183" s="36">
        <f t="shared" si="28"/>
        <v>0</v>
      </c>
      <c r="I183" s="747">
        <f t="shared" si="35"/>
        <v>0</v>
      </c>
      <c r="J183" s="747"/>
      <c r="K183" s="678" t="str">
        <f t="shared" ca="1" si="30"/>
        <v/>
      </c>
      <c r="L183" s="697" t="str">
        <f t="shared" ca="1" si="31"/>
        <v/>
      </c>
      <c r="M183" s="678" t="str">
        <f t="shared" ca="1" si="32"/>
        <v/>
      </c>
    </row>
    <row r="184" spans="4:13">
      <c r="D184" s="697">
        <f t="shared" ca="1" si="29"/>
        <v>6</v>
      </c>
      <c r="E184" s="226">
        <f t="shared" ca="1" si="33"/>
        <v>51288</v>
      </c>
      <c r="F184" s="35">
        <f t="shared" si="34"/>
        <v>162</v>
      </c>
      <c r="G184" s="36">
        <f t="shared" si="27"/>
        <v>0</v>
      </c>
      <c r="H184" s="36">
        <f t="shared" si="28"/>
        <v>0</v>
      </c>
      <c r="I184" s="747">
        <f t="shared" si="35"/>
        <v>0</v>
      </c>
      <c r="J184" s="747"/>
      <c r="K184" s="678" t="str">
        <f t="shared" ca="1" si="30"/>
        <v/>
      </c>
      <c r="L184" s="697" t="str">
        <f t="shared" ca="1" si="31"/>
        <v/>
      </c>
      <c r="M184" s="678" t="str">
        <f t="shared" ca="1" si="32"/>
        <v/>
      </c>
    </row>
    <row r="185" spans="4:13">
      <c r="D185" s="697">
        <f t="shared" ca="1" si="29"/>
        <v>7</v>
      </c>
      <c r="E185" s="226">
        <f t="shared" ca="1" si="33"/>
        <v>51318</v>
      </c>
      <c r="F185" s="35">
        <f t="shared" si="34"/>
        <v>163</v>
      </c>
      <c r="G185" s="36">
        <f t="shared" si="27"/>
        <v>0</v>
      </c>
      <c r="H185" s="36">
        <f t="shared" si="28"/>
        <v>0</v>
      </c>
      <c r="I185" s="747">
        <f t="shared" si="35"/>
        <v>0</v>
      </c>
      <c r="J185" s="747"/>
      <c r="K185" s="678" t="str">
        <f t="shared" ca="1" si="30"/>
        <v/>
      </c>
      <c r="L185" s="697" t="str">
        <f t="shared" ca="1" si="31"/>
        <v/>
      </c>
      <c r="M185" s="678" t="str">
        <f t="shared" ca="1" si="32"/>
        <v/>
      </c>
    </row>
    <row r="186" spans="4:13">
      <c r="D186" s="697">
        <f t="shared" ca="1" si="29"/>
        <v>8</v>
      </c>
      <c r="E186" s="226">
        <f t="shared" ca="1" si="33"/>
        <v>51349</v>
      </c>
      <c r="F186" s="35">
        <f t="shared" si="34"/>
        <v>164</v>
      </c>
      <c r="G186" s="36">
        <f t="shared" si="27"/>
        <v>0</v>
      </c>
      <c r="H186" s="36">
        <f t="shared" si="28"/>
        <v>0</v>
      </c>
      <c r="I186" s="747">
        <f t="shared" si="35"/>
        <v>0</v>
      </c>
      <c r="J186" s="747"/>
      <c r="K186" s="678" t="str">
        <f t="shared" ca="1" si="30"/>
        <v/>
      </c>
      <c r="L186" s="697" t="str">
        <f t="shared" ca="1" si="31"/>
        <v/>
      </c>
      <c r="M186" s="678" t="str">
        <f t="shared" ca="1" si="32"/>
        <v/>
      </c>
    </row>
    <row r="187" spans="4:13">
      <c r="D187" s="697">
        <f t="shared" ca="1" si="29"/>
        <v>9</v>
      </c>
      <c r="E187" s="226">
        <f t="shared" ca="1" si="33"/>
        <v>51380</v>
      </c>
      <c r="F187" s="35">
        <f t="shared" si="34"/>
        <v>165</v>
      </c>
      <c r="G187" s="36">
        <f t="shared" si="27"/>
        <v>0</v>
      </c>
      <c r="H187" s="36">
        <f t="shared" si="28"/>
        <v>0</v>
      </c>
      <c r="I187" s="747">
        <f t="shared" si="35"/>
        <v>0</v>
      </c>
      <c r="J187" s="747"/>
      <c r="K187" s="678" t="str">
        <f t="shared" ca="1" si="30"/>
        <v/>
      </c>
      <c r="L187" s="697" t="str">
        <f t="shared" ca="1" si="31"/>
        <v/>
      </c>
      <c r="M187" s="678" t="str">
        <f t="shared" ca="1" si="32"/>
        <v/>
      </c>
    </row>
    <row r="188" spans="4:13">
      <c r="D188" s="697">
        <f t="shared" ca="1" si="29"/>
        <v>10</v>
      </c>
      <c r="E188" s="226">
        <f t="shared" ca="1" si="33"/>
        <v>51410</v>
      </c>
      <c r="F188" s="35">
        <f t="shared" si="34"/>
        <v>166</v>
      </c>
      <c r="G188" s="36">
        <f t="shared" si="27"/>
        <v>0</v>
      </c>
      <c r="H188" s="36">
        <f t="shared" si="28"/>
        <v>0</v>
      </c>
      <c r="I188" s="747">
        <f t="shared" si="35"/>
        <v>0</v>
      </c>
      <c r="J188" s="747"/>
      <c r="K188" s="678" t="str">
        <f t="shared" ca="1" si="30"/>
        <v/>
      </c>
      <c r="L188" s="697" t="str">
        <f t="shared" ca="1" si="31"/>
        <v/>
      </c>
      <c r="M188" s="678" t="str">
        <f t="shared" ca="1" si="32"/>
        <v/>
      </c>
    </row>
    <row r="189" spans="4:13">
      <c r="D189" s="697">
        <f t="shared" ca="1" si="29"/>
        <v>11</v>
      </c>
      <c r="E189" s="226">
        <f t="shared" ca="1" si="33"/>
        <v>51441</v>
      </c>
      <c r="F189" s="35">
        <f t="shared" si="34"/>
        <v>167</v>
      </c>
      <c r="G189" s="36">
        <f t="shared" si="27"/>
        <v>0</v>
      </c>
      <c r="H189" s="36">
        <f t="shared" si="28"/>
        <v>0</v>
      </c>
      <c r="I189" s="747">
        <f t="shared" si="35"/>
        <v>0</v>
      </c>
      <c r="J189" s="747"/>
      <c r="K189" s="678" t="str">
        <f t="shared" ca="1" si="30"/>
        <v/>
      </c>
      <c r="L189" s="697" t="str">
        <f t="shared" ca="1" si="31"/>
        <v/>
      </c>
      <c r="M189" s="678" t="str">
        <f t="shared" ca="1" si="32"/>
        <v/>
      </c>
    </row>
    <row r="190" spans="4:13">
      <c r="D190" s="697">
        <f t="shared" ca="1" si="29"/>
        <v>12</v>
      </c>
      <c r="E190" s="226">
        <f t="shared" ca="1" si="33"/>
        <v>51471</v>
      </c>
      <c r="F190" s="35">
        <f t="shared" si="34"/>
        <v>168</v>
      </c>
      <c r="G190" s="36">
        <f t="shared" si="27"/>
        <v>0</v>
      </c>
      <c r="H190" s="36">
        <f t="shared" si="28"/>
        <v>0</v>
      </c>
      <c r="I190" s="747">
        <f t="shared" si="35"/>
        <v>0</v>
      </c>
      <c r="J190" s="747"/>
      <c r="K190" s="678">
        <f t="shared" ca="1" si="30"/>
        <v>0</v>
      </c>
      <c r="L190" s="697">
        <f t="shared" ca="1" si="31"/>
        <v>2040</v>
      </c>
      <c r="M190" s="678">
        <f t="shared" ca="1" si="32"/>
        <v>0</v>
      </c>
    </row>
    <row r="191" spans="4:13">
      <c r="D191" s="697">
        <f t="shared" ca="1" si="29"/>
        <v>1</v>
      </c>
      <c r="E191" s="226">
        <f t="shared" ca="1" si="33"/>
        <v>51502</v>
      </c>
      <c r="F191" s="35">
        <f t="shared" si="34"/>
        <v>169</v>
      </c>
      <c r="G191" s="36">
        <f t="shared" si="27"/>
        <v>0</v>
      </c>
      <c r="H191" s="36">
        <f t="shared" si="28"/>
        <v>0</v>
      </c>
      <c r="I191" s="747">
        <f t="shared" si="35"/>
        <v>0</v>
      </c>
      <c r="J191" s="747"/>
      <c r="K191" s="678" t="str">
        <f t="shared" ca="1" si="30"/>
        <v/>
      </c>
      <c r="L191" s="697" t="str">
        <f t="shared" ca="1" si="31"/>
        <v/>
      </c>
      <c r="M191" s="678" t="str">
        <f t="shared" ca="1" si="32"/>
        <v/>
      </c>
    </row>
    <row r="192" spans="4:13">
      <c r="D192" s="697">
        <f t="shared" ca="1" si="29"/>
        <v>2</v>
      </c>
      <c r="E192" s="226">
        <f t="shared" ca="1" si="33"/>
        <v>51533</v>
      </c>
      <c r="F192" s="35">
        <f t="shared" si="34"/>
        <v>170</v>
      </c>
      <c r="G192" s="36">
        <f t="shared" si="27"/>
        <v>0</v>
      </c>
      <c r="H192" s="36">
        <f t="shared" si="28"/>
        <v>0</v>
      </c>
      <c r="I192" s="747">
        <f t="shared" si="35"/>
        <v>0</v>
      </c>
      <c r="J192" s="747"/>
      <c r="K192" s="678" t="str">
        <f t="shared" ca="1" si="30"/>
        <v/>
      </c>
      <c r="L192" s="697" t="str">
        <f t="shared" ca="1" si="31"/>
        <v/>
      </c>
      <c r="M192" s="678" t="str">
        <f t="shared" ca="1" si="32"/>
        <v/>
      </c>
    </row>
    <row r="193" spans="4:13">
      <c r="D193" s="697">
        <f t="shared" ca="1" si="29"/>
        <v>3</v>
      </c>
      <c r="E193" s="226">
        <f t="shared" ca="1" si="33"/>
        <v>51561</v>
      </c>
      <c r="F193" s="35">
        <f t="shared" si="34"/>
        <v>171</v>
      </c>
      <c r="G193" s="36">
        <f t="shared" si="27"/>
        <v>0</v>
      </c>
      <c r="H193" s="36">
        <f t="shared" si="28"/>
        <v>0</v>
      </c>
      <c r="I193" s="747">
        <f t="shared" si="35"/>
        <v>0</v>
      </c>
      <c r="J193" s="747"/>
      <c r="K193" s="678" t="str">
        <f t="shared" ca="1" si="30"/>
        <v/>
      </c>
      <c r="L193" s="697" t="str">
        <f t="shared" ca="1" si="31"/>
        <v/>
      </c>
      <c r="M193" s="678" t="str">
        <f t="shared" ca="1" si="32"/>
        <v/>
      </c>
    </row>
    <row r="194" spans="4:13">
      <c r="D194" s="697">
        <f t="shared" ca="1" si="29"/>
        <v>4</v>
      </c>
      <c r="E194" s="226">
        <f t="shared" ca="1" si="33"/>
        <v>51592</v>
      </c>
      <c r="F194" s="35">
        <f t="shared" si="34"/>
        <v>172</v>
      </c>
      <c r="G194" s="36">
        <f t="shared" si="27"/>
        <v>0</v>
      </c>
      <c r="H194" s="36">
        <f t="shared" si="28"/>
        <v>0</v>
      </c>
      <c r="I194" s="747">
        <f t="shared" si="35"/>
        <v>0</v>
      </c>
      <c r="J194" s="747"/>
      <c r="K194" s="678" t="str">
        <f t="shared" ca="1" si="30"/>
        <v/>
      </c>
      <c r="L194" s="697" t="str">
        <f t="shared" ca="1" si="31"/>
        <v/>
      </c>
      <c r="M194" s="678" t="str">
        <f t="shared" ca="1" si="32"/>
        <v/>
      </c>
    </row>
    <row r="195" spans="4:13">
      <c r="D195" s="697">
        <f t="shared" ca="1" si="29"/>
        <v>5</v>
      </c>
      <c r="E195" s="226">
        <f t="shared" ca="1" si="33"/>
        <v>51622</v>
      </c>
      <c r="F195" s="35">
        <f t="shared" si="34"/>
        <v>173</v>
      </c>
      <c r="G195" s="36">
        <f t="shared" si="27"/>
        <v>0</v>
      </c>
      <c r="H195" s="36">
        <f t="shared" si="28"/>
        <v>0</v>
      </c>
      <c r="I195" s="747">
        <f t="shared" si="35"/>
        <v>0</v>
      </c>
      <c r="J195" s="747"/>
      <c r="K195" s="678" t="str">
        <f t="shared" ca="1" si="30"/>
        <v/>
      </c>
      <c r="L195" s="697" t="str">
        <f t="shared" ca="1" si="31"/>
        <v/>
      </c>
      <c r="M195" s="678" t="str">
        <f t="shared" ca="1" si="32"/>
        <v/>
      </c>
    </row>
    <row r="196" spans="4:13">
      <c r="D196" s="697">
        <f t="shared" ca="1" si="29"/>
        <v>6</v>
      </c>
      <c r="E196" s="226">
        <f t="shared" ca="1" si="33"/>
        <v>51653</v>
      </c>
      <c r="F196" s="35">
        <f t="shared" si="34"/>
        <v>174</v>
      </c>
      <c r="G196" s="36">
        <f t="shared" si="27"/>
        <v>0</v>
      </c>
      <c r="H196" s="36">
        <f t="shared" si="28"/>
        <v>0</v>
      </c>
      <c r="I196" s="747">
        <f t="shared" si="35"/>
        <v>0</v>
      </c>
      <c r="J196" s="747"/>
      <c r="K196" s="678" t="str">
        <f t="shared" ca="1" si="30"/>
        <v/>
      </c>
      <c r="L196" s="697" t="str">
        <f t="shared" ca="1" si="31"/>
        <v/>
      </c>
      <c r="M196" s="678" t="str">
        <f t="shared" ca="1" si="32"/>
        <v/>
      </c>
    </row>
    <row r="197" spans="4:13">
      <c r="D197" s="697">
        <f t="shared" ca="1" si="29"/>
        <v>7</v>
      </c>
      <c r="E197" s="226">
        <f t="shared" ca="1" si="33"/>
        <v>51683</v>
      </c>
      <c r="F197" s="35">
        <f t="shared" si="34"/>
        <v>175</v>
      </c>
      <c r="G197" s="36">
        <f t="shared" si="27"/>
        <v>0</v>
      </c>
      <c r="H197" s="36">
        <f t="shared" si="28"/>
        <v>0</v>
      </c>
      <c r="I197" s="747">
        <f t="shared" si="35"/>
        <v>0</v>
      </c>
      <c r="J197" s="747"/>
      <c r="K197" s="678" t="str">
        <f t="shared" ca="1" si="30"/>
        <v/>
      </c>
      <c r="L197" s="697" t="str">
        <f t="shared" ca="1" si="31"/>
        <v/>
      </c>
      <c r="M197" s="678" t="str">
        <f t="shared" ca="1" si="32"/>
        <v/>
      </c>
    </row>
    <row r="198" spans="4:13">
      <c r="D198" s="697">
        <f t="shared" ca="1" si="29"/>
        <v>8</v>
      </c>
      <c r="E198" s="226">
        <f t="shared" ca="1" si="33"/>
        <v>51714</v>
      </c>
      <c r="F198" s="35">
        <f t="shared" si="34"/>
        <v>176</v>
      </c>
      <c r="G198" s="36">
        <f t="shared" si="27"/>
        <v>0</v>
      </c>
      <c r="H198" s="36">
        <f t="shared" si="28"/>
        <v>0</v>
      </c>
      <c r="I198" s="747">
        <f t="shared" si="35"/>
        <v>0</v>
      </c>
      <c r="J198" s="747"/>
      <c r="K198" s="678" t="str">
        <f t="shared" ca="1" si="30"/>
        <v/>
      </c>
      <c r="L198" s="697" t="str">
        <f t="shared" ca="1" si="31"/>
        <v/>
      </c>
      <c r="M198" s="678" t="str">
        <f t="shared" ca="1" si="32"/>
        <v/>
      </c>
    </row>
    <row r="199" spans="4:13">
      <c r="D199" s="697">
        <f t="shared" ca="1" si="29"/>
        <v>9</v>
      </c>
      <c r="E199" s="226">
        <f t="shared" ca="1" si="33"/>
        <v>51745</v>
      </c>
      <c r="F199" s="35">
        <f t="shared" si="34"/>
        <v>177</v>
      </c>
      <c r="G199" s="36">
        <f t="shared" si="27"/>
        <v>0</v>
      </c>
      <c r="H199" s="36">
        <f t="shared" si="28"/>
        <v>0</v>
      </c>
      <c r="I199" s="747">
        <f t="shared" si="35"/>
        <v>0</v>
      </c>
      <c r="J199" s="747"/>
      <c r="K199" s="678" t="str">
        <f t="shared" ca="1" si="30"/>
        <v/>
      </c>
      <c r="L199" s="697" t="str">
        <f t="shared" ca="1" si="31"/>
        <v/>
      </c>
      <c r="M199" s="678" t="str">
        <f t="shared" ca="1" si="32"/>
        <v/>
      </c>
    </row>
    <row r="200" spans="4:13">
      <c r="D200" s="697">
        <f t="shared" ca="1" si="29"/>
        <v>10</v>
      </c>
      <c r="E200" s="226">
        <f t="shared" ca="1" si="33"/>
        <v>51775</v>
      </c>
      <c r="F200" s="35">
        <f t="shared" si="34"/>
        <v>178</v>
      </c>
      <c r="G200" s="36">
        <f t="shared" si="27"/>
        <v>0</v>
      </c>
      <c r="H200" s="36">
        <f t="shared" si="28"/>
        <v>0</v>
      </c>
      <c r="I200" s="747">
        <f t="shared" si="35"/>
        <v>0</v>
      </c>
      <c r="J200" s="747"/>
      <c r="K200" s="678" t="str">
        <f t="shared" ca="1" si="30"/>
        <v/>
      </c>
      <c r="L200" s="697" t="str">
        <f t="shared" ca="1" si="31"/>
        <v/>
      </c>
      <c r="M200" s="678" t="str">
        <f t="shared" ca="1" si="32"/>
        <v/>
      </c>
    </row>
    <row r="201" spans="4:13">
      <c r="D201" s="697">
        <f t="shared" ca="1" si="29"/>
        <v>11</v>
      </c>
      <c r="E201" s="226">
        <f t="shared" ca="1" si="33"/>
        <v>51806</v>
      </c>
      <c r="F201" s="35">
        <f t="shared" si="34"/>
        <v>179</v>
      </c>
      <c r="G201" s="36">
        <f t="shared" si="27"/>
        <v>0</v>
      </c>
      <c r="H201" s="36">
        <f t="shared" si="28"/>
        <v>0</v>
      </c>
      <c r="I201" s="747">
        <f t="shared" si="35"/>
        <v>0</v>
      </c>
      <c r="J201" s="747"/>
      <c r="K201" s="678" t="str">
        <f t="shared" ca="1" si="30"/>
        <v/>
      </c>
      <c r="L201" s="697" t="str">
        <f t="shared" ca="1" si="31"/>
        <v/>
      </c>
      <c r="M201" s="678" t="str">
        <f t="shared" ca="1" si="32"/>
        <v/>
      </c>
    </row>
    <row r="202" spans="4:13">
      <c r="D202" s="697">
        <f t="shared" ca="1" si="29"/>
        <v>12</v>
      </c>
      <c r="E202" s="226">
        <f t="shared" ca="1" si="33"/>
        <v>51836</v>
      </c>
      <c r="F202" s="35">
        <f t="shared" si="34"/>
        <v>180</v>
      </c>
      <c r="G202" s="36">
        <f t="shared" si="27"/>
        <v>0</v>
      </c>
      <c r="H202" s="36">
        <f t="shared" si="28"/>
        <v>0</v>
      </c>
      <c r="I202" s="747">
        <f t="shared" si="35"/>
        <v>0</v>
      </c>
      <c r="J202" s="747"/>
      <c r="K202" s="678">
        <f t="shared" ca="1" si="30"/>
        <v>0</v>
      </c>
      <c r="L202" s="697">
        <f t="shared" ca="1" si="31"/>
        <v>2041</v>
      </c>
      <c r="M202" s="678">
        <f t="shared" ca="1" si="32"/>
        <v>0</v>
      </c>
    </row>
    <row r="203" spans="4:13">
      <c r="D203" s="697">
        <f t="shared" ca="1" si="29"/>
        <v>1</v>
      </c>
      <c r="E203" s="226">
        <f t="shared" ca="1" si="33"/>
        <v>51867</v>
      </c>
      <c r="F203" s="35">
        <f t="shared" si="34"/>
        <v>181</v>
      </c>
      <c r="G203" s="36">
        <f t="shared" si="27"/>
        <v>0</v>
      </c>
      <c r="H203" s="36">
        <f t="shared" si="28"/>
        <v>0</v>
      </c>
      <c r="I203" s="747">
        <f t="shared" si="35"/>
        <v>0</v>
      </c>
      <c r="J203" s="747"/>
      <c r="K203" s="678" t="str">
        <f t="shared" ca="1" si="30"/>
        <v/>
      </c>
      <c r="L203" s="697" t="str">
        <f t="shared" ca="1" si="31"/>
        <v/>
      </c>
      <c r="M203" s="678" t="str">
        <f t="shared" ca="1" si="32"/>
        <v/>
      </c>
    </row>
    <row r="204" spans="4:13">
      <c r="D204" s="697">
        <f t="shared" ca="1" si="29"/>
        <v>2</v>
      </c>
      <c r="E204" s="226">
        <f t="shared" ca="1" si="33"/>
        <v>51898</v>
      </c>
      <c r="F204" s="35">
        <f t="shared" si="34"/>
        <v>182</v>
      </c>
      <c r="G204" s="36">
        <f t="shared" si="27"/>
        <v>0</v>
      </c>
      <c r="H204" s="36">
        <f t="shared" si="28"/>
        <v>0</v>
      </c>
      <c r="I204" s="747">
        <f t="shared" si="35"/>
        <v>0</v>
      </c>
      <c r="J204" s="747"/>
      <c r="K204" s="678" t="str">
        <f t="shared" ca="1" si="30"/>
        <v/>
      </c>
      <c r="L204" s="697" t="str">
        <f t="shared" ca="1" si="31"/>
        <v/>
      </c>
      <c r="M204" s="678" t="str">
        <f t="shared" ca="1" si="32"/>
        <v/>
      </c>
    </row>
    <row r="205" spans="4:13">
      <c r="D205" s="697">
        <f t="shared" ca="1" si="29"/>
        <v>3</v>
      </c>
      <c r="E205" s="226">
        <f t="shared" ca="1" si="33"/>
        <v>51926</v>
      </c>
      <c r="F205" s="35">
        <f t="shared" si="34"/>
        <v>183</v>
      </c>
      <c r="G205" s="36">
        <f t="shared" si="27"/>
        <v>0</v>
      </c>
      <c r="H205" s="36">
        <f t="shared" si="28"/>
        <v>0</v>
      </c>
      <c r="I205" s="747">
        <f t="shared" si="35"/>
        <v>0</v>
      </c>
      <c r="J205" s="747"/>
      <c r="K205" s="678" t="str">
        <f t="shared" ca="1" si="30"/>
        <v/>
      </c>
      <c r="L205" s="697" t="str">
        <f t="shared" ca="1" si="31"/>
        <v/>
      </c>
      <c r="M205" s="678" t="str">
        <f t="shared" ca="1" si="32"/>
        <v/>
      </c>
    </row>
    <row r="206" spans="4:13">
      <c r="D206" s="697">
        <f t="shared" ca="1" si="29"/>
        <v>4</v>
      </c>
      <c r="E206" s="226">
        <f t="shared" ca="1" si="33"/>
        <v>51957</v>
      </c>
      <c r="F206" s="35">
        <f t="shared" si="34"/>
        <v>184</v>
      </c>
      <c r="G206" s="36">
        <f t="shared" si="27"/>
        <v>0</v>
      </c>
      <c r="H206" s="36">
        <f t="shared" si="28"/>
        <v>0</v>
      </c>
      <c r="I206" s="747">
        <f t="shared" si="35"/>
        <v>0</v>
      </c>
      <c r="J206" s="747"/>
      <c r="K206" s="678" t="str">
        <f t="shared" ca="1" si="30"/>
        <v/>
      </c>
      <c r="L206" s="697" t="str">
        <f t="shared" ca="1" si="31"/>
        <v/>
      </c>
      <c r="M206" s="678" t="str">
        <f t="shared" ca="1" si="32"/>
        <v/>
      </c>
    </row>
    <row r="207" spans="4:13">
      <c r="D207" s="697">
        <f t="shared" ca="1" si="29"/>
        <v>5</v>
      </c>
      <c r="E207" s="226">
        <f t="shared" ca="1" si="33"/>
        <v>51987</v>
      </c>
      <c r="F207" s="35">
        <f t="shared" si="34"/>
        <v>185</v>
      </c>
      <c r="G207" s="36">
        <f t="shared" si="27"/>
        <v>0</v>
      </c>
      <c r="H207" s="36">
        <f t="shared" si="28"/>
        <v>0</v>
      </c>
      <c r="I207" s="747">
        <f t="shared" si="35"/>
        <v>0</v>
      </c>
      <c r="J207" s="747"/>
      <c r="K207" s="678" t="str">
        <f t="shared" ca="1" si="30"/>
        <v/>
      </c>
      <c r="L207" s="697" t="str">
        <f t="shared" ca="1" si="31"/>
        <v/>
      </c>
      <c r="M207" s="678" t="str">
        <f t="shared" ca="1" si="32"/>
        <v/>
      </c>
    </row>
    <row r="208" spans="4:13">
      <c r="D208" s="697">
        <f t="shared" ca="1" si="29"/>
        <v>6</v>
      </c>
      <c r="E208" s="226">
        <f t="shared" ca="1" si="33"/>
        <v>52018</v>
      </c>
      <c r="F208" s="35">
        <f t="shared" si="34"/>
        <v>186</v>
      </c>
      <c r="G208" s="36">
        <f t="shared" si="27"/>
        <v>0</v>
      </c>
      <c r="H208" s="36">
        <f t="shared" si="28"/>
        <v>0</v>
      </c>
      <c r="I208" s="747">
        <f t="shared" si="35"/>
        <v>0</v>
      </c>
      <c r="J208" s="747"/>
      <c r="K208" s="678" t="str">
        <f t="shared" ca="1" si="30"/>
        <v/>
      </c>
      <c r="L208" s="697" t="str">
        <f t="shared" ca="1" si="31"/>
        <v/>
      </c>
      <c r="M208" s="678" t="str">
        <f t="shared" ca="1" si="32"/>
        <v/>
      </c>
    </row>
    <row r="209" spans="4:13">
      <c r="D209" s="697">
        <f t="shared" ca="1" si="29"/>
        <v>7</v>
      </c>
      <c r="E209" s="226">
        <f t="shared" ca="1" si="33"/>
        <v>52048</v>
      </c>
      <c r="F209" s="35">
        <f t="shared" si="34"/>
        <v>187</v>
      </c>
      <c r="G209" s="36">
        <f t="shared" si="27"/>
        <v>0</v>
      </c>
      <c r="H209" s="36">
        <f t="shared" si="28"/>
        <v>0</v>
      </c>
      <c r="I209" s="747">
        <f t="shared" si="35"/>
        <v>0</v>
      </c>
      <c r="J209" s="747"/>
      <c r="K209" s="678" t="str">
        <f t="shared" ca="1" si="30"/>
        <v/>
      </c>
      <c r="L209" s="697" t="str">
        <f t="shared" ca="1" si="31"/>
        <v/>
      </c>
      <c r="M209" s="678" t="str">
        <f t="shared" ca="1" si="32"/>
        <v/>
      </c>
    </row>
    <row r="210" spans="4:13">
      <c r="D210" s="697">
        <f t="shared" ca="1" si="29"/>
        <v>8</v>
      </c>
      <c r="E210" s="226">
        <f t="shared" ca="1" si="33"/>
        <v>52079</v>
      </c>
      <c r="F210" s="35">
        <f t="shared" si="34"/>
        <v>188</v>
      </c>
      <c r="G210" s="36">
        <f t="shared" si="27"/>
        <v>0</v>
      </c>
      <c r="H210" s="36">
        <f t="shared" si="28"/>
        <v>0</v>
      </c>
      <c r="I210" s="747">
        <f t="shared" si="35"/>
        <v>0</v>
      </c>
      <c r="J210" s="747"/>
      <c r="K210" s="678" t="str">
        <f t="shared" ca="1" si="30"/>
        <v/>
      </c>
      <c r="L210" s="697" t="str">
        <f t="shared" ca="1" si="31"/>
        <v/>
      </c>
      <c r="M210" s="678" t="str">
        <f t="shared" ca="1" si="32"/>
        <v/>
      </c>
    </row>
    <row r="211" spans="4:13">
      <c r="D211" s="697">
        <f t="shared" ca="1" si="29"/>
        <v>9</v>
      </c>
      <c r="E211" s="226">
        <f t="shared" ca="1" si="33"/>
        <v>52110</v>
      </c>
      <c r="F211" s="35">
        <f t="shared" si="34"/>
        <v>189</v>
      </c>
      <c r="G211" s="36">
        <f t="shared" si="27"/>
        <v>0</v>
      </c>
      <c r="H211" s="36">
        <f t="shared" si="28"/>
        <v>0</v>
      </c>
      <c r="I211" s="747">
        <f t="shared" si="35"/>
        <v>0</v>
      </c>
      <c r="J211" s="747"/>
      <c r="K211" s="678" t="str">
        <f t="shared" ca="1" si="30"/>
        <v/>
      </c>
      <c r="L211" s="697" t="str">
        <f t="shared" ca="1" si="31"/>
        <v/>
      </c>
      <c r="M211" s="678" t="str">
        <f t="shared" ca="1" si="32"/>
        <v/>
      </c>
    </row>
    <row r="212" spans="4:13">
      <c r="D212" s="697">
        <f t="shared" ca="1" si="29"/>
        <v>10</v>
      </c>
      <c r="E212" s="226">
        <f t="shared" ca="1" si="33"/>
        <v>52140</v>
      </c>
      <c r="F212" s="35">
        <f t="shared" si="34"/>
        <v>190</v>
      </c>
      <c r="G212" s="36">
        <f t="shared" si="27"/>
        <v>0</v>
      </c>
      <c r="H212" s="36">
        <f t="shared" si="28"/>
        <v>0</v>
      </c>
      <c r="I212" s="747">
        <f t="shared" si="35"/>
        <v>0</v>
      </c>
      <c r="J212" s="747"/>
      <c r="K212" s="678" t="str">
        <f t="shared" ca="1" si="30"/>
        <v/>
      </c>
      <c r="L212" s="697" t="str">
        <f t="shared" ca="1" si="31"/>
        <v/>
      </c>
      <c r="M212" s="678" t="str">
        <f t="shared" ca="1" si="32"/>
        <v/>
      </c>
    </row>
    <row r="213" spans="4:13">
      <c r="D213" s="697">
        <f t="shared" ca="1" si="29"/>
        <v>11</v>
      </c>
      <c r="E213" s="226">
        <f t="shared" ca="1" si="33"/>
        <v>52171</v>
      </c>
      <c r="F213" s="35">
        <f t="shared" si="34"/>
        <v>191</v>
      </c>
      <c r="G213" s="36">
        <f t="shared" si="27"/>
        <v>0</v>
      </c>
      <c r="H213" s="36">
        <f t="shared" si="28"/>
        <v>0</v>
      </c>
      <c r="I213" s="747">
        <f t="shared" si="35"/>
        <v>0</v>
      </c>
      <c r="J213" s="747"/>
      <c r="K213" s="678" t="str">
        <f t="shared" ca="1" si="30"/>
        <v/>
      </c>
      <c r="L213" s="697" t="str">
        <f t="shared" ca="1" si="31"/>
        <v/>
      </c>
      <c r="M213" s="678" t="str">
        <f t="shared" ca="1" si="32"/>
        <v/>
      </c>
    </row>
    <row r="214" spans="4:13">
      <c r="D214" s="697">
        <f t="shared" ca="1" si="29"/>
        <v>12</v>
      </c>
      <c r="E214" s="226">
        <f t="shared" ca="1" si="33"/>
        <v>52201</v>
      </c>
      <c r="F214" s="35">
        <f t="shared" si="34"/>
        <v>192</v>
      </c>
      <c r="G214" s="36">
        <f t="shared" si="27"/>
        <v>0</v>
      </c>
      <c r="H214" s="36">
        <f t="shared" si="28"/>
        <v>0</v>
      </c>
      <c r="I214" s="747">
        <f t="shared" si="35"/>
        <v>0</v>
      </c>
      <c r="J214" s="747"/>
      <c r="K214" s="678">
        <f t="shared" ca="1" si="30"/>
        <v>0</v>
      </c>
      <c r="L214" s="697">
        <f t="shared" ca="1" si="31"/>
        <v>2042</v>
      </c>
      <c r="M214" s="678">
        <f t="shared" ca="1" si="32"/>
        <v>0</v>
      </c>
    </row>
    <row r="215" spans="4:13">
      <c r="D215" s="697">
        <f t="shared" ca="1" si="29"/>
        <v>1</v>
      </c>
      <c r="E215" s="226">
        <f t="shared" ca="1" si="33"/>
        <v>52232</v>
      </c>
      <c r="F215" s="35">
        <f t="shared" si="34"/>
        <v>193</v>
      </c>
      <c r="G215" s="36">
        <f t="shared" ref="G215:G278" si="36">IFERROR(IF(F215&lt;&gt;"",-IPMT($G$15/12,F215,$G$16,$G$13),""),0)</f>
        <v>0</v>
      </c>
      <c r="H215" s="36">
        <f t="shared" ref="H215:H278" si="37">IFERROR(IF(F215&lt;&gt;"",-PPMT($G$15/12,F215,$G$16,$G$13),""),0)</f>
        <v>0</v>
      </c>
      <c r="I215" s="747">
        <f t="shared" si="35"/>
        <v>0</v>
      </c>
      <c r="J215" s="747"/>
      <c r="K215" s="678" t="str">
        <f t="shared" ca="1" si="30"/>
        <v/>
      </c>
      <c r="L215" s="697" t="str">
        <f t="shared" ca="1" si="31"/>
        <v/>
      </c>
      <c r="M215" s="678" t="str">
        <f t="shared" ca="1" si="32"/>
        <v/>
      </c>
    </row>
    <row r="216" spans="4:13">
      <c r="D216" s="697">
        <f t="shared" ref="D216:D279" ca="1" si="38">IF(E216="","",MONTH(E216))</f>
        <v>2</v>
      </c>
      <c r="E216" s="226">
        <f t="shared" ca="1" si="33"/>
        <v>52263</v>
      </c>
      <c r="F216" s="35">
        <f t="shared" si="34"/>
        <v>194</v>
      </c>
      <c r="G216" s="36">
        <f t="shared" si="36"/>
        <v>0</v>
      </c>
      <c r="H216" s="36">
        <f t="shared" si="37"/>
        <v>0</v>
      </c>
      <c r="I216" s="747">
        <f t="shared" si="35"/>
        <v>0</v>
      </c>
      <c r="J216" s="747"/>
      <c r="K216" s="678" t="str">
        <f t="shared" ref="K216:K279" ca="1" si="39">IF(D216=12,G216+G215+G214+G213+G212+G211+G210+G209+G208+G207+G206+G205,"")</f>
        <v/>
      </c>
      <c r="L216" s="697" t="str">
        <f t="shared" ref="L216:L279" ca="1" si="40">IF(D216=12,YEAR(E216),"")</f>
        <v/>
      </c>
      <c r="M216" s="678" t="str">
        <f t="shared" ref="M216:M279" ca="1" si="41">IF(D216=12,H216+H215+H214+H213+H212+H211+H210+H209+H208+H207+H206+H205,"")</f>
        <v/>
      </c>
    </row>
    <row r="217" spans="4:13">
      <c r="D217" s="697">
        <f t="shared" ca="1" si="38"/>
        <v>3</v>
      </c>
      <c r="E217" s="226">
        <f t="shared" ref="E217:E280" ca="1" si="42">IFERROR(IF($G$16&lt;=F216,"",DATE(YEAR(E216),MONTH(E216)+1,DAY(E216))),"")</f>
        <v>52291</v>
      </c>
      <c r="F217" s="35">
        <f t="shared" ref="F217:F280" si="43">IF(OR(F216="",F216=$G$16),"",IF(F216&lt;$G$16,F216+1,0))</f>
        <v>195</v>
      </c>
      <c r="G217" s="36">
        <f t="shared" si="36"/>
        <v>0</v>
      </c>
      <c r="H217" s="36">
        <f t="shared" si="37"/>
        <v>0</v>
      </c>
      <c r="I217" s="747">
        <f t="shared" ref="I217:I280" si="44">IF(F217&lt;&gt;"",I216-H217,"")</f>
        <v>0</v>
      </c>
      <c r="J217" s="747"/>
      <c r="K217" s="678" t="str">
        <f t="shared" ca="1" si="39"/>
        <v/>
      </c>
      <c r="L217" s="697" t="str">
        <f t="shared" ca="1" si="40"/>
        <v/>
      </c>
      <c r="M217" s="678" t="str">
        <f t="shared" ca="1" si="41"/>
        <v/>
      </c>
    </row>
    <row r="218" spans="4:13">
      <c r="D218" s="697">
        <f t="shared" ca="1" si="38"/>
        <v>4</v>
      </c>
      <c r="E218" s="226">
        <f t="shared" ca="1" si="42"/>
        <v>52322</v>
      </c>
      <c r="F218" s="35">
        <f t="shared" si="43"/>
        <v>196</v>
      </c>
      <c r="G218" s="36">
        <f t="shared" si="36"/>
        <v>0</v>
      </c>
      <c r="H218" s="36">
        <f t="shared" si="37"/>
        <v>0</v>
      </c>
      <c r="I218" s="747">
        <f t="shared" si="44"/>
        <v>0</v>
      </c>
      <c r="J218" s="747"/>
      <c r="K218" s="678" t="str">
        <f t="shared" ca="1" si="39"/>
        <v/>
      </c>
      <c r="L218" s="697" t="str">
        <f t="shared" ca="1" si="40"/>
        <v/>
      </c>
      <c r="M218" s="678" t="str">
        <f t="shared" ca="1" si="41"/>
        <v/>
      </c>
    </row>
    <row r="219" spans="4:13">
      <c r="D219" s="697">
        <f t="shared" ca="1" si="38"/>
        <v>5</v>
      </c>
      <c r="E219" s="226">
        <f t="shared" ca="1" si="42"/>
        <v>52352</v>
      </c>
      <c r="F219" s="35">
        <f t="shared" si="43"/>
        <v>197</v>
      </c>
      <c r="G219" s="36">
        <f t="shared" si="36"/>
        <v>0</v>
      </c>
      <c r="H219" s="36">
        <f t="shared" si="37"/>
        <v>0</v>
      </c>
      <c r="I219" s="747">
        <f t="shared" si="44"/>
        <v>0</v>
      </c>
      <c r="J219" s="747"/>
      <c r="K219" s="678" t="str">
        <f t="shared" ca="1" si="39"/>
        <v/>
      </c>
      <c r="L219" s="697" t="str">
        <f t="shared" ca="1" si="40"/>
        <v/>
      </c>
      <c r="M219" s="678" t="str">
        <f t="shared" ca="1" si="41"/>
        <v/>
      </c>
    </row>
    <row r="220" spans="4:13">
      <c r="D220" s="697">
        <f t="shared" ca="1" si="38"/>
        <v>6</v>
      </c>
      <c r="E220" s="226">
        <f t="shared" ca="1" si="42"/>
        <v>52383</v>
      </c>
      <c r="F220" s="35">
        <f t="shared" si="43"/>
        <v>198</v>
      </c>
      <c r="G220" s="36">
        <f t="shared" si="36"/>
        <v>0</v>
      </c>
      <c r="H220" s="36">
        <f t="shared" si="37"/>
        <v>0</v>
      </c>
      <c r="I220" s="747">
        <f t="shared" si="44"/>
        <v>0</v>
      </c>
      <c r="J220" s="747"/>
      <c r="K220" s="678" t="str">
        <f t="shared" ca="1" si="39"/>
        <v/>
      </c>
      <c r="L220" s="697" t="str">
        <f t="shared" ca="1" si="40"/>
        <v/>
      </c>
      <c r="M220" s="678" t="str">
        <f t="shared" ca="1" si="41"/>
        <v/>
      </c>
    </row>
    <row r="221" spans="4:13">
      <c r="D221" s="697">
        <f t="shared" ca="1" si="38"/>
        <v>7</v>
      </c>
      <c r="E221" s="226">
        <f t="shared" ca="1" si="42"/>
        <v>52413</v>
      </c>
      <c r="F221" s="35">
        <f t="shared" si="43"/>
        <v>199</v>
      </c>
      <c r="G221" s="36">
        <f t="shared" si="36"/>
        <v>0</v>
      </c>
      <c r="H221" s="36">
        <f t="shared" si="37"/>
        <v>0</v>
      </c>
      <c r="I221" s="747">
        <f t="shared" si="44"/>
        <v>0</v>
      </c>
      <c r="J221" s="747"/>
      <c r="K221" s="678" t="str">
        <f t="shared" ca="1" si="39"/>
        <v/>
      </c>
      <c r="L221" s="697" t="str">
        <f t="shared" ca="1" si="40"/>
        <v/>
      </c>
      <c r="M221" s="678" t="str">
        <f t="shared" ca="1" si="41"/>
        <v/>
      </c>
    </row>
    <row r="222" spans="4:13">
      <c r="D222" s="697">
        <f t="shared" ca="1" si="38"/>
        <v>8</v>
      </c>
      <c r="E222" s="226">
        <f t="shared" ca="1" si="42"/>
        <v>52444</v>
      </c>
      <c r="F222" s="35">
        <f t="shared" si="43"/>
        <v>200</v>
      </c>
      <c r="G222" s="36">
        <f t="shared" si="36"/>
        <v>0</v>
      </c>
      <c r="H222" s="36">
        <f t="shared" si="37"/>
        <v>0</v>
      </c>
      <c r="I222" s="747">
        <f t="shared" si="44"/>
        <v>0</v>
      </c>
      <c r="J222" s="747"/>
      <c r="K222" s="678" t="str">
        <f t="shared" ca="1" si="39"/>
        <v/>
      </c>
      <c r="L222" s="697" t="str">
        <f t="shared" ca="1" si="40"/>
        <v/>
      </c>
      <c r="M222" s="678" t="str">
        <f t="shared" ca="1" si="41"/>
        <v/>
      </c>
    </row>
    <row r="223" spans="4:13">
      <c r="D223" s="697">
        <f t="shared" ca="1" si="38"/>
        <v>9</v>
      </c>
      <c r="E223" s="226">
        <f t="shared" ca="1" si="42"/>
        <v>52475</v>
      </c>
      <c r="F223" s="35">
        <f t="shared" si="43"/>
        <v>201</v>
      </c>
      <c r="G223" s="36">
        <f t="shared" si="36"/>
        <v>0</v>
      </c>
      <c r="H223" s="36">
        <f t="shared" si="37"/>
        <v>0</v>
      </c>
      <c r="I223" s="747">
        <f t="shared" si="44"/>
        <v>0</v>
      </c>
      <c r="J223" s="747"/>
      <c r="K223" s="678" t="str">
        <f t="shared" ca="1" si="39"/>
        <v/>
      </c>
      <c r="L223" s="697" t="str">
        <f t="shared" ca="1" si="40"/>
        <v/>
      </c>
      <c r="M223" s="678" t="str">
        <f t="shared" ca="1" si="41"/>
        <v/>
      </c>
    </row>
    <row r="224" spans="4:13">
      <c r="D224" s="697">
        <f t="shared" ca="1" si="38"/>
        <v>10</v>
      </c>
      <c r="E224" s="226">
        <f t="shared" ca="1" si="42"/>
        <v>52505</v>
      </c>
      <c r="F224" s="35">
        <f t="shared" si="43"/>
        <v>202</v>
      </c>
      <c r="G224" s="36">
        <f t="shared" si="36"/>
        <v>0</v>
      </c>
      <c r="H224" s="36">
        <f t="shared" si="37"/>
        <v>0</v>
      </c>
      <c r="I224" s="747">
        <f t="shared" si="44"/>
        <v>0</v>
      </c>
      <c r="J224" s="747"/>
      <c r="K224" s="678" t="str">
        <f t="shared" ca="1" si="39"/>
        <v/>
      </c>
      <c r="L224" s="697" t="str">
        <f t="shared" ca="1" si="40"/>
        <v/>
      </c>
      <c r="M224" s="678" t="str">
        <f t="shared" ca="1" si="41"/>
        <v/>
      </c>
    </row>
    <row r="225" spans="4:13">
      <c r="D225" s="697">
        <f t="shared" ca="1" si="38"/>
        <v>11</v>
      </c>
      <c r="E225" s="226">
        <f t="shared" ca="1" si="42"/>
        <v>52536</v>
      </c>
      <c r="F225" s="35">
        <f t="shared" si="43"/>
        <v>203</v>
      </c>
      <c r="G225" s="36">
        <f t="shared" si="36"/>
        <v>0</v>
      </c>
      <c r="H225" s="36">
        <f t="shared" si="37"/>
        <v>0</v>
      </c>
      <c r="I225" s="747">
        <f t="shared" si="44"/>
        <v>0</v>
      </c>
      <c r="J225" s="747"/>
      <c r="K225" s="678" t="str">
        <f t="shared" ca="1" si="39"/>
        <v/>
      </c>
      <c r="L225" s="697" t="str">
        <f t="shared" ca="1" si="40"/>
        <v/>
      </c>
      <c r="M225" s="678" t="str">
        <f t="shared" ca="1" si="41"/>
        <v/>
      </c>
    </row>
    <row r="226" spans="4:13">
      <c r="D226" s="697">
        <f t="shared" ca="1" si="38"/>
        <v>12</v>
      </c>
      <c r="E226" s="226">
        <f t="shared" ca="1" si="42"/>
        <v>52566</v>
      </c>
      <c r="F226" s="35">
        <f t="shared" si="43"/>
        <v>204</v>
      </c>
      <c r="G226" s="36">
        <f t="shared" si="36"/>
        <v>0</v>
      </c>
      <c r="H226" s="36">
        <f t="shared" si="37"/>
        <v>0</v>
      </c>
      <c r="I226" s="747">
        <f t="shared" si="44"/>
        <v>0</v>
      </c>
      <c r="J226" s="747"/>
      <c r="K226" s="678">
        <f t="shared" ca="1" si="39"/>
        <v>0</v>
      </c>
      <c r="L226" s="697">
        <f t="shared" ca="1" si="40"/>
        <v>2043</v>
      </c>
      <c r="M226" s="678">
        <f t="shared" ca="1" si="41"/>
        <v>0</v>
      </c>
    </row>
    <row r="227" spans="4:13">
      <c r="D227" s="697">
        <f t="shared" ca="1" si="38"/>
        <v>1</v>
      </c>
      <c r="E227" s="226">
        <f t="shared" ca="1" si="42"/>
        <v>52597</v>
      </c>
      <c r="F227" s="35">
        <f t="shared" si="43"/>
        <v>205</v>
      </c>
      <c r="G227" s="36">
        <f t="shared" si="36"/>
        <v>0</v>
      </c>
      <c r="H227" s="36">
        <f t="shared" si="37"/>
        <v>0</v>
      </c>
      <c r="I227" s="747">
        <f t="shared" si="44"/>
        <v>0</v>
      </c>
      <c r="J227" s="747"/>
      <c r="K227" s="678" t="str">
        <f t="shared" ca="1" si="39"/>
        <v/>
      </c>
      <c r="L227" s="697" t="str">
        <f t="shared" ca="1" si="40"/>
        <v/>
      </c>
      <c r="M227" s="678" t="str">
        <f t="shared" ca="1" si="41"/>
        <v/>
      </c>
    </row>
    <row r="228" spans="4:13">
      <c r="D228" s="697">
        <f t="shared" ca="1" si="38"/>
        <v>2</v>
      </c>
      <c r="E228" s="226">
        <f t="shared" ca="1" si="42"/>
        <v>52628</v>
      </c>
      <c r="F228" s="35">
        <f t="shared" si="43"/>
        <v>206</v>
      </c>
      <c r="G228" s="36">
        <f t="shared" si="36"/>
        <v>0</v>
      </c>
      <c r="H228" s="36">
        <f t="shared" si="37"/>
        <v>0</v>
      </c>
      <c r="I228" s="747">
        <f t="shared" si="44"/>
        <v>0</v>
      </c>
      <c r="J228" s="747"/>
      <c r="K228" s="678" t="str">
        <f t="shared" ca="1" si="39"/>
        <v/>
      </c>
      <c r="L228" s="697" t="str">
        <f t="shared" ca="1" si="40"/>
        <v/>
      </c>
      <c r="M228" s="678" t="str">
        <f t="shared" ca="1" si="41"/>
        <v/>
      </c>
    </row>
    <row r="229" spans="4:13">
      <c r="D229" s="697">
        <f t="shared" ca="1" si="38"/>
        <v>3</v>
      </c>
      <c r="E229" s="226">
        <f t="shared" ca="1" si="42"/>
        <v>52657</v>
      </c>
      <c r="F229" s="35">
        <f t="shared" si="43"/>
        <v>207</v>
      </c>
      <c r="G229" s="36">
        <f t="shared" si="36"/>
        <v>0</v>
      </c>
      <c r="H229" s="36">
        <f t="shared" si="37"/>
        <v>0</v>
      </c>
      <c r="I229" s="747">
        <f t="shared" si="44"/>
        <v>0</v>
      </c>
      <c r="J229" s="747"/>
      <c r="K229" s="678" t="str">
        <f t="shared" ca="1" si="39"/>
        <v/>
      </c>
      <c r="L229" s="697" t="str">
        <f t="shared" ca="1" si="40"/>
        <v/>
      </c>
      <c r="M229" s="678" t="str">
        <f t="shared" ca="1" si="41"/>
        <v/>
      </c>
    </row>
    <row r="230" spans="4:13">
      <c r="D230" s="697">
        <f t="shared" ca="1" si="38"/>
        <v>4</v>
      </c>
      <c r="E230" s="226">
        <f t="shared" ca="1" si="42"/>
        <v>52688</v>
      </c>
      <c r="F230" s="35">
        <f t="shared" si="43"/>
        <v>208</v>
      </c>
      <c r="G230" s="36">
        <f t="shared" si="36"/>
        <v>0</v>
      </c>
      <c r="H230" s="36">
        <f t="shared" si="37"/>
        <v>0</v>
      </c>
      <c r="I230" s="747">
        <f t="shared" si="44"/>
        <v>0</v>
      </c>
      <c r="J230" s="747"/>
      <c r="K230" s="678" t="str">
        <f t="shared" ca="1" si="39"/>
        <v/>
      </c>
      <c r="L230" s="697" t="str">
        <f t="shared" ca="1" si="40"/>
        <v/>
      </c>
      <c r="M230" s="678" t="str">
        <f t="shared" ca="1" si="41"/>
        <v/>
      </c>
    </row>
    <row r="231" spans="4:13">
      <c r="D231" s="697">
        <f t="shared" ca="1" si="38"/>
        <v>5</v>
      </c>
      <c r="E231" s="226">
        <f t="shared" ca="1" si="42"/>
        <v>52718</v>
      </c>
      <c r="F231" s="35">
        <f t="shared" si="43"/>
        <v>209</v>
      </c>
      <c r="G231" s="36">
        <f t="shared" si="36"/>
        <v>0</v>
      </c>
      <c r="H231" s="36">
        <f t="shared" si="37"/>
        <v>0</v>
      </c>
      <c r="I231" s="747">
        <f t="shared" si="44"/>
        <v>0</v>
      </c>
      <c r="J231" s="747"/>
      <c r="K231" s="678" t="str">
        <f t="shared" ca="1" si="39"/>
        <v/>
      </c>
      <c r="L231" s="697" t="str">
        <f t="shared" ca="1" si="40"/>
        <v/>
      </c>
      <c r="M231" s="678" t="str">
        <f t="shared" ca="1" si="41"/>
        <v/>
      </c>
    </row>
    <row r="232" spans="4:13">
      <c r="D232" s="697">
        <f t="shared" ca="1" si="38"/>
        <v>6</v>
      </c>
      <c r="E232" s="226">
        <f t="shared" ca="1" si="42"/>
        <v>52749</v>
      </c>
      <c r="F232" s="35">
        <f t="shared" si="43"/>
        <v>210</v>
      </c>
      <c r="G232" s="36">
        <f t="shared" si="36"/>
        <v>0</v>
      </c>
      <c r="H232" s="36">
        <f t="shared" si="37"/>
        <v>0</v>
      </c>
      <c r="I232" s="747">
        <f t="shared" si="44"/>
        <v>0</v>
      </c>
      <c r="J232" s="747"/>
      <c r="K232" s="678" t="str">
        <f t="shared" ca="1" si="39"/>
        <v/>
      </c>
      <c r="L232" s="697" t="str">
        <f t="shared" ca="1" si="40"/>
        <v/>
      </c>
      <c r="M232" s="678" t="str">
        <f t="shared" ca="1" si="41"/>
        <v/>
      </c>
    </row>
    <row r="233" spans="4:13">
      <c r="D233" s="697">
        <f t="shared" ca="1" si="38"/>
        <v>7</v>
      </c>
      <c r="E233" s="226">
        <f t="shared" ca="1" si="42"/>
        <v>52779</v>
      </c>
      <c r="F233" s="35">
        <f t="shared" si="43"/>
        <v>211</v>
      </c>
      <c r="G233" s="36">
        <f t="shared" si="36"/>
        <v>0</v>
      </c>
      <c r="H233" s="36">
        <f t="shared" si="37"/>
        <v>0</v>
      </c>
      <c r="I233" s="747">
        <f t="shared" si="44"/>
        <v>0</v>
      </c>
      <c r="J233" s="747"/>
      <c r="K233" s="678" t="str">
        <f t="shared" ca="1" si="39"/>
        <v/>
      </c>
      <c r="L233" s="697" t="str">
        <f t="shared" ca="1" si="40"/>
        <v/>
      </c>
      <c r="M233" s="678" t="str">
        <f t="shared" ca="1" si="41"/>
        <v/>
      </c>
    </row>
    <row r="234" spans="4:13">
      <c r="D234" s="697">
        <f t="shared" ca="1" si="38"/>
        <v>8</v>
      </c>
      <c r="E234" s="226">
        <f t="shared" ca="1" si="42"/>
        <v>52810</v>
      </c>
      <c r="F234" s="35">
        <f t="shared" si="43"/>
        <v>212</v>
      </c>
      <c r="G234" s="36">
        <f t="shared" si="36"/>
        <v>0</v>
      </c>
      <c r="H234" s="36">
        <f t="shared" si="37"/>
        <v>0</v>
      </c>
      <c r="I234" s="747">
        <f t="shared" si="44"/>
        <v>0</v>
      </c>
      <c r="J234" s="747"/>
      <c r="K234" s="678" t="str">
        <f t="shared" ca="1" si="39"/>
        <v/>
      </c>
      <c r="L234" s="697" t="str">
        <f t="shared" ca="1" si="40"/>
        <v/>
      </c>
      <c r="M234" s="678" t="str">
        <f t="shared" ca="1" si="41"/>
        <v/>
      </c>
    </row>
    <row r="235" spans="4:13">
      <c r="D235" s="697">
        <f t="shared" ca="1" si="38"/>
        <v>9</v>
      </c>
      <c r="E235" s="226">
        <f t="shared" ca="1" si="42"/>
        <v>52841</v>
      </c>
      <c r="F235" s="35">
        <f t="shared" si="43"/>
        <v>213</v>
      </c>
      <c r="G235" s="36">
        <f t="shared" si="36"/>
        <v>0</v>
      </c>
      <c r="H235" s="36">
        <f t="shared" si="37"/>
        <v>0</v>
      </c>
      <c r="I235" s="747">
        <f t="shared" si="44"/>
        <v>0</v>
      </c>
      <c r="J235" s="747"/>
      <c r="K235" s="678" t="str">
        <f t="shared" ca="1" si="39"/>
        <v/>
      </c>
      <c r="L235" s="697" t="str">
        <f t="shared" ca="1" si="40"/>
        <v/>
      </c>
      <c r="M235" s="678" t="str">
        <f t="shared" ca="1" si="41"/>
        <v/>
      </c>
    </row>
    <row r="236" spans="4:13">
      <c r="D236" s="697">
        <f t="shared" ca="1" si="38"/>
        <v>10</v>
      </c>
      <c r="E236" s="226">
        <f t="shared" ca="1" si="42"/>
        <v>52871</v>
      </c>
      <c r="F236" s="35">
        <f t="shared" si="43"/>
        <v>214</v>
      </c>
      <c r="G236" s="36">
        <f t="shared" si="36"/>
        <v>0</v>
      </c>
      <c r="H236" s="36">
        <f t="shared" si="37"/>
        <v>0</v>
      </c>
      <c r="I236" s="747">
        <f t="shared" si="44"/>
        <v>0</v>
      </c>
      <c r="J236" s="747"/>
      <c r="K236" s="678" t="str">
        <f t="shared" ca="1" si="39"/>
        <v/>
      </c>
      <c r="L236" s="697" t="str">
        <f t="shared" ca="1" si="40"/>
        <v/>
      </c>
      <c r="M236" s="678" t="str">
        <f t="shared" ca="1" si="41"/>
        <v/>
      </c>
    </row>
    <row r="237" spans="4:13">
      <c r="D237" s="697">
        <f t="shared" ca="1" si="38"/>
        <v>11</v>
      </c>
      <c r="E237" s="226">
        <f t="shared" ca="1" si="42"/>
        <v>52902</v>
      </c>
      <c r="F237" s="35">
        <f t="shared" si="43"/>
        <v>215</v>
      </c>
      <c r="G237" s="36">
        <f t="shared" si="36"/>
        <v>0</v>
      </c>
      <c r="H237" s="36">
        <f t="shared" si="37"/>
        <v>0</v>
      </c>
      <c r="I237" s="747">
        <f t="shared" si="44"/>
        <v>0</v>
      </c>
      <c r="J237" s="747"/>
      <c r="K237" s="678" t="str">
        <f t="shared" ca="1" si="39"/>
        <v/>
      </c>
      <c r="L237" s="697" t="str">
        <f t="shared" ca="1" si="40"/>
        <v/>
      </c>
      <c r="M237" s="678" t="str">
        <f t="shared" ca="1" si="41"/>
        <v/>
      </c>
    </row>
    <row r="238" spans="4:13">
      <c r="D238" s="697">
        <f t="shared" ca="1" si="38"/>
        <v>12</v>
      </c>
      <c r="E238" s="226">
        <f t="shared" ca="1" si="42"/>
        <v>52932</v>
      </c>
      <c r="F238" s="35">
        <f t="shared" si="43"/>
        <v>216</v>
      </c>
      <c r="G238" s="36">
        <f t="shared" si="36"/>
        <v>0</v>
      </c>
      <c r="H238" s="36">
        <f t="shared" si="37"/>
        <v>0</v>
      </c>
      <c r="I238" s="747">
        <f t="shared" si="44"/>
        <v>0</v>
      </c>
      <c r="J238" s="747"/>
      <c r="K238" s="678">
        <f t="shared" ca="1" si="39"/>
        <v>0</v>
      </c>
      <c r="L238" s="697">
        <f t="shared" ca="1" si="40"/>
        <v>2044</v>
      </c>
      <c r="M238" s="678">
        <f t="shared" ca="1" si="41"/>
        <v>0</v>
      </c>
    </row>
    <row r="239" spans="4:13">
      <c r="D239" s="697">
        <f t="shared" ca="1" si="38"/>
        <v>1</v>
      </c>
      <c r="E239" s="226">
        <f t="shared" ca="1" si="42"/>
        <v>52963</v>
      </c>
      <c r="F239" s="35">
        <f t="shared" si="43"/>
        <v>217</v>
      </c>
      <c r="G239" s="36">
        <f t="shared" si="36"/>
        <v>0</v>
      </c>
      <c r="H239" s="36">
        <f t="shared" si="37"/>
        <v>0</v>
      </c>
      <c r="I239" s="747">
        <f t="shared" si="44"/>
        <v>0</v>
      </c>
      <c r="J239" s="747"/>
      <c r="K239" s="678" t="str">
        <f t="shared" ca="1" si="39"/>
        <v/>
      </c>
      <c r="L239" s="697" t="str">
        <f t="shared" ca="1" si="40"/>
        <v/>
      </c>
      <c r="M239" s="678" t="str">
        <f t="shared" ca="1" si="41"/>
        <v/>
      </c>
    </row>
    <row r="240" spans="4:13">
      <c r="D240" s="697">
        <f t="shared" ca="1" si="38"/>
        <v>2</v>
      </c>
      <c r="E240" s="226">
        <f t="shared" ca="1" si="42"/>
        <v>52994</v>
      </c>
      <c r="F240" s="35">
        <f t="shared" si="43"/>
        <v>218</v>
      </c>
      <c r="G240" s="36">
        <f t="shared" si="36"/>
        <v>0</v>
      </c>
      <c r="H240" s="36">
        <f t="shared" si="37"/>
        <v>0</v>
      </c>
      <c r="I240" s="747">
        <f t="shared" si="44"/>
        <v>0</v>
      </c>
      <c r="J240" s="747"/>
      <c r="K240" s="678" t="str">
        <f t="shared" ca="1" si="39"/>
        <v/>
      </c>
      <c r="L240" s="697" t="str">
        <f t="shared" ca="1" si="40"/>
        <v/>
      </c>
      <c r="M240" s="678" t="str">
        <f t="shared" ca="1" si="41"/>
        <v/>
      </c>
    </row>
    <row r="241" spans="4:13">
      <c r="D241" s="697">
        <f t="shared" ca="1" si="38"/>
        <v>3</v>
      </c>
      <c r="E241" s="226">
        <f t="shared" ca="1" si="42"/>
        <v>53022</v>
      </c>
      <c r="F241" s="35">
        <f t="shared" si="43"/>
        <v>219</v>
      </c>
      <c r="G241" s="36">
        <f t="shared" si="36"/>
        <v>0</v>
      </c>
      <c r="H241" s="36">
        <f t="shared" si="37"/>
        <v>0</v>
      </c>
      <c r="I241" s="747">
        <f t="shared" si="44"/>
        <v>0</v>
      </c>
      <c r="J241" s="747"/>
      <c r="K241" s="678" t="str">
        <f t="shared" ca="1" si="39"/>
        <v/>
      </c>
      <c r="L241" s="697" t="str">
        <f t="shared" ca="1" si="40"/>
        <v/>
      </c>
      <c r="M241" s="678" t="str">
        <f t="shared" ca="1" si="41"/>
        <v/>
      </c>
    </row>
    <row r="242" spans="4:13">
      <c r="D242" s="697">
        <f t="shared" ca="1" si="38"/>
        <v>4</v>
      </c>
      <c r="E242" s="226">
        <f t="shared" ca="1" si="42"/>
        <v>53053</v>
      </c>
      <c r="F242" s="35">
        <f t="shared" si="43"/>
        <v>220</v>
      </c>
      <c r="G242" s="36">
        <f t="shared" si="36"/>
        <v>0</v>
      </c>
      <c r="H242" s="36">
        <f t="shared" si="37"/>
        <v>0</v>
      </c>
      <c r="I242" s="747">
        <f t="shared" si="44"/>
        <v>0</v>
      </c>
      <c r="J242" s="747"/>
      <c r="K242" s="678" t="str">
        <f t="shared" ca="1" si="39"/>
        <v/>
      </c>
      <c r="L242" s="697" t="str">
        <f t="shared" ca="1" si="40"/>
        <v/>
      </c>
      <c r="M242" s="678" t="str">
        <f t="shared" ca="1" si="41"/>
        <v/>
      </c>
    </row>
    <row r="243" spans="4:13">
      <c r="D243" s="697">
        <f t="shared" ca="1" si="38"/>
        <v>5</v>
      </c>
      <c r="E243" s="226">
        <f t="shared" ca="1" si="42"/>
        <v>53083</v>
      </c>
      <c r="F243" s="35">
        <f t="shared" si="43"/>
        <v>221</v>
      </c>
      <c r="G243" s="36">
        <f t="shared" si="36"/>
        <v>0</v>
      </c>
      <c r="H243" s="36">
        <f t="shared" si="37"/>
        <v>0</v>
      </c>
      <c r="I243" s="747">
        <f t="shared" si="44"/>
        <v>0</v>
      </c>
      <c r="J243" s="747"/>
      <c r="K243" s="678" t="str">
        <f t="shared" ca="1" si="39"/>
        <v/>
      </c>
      <c r="L243" s="697" t="str">
        <f t="shared" ca="1" si="40"/>
        <v/>
      </c>
      <c r="M243" s="678" t="str">
        <f t="shared" ca="1" si="41"/>
        <v/>
      </c>
    </row>
    <row r="244" spans="4:13">
      <c r="D244" s="697">
        <f t="shared" ca="1" si="38"/>
        <v>6</v>
      </c>
      <c r="E244" s="226">
        <f t="shared" ca="1" si="42"/>
        <v>53114</v>
      </c>
      <c r="F244" s="35">
        <f t="shared" si="43"/>
        <v>222</v>
      </c>
      <c r="G244" s="36">
        <f t="shared" si="36"/>
        <v>0</v>
      </c>
      <c r="H244" s="36">
        <f t="shared" si="37"/>
        <v>0</v>
      </c>
      <c r="I244" s="747">
        <f t="shared" si="44"/>
        <v>0</v>
      </c>
      <c r="J244" s="747"/>
      <c r="K244" s="678" t="str">
        <f t="shared" ca="1" si="39"/>
        <v/>
      </c>
      <c r="L244" s="697" t="str">
        <f t="shared" ca="1" si="40"/>
        <v/>
      </c>
      <c r="M244" s="678" t="str">
        <f t="shared" ca="1" si="41"/>
        <v/>
      </c>
    </row>
    <row r="245" spans="4:13">
      <c r="D245" s="697">
        <f t="shared" ca="1" si="38"/>
        <v>7</v>
      </c>
      <c r="E245" s="226">
        <f t="shared" ca="1" si="42"/>
        <v>53144</v>
      </c>
      <c r="F245" s="35">
        <f t="shared" si="43"/>
        <v>223</v>
      </c>
      <c r="G245" s="36">
        <f t="shared" si="36"/>
        <v>0</v>
      </c>
      <c r="H245" s="36">
        <f t="shared" si="37"/>
        <v>0</v>
      </c>
      <c r="I245" s="747">
        <f t="shared" si="44"/>
        <v>0</v>
      </c>
      <c r="J245" s="747"/>
      <c r="K245" s="678" t="str">
        <f t="shared" ca="1" si="39"/>
        <v/>
      </c>
      <c r="L245" s="697" t="str">
        <f t="shared" ca="1" si="40"/>
        <v/>
      </c>
      <c r="M245" s="678" t="str">
        <f t="shared" ca="1" si="41"/>
        <v/>
      </c>
    </row>
    <row r="246" spans="4:13">
      <c r="D246" s="697">
        <f t="shared" ca="1" si="38"/>
        <v>8</v>
      </c>
      <c r="E246" s="226">
        <f t="shared" ca="1" si="42"/>
        <v>53175</v>
      </c>
      <c r="F246" s="35">
        <f t="shared" si="43"/>
        <v>224</v>
      </c>
      <c r="G246" s="36">
        <f t="shared" si="36"/>
        <v>0</v>
      </c>
      <c r="H246" s="36">
        <f t="shared" si="37"/>
        <v>0</v>
      </c>
      <c r="I246" s="747">
        <f t="shared" si="44"/>
        <v>0</v>
      </c>
      <c r="J246" s="747"/>
      <c r="K246" s="678" t="str">
        <f t="shared" ca="1" si="39"/>
        <v/>
      </c>
      <c r="L246" s="697" t="str">
        <f t="shared" ca="1" si="40"/>
        <v/>
      </c>
      <c r="M246" s="678" t="str">
        <f t="shared" ca="1" si="41"/>
        <v/>
      </c>
    </row>
    <row r="247" spans="4:13">
      <c r="D247" s="697">
        <f t="shared" ca="1" si="38"/>
        <v>9</v>
      </c>
      <c r="E247" s="226">
        <f t="shared" ca="1" si="42"/>
        <v>53206</v>
      </c>
      <c r="F247" s="35">
        <f t="shared" si="43"/>
        <v>225</v>
      </c>
      <c r="G247" s="36">
        <f t="shared" si="36"/>
        <v>0</v>
      </c>
      <c r="H247" s="36">
        <f t="shared" si="37"/>
        <v>0</v>
      </c>
      <c r="I247" s="747">
        <f t="shared" si="44"/>
        <v>0</v>
      </c>
      <c r="J247" s="747"/>
      <c r="K247" s="678" t="str">
        <f t="shared" ca="1" si="39"/>
        <v/>
      </c>
      <c r="L247" s="697" t="str">
        <f t="shared" ca="1" si="40"/>
        <v/>
      </c>
      <c r="M247" s="678" t="str">
        <f t="shared" ca="1" si="41"/>
        <v/>
      </c>
    </row>
    <row r="248" spans="4:13">
      <c r="D248" s="697">
        <f t="shared" ca="1" si="38"/>
        <v>10</v>
      </c>
      <c r="E248" s="226">
        <f t="shared" ca="1" si="42"/>
        <v>53236</v>
      </c>
      <c r="F248" s="35">
        <f t="shared" si="43"/>
        <v>226</v>
      </c>
      <c r="G248" s="36">
        <f t="shared" si="36"/>
        <v>0</v>
      </c>
      <c r="H248" s="36">
        <f t="shared" si="37"/>
        <v>0</v>
      </c>
      <c r="I248" s="747">
        <f t="shared" si="44"/>
        <v>0</v>
      </c>
      <c r="J248" s="747"/>
      <c r="K248" s="678" t="str">
        <f t="shared" ca="1" si="39"/>
        <v/>
      </c>
      <c r="L248" s="697" t="str">
        <f t="shared" ca="1" si="40"/>
        <v/>
      </c>
      <c r="M248" s="678" t="str">
        <f t="shared" ca="1" si="41"/>
        <v/>
      </c>
    </row>
    <row r="249" spans="4:13">
      <c r="D249" s="697">
        <f t="shared" ca="1" si="38"/>
        <v>11</v>
      </c>
      <c r="E249" s="226">
        <f t="shared" ca="1" si="42"/>
        <v>53267</v>
      </c>
      <c r="F249" s="35">
        <f t="shared" si="43"/>
        <v>227</v>
      </c>
      <c r="G249" s="36">
        <f t="shared" si="36"/>
        <v>0</v>
      </c>
      <c r="H249" s="36">
        <f t="shared" si="37"/>
        <v>0</v>
      </c>
      <c r="I249" s="747">
        <f t="shared" si="44"/>
        <v>0</v>
      </c>
      <c r="J249" s="747"/>
      <c r="K249" s="678" t="str">
        <f t="shared" ca="1" si="39"/>
        <v/>
      </c>
      <c r="L249" s="697" t="str">
        <f t="shared" ca="1" si="40"/>
        <v/>
      </c>
      <c r="M249" s="678" t="str">
        <f t="shared" ca="1" si="41"/>
        <v/>
      </c>
    </row>
    <row r="250" spans="4:13">
      <c r="D250" s="697">
        <f t="shared" ca="1" si="38"/>
        <v>12</v>
      </c>
      <c r="E250" s="226">
        <f t="shared" ca="1" si="42"/>
        <v>53297</v>
      </c>
      <c r="F250" s="35">
        <f t="shared" si="43"/>
        <v>228</v>
      </c>
      <c r="G250" s="36">
        <f t="shared" si="36"/>
        <v>0</v>
      </c>
      <c r="H250" s="36">
        <f t="shared" si="37"/>
        <v>0</v>
      </c>
      <c r="I250" s="747">
        <f t="shared" si="44"/>
        <v>0</v>
      </c>
      <c r="J250" s="747"/>
      <c r="K250" s="678">
        <f t="shared" ca="1" si="39"/>
        <v>0</v>
      </c>
      <c r="L250" s="697">
        <f t="shared" ca="1" si="40"/>
        <v>2045</v>
      </c>
      <c r="M250" s="678">
        <f t="shared" ca="1" si="41"/>
        <v>0</v>
      </c>
    </row>
    <row r="251" spans="4:13">
      <c r="D251" s="697">
        <f t="shared" ca="1" si="38"/>
        <v>1</v>
      </c>
      <c r="E251" s="226">
        <f t="shared" ca="1" si="42"/>
        <v>53328</v>
      </c>
      <c r="F251" s="35">
        <f t="shared" si="43"/>
        <v>229</v>
      </c>
      <c r="G251" s="36">
        <f t="shared" si="36"/>
        <v>0</v>
      </c>
      <c r="H251" s="36">
        <f t="shared" si="37"/>
        <v>0</v>
      </c>
      <c r="I251" s="747">
        <f t="shared" si="44"/>
        <v>0</v>
      </c>
      <c r="J251" s="747"/>
      <c r="K251" s="678" t="str">
        <f t="shared" ca="1" si="39"/>
        <v/>
      </c>
      <c r="L251" s="697" t="str">
        <f t="shared" ca="1" si="40"/>
        <v/>
      </c>
      <c r="M251" s="678" t="str">
        <f t="shared" ca="1" si="41"/>
        <v/>
      </c>
    </row>
    <row r="252" spans="4:13">
      <c r="D252" s="697">
        <f t="shared" ca="1" si="38"/>
        <v>2</v>
      </c>
      <c r="E252" s="226">
        <f t="shared" ca="1" si="42"/>
        <v>53359</v>
      </c>
      <c r="F252" s="35">
        <f t="shared" si="43"/>
        <v>230</v>
      </c>
      <c r="G252" s="36">
        <f t="shared" si="36"/>
        <v>0</v>
      </c>
      <c r="H252" s="36">
        <f t="shared" si="37"/>
        <v>0</v>
      </c>
      <c r="I252" s="747">
        <f t="shared" si="44"/>
        <v>0</v>
      </c>
      <c r="J252" s="747"/>
      <c r="K252" s="678" t="str">
        <f t="shared" ca="1" si="39"/>
        <v/>
      </c>
      <c r="L252" s="697" t="str">
        <f t="shared" ca="1" si="40"/>
        <v/>
      </c>
      <c r="M252" s="678" t="str">
        <f t="shared" ca="1" si="41"/>
        <v/>
      </c>
    </row>
    <row r="253" spans="4:13">
      <c r="D253" s="697">
        <f t="shared" ca="1" si="38"/>
        <v>3</v>
      </c>
      <c r="E253" s="226">
        <f t="shared" ca="1" si="42"/>
        <v>53387</v>
      </c>
      <c r="F253" s="35">
        <f t="shared" si="43"/>
        <v>231</v>
      </c>
      <c r="G253" s="36">
        <f t="shared" si="36"/>
        <v>0</v>
      </c>
      <c r="H253" s="36">
        <f t="shared" si="37"/>
        <v>0</v>
      </c>
      <c r="I253" s="747">
        <f t="shared" si="44"/>
        <v>0</v>
      </c>
      <c r="J253" s="747"/>
      <c r="K253" s="678" t="str">
        <f t="shared" ca="1" si="39"/>
        <v/>
      </c>
      <c r="L253" s="697" t="str">
        <f t="shared" ca="1" si="40"/>
        <v/>
      </c>
      <c r="M253" s="678" t="str">
        <f t="shared" ca="1" si="41"/>
        <v/>
      </c>
    </row>
    <row r="254" spans="4:13">
      <c r="D254" s="697">
        <f t="shared" ca="1" si="38"/>
        <v>4</v>
      </c>
      <c r="E254" s="226">
        <f t="shared" ca="1" si="42"/>
        <v>53418</v>
      </c>
      <c r="F254" s="35">
        <f t="shared" si="43"/>
        <v>232</v>
      </c>
      <c r="G254" s="36">
        <f t="shared" si="36"/>
        <v>0</v>
      </c>
      <c r="H254" s="36">
        <f t="shared" si="37"/>
        <v>0</v>
      </c>
      <c r="I254" s="747">
        <f t="shared" si="44"/>
        <v>0</v>
      </c>
      <c r="J254" s="747"/>
      <c r="K254" s="678" t="str">
        <f t="shared" ca="1" si="39"/>
        <v/>
      </c>
      <c r="L254" s="697" t="str">
        <f t="shared" ca="1" si="40"/>
        <v/>
      </c>
      <c r="M254" s="678" t="str">
        <f t="shared" ca="1" si="41"/>
        <v/>
      </c>
    </row>
    <row r="255" spans="4:13">
      <c r="D255" s="697">
        <f t="shared" ca="1" si="38"/>
        <v>5</v>
      </c>
      <c r="E255" s="226">
        <f t="shared" ca="1" si="42"/>
        <v>53448</v>
      </c>
      <c r="F255" s="35">
        <f t="shared" si="43"/>
        <v>233</v>
      </c>
      <c r="G255" s="36">
        <f t="shared" si="36"/>
        <v>0</v>
      </c>
      <c r="H255" s="36">
        <f t="shared" si="37"/>
        <v>0</v>
      </c>
      <c r="I255" s="747">
        <f t="shared" si="44"/>
        <v>0</v>
      </c>
      <c r="J255" s="747"/>
      <c r="K255" s="678" t="str">
        <f t="shared" ca="1" si="39"/>
        <v/>
      </c>
      <c r="L255" s="697" t="str">
        <f t="shared" ca="1" si="40"/>
        <v/>
      </c>
      <c r="M255" s="678" t="str">
        <f t="shared" ca="1" si="41"/>
        <v/>
      </c>
    </row>
    <row r="256" spans="4:13">
      <c r="D256" s="697">
        <f t="shared" ca="1" si="38"/>
        <v>6</v>
      </c>
      <c r="E256" s="226">
        <f t="shared" ca="1" si="42"/>
        <v>53479</v>
      </c>
      <c r="F256" s="35">
        <f t="shared" si="43"/>
        <v>234</v>
      </c>
      <c r="G256" s="36">
        <f t="shared" si="36"/>
        <v>0</v>
      </c>
      <c r="H256" s="36">
        <f t="shared" si="37"/>
        <v>0</v>
      </c>
      <c r="I256" s="747">
        <f t="shared" si="44"/>
        <v>0</v>
      </c>
      <c r="J256" s="747"/>
      <c r="K256" s="678" t="str">
        <f t="shared" ca="1" si="39"/>
        <v/>
      </c>
      <c r="L256" s="697" t="str">
        <f t="shared" ca="1" si="40"/>
        <v/>
      </c>
      <c r="M256" s="678" t="str">
        <f t="shared" ca="1" si="41"/>
        <v/>
      </c>
    </row>
    <row r="257" spans="4:13">
      <c r="D257" s="697">
        <f t="shared" ca="1" si="38"/>
        <v>7</v>
      </c>
      <c r="E257" s="226">
        <f t="shared" ca="1" si="42"/>
        <v>53509</v>
      </c>
      <c r="F257" s="35">
        <f t="shared" si="43"/>
        <v>235</v>
      </c>
      <c r="G257" s="36">
        <f t="shared" si="36"/>
        <v>0</v>
      </c>
      <c r="H257" s="36">
        <f t="shared" si="37"/>
        <v>0</v>
      </c>
      <c r="I257" s="747">
        <f t="shared" si="44"/>
        <v>0</v>
      </c>
      <c r="J257" s="747"/>
      <c r="K257" s="678" t="str">
        <f t="shared" ca="1" si="39"/>
        <v/>
      </c>
      <c r="L257" s="697" t="str">
        <f t="shared" ca="1" si="40"/>
        <v/>
      </c>
      <c r="M257" s="678" t="str">
        <f t="shared" ca="1" si="41"/>
        <v/>
      </c>
    </row>
    <row r="258" spans="4:13">
      <c r="D258" s="697">
        <f t="shared" ca="1" si="38"/>
        <v>8</v>
      </c>
      <c r="E258" s="226">
        <f t="shared" ca="1" si="42"/>
        <v>53540</v>
      </c>
      <c r="F258" s="35">
        <f t="shared" si="43"/>
        <v>236</v>
      </c>
      <c r="G258" s="36">
        <f t="shared" si="36"/>
        <v>0</v>
      </c>
      <c r="H258" s="36">
        <f t="shared" si="37"/>
        <v>0</v>
      </c>
      <c r="I258" s="747">
        <f t="shared" si="44"/>
        <v>0</v>
      </c>
      <c r="J258" s="747"/>
      <c r="K258" s="678" t="str">
        <f t="shared" ca="1" si="39"/>
        <v/>
      </c>
      <c r="L258" s="697" t="str">
        <f t="shared" ca="1" si="40"/>
        <v/>
      </c>
      <c r="M258" s="678" t="str">
        <f t="shared" ca="1" si="41"/>
        <v/>
      </c>
    </row>
    <row r="259" spans="4:13">
      <c r="D259" s="697">
        <f t="shared" ca="1" si="38"/>
        <v>9</v>
      </c>
      <c r="E259" s="226">
        <f t="shared" ca="1" si="42"/>
        <v>53571</v>
      </c>
      <c r="F259" s="35">
        <f t="shared" si="43"/>
        <v>237</v>
      </c>
      <c r="G259" s="36">
        <f t="shared" si="36"/>
        <v>0</v>
      </c>
      <c r="H259" s="36">
        <f t="shared" si="37"/>
        <v>0</v>
      </c>
      <c r="I259" s="747">
        <f t="shared" si="44"/>
        <v>0</v>
      </c>
      <c r="J259" s="747"/>
      <c r="K259" s="678" t="str">
        <f t="shared" ca="1" si="39"/>
        <v/>
      </c>
      <c r="L259" s="697" t="str">
        <f t="shared" ca="1" si="40"/>
        <v/>
      </c>
      <c r="M259" s="678" t="str">
        <f t="shared" ca="1" si="41"/>
        <v/>
      </c>
    </row>
    <row r="260" spans="4:13">
      <c r="D260" s="697">
        <f t="shared" ca="1" si="38"/>
        <v>10</v>
      </c>
      <c r="E260" s="226">
        <f t="shared" ca="1" si="42"/>
        <v>53601</v>
      </c>
      <c r="F260" s="35">
        <f t="shared" si="43"/>
        <v>238</v>
      </c>
      <c r="G260" s="36">
        <f t="shared" si="36"/>
        <v>0</v>
      </c>
      <c r="H260" s="36">
        <f t="shared" si="37"/>
        <v>0</v>
      </c>
      <c r="I260" s="747">
        <f t="shared" si="44"/>
        <v>0</v>
      </c>
      <c r="J260" s="747"/>
      <c r="K260" s="678" t="str">
        <f t="shared" ca="1" si="39"/>
        <v/>
      </c>
      <c r="L260" s="697" t="str">
        <f t="shared" ca="1" si="40"/>
        <v/>
      </c>
      <c r="M260" s="678" t="str">
        <f t="shared" ca="1" si="41"/>
        <v/>
      </c>
    </row>
    <row r="261" spans="4:13">
      <c r="D261" s="697">
        <f t="shared" ca="1" si="38"/>
        <v>11</v>
      </c>
      <c r="E261" s="226">
        <f t="shared" ca="1" si="42"/>
        <v>53632</v>
      </c>
      <c r="F261" s="35">
        <f t="shared" si="43"/>
        <v>239</v>
      </c>
      <c r="G261" s="36">
        <f t="shared" si="36"/>
        <v>0</v>
      </c>
      <c r="H261" s="36">
        <f t="shared" si="37"/>
        <v>0</v>
      </c>
      <c r="I261" s="747">
        <f t="shared" si="44"/>
        <v>0</v>
      </c>
      <c r="J261" s="747"/>
      <c r="K261" s="678" t="str">
        <f t="shared" ca="1" si="39"/>
        <v/>
      </c>
      <c r="L261" s="697" t="str">
        <f t="shared" ca="1" si="40"/>
        <v/>
      </c>
      <c r="M261" s="678" t="str">
        <f t="shared" ca="1" si="41"/>
        <v/>
      </c>
    </row>
    <row r="262" spans="4:13">
      <c r="D262" s="697">
        <f t="shared" ca="1" si="38"/>
        <v>12</v>
      </c>
      <c r="E262" s="226">
        <f t="shared" ca="1" si="42"/>
        <v>53662</v>
      </c>
      <c r="F262" s="35">
        <f t="shared" si="43"/>
        <v>240</v>
      </c>
      <c r="G262" s="36">
        <f t="shared" si="36"/>
        <v>0</v>
      </c>
      <c r="H262" s="36">
        <f t="shared" si="37"/>
        <v>0</v>
      </c>
      <c r="I262" s="747">
        <f t="shared" si="44"/>
        <v>0</v>
      </c>
      <c r="J262" s="747"/>
      <c r="K262" s="678">
        <f t="shared" ca="1" si="39"/>
        <v>0</v>
      </c>
      <c r="L262" s="697">
        <f t="shared" ca="1" si="40"/>
        <v>2046</v>
      </c>
      <c r="M262" s="678">
        <f t="shared" ca="1" si="41"/>
        <v>0</v>
      </c>
    </row>
    <row r="263" spans="4:13">
      <c r="D263" s="697" t="str">
        <f t="shared" si="38"/>
        <v/>
      </c>
      <c r="E263" s="226" t="str">
        <f t="shared" si="42"/>
        <v/>
      </c>
      <c r="F263" s="35" t="str">
        <f t="shared" si="43"/>
        <v/>
      </c>
      <c r="G263" s="36" t="str">
        <f t="shared" si="36"/>
        <v/>
      </c>
      <c r="H263" s="36" t="str">
        <f t="shared" si="37"/>
        <v/>
      </c>
      <c r="I263" s="747" t="str">
        <f t="shared" si="44"/>
        <v/>
      </c>
      <c r="J263" s="747"/>
      <c r="K263" s="678" t="str">
        <f t="shared" si="39"/>
        <v/>
      </c>
      <c r="L263" s="697" t="str">
        <f t="shared" si="40"/>
        <v/>
      </c>
      <c r="M263" s="678" t="str">
        <f t="shared" si="41"/>
        <v/>
      </c>
    </row>
    <row r="264" spans="4:13">
      <c r="D264" s="697" t="str">
        <f t="shared" si="38"/>
        <v/>
      </c>
      <c r="E264" s="226" t="str">
        <f t="shared" si="42"/>
        <v/>
      </c>
      <c r="F264" s="35" t="str">
        <f t="shared" si="43"/>
        <v/>
      </c>
      <c r="G264" s="36" t="str">
        <f t="shared" si="36"/>
        <v/>
      </c>
      <c r="H264" s="36" t="str">
        <f t="shared" si="37"/>
        <v/>
      </c>
      <c r="I264" s="747" t="str">
        <f t="shared" si="44"/>
        <v/>
      </c>
      <c r="J264" s="747"/>
      <c r="K264" s="678" t="str">
        <f t="shared" si="39"/>
        <v/>
      </c>
      <c r="L264" s="697" t="str">
        <f t="shared" si="40"/>
        <v/>
      </c>
      <c r="M264" s="678" t="str">
        <f t="shared" si="41"/>
        <v/>
      </c>
    </row>
    <row r="265" spans="4:13">
      <c r="D265" s="697" t="str">
        <f t="shared" si="38"/>
        <v/>
      </c>
      <c r="E265" s="226" t="str">
        <f t="shared" si="42"/>
        <v/>
      </c>
      <c r="F265" s="35" t="str">
        <f t="shared" si="43"/>
        <v/>
      </c>
      <c r="G265" s="36" t="str">
        <f t="shared" si="36"/>
        <v/>
      </c>
      <c r="H265" s="36" t="str">
        <f t="shared" si="37"/>
        <v/>
      </c>
      <c r="I265" s="747" t="str">
        <f t="shared" si="44"/>
        <v/>
      </c>
      <c r="J265" s="747"/>
      <c r="K265" s="678" t="str">
        <f t="shared" si="39"/>
        <v/>
      </c>
      <c r="L265" s="697" t="str">
        <f t="shared" si="40"/>
        <v/>
      </c>
      <c r="M265" s="678" t="str">
        <f t="shared" si="41"/>
        <v/>
      </c>
    </row>
    <row r="266" spans="4:13">
      <c r="D266" s="697" t="str">
        <f t="shared" si="38"/>
        <v/>
      </c>
      <c r="E266" s="226" t="str">
        <f t="shared" si="42"/>
        <v/>
      </c>
      <c r="F266" s="35" t="str">
        <f t="shared" si="43"/>
        <v/>
      </c>
      <c r="G266" s="36" t="str">
        <f t="shared" si="36"/>
        <v/>
      </c>
      <c r="H266" s="36" t="str">
        <f t="shared" si="37"/>
        <v/>
      </c>
      <c r="I266" s="747" t="str">
        <f t="shared" si="44"/>
        <v/>
      </c>
      <c r="J266" s="747"/>
      <c r="K266" s="678" t="str">
        <f t="shared" si="39"/>
        <v/>
      </c>
      <c r="L266" s="697" t="str">
        <f t="shared" si="40"/>
        <v/>
      </c>
      <c r="M266" s="678" t="str">
        <f t="shared" si="41"/>
        <v/>
      </c>
    </row>
    <row r="267" spans="4:13">
      <c r="D267" s="697" t="str">
        <f t="shared" si="38"/>
        <v/>
      </c>
      <c r="E267" s="226" t="str">
        <f t="shared" si="42"/>
        <v/>
      </c>
      <c r="F267" s="35" t="str">
        <f t="shared" si="43"/>
        <v/>
      </c>
      <c r="G267" s="36" t="str">
        <f t="shared" si="36"/>
        <v/>
      </c>
      <c r="H267" s="36" t="str">
        <f t="shared" si="37"/>
        <v/>
      </c>
      <c r="I267" s="747" t="str">
        <f t="shared" si="44"/>
        <v/>
      </c>
      <c r="J267" s="747"/>
      <c r="K267" s="678" t="str">
        <f t="shared" si="39"/>
        <v/>
      </c>
      <c r="L267" s="697" t="str">
        <f t="shared" si="40"/>
        <v/>
      </c>
      <c r="M267" s="678" t="str">
        <f t="shared" si="41"/>
        <v/>
      </c>
    </row>
    <row r="268" spans="4:13">
      <c r="D268" s="697" t="str">
        <f t="shared" si="38"/>
        <v/>
      </c>
      <c r="E268" s="226" t="str">
        <f t="shared" si="42"/>
        <v/>
      </c>
      <c r="F268" s="35" t="str">
        <f t="shared" si="43"/>
        <v/>
      </c>
      <c r="G268" s="36" t="str">
        <f t="shared" si="36"/>
        <v/>
      </c>
      <c r="H268" s="36" t="str">
        <f t="shared" si="37"/>
        <v/>
      </c>
      <c r="I268" s="747" t="str">
        <f t="shared" si="44"/>
        <v/>
      </c>
      <c r="J268" s="747"/>
      <c r="K268" s="678" t="str">
        <f t="shared" si="39"/>
        <v/>
      </c>
      <c r="L268" s="697" t="str">
        <f t="shared" si="40"/>
        <v/>
      </c>
      <c r="M268" s="678" t="str">
        <f t="shared" si="41"/>
        <v/>
      </c>
    </row>
    <row r="269" spans="4:13">
      <c r="D269" s="697" t="str">
        <f t="shared" si="38"/>
        <v/>
      </c>
      <c r="E269" s="226" t="str">
        <f t="shared" si="42"/>
        <v/>
      </c>
      <c r="F269" s="35" t="str">
        <f t="shared" si="43"/>
        <v/>
      </c>
      <c r="G269" s="36" t="str">
        <f t="shared" si="36"/>
        <v/>
      </c>
      <c r="H269" s="36" t="str">
        <f t="shared" si="37"/>
        <v/>
      </c>
      <c r="I269" s="747" t="str">
        <f t="shared" si="44"/>
        <v/>
      </c>
      <c r="J269" s="747"/>
      <c r="K269" s="678" t="str">
        <f t="shared" si="39"/>
        <v/>
      </c>
      <c r="L269" s="697" t="str">
        <f t="shared" si="40"/>
        <v/>
      </c>
      <c r="M269" s="678" t="str">
        <f t="shared" si="41"/>
        <v/>
      </c>
    </row>
    <row r="270" spans="4:13">
      <c r="D270" s="697" t="str">
        <f t="shared" si="38"/>
        <v/>
      </c>
      <c r="E270" s="226" t="str">
        <f t="shared" si="42"/>
        <v/>
      </c>
      <c r="F270" s="35" t="str">
        <f t="shared" si="43"/>
        <v/>
      </c>
      <c r="G270" s="36" t="str">
        <f t="shared" si="36"/>
        <v/>
      </c>
      <c r="H270" s="36" t="str">
        <f t="shared" si="37"/>
        <v/>
      </c>
      <c r="I270" s="747" t="str">
        <f t="shared" si="44"/>
        <v/>
      </c>
      <c r="J270" s="747"/>
      <c r="K270" s="678" t="str">
        <f t="shared" si="39"/>
        <v/>
      </c>
      <c r="L270" s="697" t="str">
        <f t="shared" si="40"/>
        <v/>
      </c>
      <c r="M270" s="678" t="str">
        <f t="shared" si="41"/>
        <v/>
      </c>
    </row>
    <row r="271" spans="4:13">
      <c r="D271" s="697" t="str">
        <f t="shared" si="38"/>
        <v/>
      </c>
      <c r="E271" s="226" t="str">
        <f t="shared" si="42"/>
        <v/>
      </c>
      <c r="F271" s="35" t="str">
        <f t="shared" si="43"/>
        <v/>
      </c>
      <c r="G271" s="36" t="str">
        <f t="shared" si="36"/>
        <v/>
      </c>
      <c r="H271" s="36" t="str">
        <f t="shared" si="37"/>
        <v/>
      </c>
      <c r="I271" s="747" t="str">
        <f t="shared" si="44"/>
        <v/>
      </c>
      <c r="J271" s="747"/>
      <c r="K271" s="678" t="str">
        <f t="shared" si="39"/>
        <v/>
      </c>
      <c r="L271" s="697" t="str">
        <f t="shared" si="40"/>
        <v/>
      </c>
      <c r="M271" s="678" t="str">
        <f t="shared" si="41"/>
        <v/>
      </c>
    </row>
    <row r="272" spans="4:13">
      <c r="D272" s="697" t="str">
        <f t="shared" si="38"/>
        <v/>
      </c>
      <c r="E272" s="226" t="str">
        <f t="shared" si="42"/>
        <v/>
      </c>
      <c r="F272" s="35" t="str">
        <f t="shared" si="43"/>
        <v/>
      </c>
      <c r="G272" s="36" t="str">
        <f t="shared" si="36"/>
        <v/>
      </c>
      <c r="H272" s="36" t="str">
        <f t="shared" si="37"/>
        <v/>
      </c>
      <c r="I272" s="747" t="str">
        <f t="shared" si="44"/>
        <v/>
      </c>
      <c r="J272" s="747"/>
      <c r="K272" s="678" t="str">
        <f t="shared" si="39"/>
        <v/>
      </c>
      <c r="L272" s="697" t="str">
        <f t="shared" si="40"/>
        <v/>
      </c>
      <c r="M272" s="678" t="str">
        <f t="shared" si="41"/>
        <v/>
      </c>
    </row>
    <row r="273" spans="4:13">
      <c r="D273" s="697" t="str">
        <f t="shared" si="38"/>
        <v/>
      </c>
      <c r="E273" s="226" t="str">
        <f t="shared" si="42"/>
        <v/>
      </c>
      <c r="F273" s="35" t="str">
        <f t="shared" si="43"/>
        <v/>
      </c>
      <c r="G273" s="36" t="str">
        <f t="shared" si="36"/>
        <v/>
      </c>
      <c r="H273" s="36" t="str">
        <f t="shared" si="37"/>
        <v/>
      </c>
      <c r="I273" s="747" t="str">
        <f t="shared" si="44"/>
        <v/>
      </c>
      <c r="J273" s="747"/>
      <c r="K273" s="678" t="str">
        <f t="shared" si="39"/>
        <v/>
      </c>
      <c r="L273" s="697" t="str">
        <f t="shared" si="40"/>
        <v/>
      </c>
      <c r="M273" s="678" t="str">
        <f t="shared" si="41"/>
        <v/>
      </c>
    </row>
    <row r="274" spans="4:13">
      <c r="D274" s="697" t="str">
        <f t="shared" si="38"/>
        <v/>
      </c>
      <c r="E274" s="226" t="str">
        <f t="shared" si="42"/>
        <v/>
      </c>
      <c r="F274" s="35" t="str">
        <f t="shared" si="43"/>
        <v/>
      </c>
      <c r="G274" s="36" t="str">
        <f t="shared" si="36"/>
        <v/>
      </c>
      <c r="H274" s="36" t="str">
        <f t="shared" si="37"/>
        <v/>
      </c>
      <c r="I274" s="747" t="str">
        <f t="shared" si="44"/>
        <v/>
      </c>
      <c r="J274" s="747"/>
      <c r="K274" s="678" t="str">
        <f t="shared" si="39"/>
        <v/>
      </c>
      <c r="L274" s="697" t="str">
        <f t="shared" si="40"/>
        <v/>
      </c>
      <c r="M274" s="678" t="str">
        <f t="shared" si="41"/>
        <v/>
      </c>
    </row>
    <row r="275" spans="4:13">
      <c r="D275" s="697" t="str">
        <f t="shared" si="38"/>
        <v/>
      </c>
      <c r="E275" s="226" t="str">
        <f t="shared" si="42"/>
        <v/>
      </c>
      <c r="F275" s="35" t="str">
        <f t="shared" si="43"/>
        <v/>
      </c>
      <c r="G275" s="36" t="str">
        <f t="shared" si="36"/>
        <v/>
      </c>
      <c r="H275" s="36" t="str">
        <f t="shared" si="37"/>
        <v/>
      </c>
      <c r="I275" s="747" t="str">
        <f t="shared" si="44"/>
        <v/>
      </c>
      <c r="J275" s="747"/>
      <c r="K275" s="678" t="str">
        <f t="shared" si="39"/>
        <v/>
      </c>
      <c r="L275" s="697" t="str">
        <f t="shared" si="40"/>
        <v/>
      </c>
      <c r="M275" s="678" t="str">
        <f t="shared" si="41"/>
        <v/>
      </c>
    </row>
    <row r="276" spans="4:13">
      <c r="D276" s="697" t="str">
        <f t="shared" si="38"/>
        <v/>
      </c>
      <c r="E276" s="226" t="str">
        <f t="shared" si="42"/>
        <v/>
      </c>
      <c r="F276" s="35" t="str">
        <f t="shared" si="43"/>
        <v/>
      </c>
      <c r="G276" s="36" t="str">
        <f t="shared" si="36"/>
        <v/>
      </c>
      <c r="H276" s="36" t="str">
        <f t="shared" si="37"/>
        <v/>
      </c>
      <c r="I276" s="747" t="str">
        <f t="shared" si="44"/>
        <v/>
      </c>
      <c r="J276" s="747"/>
      <c r="K276" s="678" t="str">
        <f t="shared" si="39"/>
        <v/>
      </c>
      <c r="L276" s="697" t="str">
        <f t="shared" si="40"/>
        <v/>
      </c>
      <c r="M276" s="678" t="str">
        <f t="shared" si="41"/>
        <v/>
      </c>
    </row>
    <row r="277" spans="4:13">
      <c r="D277" s="697" t="str">
        <f t="shared" si="38"/>
        <v/>
      </c>
      <c r="E277" s="226" t="str">
        <f t="shared" si="42"/>
        <v/>
      </c>
      <c r="F277" s="35" t="str">
        <f t="shared" si="43"/>
        <v/>
      </c>
      <c r="G277" s="36" t="str">
        <f t="shared" si="36"/>
        <v/>
      </c>
      <c r="H277" s="36" t="str">
        <f t="shared" si="37"/>
        <v/>
      </c>
      <c r="I277" s="747" t="str">
        <f t="shared" si="44"/>
        <v/>
      </c>
      <c r="J277" s="747"/>
      <c r="K277" s="678" t="str">
        <f t="shared" si="39"/>
        <v/>
      </c>
      <c r="L277" s="697" t="str">
        <f t="shared" si="40"/>
        <v/>
      </c>
      <c r="M277" s="678" t="str">
        <f t="shared" si="41"/>
        <v/>
      </c>
    </row>
    <row r="278" spans="4:13">
      <c r="D278" s="697" t="str">
        <f t="shared" si="38"/>
        <v/>
      </c>
      <c r="E278" s="226" t="str">
        <f t="shared" si="42"/>
        <v/>
      </c>
      <c r="F278" s="35" t="str">
        <f t="shared" si="43"/>
        <v/>
      </c>
      <c r="G278" s="36" t="str">
        <f t="shared" si="36"/>
        <v/>
      </c>
      <c r="H278" s="36" t="str">
        <f t="shared" si="37"/>
        <v/>
      </c>
      <c r="I278" s="747" t="str">
        <f t="shared" si="44"/>
        <v/>
      </c>
      <c r="J278" s="747"/>
      <c r="K278" s="678" t="str">
        <f t="shared" si="39"/>
        <v/>
      </c>
      <c r="L278" s="697" t="str">
        <f t="shared" si="40"/>
        <v/>
      </c>
      <c r="M278" s="678" t="str">
        <f t="shared" si="41"/>
        <v/>
      </c>
    </row>
    <row r="279" spans="4:13">
      <c r="D279" s="697" t="str">
        <f t="shared" si="38"/>
        <v/>
      </c>
      <c r="E279" s="226" t="str">
        <f t="shared" si="42"/>
        <v/>
      </c>
      <c r="F279" s="35" t="str">
        <f t="shared" si="43"/>
        <v/>
      </c>
      <c r="G279" s="36" t="str">
        <f t="shared" ref="G279:G342" si="45">IFERROR(IF(F279&lt;&gt;"",-IPMT($G$15/12,F279,$G$16,$G$13),""),0)</f>
        <v/>
      </c>
      <c r="H279" s="36" t="str">
        <f t="shared" ref="H279:H342" si="46">IFERROR(IF(F279&lt;&gt;"",-PPMT($G$15/12,F279,$G$16,$G$13),""),0)</f>
        <v/>
      </c>
      <c r="I279" s="747" t="str">
        <f t="shared" si="44"/>
        <v/>
      </c>
      <c r="J279" s="747"/>
      <c r="K279" s="678" t="str">
        <f t="shared" si="39"/>
        <v/>
      </c>
      <c r="L279" s="697" t="str">
        <f t="shared" si="40"/>
        <v/>
      </c>
      <c r="M279" s="678" t="str">
        <f t="shared" si="41"/>
        <v/>
      </c>
    </row>
    <row r="280" spans="4:13">
      <c r="D280" s="697" t="str">
        <f t="shared" ref="D280:D343" si="47">IF(E280="","",MONTH(E280))</f>
        <v/>
      </c>
      <c r="E280" s="226" t="str">
        <f t="shared" si="42"/>
        <v/>
      </c>
      <c r="F280" s="35" t="str">
        <f t="shared" si="43"/>
        <v/>
      </c>
      <c r="G280" s="36" t="str">
        <f t="shared" si="45"/>
        <v/>
      </c>
      <c r="H280" s="36" t="str">
        <f t="shared" si="46"/>
        <v/>
      </c>
      <c r="I280" s="747" t="str">
        <f t="shared" si="44"/>
        <v/>
      </c>
      <c r="J280" s="747"/>
      <c r="K280" s="678" t="str">
        <f t="shared" ref="K280:K343" si="48">IF(D280=12,G280+G279+G278+G277+G276+G275+G274+G273+G272+G271+G270+G269,"")</f>
        <v/>
      </c>
      <c r="L280" s="697" t="str">
        <f t="shared" ref="L280:L343" si="49">IF(D280=12,YEAR(E280),"")</f>
        <v/>
      </c>
      <c r="M280" s="678" t="str">
        <f t="shared" ref="M280:M343" si="50">IF(D280=12,H280+H279+H278+H277+H276+H275+H274+H273+H272+H271+H270+H269,"")</f>
        <v/>
      </c>
    </row>
    <row r="281" spans="4:13">
      <c r="D281" s="697" t="str">
        <f t="shared" si="47"/>
        <v/>
      </c>
      <c r="E281" s="226" t="str">
        <f t="shared" ref="E281:E344" si="51">IFERROR(IF($G$16&lt;=F280,"",DATE(YEAR(E280),MONTH(E280)+1,DAY(E280))),"")</f>
        <v/>
      </c>
      <c r="F281" s="35" t="str">
        <f t="shared" ref="F281:F344" si="52">IF(OR(F280="",F280=$G$16),"",IF(F280&lt;$G$16,F280+1,0))</f>
        <v/>
      </c>
      <c r="G281" s="36" t="str">
        <f t="shared" si="45"/>
        <v/>
      </c>
      <c r="H281" s="36" t="str">
        <f t="shared" si="46"/>
        <v/>
      </c>
      <c r="I281" s="747" t="str">
        <f t="shared" ref="I281:I344" si="53">IF(F281&lt;&gt;"",I280-H281,"")</f>
        <v/>
      </c>
      <c r="J281" s="747"/>
      <c r="K281" s="678" t="str">
        <f t="shared" si="48"/>
        <v/>
      </c>
      <c r="L281" s="697" t="str">
        <f t="shared" si="49"/>
        <v/>
      </c>
      <c r="M281" s="678" t="str">
        <f t="shared" si="50"/>
        <v/>
      </c>
    </row>
    <row r="282" spans="4:13">
      <c r="D282" s="697" t="str">
        <f t="shared" si="47"/>
        <v/>
      </c>
      <c r="E282" s="226" t="str">
        <f t="shared" si="51"/>
        <v/>
      </c>
      <c r="F282" s="35" t="str">
        <f t="shared" si="52"/>
        <v/>
      </c>
      <c r="G282" s="36" t="str">
        <f t="shared" si="45"/>
        <v/>
      </c>
      <c r="H282" s="36" t="str">
        <f t="shared" si="46"/>
        <v/>
      </c>
      <c r="I282" s="747" t="str">
        <f t="shared" si="53"/>
        <v/>
      </c>
      <c r="J282" s="747"/>
      <c r="K282" s="678" t="str">
        <f t="shared" si="48"/>
        <v/>
      </c>
      <c r="L282" s="697" t="str">
        <f t="shared" si="49"/>
        <v/>
      </c>
      <c r="M282" s="678" t="str">
        <f t="shared" si="50"/>
        <v/>
      </c>
    </row>
    <row r="283" spans="4:13">
      <c r="D283" s="697" t="str">
        <f t="shared" si="47"/>
        <v/>
      </c>
      <c r="E283" s="226" t="str">
        <f t="shared" si="51"/>
        <v/>
      </c>
      <c r="F283" s="35" t="str">
        <f t="shared" si="52"/>
        <v/>
      </c>
      <c r="G283" s="36" t="str">
        <f t="shared" si="45"/>
        <v/>
      </c>
      <c r="H283" s="36" t="str">
        <f t="shared" si="46"/>
        <v/>
      </c>
      <c r="I283" s="747" t="str">
        <f t="shared" si="53"/>
        <v/>
      </c>
      <c r="J283" s="747"/>
      <c r="K283" s="678" t="str">
        <f t="shared" si="48"/>
        <v/>
      </c>
      <c r="L283" s="697" t="str">
        <f t="shared" si="49"/>
        <v/>
      </c>
      <c r="M283" s="678" t="str">
        <f t="shared" si="50"/>
        <v/>
      </c>
    </row>
    <row r="284" spans="4:13">
      <c r="D284" s="697" t="str">
        <f t="shared" si="47"/>
        <v/>
      </c>
      <c r="E284" s="226" t="str">
        <f t="shared" si="51"/>
        <v/>
      </c>
      <c r="F284" s="35" t="str">
        <f t="shared" si="52"/>
        <v/>
      </c>
      <c r="G284" s="36" t="str">
        <f t="shared" si="45"/>
        <v/>
      </c>
      <c r="H284" s="36" t="str">
        <f t="shared" si="46"/>
        <v/>
      </c>
      <c r="I284" s="747" t="str">
        <f t="shared" si="53"/>
        <v/>
      </c>
      <c r="J284" s="747"/>
      <c r="K284" s="678" t="str">
        <f t="shared" si="48"/>
        <v/>
      </c>
      <c r="L284" s="697" t="str">
        <f t="shared" si="49"/>
        <v/>
      </c>
      <c r="M284" s="678" t="str">
        <f t="shared" si="50"/>
        <v/>
      </c>
    </row>
    <row r="285" spans="4:13">
      <c r="D285" s="697" t="str">
        <f t="shared" si="47"/>
        <v/>
      </c>
      <c r="E285" s="226" t="str">
        <f t="shared" si="51"/>
        <v/>
      </c>
      <c r="F285" s="35" t="str">
        <f t="shared" si="52"/>
        <v/>
      </c>
      <c r="G285" s="36" t="str">
        <f t="shared" si="45"/>
        <v/>
      </c>
      <c r="H285" s="36" t="str">
        <f t="shared" si="46"/>
        <v/>
      </c>
      <c r="I285" s="747" t="str">
        <f t="shared" si="53"/>
        <v/>
      </c>
      <c r="J285" s="747"/>
      <c r="K285" s="678" t="str">
        <f t="shared" si="48"/>
        <v/>
      </c>
      <c r="L285" s="697" t="str">
        <f t="shared" si="49"/>
        <v/>
      </c>
      <c r="M285" s="678" t="str">
        <f t="shared" si="50"/>
        <v/>
      </c>
    </row>
    <row r="286" spans="4:13">
      <c r="D286" s="697" t="str">
        <f t="shared" si="47"/>
        <v/>
      </c>
      <c r="E286" s="226" t="str">
        <f t="shared" si="51"/>
        <v/>
      </c>
      <c r="F286" s="35" t="str">
        <f t="shared" si="52"/>
        <v/>
      </c>
      <c r="G286" s="36" t="str">
        <f t="shared" si="45"/>
        <v/>
      </c>
      <c r="H286" s="36" t="str">
        <f t="shared" si="46"/>
        <v/>
      </c>
      <c r="I286" s="747" t="str">
        <f t="shared" si="53"/>
        <v/>
      </c>
      <c r="J286" s="747"/>
      <c r="K286" s="678" t="str">
        <f t="shared" si="48"/>
        <v/>
      </c>
      <c r="L286" s="697" t="str">
        <f t="shared" si="49"/>
        <v/>
      </c>
      <c r="M286" s="678" t="str">
        <f t="shared" si="50"/>
        <v/>
      </c>
    </row>
    <row r="287" spans="4:13">
      <c r="D287" s="697" t="str">
        <f t="shared" si="47"/>
        <v/>
      </c>
      <c r="E287" s="226" t="str">
        <f t="shared" si="51"/>
        <v/>
      </c>
      <c r="F287" s="35" t="str">
        <f t="shared" si="52"/>
        <v/>
      </c>
      <c r="G287" s="36" t="str">
        <f t="shared" si="45"/>
        <v/>
      </c>
      <c r="H287" s="36" t="str">
        <f t="shared" si="46"/>
        <v/>
      </c>
      <c r="I287" s="747" t="str">
        <f t="shared" si="53"/>
        <v/>
      </c>
      <c r="J287" s="747"/>
      <c r="K287" s="678" t="str">
        <f t="shared" si="48"/>
        <v/>
      </c>
      <c r="L287" s="697" t="str">
        <f t="shared" si="49"/>
        <v/>
      </c>
      <c r="M287" s="678" t="str">
        <f t="shared" si="50"/>
        <v/>
      </c>
    </row>
    <row r="288" spans="4:13">
      <c r="D288" s="697" t="str">
        <f t="shared" si="47"/>
        <v/>
      </c>
      <c r="E288" s="226" t="str">
        <f t="shared" si="51"/>
        <v/>
      </c>
      <c r="F288" s="35" t="str">
        <f t="shared" si="52"/>
        <v/>
      </c>
      <c r="G288" s="36" t="str">
        <f t="shared" si="45"/>
        <v/>
      </c>
      <c r="H288" s="36" t="str">
        <f t="shared" si="46"/>
        <v/>
      </c>
      <c r="I288" s="747" t="str">
        <f t="shared" si="53"/>
        <v/>
      </c>
      <c r="J288" s="747"/>
      <c r="K288" s="678" t="str">
        <f t="shared" si="48"/>
        <v/>
      </c>
      <c r="L288" s="697" t="str">
        <f t="shared" si="49"/>
        <v/>
      </c>
      <c r="M288" s="678" t="str">
        <f t="shared" si="50"/>
        <v/>
      </c>
    </row>
    <row r="289" spans="4:13">
      <c r="D289" s="697" t="str">
        <f t="shared" si="47"/>
        <v/>
      </c>
      <c r="E289" s="226" t="str">
        <f t="shared" si="51"/>
        <v/>
      </c>
      <c r="F289" s="35" t="str">
        <f t="shared" si="52"/>
        <v/>
      </c>
      <c r="G289" s="36" t="str">
        <f t="shared" si="45"/>
        <v/>
      </c>
      <c r="H289" s="36" t="str">
        <f t="shared" si="46"/>
        <v/>
      </c>
      <c r="I289" s="747" t="str">
        <f t="shared" si="53"/>
        <v/>
      </c>
      <c r="J289" s="747"/>
      <c r="K289" s="678" t="str">
        <f t="shared" si="48"/>
        <v/>
      </c>
      <c r="L289" s="697" t="str">
        <f t="shared" si="49"/>
        <v/>
      </c>
      <c r="M289" s="678" t="str">
        <f t="shared" si="50"/>
        <v/>
      </c>
    </row>
    <row r="290" spans="4:13">
      <c r="D290" s="697" t="str">
        <f t="shared" si="47"/>
        <v/>
      </c>
      <c r="E290" s="226" t="str">
        <f t="shared" si="51"/>
        <v/>
      </c>
      <c r="F290" s="35" t="str">
        <f t="shared" si="52"/>
        <v/>
      </c>
      <c r="G290" s="36" t="str">
        <f t="shared" si="45"/>
        <v/>
      </c>
      <c r="H290" s="36" t="str">
        <f t="shared" si="46"/>
        <v/>
      </c>
      <c r="I290" s="747" t="str">
        <f t="shared" si="53"/>
        <v/>
      </c>
      <c r="J290" s="747"/>
      <c r="K290" s="678" t="str">
        <f t="shared" si="48"/>
        <v/>
      </c>
      <c r="L290" s="697" t="str">
        <f t="shared" si="49"/>
        <v/>
      </c>
      <c r="M290" s="678" t="str">
        <f t="shared" si="50"/>
        <v/>
      </c>
    </row>
    <row r="291" spans="4:13">
      <c r="D291" s="697" t="str">
        <f t="shared" si="47"/>
        <v/>
      </c>
      <c r="E291" s="226" t="str">
        <f t="shared" si="51"/>
        <v/>
      </c>
      <c r="F291" s="35" t="str">
        <f t="shared" si="52"/>
        <v/>
      </c>
      <c r="G291" s="36" t="str">
        <f t="shared" si="45"/>
        <v/>
      </c>
      <c r="H291" s="36" t="str">
        <f t="shared" si="46"/>
        <v/>
      </c>
      <c r="I291" s="747" t="str">
        <f t="shared" si="53"/>
        <v/>
      </c>
      <c r="J291" s="747"/>
      <c r="K291" s="678" t="str">
        <f t="shared" si="48"/>
        <v/>
      </c>
      <c r="L291" s="697" t="str">
        <f t="shared" si="49"/>
        <v/>
      </c>
      <c r="M291" s="678" t="str">
        <f t="shared" si="50"/>
        <v/>
      </c>
    </row>
    <row r="292" spans="4:13">
      <c r="D292" s="697" t="str">
        <f t="shared" si="47"/>
        <v/>
      </c>
      <c r="E292" s="226" t="str">
        <f t="shared" si="51"/>
        <v/>
      </c>
      <c r="F292" s="35" t="str">
        <f t="shared" si="52"/>
        <v/>
      </c>
      <c r="G292" s="36" t="str">
        <f t="shared" si="45"/>
        <v/>
      </c>
      <c r="H292" s="36" t="str">
        <f t="shared" si="46"/>
        <v/>
      </c>
      <c r="I292" s="747" t="str">
        <f t="shared" si="53"/>
        <v/>
      </c>
      <c r="J292" s="747"/>
      <c r="K292" s="678" t="str">
        <f t="shared" si="48"/>
        <v/>
      </c>
      <c r="L292" s="697" t="str">
        <f t="shared" si="49"/>
        <v/>
      </c>
      <c r="M292" s="678" t="str">
        <f t="shared" si="50"/>
        <v/>
      </c>
    </row>
    <row r="293" spans="4:13">
      <c r="D293" s="697" t="str">
        <f t="shared" si="47"/>
        <v/>
      </c>
      <c r="E293" s="226" t="str">
        <f t="shared" si="51"/>
        <v/>
      </c>
      <c r="F293" s="35" t="str">
        <f t="shared" si="52"/>
        <v/>
      </c>
      <c r="G293" s="36" t="str">
        <f t="shared" si="45"/>
        <v/>
      </c>
      <c r="H293" s="36" t="str">
        <f t="shared" si="46"/>
        <v/>
      </c>
      <c r="I293" s="747" t="str">
        <f t="shared" si="53"/>
        <v/>
      </c>
      <c r="J293" s="747"/>
      <c r="K293" s="678" t="str">
        <f t="shared" si="48"/>
        <v/>
      </c>
      <c r="L293" s="697" t="str">
        <f t="shared" si="49"/>
        <v/>
      </c>
      <c r="M293" s="678" t="str">
        <f t="shared" si="50"/>
        <v/>
      </c>
    </row>
    <row r="294" spans="4:13">
      <c r="D294" s="697" t="str">
        <f t="shared" si="47"/>
        <v/>
      </c>
      <c r="E294" s="226" t="str">
        <f t="shared" si="51"/>
        <v/>
      </c>
      <c r="F294" s="35" t="str">
        <f t="shared" si="52"/>
        <v/>
      </c>
      <c r="G294" s="36" t="str">
        <f t="shared" si="45"/>
        <v/>
      </c>
      <c r="H294" s="36" t="str">
        <f t="shared" si="46"/>
        <v/>
      </c>
      <c r="I294" s="747" t="str">
        <f t="shared" si="53"/>
        <v/>
      </c>
      <c r="J294" s="747"/>
      <c r="K294" s="678" t="str">
        <f t="shared" si="48"/>
        <v/>
      </c>
      <c r="L294" s="697" t="str">
        <f t="shared" si="49"/>
        <v/>
      </c>
      <c r="M294" s="678" t="str">
        <f t="shared" si="50"/>
        <v/>
      </c>
    </row>
    <row r="295" spans="4:13">
      <c r="D295" s="697" t="str">
        <f t="shared" si="47"/>
        <v/>
      </c>
      <c r="E295" s="226" t="str">
        <f t="shared" si="51"/>
        <v/>
      </c>
      <c r="F295" s="35" t="str">
        <f t="shared" si="52"/>
        <v/>
      </c>
      <c r="G295" s="36" t="str">
        <f t="shared" si="45"/>
        <v/>
      </c>
      <c r="H295" s="36" t="str">
        <f t="shared" si="46"/>
        <v/>
      </c>
      <c r="I295" s="747" t="str">
        <f t="shared" si="53"/>
        <v/>
      </c>
      <c r="J295" s="747"/>
      <c r="K295" s="678" t="str">
        <f t="shared" si="48"/>
        <v/>
      </c>
      <c r="L295" s="697" t="str">
        <f t="shared" si="49"/>
        <v/>
      </c>
      <c r="M295" s="678" t="str">
        <f t="shared" si="50"/>
        <v/>
      </c>
    </row>
    <row r="296" spans="4:13">
      <c r="D296" s="697" t="str">
        <f t="shared" si="47"/>
        <v/>
      </c>
      <c r="E296" s="226" t="str">
        <f t="shared" si="51"/>
        <v/>
      </c>
      <c r="F296" s="35" t="str">
        <f t="shared" si="52"/>
        <v/>
      </c>
      <c r="G296" s="36" t="str">
        <f t="shared" si="45"/>
        <v/>
      </c>
      <c r="H296" s="36" t="str">
        <f t="shared" si="46"/>
        <v/>
      </c>
      <c r="I296" s="747" t="str">
        <f t="shared" si="53"/>
        <v/>
      </c>
      <c r="J296" s="747"/>
      <c r="K296" s="678" t="str">
        <f t="shared" si="48"/>
        <v/>
      </c>
      <c r="L296" s="697" t="str">
        <f t="shared" si="49"/>
        <v/>
      </c>
      <c r="M296" s="678" t="str">
        <f t="shared" si="50"/>
        <v/>
      </c>
    </row>
    <row r="297" spans="4:13">
      <c r="D297" s="697" t="str">
        <f t="shared" si="47"/>
        <v/>
      </c>
      <c r="E297" s="226" t="str">
        <f t="shared" si="51"/>
        <v/>
      </c>
      <c r="F297" s="35" t="str">
        <f t="shared" si="52"/>
        <v/>
      </c>
      <c r="G297" s="36" t="str">
        <f t="shared" si="45"/>
        <v/>
      </c>
      <c r="H297" s="36" t="str">
        <f t="shared" si="46"/>
        <v/>
      </c>
      <c r="I297" s="747" t="str">
        <f t="shared" si="53"/>
        <v/>
      </c>
      <c r="J297" s="747"/>
      <c r="K297" s="678" t="str">
        <f t="shared" si="48"/>
        <v/>
      </c>
      <c r="L297" s="697" t="str">
        <f t="shared" si="49"/>
        <v/>
      </c>
      <c r="M297" s="678" t="str">
        <f t="shared" si="50"/>
        <v/>
      </c>
    </row>
    <row r="298" spans="4:13">
      <c r="D298" s="697" t="str">
        <f t="shared" si="47"/>
        <v/>
      </c>
      <c r="E298" s="226" t="str">
        <f t="shared" si="51"/>
        <v/>
      </c>
      <c r="F298" s="35" t="str">
        <f t="shared" si="52"/>
        <v/>
      </c>
      <c r="G298" s="36" t="str">
        <f t="shared" si="45"/>
        <v/>
      </c>
      <c r="H298" s="36" t="str">
        <f t="shared" si="46"/>
        <v/>
      </c>
      <c r="I298" s="747" t="str">
        <f t="shared" si="53"/>
        <v/>
      </c>
      <c r="J298" s="747"/>
      <c r="K298" s="678" t="str">
        <f t="shared" si="48"/>
        <v/>
      </c>
      <c r="L298" s="697" t="str">
        <f t="shared" si="49"/>
        <v/>
      </c>
      <c r="M298" s="678" t="str">
        <f t="shared" si="50"/>
        <v/>
      </c>
    </row>
    <row r="299" spans="4:13">
      <c r="D299" s="697" t="str">
        <f t="shared" si="47"/>
        <v/>
      </c>
      <c r="E299" s="226" t="str">
        <f t="shared" si="51"/>
        <v/>
      </c>
      <c r="F299" s="35" t="str">
        <f t="shared" si="52"/>
        <v/>
      </c>
      <c r="G299" s="36" t="str">
        <f t="shared" si="45"/>
        <v/>
      </c>
      <c r="H299" s="36" t="str">
        <f t="shared" si="46"/>
        <v/>
      </c>
      <c r="I299" s="747" t="str">
        <f t="shared" si="53"/>
        <v/>
      </c>
      <c r="J299" s="747"/>
      <c r="K299" s="678" t="str">
        <f t="shared" si="48"/>
        <v/>
      </c>
      <c r="L299" s="697" t="str">
        <f t="shared" si="49"/>
        <v/>
      </c>
      <c r="M299" s="678" t="str">
        <f t="shared" si="50"/>
        <v/>
      </c>
    </row>
    <row r="300" spans="4:13">
      <c r="D300" s="697" t="str">
        <f t="shared" si="47"/>
        <v/>
      </c>
      <c r="E300" s="226" t="str">
        <f t="shared" si="51"/>
        <v/>
      </c>
      <c r="F300" s="35" t="str">
        <f t="shared" si="52"/>
        <v/>
      </c>
      <c r="G300" s="36" t="str">
        <f t="shared" si="45"/>
        <v/>
      </c>
      <c r="H300" s="36" t="str">
        <f t="shared" si="46"/>
        <v/>
      </c>
      <c r="I300" s="747" t="str">
        <f t="shared" si="53"/>
        <v/>
      </c>
      <c r="J300" s="747"/>
      <c r="K300" s="678" t="str">
        <f t="shared" si="48"/>
        <v/>
      </c>
      <c r="L300" s="697" t="str">
        <f t="shared" si="49"/>
        <v/>
      </c>
      <c r="M300" s="678" t="str">
        <f t="shared" si="50"/>
        <v/>
      </c>
    </row>
    <row r="301" spans="4:13">
      <c r="D301" s="697" t="str">
        <f t="shared" si="47"/>
        <v/>
      </c>
      <c r="E301" s="226" t="str">
        <f t="shared" si="51"/>
        <v/>
      </c>
      <c r="F301" s="35" t="str">
        <f t="shared" si="52"/>
        <v/>
      </c>
      <c r="G301" s="36" t="str">
        <f t="shared" si="45"/>
        <v/>
      </c>
      <c r="H301" s="36" t="str">
        <f t="shared" si="46"/>
        <v/>
      </c>
      <c r="I301" s="747" t="str">
        <f t="shared" si="53"/>
        <v/>
      </c>
      <c r="J301" s="747"/>
      <c r="K301" s="678" t="str">
        <f t="shared" si="48"/>
        <v/>
      </c>
      <c r="L301" s="697" t="str">
        <f t="shared" si="49"/>
        <v/>
      </c>
      <c r="M301" s="678" t="str">
        <f t="shared" si="50"/>
        <v/>
      </c>
    </row>
    <row r="302" spans="4:13">
      <c r="D302" s="697" t="str">
        <f t="shared" si="47"/>
        <v/>
      </c>
      <c r="E302" s="226" t="str">
        <f t="shared" si="51"/>
        <v/>
      </c>
      <c r="F302" s="35" t="str">
        <f t="shared" si="52"/>
        <v/>
      </c>
      <c r="G302" s="36" t="str">
        <f t="shared" si="45"/>
        <v/>
      </c>
      <c r="H302" s="36" t="str">
        <f t="shared" si="46"/>
        <v/>
      </c>
      <c r="I302" s="747" t="str">
        <f t="shared" si="53"/>
        <v/>
      </c>
      <c r="J302" s="747"/>
      <c r="K302" s="678" t="str">
        <f t="shared" si="48"/>
        <v/>
      </c>
      <c r="L302" s="697" t="str">
        <f t="shared" si="49"/>
        <v/>
      </c>
      <c r="M302" s="678" t="str">
        <f t="shared" si="50"/>
        <v/>
      </c>
    </row>
    <row r="303" spans="4:13">
      <c r="D303" s="697" t="str">
        <f t="shared" si="47"/>
        <v/>
      </c>
      <c r="E303" s="226" t="str">
        <f t="shared" si="51"/>
        <v/>
      </c>
      <c r="F303" s="35" t="str">
        <f t="shared" si="52"/>
        <v/>
      </c>
      <c r="G303" s="36" t="str">
        <f t="shared" si="45"/>
        <v/>
      </c>
      <c r="H303" s="36" t="str">
        <f t="shared" si="46"/>
        <v/>
      </c>
      <c r="I303" s="747" t="str">
        <f t="shared" si="53"/>
        <v/>
      </c>
      <c r="J303" s="747"/>
      <c r="K303" s="678" t="str">
        <f t="shared" si="48"/>
        <v/>
      </c>
      <c r="L303" s="697" t="str">
        <f t="shared" si="49"/>
        <v/>
      </c>
      <c r="M303" s="678" t="str">
        <f t="shared" si="50"/>
        <v/>
      </c>
    </row>
    <row r="304" spans="4:13">
      <c r="D304" s="697" t="str">
        <f t="shared" si="47"/>
        <v/>
      </c>
      <c r="E304" s="226" t="str">
        <f t="shared" si="51"/>
        <v/>
      </c>
      <c r="F304" s="35" t="str">
        <f t="shared" si="52"/>
        <v/>
      </c>
      <c r="G304" s="36" t="str">
        <f t="shared" si="45"/>
        <v/>
      </c>
      <c r="H304" s="36" t="str">
        <f t="shared" si="46"/>
        <v/>
      </c>
      <c r="I304" s="747" t="str">
        <f t="shared" si="53"/>
        <v/>
      </c>
      <c r="J304" s="747"/>
      <c r="K304" s="678" t="str">
        <f t="shared" si="48"/>
        <v/>
      </c>
      <c r="L304" s="697" t="str">
        <f t="shared" si="49"/>
        <v/>
      </c>
      <c r="M304" s="678" t="str">
        <f t="shared" si="50"/>
        <v/>
      </c>
    </row>
    <row r="305" spans="4:13">
      <c r="D305" s="697" t="str">
        <f t="shared" si="47"/>
        <v/>
      </c>
      <c r="E305" s="226" t="str">
        <f t="shared" si="51"/>
        <v/>
      </c>
      <c r="F305" s="35" t="str">
        <f t="shared" si="52"/>
        <v/>
      </c>
      <c r="G305" s="36" t="str">
        <f t="shared" si="45"/>
        <v/>
      </c>
      <c r="H305" s="36" t="str">
        <f t="shared" si="46"/>
        <v/>
      </c>
      <c r="I305" s="747" t="str">
        <f t="shared" si="53"/>
        <v/>
      </c>
      <c r="J305" s="747"/>
      <c r="K305" s="678" t="str">
        <f t="shared" si="48"/>
        <v/>
      </c>
      <c r="L305" s="697" t="str">
        <f t="shared" si="49"/>
        <v/>
      </c>
      <c r="M305" s="678" t="str">
        <f t="shared" si="50"/>
        <v/>
      </c>
    </row>
    <row r="306" spans="4:13">
      <c r="D306" s="697" t="str">
        <f t="shared" si="47"/>
        <v/>
      </c>
      <c r="E306" s="226" t="str">
        <f t="shared" si="51"/>
        <v/>
      </c>
      <c r="F306" s="35" t="str">
        <f t="shared" si="52"/>
        <v/>
      </c>
      <c r="G306" s="36" t="str">
        <f t="shared" si="45"/>
        <v/>
      </c>
      <c r="H306" s="36" t="str">
        <f t="shared" si="46"/>
        <v/>
      </c>
      <c r="I306" s="747" t="str">
        <f t="shared" si="53"/>
        <v/>
      </c>
      <c r="J306" s="747"/>
      <c r="K306" s="678" t="str">
        <f t="shared" si="48"/>
        <v/>
      </c>
      <c r="L306" s="697" t="str">
        <f t="shared" si="49"/>
        <v/>
      </c>
      <c r="M306" s="678" t="str">
        <f t="shared" si="50"/>
        <v/>
      </c>
    </row>
    <row r="307" spans="4:13">
      <c r="D307" s="697" t="str">
        <f t="shared" si="47"/>
        <v/>
      </c>
      <c r="E307" s="226" t="str">
        <f t="shared" si="51"/>
        <v/>
      </c>
      <c r="F307" s="35" t="str">
        <f t="shared" si="52"/>
        <v/>
      </c>
      <c r="G307" s="36" t="str">
        <f t="shared" si="45"/>
        <v/>
      </c>
      <c r="H307" s="36" t="str">
        <f t="shared" si="46"/>
        <v/>
      </c>
      <c r="I307" s="747" t="str">
        <f t="shared" si="53"/>
        <v/>
      </c>
      <c r="J307" s="747"/>
      <c r="K307" s="678" t="str">
        <f t="shared" si="48"/>
        <v/>
      </c>
      <c r="L307" s="697" t="str">
        <f t="shared" si="49"/>
        <v/>
      </c>
      <c r="M307" s="678" t="str">
        <f t="shared" si="50"/>
        <v/>
      </c>
    </row>
    <row r="308" spans="4:13">
      <c r="D308" s="697" t="str">
        <f t="shared" si="47"/>
        <v/>
      </c>
      <c r="E308" s="226" t="str">
        <f t="shared" si="51"/>
        <v/>
      </c>
      <c r="F308" s="35" t="str">
        <f t="shared" si="52"/>
        <v/>
      </c>
      <c r="G308" s="36" t="str">
        <f t="shared" si="45"/>
        <v/>
      </c>
      <c r="H308" s="36" t="str">
        <f t="shared" si="46"/>
        <v/>
      </c>
      <c r="I308" s="747" t="str">
        <f t="shared" si="53"/>
        <v/>
      </c>
      <c r="J308" s="747"/>
      <c r="K308" s="678" t="str">
        <f t="shared" si="48"/>
        <v/>
      </c>
      <c r="L308" s="697" t="str">
        <f t="shared" si="49"/>
        <v/>
      </c>
      <c r="M308" s="678" t="str">
        <f t="shared" si="50"/>
        <v/>
      </c>
    </row>
    <row r="309" spans="4:13">
      <c r="D309" s="697" t="str">
        <f t="shared" si="47"/>
        <v/>
      </c>
      <c r="E309" s="226" t="str">
        <f t="shared" si="51"/>
        <v/>
      </c>
      <c r="F309" s="35" t="str">
        <f t="shared" si="52"/>
        <v/>
      </c>
      <c r="G309" s="36" t="str">
        <f t="shared" si="45"/>
        <v/>
      </c>
      <c r="H309" s="36" t="str">
        <f t="shared" si="46"/>
        <v/>
      </c>
      <c r="I309" s="747" t="str">
        <f t="shared" si="53"/>
        <v/>
      </c>
      <c r="J309" s="747"/>
      <c r="K309" s="678" t="str">
        <f t="shared" si="48"/>
        <v/>
      </c>
      <c r="L309" s="697" t="str">
        <f t="shared" si="49"/>
        <v/>
      </c>
      <c r="M309" s="678" t="str">
        <f t="shared" si="50"/>
        <v/>
      </c>
    </row>
    <row r="310" spans="4:13">
      <c r="D310" s="697" t="str">
        <f t="shared" si="47"/>
        <v/>
      </c>
      <c r="E310" s="226" t="str">
        <f t="shared" si="51"/>
        <v/>
      </c>
      <c r="F310" s="35" t="str">
        <f t="shared" si="52"/>
        <v/>
      </c>
      <c r="G310" s="36" t="str">
        <f t="shared" si="45"/>
        <v/>
      </c>
      <c r="H310" s="36" t="str">
        <f t="shared" si="46"/>
        <v/>
      </c>
      <c r="I310" s="747" t="str">
        <f t="shared" si="53"/>
        <v/>
      </c>
      <c r="J310" s="747"/>
      <c r="K310" s="678" t="str">
        <f t="shared" si="48"/>
        <v/>
      </c>
      <c r="L310" s="697" t="str">
        <f t="shared" si="49"/>
        <v/>
      </c>
      <c r="M310" s="678" t="str">
        <f t="shared" si="50"/>
        <v/>
      </c>
    </row>
    <row r="311" spans="4:13">
      <c r="D311" s="697" t="str">
        <f t="shared" si="47"/>
        <v/>
      </c>
      <c r="E311" s="226" t="str">
        <f t="shared" si="51"/>
        <v/>
      </c>
      <c r="F311" s="35" t="str">
        <f t="shared" si="52"/>
        <v/>
      </c>
      <c r="G311" s="36" t="str">
        <f t="shared" si="45"/>
        <v/>
      </c>
      <c r="H311" s="36" t="str">
        <f t="shared" si="46"/>
        <v/>
      </c>
      <c r="I311" s="747" t="str">
        <f t="shared" si="53"/>
        <v/>
      </c>
      <c r="J311" s="747"/>
      <c r="K311" s="678" t="str">
        <f t="shared" si="48"/>
        <v/>
      </c>
      <c r="L311" s="697" t="str">
        <f t="shared" si="49"/>
        <v/>
      </c>
      <c r="M311" s="678" t="str">
        <f t="shared" si="50"/>
        <v/>
      </c>
    </row>
    <row r="312" spans="4:13">
      <c r="D312" s="697" t="str">
        <f t="shared" si="47"/>
        <v/>
      </c>
      <c r="E312" s="226" t="str">
        <f t="shared" si="51"/>
        <v/>
      </c>
      <c r="F312" s="35" t="str">
        <f t="shared" si="52"/>
        <v/>
      </c>
      <c r="G312" s="36" t="str">
        <f t="shared" si="45"/>
        <v/>
      </c>
      <c r="H312" s="36" t="str">
        <f t="shared" si="46"/>
        <v/>
      </c>
      <c r="I312" s="747" t="str">
        <f t="shared" si="53"/>
        <v/>
      </c>
      <c r="J312" s="747"/>
      <c r="K312" s="678" t="str">
        <f t="shared" si="48"/>
        <v/>
      </c>
      <c r="L312" s="697" t="str">
        <f t="shared" si="49"/>
        <v/>
      </c>
      <c r="M312" s="678" t="str">
        <f t="shared" si="50"/>
        <v/>
      </c>
    </row>
    <row r="313" spans="4:13">
      <c r="D313" s="697" t="str">
        <f t="shared" si="47"/>
        <v/>
      </c>
      <c r="E313" s="226" t="str">
        <f t="shared" si="51"/>
        <v/>
      </c>
      <c r="F313" s="35" t="str">
        <f t="shared" si="52"/>
        <v/>
      </c>
      <c r="G313" s="36" t="str">
        <f t="shared" si="45"/>
        <v/>
      </c>
      <c r="H313" s="36" t="str">
        <f t="shared" si="46"/>
        <v/>
      </c>
      <c r="I313" s="747" t="str">
        <f t="shared" si="53"/>
        <v/>
      </c>
      <c r="J313" s="747"/>
      <c r="K313" s="678" t="str">
        <f t="shared" si="48"/>
        <v/>
      </c>
      <c r="L313" s="697" t="str">
        <f t="shared" si="49"/>
        <v/>
      </c>
      <c r="M313" s="678" t="str">
        <f t="shared" si="50"/>
        <v/>
      </c>
    </row>
    <row r="314" spans="4:13">
      <c r="D314" s="697" t="str">
        <f t="shared" si="47"/>
        <v/>
      </c>
      <c r="E314" s="226" t="str">
        <f t="shared" si="51"/>
        <v/>
      </c>
      <c r="F314" s="35" t="str">
        <f t="shared" si="52"/>
        <v/>
      </c>
      <c r="G314" s="36" t="str">
        <f t="shared" si="45"/>
        <v/>
      </c>
      <c r="H314" s="36" t="str">
        <f t="shared" si="46"/>
        <v/>
      </c>
      <c r="I314" s="747" t="str">
        <f t="shared" si="53"/>
        <v/>
      </c>
      <c r="J314" s="747"/>
      <c r="K314" s="678" t="str">
        <f t="shared" si="48"/>
        <v/>
      </c>
      <c r="L314" s="697" t="str">
        <f t="shared" si="49"/>
        <v/>
      </c>
      <c r="M314" s="678" t="str">
        <f t="shared" si="50"/>
        <v/>
      </c>
    </row>
    <row r="315" spans="4:13">
      <c r="D315" s="697" t="str">
        <f t="shared" si="47"/>
        <v/>
      </c>
      <c r="E315" s="226" t="str">
        <f t="shared" si="51"/>
        <v/>
      </c>
      <c r="F315" s="35" t="str">
        <f t="shared" si="52"/>
        <v/>
      </c>
      <c r="G315" s="36" t="str">
        <f t="shared" si="45"/>
        <v/>
      </c>
      <c r="H315" s="36" t="str">
        <f t="shared" si="46"/>
        <v/>
      </c>
      <c r="I315" s="747" t="str">
        <f t="shared" si="53"/>
        <v/>
      </c>
      <c r="J315" s="747"/>
      <c r="K315" s="678" t="str">
        <f t="shared" si="48"/>
        <v/>
      </c>
      <c r="L315" s="697" t="str">
        <f t="shared" si="49"/>
        <v/>
      </c>
      <c r="M315" s="678" t="str">
        <f t="shared" si="50"/>
        <v/>
      </c>
    </row>
    <row r="316" spans="4:13">
      <c r="D316" s="697" t="str">
        <f t="shared" si="47"/>
        <v/>
      </c>
      <c r="E316" s="226" t="str">
        <f t="shared" si="51"/>
        <v/>
      </c>
      <c r="F316" s="35" t="str">
        <f t="shared" si="52"/>
        <v/>
      </c>
      <c r="G316" s="36" t="str">
        <f t="shared" si="45"/>
        <v/>
      </c>
      <c r="H316" s="36" t="str">
        <f t="shared" si="46"/>
        <v/>
      </c>
      <c r="I316" s="747" t="str">
        <f t="shared" si="53"/>
        <v/>
      </c>
      <c r="J316" s="747"/>
      <c r="K316" s="678" t="str">
        <f t="shared" si="48"/>
        <v/>
      </c>
      <c r="L316" s="697" t="str">
        <f t="shared" si="49"/>
        <v/>
      </c>
      <c r="M316" s="678" t="str">
        <f t="shared" si="50"/>
        <v/>
      </c>
    </row>
    <row r="317" spans="4:13">
      <c r="D317" s="697" t="str">
        <f t="shared" si="47"/>
        <v/>
      </c>
      <c r="E317" s="226" t="str">
        <f t="shared" si="51"/>
        <v/>
      </c>
      <c r="F317" s="35" t="str">
        <f t="shared" si="52"/>
        <v/>
      </c>
      <c r="G317" s="36" t="str">
        <f t="shared" si="45"/>
        <v/>
      </c>
      <c r="H317" s="36" t="str">
        <f t="shared" si="46"/>
        <v/>
      </c>
      <c r="I317" s="747" t="str">
        <f t="shared" si="53"/>
        <v/>
      </c>
      <c r="J317" s="747"/>
      <c r="K317" s="678" t="str">
        <f t="shared" si="48"/>
        <v/>
      </c>
      <c r="L317" s="697" t="str">
        <f t="shared" si="49"/>
        <v/>
      </c>
      <c r="M317" s="678" t="str">
        <f t="shared" si="50"/>
        <v/>
      </c>
    </row>
    <row r="318" spans="4:13">
      <c r="D318" s="697" t="str">
        <f t="shared" si="47"/>
        <v/>
      </c>
      <c r="E318" s="226" t="str">
        <f t="shared" si="51"/>
        <v/>
      </c>
      <c r="F318" s="35" t="str">
        <f t="shared" si="52"/>
        <v/>
      </c>
      <c r="G318" s="36" t="str">
        <f t="shared" si="45"/>
        <v/>
      </c>
      <c r="H318" s="36" t="str">
        <f t="shared" si="46"/>
        <v/>
      </c>
      <c r="I318" s="747" t="str">
        <f t="shared" si="53"/>
        <v/>
      </c>
      <c r="J318" s="747"/>
      <c r="K318" s="678" t="str">
        <f t="shared" si="48"/>
        <v/>
      </c>
      <c r="L318" s="697" t="str">
        <f t="shared" si="49"/>
        <v/>
      </c>
      <c r="M318" s="678" t="str">
        <f t="shared" si="50"/>
        <v/>
      </c>
    </row>
    <row r="319" spans="4:13">
      <c r="D319" s="697" t="str">
        <f t="shared" si="47"/>
        <v/>
      </c>
      <c r="E319" s="226" t="str">
        <f t="shared" si="51"/>
        <v/>
      </c>
      <c r="F319" s="35" t="str">
        <f t="shared" si="52"/>
        <v/>
      </c>
      <c r="G319" s="36" t="str">
        <f t="shared" si="45"/>
        <v/>
      </c>
      <c r="H319" s="36" t="str">
        <f t="shared" si="46"/>
        <v/>
      </c>
      <c r="I319" s="747" t="str">
        <f t="shared" si="53"/>
        <v/>
      </c>
      <c r="J319" s="747"/>
      <c r="K319" s="678" t="str">
        <f t="shared" si="48"/>
        <v/>
      </c>
      <c r="L319" s="697" t="str">
        <f t="shared" si="49"/>
        <v/>
      </c>
      <c r="M319" s="678" t="str">
        <f t="shared" si="50"/>
        <v/>
      </c>
    </row>
    <row r="320" spans="4:13">
      <c r="D320" s="697" t="str">
        <f t="shared" si="47"/>
        <v/>
      </c>
      <c r="E320" s="226" t="str">
        <f t="shared" si="51"/>
        <v/>
      </c>
      <c r="F320" s="35" t="str">
        <f t="shared" si="52"/>
        <v/>
      </c>
      <c r="G320" s="36" t="str">
        <f t="shared" si="45"/>
        <v/>
      </c>
      <c r="H320" s="36" t="str">
        <f t="shared" si="46"/>
        <v/>
      </c>
      <c r="I320" s="747" t="str">
        <f t="shared" si="53"/>
        <v/>
      </c>
      <c r="J320" s="747"/>
      <c r="K320" s="678" t="str">
        <f t="shared" si="48"/>
        <v/>
      </c>
      <c r="L320" s="697" t="str">
        <f t="shared" si="49"/>
        <v/>
      </c>
      <c r="M320" s="678" t="str">
        <f t="shared" si="50"/>
        <v/>
      </c>
    </row>
    <row r="321" spans="4:13">
      <c r="D321" s="697" t="str">
        <f t="shared" si="47"/>
        <v/>
      </c>
      <c r="E321" s="226" t="str">
        <f t="shared" si="51"/>
        <v/>
      </c>
      <c r="F321" s="35" t="str">
        <f t="shared" si="52"/>
        <v/>
      </c>
      <c r="G321" s="36" t="str">
        <f t="shared" si="45"/>
        <v/>
      </c>
      <c r="H321" s="36" t="str">
        <f t="shared" si="46"/>
        <v/>
      </c>
      <c r="I321" s="747" t="str">
        <f t="shared" si="53"/>
        <v/>
      </c>
      <c r="J321" s="747"/>
      <c r="K321" s="678" t="str">
        <f t="shared" si="48"/>
        <v/>
      </c>
      <c r="L321" s="697" t="str">
        <f t="shared" si="49"/>
        <v/>
      </c>
      <c r="M321" s="678" t="str">
        <f t="shared" si="50"/>
        <v/>
      </c>
    </row>
    <row r="322" spans="4:13">
      <c r="D322" s="697" t="str">
        <f t="shared" si="47"/>
        <v/>
      </c>
      <c r="E322" s="226" t="str">
        <f t="shared" si="51"/>
        <v/>
      </c>
      <c r="F322" s="35" t="str">
        <f t="shared" si="52"/>
        <v/>
      </c>
      <c r="G322" s="36" t="str">
        <f t="shared" si="45"/>
        <v/>
      </c>
      <c r="H322" s="36" t="str">
        <f t="shared" si="46"/>
        <v/>
      </c>
      <c r="I322" s="747" t="str">
        <f t="shared" si="53"/>
        <v/>
      </c>
      <c r="J322" s="747"/>
      <c r="K322" s="678" t="str">
        <f t="shared" si="48"/>
        <v/>
      </c>
      <c r="L322" s="697" t="str">
        <f t="shared" si="49"/>
        <v/>
      </c>
      <c r="M322" s="678" t="str">
        <f t="shared" si="50"/>
        <v/>
      </c>
    </row>
    <row r="323" spans="4:13">
      <c r="D323" s="697" t="str">
        <f t="shared" si="47"/>
        <v/>
      </c>
      <c r="E323" s="226" t="str">
        <f t="shared" si="51"/>
        <v/>
      </c>
      <c r="F323" s="35" t="str">
        <f t="shared" si="52"/>
        <v/>
      </c>
      <c r="G323" s="36" t="str">
        <f t="shared" si="45"/>
        <v/>
      </c>
      <c r="H323" s="36" t="str">
        <f t="shared" si="46"/>
        <v/>
      </c>
      <c r="I323" s="747" t="str">
        <f t="shared" si="53"/>
        <v/>
      </c>
      <c r="J323" s="747"/>
      <c r="K323" s="678" t="str">
        <f t="shared" si="48"/>
        <v/>
      </c>
      <c r="L323" s="697" t="str">
        <f t="shared" si="49"/>
        <v/>
      </c>
      <c r="M323" s="678" t="str">
        <f t="shared" si="50"/>
        <v/>
      </c>
    </row>
    <row r="324" spans="4:13">
      <c r="D324" s="697" t="str">
        <f t="shared" si="47"/>
        <v/>
      </c>
      <c r="E324" s="226" t="str">
        <f t="shared" si="51"/>
        <v/>
      </c>
      <c r="F324" s="35" t="str">
        <f t="shared" si="52"/>
        <v/>
      </c>
      <c r="G324" s="36" t="str">
        <f t="shared" si="45"/>
        <v/>
      </c>
      <c r="H324" s="36" t="str">
        <f t="shared" si="46"/>
        <v/>
      </c>
      <c r="I324" s="747" t="str">
        <f t="shared" si="53"/>
        <v/>
      </c>
      <c r="J324" s="747"/>
      <c r="K324" s="678" t="str">
        <f t="shared" si="48"/>
        <v/>
      </c>
      <c r="L324" s="697" t="str">
        <f t="shared" si="49"/>
        <v/>
      </c>
      <c r="M324" s="678" t="str">
        <f t="shared" si="50"/>
        <v/>
      </c>
    </row>
    <row r="325" spans="4:13">
      <c r="D325" s="697" t="str">
        <f t="shared" si="47"/>
        <v/>
      </c>
      <c r="E325" s="226" t="str">
        <f t="shared" si="51"/>
        <v/>
      </c>
      <c r="F325" s="35" t="str">
        <f t="shared" si="52"/>
        <v/>
      </c>
      <c r="G325" s="36" t="str">
        <f t="shared" si="45"/>
        <v/>
      </c>
      <c r="H325" s="36" t="str">
        <f t="shared" si="46"/>
        <v/>
      </c>
      <c r="I325" s="747" t="str">
        <f t="shared" si="53"/>
        <v/>
      </c>
      <c r="J325" s="747"/>
      <c r="K325" s="678" t="str">
        <f t="shared" si="48"/>
        <v/>
      </c>
      <c r="L325" s="697" t="str">
        <f t="shared" si="49"/>
        <v/>
      </c>
      <c r="M325" s="678" t="str">
        <f t="shared" si="50"/>
        <v/>
      </c>
    </row>
    <row r="326" spans="4:13">
      <c r="D326" s="697" t="str">
        <f t="shared" si="47"/>
        <v/>
      </c>
      <c r="E326" s="226" t="str">
        <f t="shared" si="51"/>
        <v/>
      </c>
      <c r="F326" s="35" t="str">
        <f t="shared" si="52"/>
        <v/>
      </c>
      <c r="G326" s="36" t="str">
        <f t="shared" si="45"/>
        <v/>
      </c>
      <c r="H326" s="36" t="str">
        <f t="shared" si="46"/>
        <v/>
      </c>
      <c r="I326" s="747" t="str">
        <f t="shared" si="53"/>
        <v/>
      </c>
      <c r="J326" s="747"/>
      <c r="K326" s="678" t="str">
        <f t="shared" si="48"/>
        <v/>
      </c>
      <c r="L326" s="697" t="str">
        <f t="shared" si="49"/>
        <v/>
      </c>
      <c r="M326" s="678" t="str">
        <f t="shared" si="50"/>
        <v/>
      </c>
    </row>
    <row r="327" spans="4:13">
      <c r="D327" s="697" t="str">
        <f t="shared" si="47"/>
        <v/>
      </c>
      <c r="E327" s="226" t="str">
        <f t="shared" si="51"/>
        <v/>
      </c>
      <c r="F327" s="35" t="str">
        <f t="shared" si="52"/>
        <v/>
      </c>
      <c r="G327" s="36" t="str">
        <f t="shared" si="45"/>
        <v/>
      </c>
      <c r="H327" s="36" t="str">
        <f t="shared" si="46"/>
        <v/>
      </c>
      <c r="I327" s="747" t="str">
        <f t="shared" si="53"/>
        <v/>
      </c>
      <c r="J327" s="747"/>
      <c r="K327" s="678" t="str">
        <f t="shared" si="48"/>
        <v/>
      </c>
      <c r="L327" s="697" t="str">
        <f t="shared" si="49"/>
        <v/>
      </c>
      <c r="M327" s="678" t="str">
        <f t="shared" si="50"/>
        <v/>
      </c>
    </row>
    <row r="328" spans="4:13">
      <c r="D328" s="697" t="str">
        <f t="shared" si="47"/>
        <v/>
      </c>
      <c r="E328" s="226" t="str">
        <f t="shared" si="51"/>
        <v/>
      </c>
      <c r="F328" s="35" t="str">
        <f t="shared" si="52"/>
        <v/>
      </c>
      <c r="G328" s="36" t="str">
        <f t="shared" si="45"/>
        <v/>
      </c>
      <c r="H328" s="36" t="str">
        <f t="shared" si="46"/>
        <v/>
      </c>
      <c r="I328" s="747" t="str">
        <f t="shared" si="53"/>
        <v/>
      </c>
      <c r="J328" s="747"/>
      <c r="K328" s="678" t="str">
        <f t="shared" si="48"/>
        <v/>
      </c>
      <c r="L328" s="697" t="str">
        <f t="shared" si="49"/>
        <v/>
      </c>
      <c r="M328" s="678" t="str">
        <f t="shared" si="50"/>
        <v/>
      </c>
    </row>
    <row r="329" spans="4:13">
      <c r="D329" s="697" t="str">
        <f t="shared" si="47"/>
        <v/>
      </c>
      <c r="E329" s="226" t="str">
        <f t="shared" si="51"/>
        <v/>
      </c>
      <c r="F329" s="35" t="str">
        <f t="shared" si="52"/>
        <v/>
      </c>
      <c r="G329" s="36" t="str">
        <f t="shared" si="45"/>
        <v/>
      </c>
      <c r="H329" s="36" t="str">
        <f t="shared" si="46"/>
        <v/>
      </c>
      <c r="I329" s="747" t="str">
        <f t="shared" si="53"/>
        <v/>
      </c>
      <c r="J329" s="747"/>
      <c r="K329" s="678" t="str">
        <f t="shared" si="48"/>
        <v/>
      </c>
      <c r="L329" s="697" t="str">
        <f t="shared" si="49"/>
        <v/>
      </c>
      <c r="M329" s="678" t="str">
        <f t="shared" si="50"/>
        <v/>
      </c>
    </row>
    <row r="330" spans="4:13">
      <c r="D330" s="697" t="str">
        <f t="shared" si="47"/>
        <v/>
      </c>
      <c r="E330" s="226" t="str">
        <f t="shared" si="51"/>
        <v/>
      </c>
      <c r="F330" s="35" t="str">
        <f t="shared" si="52"/>
        <v/>
      </c>
      <c r="G330" s="36" t="str">
        <f t="shared" si="45"/>
        <v/>
      </c>
      <c r="H330" s="36" t="str">
        <f t="shared" si="46"/>
        <v/>
      </c>
      <c r="I330" s="747" t="str">
        <f t="shared" si="53"/>
        <v/>
      </c>
      <c r="J330" s="747"/>
      <c r="K330" s="678" t="str">
        <f t="shared" si="48"/>
        <v/>
      </c>
      <c r="L330" s="697" t="str">
        <f t="shared" si="49"/>
        <v/>
      </c>
      <c r="M330" s="678" t="str">
        <f t="shared" si="50"/>
        <v/>
      </c>
    </row>
    <row r="331" spans="4:13">
      <c r="D331" s="697" t="str">
        <f t="shared" si="47"/>
        <v/>
      </c>
      <c r="E331" s="226" t="str">
        <f t="shared" si="51"/>
        <v/>
      </c>
      <c r="F331" s="35" t="str">
        <f t="shared" si="52"/>
        <v/>
      </c>
      <c r="G331" s="36" t="str">
        <f t="shared" si="45"/>
        <v/>
      </c>
      <c r="H331" s="36" t="str">
        <f t="shared" si="46"/>
        <v/>
      </c>
      <c r="I331" s="747" t="str">
        <f t="shared" si="53"/>
        <v/>
      </c>
      <c r="J331" s="747"/>
      <c r="K331" s="678" t="str">
        <f t="shared" si="48"/>
        <v/>
      </c>
      <c r="L331" s="697" t="str">
        <f t="shared" si="49"/>
        <v/>
      </c>
      <c r="M331" s="678" t="str">
        <f t="shared" si="50"/>
        <v/>
      </c>
    </row>
    <row r="332" spans="4:13">
      <c r="D332" s="697" t="str">
        <f t="shared" si="47"/>
        <v/>
      </c>
      <c r="E332" s="226" t="str">
        <f t="shared" si="51"/>
        <v/>
      </c>
      <c r="F332" s="35" t="str">
        <f t="shared" si="52"/>
        <v/>
      </c>
      <c r="G332" s="36" t="str">
        <f t="shared" si="45"/>
        <v/>
      </c>
      <c r="H332" s="36" t="str">
        <f t="shared" si="46"/>
        <v/>
      </c>
      <c r="I332" s="747" t="str">
        <f t="shared" si="53"/>
        <v/>
      </c>
      <c r="J332" s="747"/>
      <c r="K332" s="678" t="str">
        <f t="shared" si="48"/>
        <v/>
      </c>
      <c r="L332" s="697" t="str">
        <f t="shared" si="49"/>
        <v/>
      </c>
      <c r="M332" s="678" t="str">
        <f t="shared" si="50"/>
        <v/>
      </c>
    </row>
    <row r="333" spans="4:13">
      <c r="D333" s="697" t="str">
        <f t="shared" si="47"/>
        <v/>
      </c>
      <c r="E333" s="226" t="str">
        <f t="shared" si="51"/>
        <v/>
      </c>
      <c r="F333" s="35" t="str">
        <f t="shared" si="52"/>
        <v/>
      </c>
      <c r="G333" s="36" t="str">
        <f t="shared" si="45"/>
        <v/>
      </c>
      <c r="H333" s="36" t="str">
        <f t="shared" si="46"/>
        <v/>
      </c>
      <c r="I333" s="747" t="str">
        <f t="shared" si="53"/>
        <v/>
      </c>
      <c r="J333" s="747"/>
      <c r="K333" s="678" t="str">
        <f t="shared" si="48"/>
        <v/>
      </c>
      <c r="L333" s="697" t="str">
        <f t="shared" si="49"/>
        <v/>
      </c>
      <c r="M333" s="678" t="str">
        <f t="shared" si="50"/>
        <v/>
      </c>
    </row>
    <row r="334" spans="4:13">
      <c r="D334" s="697" t="str">
        <f t="shared" si="47"/>
        <v/>
      </c>
      <c r="E334" s="226" t="str">
        <f t="shared" si="51"/>
        <v/>
      </c>
      <c r="F334" s="35" t="str">
        <f t="shared" si="52"/>
        <v/>
      </c>
      <c r="G334" s="36" t="str">
        <f t="shared" si="45"/>
        <v/>
      </c>
      <c r="H334" s="36" t="str">
        <f t="shared" si="46"/>
        <v/>
      </c>
      <c r="I334" s="747" t="str">
        <f t="shared" si="53"/>
        <v/>
      </c>
      <c r="J334" s="747"/>
      <c r="K334" s="678" t="str">
        <f t="shared" si="48"/>
        <v/>
      </c>
      <c r="L334" s="697" t="str">
        <f t="shared" si="49"/>
        <v/>
      </c>
      <c r="M334" s="678" t="str">
        <f t="shared" si="50"/>
        <v/>
      </c>
    </row>
    <row r="335" spans="4:13">
      <c r="D335" s="697" t="str">
        <f t="shared" si="47"/>
        <v/>
      </c>
      <c r="E335" s="226" t="str">
        <f t="shared" si="51"/>
        <v/>
      </c>
      <c r="F335" s="35" t="str">
        <f t="shared" si="52"/>
        <v/>
      </c>
      <c r="G335" s="36" t="str">
        <f t="shared" si="45"/>
        <v/>
      </c>
      <c r="H335" s="36" t="str">
        <f t="shared" si="46"/>
        <v/>
      </c>
      <c r="I335" s="747" t="str">
        <f t="shared" si="53"/>
        <v/>
      </c>
      <c r="J335" s="747"/>
      <c r="K335" s="678" t="str">
        <f t="shared" si="48"/>
        <v/>
      </c>
      <c r="L335" s="697" t="str">
        <f t="shared" si="49"/>
        <v/>
      </c>
      <c r="M335" s="678" t="str">
        <f t="shared" si="50"/>
        <v/>
      </c>
    </row>
    <row r="336" spans="4:13">
      <c r="D336" s="697" t="str">
        <f t="shared" si="47"/>
        <v/>
      </c>
      <c r="E336" s="226" t="str">
        <f t="shared" si="51"/>
        <v/>
      </c>
      <c r="F336" s="35" t="str">
        <f t="shared" si="52"/>
        <v/>
      </c>
      <c r="G336" s="36" t="str">
        <f t="shared" si="45"/>
        <v/>
      </c>
      <c r="H336" s="36" t="str">
        <f t="shared" si="46"/>
        <v/>
      </c>
      <c r="I336" s="747" t="str">
        <f t="shared" si="53"/>
        <v/>
      </c>
      <c r="J336" s="747"/>
      <c r="K336" s="678" t="str">
        <f t="shared" si="48"/>
        <v/>
      </c>
      <c r="L336" s="697" t="str">
        <f t="shared" si="49"/>
        <v/>
      </c>
      <c r="M336" s="678" t="str">
        <f t="shared" si="50"/>
        <v/>
      </c>
    </row>
    <row r="337" spans="4:13">
      <c r="D337" s="697" t="str">
        <f t="shared" si="47"/>
        <v/>
      </c>
      <c r="E337" s="226" t="str">
        <f t="shared" si="51"/>
        <v/>
      </c>
      <c r="F337" s="35" t="str">
        <f t="shared" si="52"/>
        <v/>
      </c>
      <c r="G337" s="36" t="str">
        <f t="shared" si="45"/>
        <v/>
      </c>
      <c r="H337" s="36" t="str">
        <f t="shared" si="46"/>
        <v/>
      </c>
      <c r="I337" s="747" t="str">
        <f t="shared" si="53"/>
        <v/>
      </c>
      <c r="J337" s="747"/>
      <c r="K337" s="678" t="str">
        <f t="shared" si="48"/>
        <v/>
      </c>
      <c r="L337" s="697" t="str">
        <f t="shared" si="49"/>
        <v/>
      </c>
      <c r="M337" s="678" t="str">
        <f t="shared" si="50"/>
        <v/>
      </c>
    </row>
    <row r="338" spans="4:13">
      <c r="D338" s="697" t="str">
        <f t="shared" si="47"/>
        <v/>
      </c>
      <c r="E338" s="226" t="str">
        <f t="shared" si="51"/>
        <v/>
      </c>
      <c r="F338" s="35" t="str">
        <f t="shared" si="52"/>
        <v/>
      </c>
      <c r="G338" s="36" t="str">
        <f t="shared" si="45"/>
        <v/>
      </c>
      <c r="H338" s="36" t="str">
        <f t="shared" si="46"/>
        <v/>
      </c>
      <c r="I338" s="747" t="str">
        <f t="shared" si="53"/>
        <v/>
      </c>
      <c r="J338" s="747"/>
      <c r="K338" s="678" t="str">
        <f t="shared" si="48"/>
        <v/>
      </c>
      <c r="L338" s="697" t="str">
        <f t="shared" si="49"/>
        <v/>
      </c>
      <c r="M338" s="678" t="str">
        <f t="shared" si="50"/>
        <v/>
      </c>
    </row>
    <row r="339" spans="4:13">
      <c r="D339" s="697" t="str">
        <f t="shared" si="47"/>
        <v/>
      </c>
      <c r="E339" s="226" t="str">
        <f t="shared" si="51"/>
        <v/>
      </c>
      <c r="F339" s="35" t="str">
        <f t="shared" si="52"/>
        <v/>
      </c>
      <c r="G339" s="36" t="str">
        <f t="shared" si="45"/>
        <v/>
      </c>
      <c r="H339" s="36" t="str">
        <f t="shared" si="46"/>
        <v/>
      </c>
      <c r="I339" s="747" t="str">
        <f t="shared" si="53"/>
        <v/>
      </c>
      <c r="J339" s="747"/>
      <c r="K339" s="678" t="str">
        <f t="shared" si="48"/>
        <v/>
      </c>
      <c r="L339" s="697" t="str">
        <f t="shared" si="49"/>
        <v/>
      </c>
      <c r="M339" s="678" t="str">
        <f t="shared" si="50"/>
        <v/>
      </c>
    </row>
    <row r="340" spans="4:13">
      <c r="D340" s="697" t="str">
        <f t="shared" si="47"/>
        <v/>
      </c>
      <c r="E340" s="226" t="str">
        <f t="shared" si="51"/>
        <v/>
      </c>
      <c r="F340" s="35" t="str">
        <f t="shared" si="52"/>
        <v/>
      </c>
      <c r="G340" s="36" t="str">
        <f t="shared" si="45"/>
        <v/>
      </c>
      <c r="H340" s="36" t="str">
        <f t="shared" si="46"/>
        <v/>
      </c>
      <c r="I340" s="747" t="str">
        <f t="shared" si="53"/>
        <v/>
      </c>
      <c r="J340" s="747"/>
      <c r="K340" s="678" t="str">
        <f t="shared" si="48"/>
        <v/>
      </c>
      <c r="L340" s="697" t="str">
        <f t="shared" si="49"/>
        <v/>
      </c>
      <c r="M340" s="678" t="str">
        <f t="shared" si="50"/>
        <v/>
      </c>
    </row>
    <row r="341" spans="4:13">
      <c r="D341" s="697" t="str">
        <f t="shared" si="47"/>
        <v/>
      </c>
      <c r="E341" s="226" t="str">
        <f t="shared" si="51"/>
        <v/>
      </c>
      <c r="F341" s="35" t="str">
        <f t="shared" si="52"/>
        <v/>
      </c>
      <c r="G341" s="36" t="str">
        <f t="shared" si="45"/>
        <v/>
      </c>
      <c r="H341" s="36" t="str">
        <f t="shared" si="46"/>
        <v/>
      </c>
      <c r="I341" s="747" t="str">
        <f t="shared" si="53"/>
        <v/>
      </c>
      <c r="J341" s="747"/>
      <c r="K341" s="678" t="str">
        <f t="shared" si="48"/>
        <v/>
      </c>
      <c r="L341" s="697" t="str">
        <f t="shared" si="49"/>
        <v/>
      </c>
      <c r="M341" s="678" t="str">
        <f t="shared" si="50"/>
        <v/>
      </c>
    </row>
    <row r="342" spans="4:13">
      <c r="D342" s="697" t="str">
        <f t="shared" si="47"/>
        <v/>
      </c>
      <c r="E342" s="226" t="str">
        <f t="shared" si="51"/>
        <v/>
      </c>
      <c r="F342" s="35" t="str">
        <f t="shared" si="52"/>
        <v/>
      </c>
      <c r="G342" s="36" t="str">
        <f t="shared" si="45"/>
        <v/>
      </c>
      <c r="H342" s="36" t="str">
        <f t="shared" si="46"/>
        <v/>
      </c>
      <c r="I342" s="747" t="str">
        <f t="shared" si="53"/>
        <v/>
      </c>
      <c r="J342" s="747"/>
      <c r="K342" s="678" t="str">
        <f t="shared" si="48"/>
        <v/>
      </c>
      <c r="L342" s="697" t="str">
        <f t="shared" si="49"/>
        <v/>
      </c>
      <c r="M342" s="678" t="str">
        <f t="shared" si="50"/>
        <v/>
      </c>
    </row>
    <row r="343" spans="4:13">
      <c r="D343" s="697" t="str">
        <f t="shared" si="47"/>
        <v/>
      </c>
      <c r="E343" s="226" t="str">
        <f t="shared" si="51"/>
        <v/>
      </c>
      <c r="F343" s="35" t="str">
        <f t="shared" si="52"/>
        <v/>
      </c>
      <c r="G343" s="36" t="str">
        <f t="shared" ref="G343:G383" si="54">IFERROR(IF(F343&lt;&gt;"",-IPMT($G$15/12,F343,$G$16,$G$13),""),0)</f>
        <v/>
      </c>
      <c r="H343" s="36" t="str">
        <f t="shared" ref="H343:H383" si="55">IFERROR(IF(F343&lt;&gt;"",-PPMT($G$15/12,F343,$G$16,$G$13),""),0)</f>
        <v/>
      </c>
      <c r="I343" s="747" t="str">
        <f t="shared" si="53"/>
        <v/>
      </c>
      <c r="J343" s="747"/>
      <c r="K343" s="678" t="str">
        <f t="shared" si="48"/>
        <v/>
      </c>
      <c r="L343" s="697" t="str">
        <f t="shared" si="49"/>
        <v/>
      </c>
      <c r="M343" s="678" t="str">
        <f t="shared" si="50"/>
        <v/>
      </c>
    </row>
    <row r="344" spans="4:13">
      <c r="D344" s="697" t="str">
        <f t="shared" ref="D344:D383" si="56">IF(E344="","",MONTH(E344))</f>
        <v/>
      </c>
      <c r="E344" s="226" t="str">
        <f t="shared" si="51"/>
        <v/>
      </c>
      <c r="F344" s="35" t="str">
        <f t="shared" si="52"/>
        <v/>
      </c>
      <c r="G344" s="36" t="str">
        <f t="shared" si="54"/>
        <v/>
      </c>
      <c r="H344" s="36" t="str">
        <f t="shared" si="55"/>
        <v/>
      </c>
      <c r="I344" s="747" t="str">
        <f t="shared" si="53"/>
        <v/>
      </c>
      <c r="J344" s="747"/>
      <c r="K344" s="678" t="str">
        <f t="shared" ref="K344:K383" si="57">IF(D344=12,G344+G343+G342+G341+G340+G339+G338+G337+G336+G335+G334+G333,"")</f>
        <v/>
      </c>
      <c r="L344" s="697" t="str">
        <f t="shared" ref="L344:L383" si="58">IF(D344=12,YEAR(E344),"")</f>
        <v/>
      </c>
      <c r="M344" s="678" t="str">
        <f t="shared" ref="M344:M383" si="59">IF(D344=12,H344+H343+H342+H341+H340+H339+H338+H337+H336+H335+H334+H333,"")</f>
        <v/>
      </c>
    </row>
    <row r="345" spans="4:13">
      <c r="D345" s="697" t="str">
        <f t="shared" si="56"/>
        <v/>
      </c>
      <c r="E345" s="226" t="str">
        <f t="shared" ref="E345:E383" si="60">IFERROR(IF($G$16&lt;=F344,"",DATE(YEAR(E344),MONTH(E344)+1,DAY(E344))),"")</f>
        <v/>
      </c>
      <c r="F345" s="35" t="str">
        <f t="shared" ref="F345:F383" si="61">IF(OR(F344="",F344=$G$16),"",IF(F344&lt;$G$16,F344+1,0))</f>
        <v/>
      </c>
      <c r="G345" s="36" t="str">
        <f t="shared" si="54"/>
        <v/>
      </c>
      <c r="H345" s="36" t="str">
        <f t="shared" si="55"/>
        <v/>
      </c>
      <c r="I345" s="747" t="str">
        <f t="shared" ref="I345:I383" si="62">IF(F345&lt;&gt;"",I344-H345,"")</f>
        <v/>
      </c>
      <c r="J345" s="747"/>
      <c r="K345" s="678" t="str">
        <f t="shared" si="57"/>
        <v/>
      </c>
      <c r="L345" s="697" t="str">
        <f t="shared" si="58"/>
        <v/>
      </c>
      <c r="M345" s="678" t="str">
        <f t="shared" si="59"/>
        <v/>
      </c>
    </row>
    <row r="346" spans="4:13">
      <c r="D346" s="697" t="str">
        <f t="shared" si="56"/>
        <v/>
      </c>
      <c r="E346" s="226" t="str">
        <f t="shared" si="60"/>
        <v/>
      </c>
      <c r="F346" s="35" t="str">
        <f t="shared" si="61"/>
        <v/>
      </c>
      <c r="G346" s="36" t="str">
        <f t="shared" si="54"/>
        <v/>
      </c>
      <c r="H346" s="36" t="str">
        <f t="shared" si="55"/>
        <v/>
      </c>
      <c r="I346" s="747" t="str">
        <f t="shared" si="62"/>
        <v/>
      </c>
      <c r="J346" s="747"/>
      <c r="K346" s="678" t="str">
        <f t="shared" si="57"/>
        <v/>
      </c>
      <c r="L346" s="697" t="str">
        <f t="shared" si="58"/>
        <v/>
      </c>
      <c r="M346" s="678" t="str">
        <f t="shared" si="59"/>
        <v/>
      </c>
    </row>
    <row r="347" spans="4:13">
      <c r="D347" s="697" t="str">
        <f t="shared" si="56"/>
        <v/>
      </c>
      <c r="E347" s="226" t="str">
        <f t="shared" si="60"/>
        <v/>
      </c>
      <c r="F347" s="35" t="str">
        <f t="shared" si="61"/>
        <v/>
      </c>
      <c r="G347" s="36" t="str">
        <f t="shared" si="54"/>
        <v/>
      </c>
      <c r="H347" s="36" t="str">
        <f t="shared" si="55"/>
        <v/>
      </c>
      <c r="I347" s="747" t="str">
        <f t="shared" si="62"/>
        <v/>
      </c>
      <c r="J347" s="747"/>
      <c r="K347" s="678" t="str">
        <f t="shared" si="57"/>
        <v/>
      </c>
      <c r="L347" s="697" t="str">
        <f t="shared" si="58"/>
        <v/>
      </c>
      <c r="M347" s="678" t="str">
        <f t="shared" si="59"/>
        <v/>
      </c>
    </row>
    <row r="348" spans="4:13">
      <c r="D348" s="697" t="str">
        <f t="shared" si="56"/>
        <v/>
      </c>
      <c r="E348" s="226" t="str">
        <f t="shared" si="60"/>
        <v/>
      </c>
      <c r="F348" s="35" t="str">
        <f t="shared" si="61"/>
        <v/>
      </c>
      <c r="G348" s="36" t="str">
        <f t="shared" si="54"/>
        <v/>
      </c>
      <c r="H348" s="36" t="str">
        <f t="shared" si="55"/>
        <v/>
      </c>
      <c r="I348" s="747" t="str">
        <f t="shared" si="62"/>
        <v/>
      </c>
      <c r="J348" s="747"/>
      <c r="K348" s="678" t="str">
        <f t="shared" si="57"/>
        <v/>
      </c>
      <c r="L348" s="697" t="str">
        <f t="shared" si="58"/>
        <v/>
      </c>
      <c r="M348" s="678" t="str">
        <f t="shared" si="59"/>
        <v/>
      </c>
    </row>
    <row r="349" spans="4:13">
      <c r="D349" s="697" t="str">
        <f t="shared" si="56"/>
        <v/>
      </c>
      <c r="E349" s="226" t="str">
        <f t="shared" si="60"/>
        <v/>
      </c>
      <c r="F349" s="35" t="str">
        <f t="shared" si="61"/>
        <v/>
      </c>
      <c r="G349" s="36" t="str">
        <f t="shared" si="54"/>
        <v/>
      </c>
      <c r="H349" s="36" t="str">
        <f t="shared" si="55"/>
        <v/>
      </c>
      <c r="I349" s="747" t="str">
        <f t="shared" si="62"/>
        <v/>
      </c>
      <c r="J349" s="747"/>
      <c r="K349" s="678" t="str">
        <f t="shared" si="57"/>
        <v/>
      </c>
      <c r="L349" s="697" t="str">
        <f t="shared" si="58"/>
        <v/>
      </c>
      <c r="M349" s="678" t="str">
        <f t="shared" si="59"/>
        <v/>
      </c>
    </row>
    <row r="350" spans="4:13">
      <c r="D350" s="697" t="str">
        <f t="shared" si="56"/>
        <v/>
      </c>
      <c r="E350" s="226" t="str">
        <f t="shared" si="60"/>
        <v/>
      </c>
      <c r="F350" s="35" t="str">
        <f t="shared" si="61"/>
        <v/>
      </c>
      <c r="G350" s="36" t="str">
        <f t="shared" si="54"/>
        <v/>
      </c>
      <c r="H350" s="36" t="str">
        <f t="shared" si="55"/>
        <v/>
      </c>
      <c r="I350" s="747" t="str">
        <f t="shared" si="62"/>
        <v/>
      </c>
      <c r="J350" s="747"/>
      <c r="K350" s="678" t="str">
        <f t="shared" si="57"/>
        <v/>
      </c>
      <c r="L350" s="697" t="str">
        <f t="shared" si="58"/>
        <v/>
      </c>
      <c r="M350" s="678" t="str">
        <f t="shared" si="59"/>
        <v/>
      </c>
    </row>
    <row r="351" spans="4:13">
      <c r="D351" s="697" t="str">
        <f t="shared" si="56"/>
        <v/>
      </c>
      <c r="E351" s="226" t="str">
        <f t="shared" si="60"/>
        <v/>
      </c>
      <c r="F351" s="35" t="str">
        <f t="shared" si="61"/>
        <v/>
      </c>
      <c r="G351" s="36" t="str">
        <f t="shared" si="54"/>
        <v/>
      </c>
      <c r="H351" s="36" t="str">
        <f t="shared" si="55"/>
        <v/>
      </c>
      <c r="I351" s="747" t="str">
        <f t="shared" si="62"/>
        <v/>
      </c>
      <c r="J351" s="747"/>
      <c r="K351" s="678" t="str">
        <f t="shared" si="57"/>
        <v/>
      </c>
      <c r="L351" s="697" t="str">
        <f t="shared" si="58"/>
        <v/>
      </c>
      <c r="M351" s="678" t="str">
        <f t="shared" si="59"/>
        <v/>
      </c>
    </row>
    <row r="352" spans="4:13">
      <c r="D352" s="697" t="str">
        <f t="shared" si="56"/>
        <v/>
      </c>
      <c r="E352" s="226" t="str">
        <f t="shared" si="60"/>
        <v/>
      </c>
      <c r="F352" s="35" t="str">
        <f t="shared" si="61"/>
        <v/>
      </c>
      <c r="G352" s="36" t="str">
        <f t="shared" si="54"/>
        <v/>
      </c>
      <c r="H352" s="36" t="str">
        <f t="shared" si="55"/>
        <v/>
      </c>
      <c r="I352" s="747" t="str">
        <f t="shared" si="62"/>
        <v/>
      </c>
      <c r="J352" s="747"/>
      <c r="K352" s="678" t="str">
        <f t="shared" si="57"/>
        <v/>
      </c>
      <c r="L352" s="697" t="str">
        <f t="shared" si="58"/>
        <v/>
      </c>
      <c r="M352" s="678" t="str">
        <f t="shared" si="59"/>
        <v/>
      </c>
    </row>
    <row r="353" spans="4:13">
      <c r="D353" s="697" t="str">
        <f t="shared" si="56"/>
        <v/>
      </c>
      <c r="E353" s="226" t="str">
        <f t="shared" si="60"/>
        <v/>
      </c>
      <c r="F353" s="35" t="str">
        <f t="shared" si="61"/>
        <v/>
      </c>
      <c r="G353" s="36" t="str">
        <f t="shared" si="54"/>
        <v/>
      </c>
      <c r="H353" s="36" t="str">
        <f t="shared" si="55"/>
        <v/>
      </c>
      <c r="I353" s="747" t="str">
        <f t="shared" si="62"/>
        <v/>
      </c>
      <c r="J353" s="747"/>
      <c r="K353" s="678" t="str">
        <f t="shared" si="57"/>
        <v/>
      </c>
      <c r="L353" s="697" t="str">
        <f t="shared" si="58"/>
        <v/>
      </c>
      <c r="M353" s="678" t="str">
        <f t="shared" si="59"/>
        <v/>
      </c>
    </row>
    <row r="354" spans="4:13">
      <c r="D354" s="697" t="str">
        <f t="shared" si="56"/>
        <v/>
      </c>
      <c r="E354" s="226" t="str">
        <f t="shared" si="60"/>
        <v/>
      </c>
      <c r="F354" s="35" t="str">
        <f t="shared" si="61"/>
        <v/>
      </c>
      <c r="G354" s="36" t="str">
        <f t="shared" si="54"/>
        <v/>
      </c>
      <c r="H354" s="36" t="str">
        <f t="shared" si="55"/>
        <v/>
      </c>
      <c r="I354" s="747" t="str">
        <f t="shared" si="62"/>
        <v/>
      </c>
      <c r="J354" s="747"/>
      <c r="K354" s="678" t="str">
        <f t="shared" si="57"/>
        <v/>
      </c>
      <c r="L354" s="697" t="str">
        <f t="shared" si="58"/>
        <v/>
      </c>
      <c r="M354" s="678" t="str">
        <f t="shared" si="59"/>
        <v/>
      </c>
    </row>
    <row r="355" spans="4:13">
      <c r="D355" s="697" t="str">
        <f t="shared" si="56"/>
        <v/>
      </c>
      <c r="E355" s="226" t="str">
        <f t="shared" si="60"/>
        <v/>
      </c>
      <c r="F355" s="35" t="str">
        <f t="shared" si="61"/>
        <v/>
      </c>
      <c r="G355" s="36" t="str">
        <f t="shared" si="54"/>
        <v/>
      </c>
      <c r="H355" s="36" t="str">
        <f t="shared" si="55"/>
        <v/>
      </c>
      <c r="I355" s="747" t="str">
        <f t="shared" si="62"/>
        <v/>
      </c>
      <c r="J355" s="747"/>
      <c r="K355" s="678" t="str">
        <f t="shared" si="57"/>
        <v/>
      </c>
      <c r="L355" s="697" t="str">
        <f t="shared" si="58"/>
        <v/>
      </c>
      <c r="M355" s="678" t="str">
        <f t="shared" si="59"/>
        <v/>
      </c>
    </row>
    <row r="356" spans="4:13">
      <c r="D356" s="697" t="str">
        <f t="shared" si="56"/>
        <v/>
      </c>
      <c r="E356" s="226" t="str">
        <f t="shared" si="60"/>
        <v/>
      </c>
      <c r="F356" s="35" t="str">
        <f t="shared" si="61"/>
        <v/>
      </c>
      <c r="G356" s="36" t="str">
        <f t="shared" si="54"/>
        <v/>
      </c>
      <c r="H356" s="36" t="str">
        <f t="shared" si="55"/>
        <v/>
      </c>
      <c r="I356" s="747" t="str">
        <f t="shared" si="62"/>
        <v/>
      </c>
      <c r="J356" s="747"/>
      <c r="K356" s="678" t="str">
        <f t="shared" si="57"/>
        <v/>
      </c>
      <c r="L356" s="697" t="str">
        <f t="shared" si="58"/>
        <v/>
      </c>
      <c r="M356" s="678" t="str">
        <f t="shared" si="59"/>
        <v/>
      </c>
    </row>
    <row r="357" spans="4:13">
      <c r="D357" s="697" t="str">
        <f t="shared" si="56"/>
        <v/>
      </c>
      <c r="E357" s="226" t="str">
        <f t="shared" si="60"/>
        <v/>
      </c>
      <c r="F357" s="35" t="str">
        <f t="shared" si="61"/>
        <v/>
      </c>
      <c r="G357" s="36" t="str">
        <f t="shared" si="54"/>
        <v/>
      </c>
      <c r="H357" s="36" t="str">
        <f t="shared" si="55"/>
        <v/>
      </c>
      <c r="I357" s="747" t="str">
        <f t="shared" si="62"/>
        <v/>
      </c>
      <c r="J357" s="747"/>
      <c r="K357" s="678" t="str">
        <f t="shared" si="57"/>
        <v/>
      </c>
      <c r="L357" s="697" t="str">
        <f t="shared" si="58"/>
        <v/>
      </c>
      <c r="M357" s="678" t="str">
        <f t="shared" si="59"/>
        <v/>
      </c>
    </row>
    <row r="358" spans="4:13">
      <c r="D358" s="697" t="str">
        <f t="shared" si="56"/>
        <v/>
      </c>
      <c r="E358" s="226" t="str">
        <f t="shared" si="60"/>
        <v/>
      </c>
      <c r="F358" s="35" t="str">
        <f t="shared" si="61"/>
        <v/>
      </c>
      <c r="G358" s="36" t="str">
        <f t="shared" si="54"/>
        <v/>
      </c>
      <c r="H358" s="36" t="str">
        <f t="shared" si="55"/>
        <v/>
      </c>
      <c r="I358" s="747" t="str">
        <f t="shared" si="62"/>
        <v/>
      </c>
      <c r="J358" s="747"/>
      <c r="K358" s="678" t="str">
        <f t="shared" si="57"/>
        <v/>
      </c>
      <c r="L358" s="697" t="str">
        <f t="shared" si="58"/>
        <v/>
      </c>
      <c r="M358" s="678" t="str">
        <f t="shared" si="59"/>
        <v/>
      </c>
    </row>
    <row r="359" spans="4:13">
      <c r="D359" s="697" t="str">
        <f t="shared" si="56"/>
        <v/>
      </c>
      <c r="E359" s="226" t="str">
        <f t="shared" si="60"/>
        <v/>
      </c>
      <c r="F359" s="35" t="str">
        <f t="shared" si="61"/>
        <v/>
      </c>
      <c r="G359" s="36" t="str">
        <f t="shared" si="54"/>
        <v/>
      </c>
      <c r="H359" s="36" t="str">
        <f t="shared" si="55"/>
        <v/>
      </c>
      <c r="I359" s="747" t="str">
        <f t="shared" si="62"/>
        <v/>
      </c>
      <c r="J359" s="747"/>
      <c r="K359" s="678" t="str">
        <f t="shared" si="57"/>
        <v/>
      </c>
      <c r="L359" s="697" t="str">
        <f t="shared" si="58"/>
        <v/>
      </c>
      <c r="M359" s="678" t="str">
        <f t="shared" si="59"/>
        <v/>
      </c>
    </row>
    <row r="360" spans="4:13">
      <c r="D360" s="697" t="str">
        <f t="shared" si="56"/>
        <v/>
      </c>
      <c r="E360" s="226" t="str">
        <f t="shared" si="60"/>
        <v/>
      </c>
      <c r="F360" s="35" t="str">
        <f t="shared" si="61"/>
        <v/>
      </c>
      <c r="G360" s="36" t="str">
        <f t="shared" si="54"/>
        <v/>
      </c>
      <c r="H360" s="36" t="str">
        <f t="shared" si="55"/>
        <v/>
      </c>
      <c r="I360" s="747" t="str">
        <f t="shared" si="62"/>
        <v/>
      </c>
      <c r="J360" s="747"/>
      <c r="K360" s="678" t="str">
        <f t="shared" si="57"/>
        <v/>
      </c>
      <c r="L360" s="697" t="str">
        <f t="shared" si="58"/>
        <v/>
      </c>
      <c r="M360" s="678" t="str">
        <f t="shared" si="59"/>
        <v/>
      </c>
    </row>
    <row r="361" spans="4:13">
      <c r="D361" s="697" t="str">
        <f t="shared" si="56"/>
        <v/>
      </c>
      <c r="E361" s="226" t="str">
        <f t="shared" si="60"/>
        <v/>
      </c>
      <c r="F361" s="35" t="str">
        <f t="shared" si="61"/>
        <v/>
      </c>
      <c r="G361" s="36" t="str">
        <f t="shared" si="54"/>
        <v/>
      </c>
      <c r="H361" s="36" t="str">
        <f t="shared" si="55"/>
        <v/>
      </c>
      <c r="I361" s="747" t="str">
        <f t="shared" si="62"/>
        <v/>
      </c>
      <c r="J361" s="747"/>
      <c r="K361" s="678" t="str">
        <f t="shared" si="57"/>
        <v/>
      </c>
      <c r="L361" s="697" t="str">
        <f t="shared" si="58"/>
        <v/>
      </c>
      <c r="M361" s="678" t="str">
        <f t="shared" si="59"/>
        <v/>
      </c>
    </row>
    <row r="362" spans="4:13">
      <c r="D362" s="697" t="str">
        <f t="shared" si="56"/>
        <v/>
      </c>
      <c r="E362" s="226" t="str">
        <f t="shared" si="60"/>
        <v/>
      </c>
      <c r="F362" s="35" t="str">
        <f t="shared" si="61"/>
        <v/>
      </c>
      <c r="G362" s="36" t="str">
        <f t="shared" si="54"/>
        <v/>
      </c>
      <c r="H362" s="36" t="str">
        <f t="shared" si="55"/>
        <v/>
      </c>
      <c r="I362" s="747" t="str">
        <f t="shared" si="62"/>
        <v/>
      </c>
      <c r="J362" s="747"/>
      <c r="K362" s="678" t="str">
        <f t="shared" si="57"/>
        <v/>
      </c>
      <c r="L362" s="697" t="str">
        <f t="shared" si="58"/>
        <v/>
      </c>
      <c r="M362" s="678" t="str">
        <f t="shared" si="59"/>
        <v/>
      </c>
    </row>
    <row r="363" spans="4:13">
      <c r="D363" s="697" t="str">
        <f t="shared" si="56"/>
        <v/>
      </c>
      <c r="E363" s="226" t="str">
        <f t="shared" si="60"/>
        <v/>
      </c>
      <c r="F363" s="35" t="str">
        <f t="shared" si="61"/>
        <v/>
      </c>
      <c r="G363" s="36" t="str">
        <f t="shared" si="54"/>
        <v/>
      </c>
      <c r="H363" s="36" t="str">
        <f t="shared" si="55"/>
        <v/>
      </c>
      <c r="I363" s="747" t="str">
        <f t="shared" si="62"/>
        <v/>
      </c>
      <c r="J363" s="747"/>
      <c r="K363" s="678" t="str">
        <f t="shared" si="57"/>
        <v/>
      </c>
      <c r="L363" s="697" t="str">
        <f t="shared" si="58"/>
        <v/>
      </c>
      <c r="M363" s="678" t="str">
        <f t="shared" si="59"/>
        <v/>
      </c>
    </row>
    <row r="364" spans="4:13">
      <c r="D364" s="697" t="str">
        <f t="shared" si="56"/>
        <v/>
      </c>
      <c r="E364" s="226" t="str">
        <f t="shared" si="60"/>
        <v/>
      </c>
      <c r="F364" s="35" t="str">
        <f t="shared" si="61"/>
        <v/>
      </c>
      <c r="G364" s="36" t="str">
        <f t="shared" si="54"/>
        <v/>
      </c>
      <c r="H364" s="36" t="str">
        <f t="shared" si="55"/>
        <v/>
      </c>
      <c r="I364" s="747" t="str">
        <f t="shared" si="62"/>
        <v/>
      </c>
      <c r="J364" s="747"/>
      <c r="K364" s="678" t="str">
        <f t="shared" si="57"/>
        <v/>
      </c>
      <c r="L364" s="697" t="str">
        <f t="shared" si="58"/>
        <v/>
      </c>
      <c r="M364" s="678" t="str">
        <f t="shared" si="59"/>
        <v/>
      </c>
    </row>
    <row r="365" spans="4:13">
      <c r="D365" s="697" t="str">
        <f t="shared" si="56"/>
        <v/>
      </c>
      <c r="E365" s="226" t="str">
        <f t="shared" si="60"/>
        <v/>
      </c>
      <c r="F365" s="35" t="str">
        <f t="shared" si="61"/>
        <v/>
      </c>
      <c r="G365" s="36" t="str">
        <f t="shared" si="54"/>
        <v/>
      </c>
      <c r="H365" s="36" t="str">
        <f t="shared" si="55"/>
        <v/>
      </c>
      <c r="I365" s="747" t="str">
        <f t="shared" si="62"/>
        <v/>
      </c>
      <c r="J365" s="747"/>
      <c r="K365" s="678" t="str">
        <f t="shared" si="57"/>
        <v/>
      </c>
      <c r="L365" s="697" t="str">
        <f t="shared" si="58"/>
        <v/>
      </c>
      <c r="M365" s="678" t="str">
        <f t="shared" si="59"/>
        <v/>
      </c>
    </row>
    <row r="366" spans="4:13">
      <c r="D366" s="697" t="str">
        <f t="shared" si="56"/>
        <v/>
      </c>
      <c r="E366" s="226" t="str">
        <f t="shared" si="60"/>
        <v/>
      </c>
      <c r="F366" s="35" t="str">
        <f t="shared" si="61"/>
        <v/>
      </c>
      <c r="G366" s="36" t="str">
        <f t="shared" si="54"/>
        <v/>
      </c>
      <c r="H366" s="36" t="str">
        <f t="shared" si="55"/>
        <v/>
      </c>
      <c r="I366" s="747" t="str">
        <f t="shared" si="62"/>
        <v/>
      </c>
      <c r="J366" s="747"/>
      <c r="K366" s="678" t="str">
        <f t="shared" si="57"/>
        <v/>
      </c>
      <c r="L366" s="697" t="str">
        <f t="shared" si="58"/>
        <v/>
      </c>
      <c r="M366" s="678" t="str">
        <f t="shared" si="59"/>
        <v/>
      </c>
    </row>
    <row r="367" spans="4:13">
      <c r="D367" s="697" t="str">
        <f t="shared" si="56"/>
        <v/>
      </c>
      <c r="E367" s="226" t="str">
        <f t="shared" si="60"/>
        <v/>
      </c>
      <c r="F367" s="35" t="str">
        <f t="shared" si="61"/>
        <v/>
      </c>
      <c r="G367" s="36" t="str">
        <f t="shared" si="54"/>
        <v/>
      </c>
      <c r="H367" s="36" t="str">
        <f t="shared" si="55"/>
        <v/>
      </c>
      <c r="I367" s="747" t="str">
        <f t="shared" si="62"/>
        <v/>
      </c>
      <c r="J367" s="747"/>
      <c r="K367" s="678" t="str">
        <f t="shared" si="57"/>
        <v/>
      </c>
      <c r="L367" s="697" t="str">
        <f t="shared" si="58"/>
        <v/>
      </c>
      <c r="M367" s="678" t="str">
        <f t="shared" si="59"/>
        <v/>
      </c>
    </row>
    <row r="368" spans="4:13">
      <c r="D368" s="697" t="str">
        <f t="shared" si="56"/>
        <v/>
      </c>
      <c r="E368" s="226" t="str">
        <f t="shared" si="60"/>
        <v/>
      </c>
      <c r="F368" s="35" t="str">
        <f t="shared" si="61"/>
        <v/>
      </c>
      <c r="G368" s="36" t="str">
        <f t="shared" si="54"/>
        <v/>
      </c>
      <c r="H368" s="36" t="str">
        <f t="shared" si="55"/>
        <v/>
      </c>
      <c r="I368" s="747" t="str">
        <f t="shared" si="62"/>
        <v/>
      </c>
      <c r="J368" s="747"/>
      <c r="K368" s="678" t="str">
        <f t="shared" si="57"/>
        <v/>
      </c>
      <c r="L368" s="697" t="str">
        <f t="shared" si="58"/>
        <v/>
      </c>
      <c r="M368" s="678" t="str">
        <f t="shared" si="59"/>
        <v/>
      </c>
    </row>
    <row r="369" spans="4:13">
      <c r="D369" s="697" t="str">
        <f t="shared" si="56"/>
        <v/>
      </c>
      <c r="E369" s="226" t="str">
        <f t="shared" si="60"/>
        <v/>
      </c>
      <c r="F369" s="35" t="str">
        <f t="shared" si="61"/>
        <v/>
      </c>
      <c r="G369" s="36" t="str">
        <f t="shared" si="54"/>
        <v/>
      </c>
      <c r="H369" s="36" t="str">
        <f t="shared" si="55"/>
        <v/>
      </c>
      <c r="I369" s="747" t="str">
        <f t="shared" si="62"/>
        <v/>
      </c>
      <c r="J369" s="747"/>
      <c r="K369" s="678" t="str">
        <f t="shared" si="57"/>
        <v/>
      </c>
      <c r="L369" s="697" t="str">
        <f t="shared" si="58"/>
        <v/>
      </c>
      <c r="M369" s="678" t="str">
        <f t="shared" si="59"/>
        <v/>
      </c>
    </row>
    <row r="370" spans="4:13">
      <c r="D370" s="697" t="str">
        <f t="shared" si="56"/>
        <v/>
      </c>
      <c r="E370" s="226" t="str">
        <f t="shared" si="60"/>
        <v/>
      </c>
      <c r="F370" s="35" t="str">
        <f t="shared" si="61"/>
        <v/>
      </c>
      <c r="G370" s="36" t="str">
        <f t="shared" si="54"/>
        <v/>
      </c>
      <c r="H370" s="36" t="str">
        <f t="shared" si="55"/>
        <v/>
      </c>
      <c r="I370" s="747" t="str">
        <f t="shared" si="62"/>
        <v/>
      </c>
      <c r="J370" s="747"/>
      <c r="K370" s="678" t="str">
        <f t="shared" si="57"/>
        <v/>
      </c>
      <c r="L370" s="697" t="str">
        <f t="shared" si="58"/>
        <v/>
      </c>
      <c r="M370" s="678" t="str">
        <f t="shared" si="59"/>
        <v/>
      </c>
    </row>
    <row r="371" spans="4:13">
      <c r="D371" s="697" t="str">
        <f t="shared" si="56"/>
        <v/>
      </c>
      <c r="E371" s="226" t="str">
        <f t="shared" si="60"/>
        <v/>
      </c>
      <c r="F371" s="35" t="str">
        <f t="shared" si="61"/>
        <v/>
      </c>
      <c r="G371" s="36" t="str">
        <f t="shared" si="54"/>
        <v/>
      </c>
      <c r="H371" s="36" t="str">
        <f t="shared" si="55"/>
        <v/>
      </c>
      <c r="I371" s="747" t="str">
        <f t="shared" si="62"/>
        <v/>
      </c>
      <c r="J371" s="747"/>
      <c r="K371" s="678" t="str">
        <f t="shared" si="57"/>
        <v/>
      </c>
      <c r="L371" s="697" t="str">
        <f t="shared" si="58"/>
        <v/>
      </c>
      <c r="M371" s="678" t="str">
        <f t="shared" si="59"/>
        <v/>
      </c>
    </row>
    <row r="372" spans="4:13">
      <c r="D372" s="697" t="str">
        <f t="shared" si="56"/>
        <v/>
      </c>
      <c r="E372" s="226" t="str">
        <f t="shared" si="60"/>
        <v/>
      </c>
      <c r="F372" s="35" t="str">
        <f t="shared" si="61"/>
        <v/>
      </c>
      <c r="G372" s="36" t="str">
        <f t="shared" si="54"/>
        <v/>
      </c>
      <c r="H372" s="36" t="str">
        <f t="shared" si="55"/>
        <v/>
      </c>
      <c r="I372" s="747" t="str">
        <f t="shared" si="62"/>
        <v/>
      </c>
      <c r="J372" s="747"/>
      <c r="K372" s="678" t="str">
        <f t="shared" si="57"/>
        <v/>
      </c>
      <c r="L372" s="697" t="str">
        <f t="shared" si="58"/>
        <v/>
      </c>
      <c r="M372" s="678" t="str">
        <f t="shared" si="59"/>
        <v/>
      </c>
    </row>
    <row r="373" spans="4:13">
      <c r="D373" s="697" t="str">
        <f t="shared" si="56"/>
        <v/>
      </c>
      <c r="E373" s="226" t="str">
        <f t="shared" si="60"/>
        <v/>
      </c>
      <c r="F373" s="35" t="str">
        <f t="shared" si="61"/>
        <v/>
      </c>
      <c r="G373" s="36" t="str">
        <f t="shared" si="54"/>
        <v/>
      </c>
      <c r="H373" s="36" t="str">
        <f t="shared" si="55"/>
        <v/>
      </c>
      <c r="I373" s="747" t="str">
        <f t="shared" si="62"/>
        <v/>
      </c>
      <c r="J373" s="747"/>
      <c r="K373" s="678" t="str">
        <f t="shared" si="57"/>
        <v/>
      </c>
      <c r="L373" s="697" t="str">
        <f t="shared" si="58"/>
        <v/>
      </c>
      <c r="M373" s="678" t="str">
        <f t="shared" si="59"/>
        <v/>
      </c>
    </row>
    <row r="374" spans="4:13">
      <c r="D374" s="697" t="str">
        <f t="shared" si="56"/>
        <v/>
      </c>
      <c r="E374" s="226" t="str">
        <f t="shared" si="60"/>
        <v/>
      </c>
      <c r="F374" s="35" t="str">
        <f t="shared" si="61"/>
        <v/>
      </c>
      <c r="G374" s="36" t="str">
        <f t="shared" si="54"/>
        <v/>
      </c>
      <c r="H374" s="36" t="str">
        <f t="shared" si="55"/>
        <v/>
      </c>
      <c r="I374" s="747" t="str">
        <f t="shared" si="62"/>
        <v/>
      </c>
      <c r="J374" s="747"/>
      <c r="K374" s="678" t="str">
        <f t="shared" si="57"/>
        <v/>
      </c>
      <c r="L374" s="697" t="str">
        <f t="shared" si="58"/>
        <v/>
      </c>
      <c r="M374" s="678" t="str">
        <f t="shared" si="59"/>
        <v/>
      </c>
    </row>
    <row r="375" spans="4:13">
      <c r="D375" s="697" t="str">
        <f t="shared" si="56"/>
        <v/>
      </c>
      <c r="E375" s="226" t="str">
        <f t="shared" si="60"/>
        <v/>
      </c>
      <c r="F375" s="35" t="str">
        <f t="shared" si="61"/>
        <v/>
      </c>
      <c r="G375" s="36" t="str">
        <f t="shared" si="54"/>
        <v/>
      </c>
      <c r="H375" s="36" t="str">
        <f t="shared" si="55"/>
        <v/>
      </c>
      <c r="I375" s="747" t="str">
        <f t="shared" si="62"/>
        <v/>
      </c>
      <c r="J375" s="747"/>
      <c r="K375" s="678" t="str">
        <f t="shared" si="57"/>
        <v/>
      </c>
      <c r="L375" s="697" t="str">
        <f t="shared" si="58"/>
        <v/>
      </c>
      <c r="M375" s="678" t="str">
        <f t="shared" si="59"/>
        <v/>
      </c>
    </row>
    <row r="376" spans="4:13">
      <c r="D376" s="697" t="str">
        <f t="shared" si="56"/>
        <v/>
      </c>
      <c r="E376" s="226" t="str">
        <f t="shared" si="60"/>
        <v/>
      </c>
      <c r="F376" s="35" t="str">
        <f t="shared" si="61"/>
        <v/>
      </c>
      <c r="G376" s="36" t="str">
        <f t="shared" si="54"/>
        <v/>
      </c>
      <c r="H376" s="36" t="str">
        <f t="shared" si="55"/>
        <v/>
      </c>
      <c r="I376" s="747" t="str">
        <f t="shared" si="62"/>
        <v/>
      </c>
      <c r="J376" s="747"/>
      <c r="K376" s="678" t="str">
        <f t="shared" si="57"/>
        <v/>
      </c>
      <c r="L376" s="697" t="str">
        <f t="shared" si="58"/>
        <v/>
      </c>
      <c r="M376" s="678" t="str">
        <f t="shared" si="59"/>
        <v/>
      </c>
    </row>
    <row r="377" spans="4:13">
      <c r="D377" s="697" t="str">
        <f t="shared" si="56"/>
        <v/>
      </c>
      <c r="E377" s="226" t="str">
        <f t="shared" si="60"/>
        <v/>
      </c>
      <c r="F377" s="35" t="str">
        <f t="shared" si="61"/>
        <v/>
      </c>
      <c r="G377" s="36" t="str">
        <f t="shared" si="54"/>
        <v/>
      </c>
      <c r="H377" s="36" t="str">
        <f t="shared" si="55"/>
        <v/>
      </c>
      <c r="I377" s="747" t="str">
        <f t="shared" si="62"/>
        <v/>
      </c>
      <c r="J377" s="747"/>
      <c r="K377" s="678" t="str">
        <f t="shared" si="57"/>
        <v/>
      </c>
      <c r="L377" s="697" t="str">
        <f t="shared" si="58"/>
        <v/>
      </c>
      <c r="M377" s="678" t="str">
        <f t="shared" si="59"/>
        <v/>
      </c>
    </row>
    <row r="378" spans="4:13">
      <c r="D378" s="697" t="str">
        <f t="shared" si="56"/>
        <v/>
      </c>
      <c r="E378" s="226" t="str">
        <f t="shared" si="60"/>
        <v/>
      </c>
      <c r="F378" s="35" t="str">
        <f t="shared" si="61"/>
        <v/>
      </c>
      <c r="G378" s="36" t="str">
        <f t="shared" si="54"/>
        <v/>
      </c>
      <c r="H378" s="36" t="str">
        <f t="shared" si="55"/>
        <v/>
      </c>
      <c r="I378" s="747" t="str">
        <f t="shared" si="62"/>
        <v/>
      </c>
      <c r="J378" s="747"/>
      <c r="K378" s="678" t="str">
        <f t="shared" si="57"/>
        <v/>
      </c>
      <c r="L378" s="697" t="str">
        <f t="shared" si="58"/>
        <v/>
      </c>
      <c r="M378" s="678" t="str">
        <f t="shared" si="59"/>
        <v/>
      </c>
    </row>
    <row r="379" spans="4:13">
      <c r="D379" s="697" t="str">
        <f t="shared" si="56"/>
        <v/>
      </c>
      <c r="E379" s="226" t="str">
        <f t="shared" si="60"/>
        <v/>
      </c>
      <c r="F379" s="35" t="str">
        <f t="shared" si="61"/>
        <v/>
      </c>
      <c r="G379" s="36" t="str">
        <f t="shared" si="54"/>
        <v/>
      </c>
      <c r="H379" s="36" t="str">
        <f t="shared" si="55"/>
        <v/>
      </c>
      <c r="I379" s="747" t="str">
        <f t="shared" si="62"/>
        <v/>
      </c>
      <c r="J379" s="747"/>
      <c r="K379" s="678" t="str">
        <f t="shared" si="57"/>
        <v/>
      </c>
      <c r="L379" s="697" t="str">
        <f t="shared" si="58"/>
        <v/>
      </c>
      <c r="M379" s="678" t="str">
        <f t="shared" si="59"/>
        <v/>
      </c>
    </row>
    <row r="380" spans="4:13">
      <c r="D380" s="697" t="str">
        <f t="shared" si="56"/>
        <v/>
      </c>
      <c r="E380" s="226" t="str">
        <f t="shared" si="60"/>
        <v/>
      </c>
      <c r="F380" s="35" t="str">
        <f t="shared" si="61"/>
        <v/>
      </c>
      <c r="G380" s="36" t="str">
        <f t="shared" si="54"/>
        <v/>
      </c>
      <c r="H380" s="36" t="str">
        <f t="shared" si="55"/>
        <v/>
      </c>
      <c r="I380" s="747" t="str">
        <f t="shared" si="62"/>
        <v/>
      </c>
      <c r="J380" s="747"/>
      <c r="K380" s="678" t="str">
        <f t="shared" si="57"/>
        <v/>
      </c>
      <c r="L380" s="697" t="str">
        <f t="shared" si="58"/>
        <v/>
      </c>
      <c r="M380" s="678" t="str">
        <f t="shared" si="59"/>
        <v/>
      </c>
    </row>
    <row r="381" spans="4:13">
      <c r="D381" s="697" t="str">
        <f t="shared" si="56"/>
        <v/>
      </c>
      <c r="E381" s="226" t="str">
        <f t="shared" si="60"/>
        <v/>
      </c>
      <c r="F381" s="35" t="str">
        <f t="shared" si="61"/>
        <v/>
      </c>
      <c r="G381" s="36" t="str">
        <f t="shared" si="54"/>
        <v/>
      </c>
      <c r="H381" s="36" t="str">
        <f t="shared" si="55"/>
        <v/>
      </c>
      <c r="I381" s="747" t="str">
        <f t="shared" si="62"/>
        <v/>
      </c>
      <c r="J381" s="747"/>
      <c r="K381" s="678" t="str">
        <f t="shared" si="57"/>
        <v/>
      </c>
      <c r="L381" s="697" t="str">
        <f t="shared" si="58"/>
        <v/>
      </c>
      <c r="M381" s="678" t="str">
        <f t="shared" si="59"/>
        <v/>
      </c>
    </row>
    <row r="382" spans="4:13">
      <c r="D382" s="697" t="str">
        <f t="shared" si="56"/>
        <v/>
      </c>
      <c r="E382" s="226" t="str">
        <f t="shared" si="60"/>
        <v/>
      </c>
      <c r="F382" s="35" t="str">
        <f t="shared" si="61"/>
        <v/>
      </c>
      <c r="G382" s="36" t="str">
        <f t="shared" si="54"/>
        <v/>
      </c>
      <c r="H382" s="36" t="str">
        <f t="shared" si="55"/>
        <v/>
      </c>
      <c r="I382" s="747" t="str">
        <f t="shared" si="62"/>
        <v/>
      </c>
      <c r="J382" s="747"/>
      <c r="K382" s="678" t="str">
        <f t="shared" si="57"/>
        <v/>
      </c>
      <c r="L382" s="697" t="str">
        <f t="shared" si="58"/>
        <v/>
      </c>
      <c r="M382" s="678" t="str">
        <f t="shared" si="59"/>
        <v/>
      </c>
    </row>
    <row r="383" spans="4:13">
      <c r="D383" s="697" t="str">
        <f t="shared" si="56"/>
        <v/>
      </c>
      <c r="E383" s="226" t="str">
        <f t="shared" si="60"/>
        <v/>
      </c>
      <c r="F383" s="35" t="str">
        <f t="shared" si="61"/>
        <v/>
      </c>
      <c r="G383" s="36" t="str">
        <f t="shared" si="54"/>
        <v/>
      </c>
      <c r="H383" s="36" t="str">
        <f t="shared" si="55"/>
        <v/>
      </c>
      <c r="I383" s="747" t="str">
        <f t="shared" si="62"/>
        <v/>
      </c>
      <c r="J383" s="747"/>
      <c r="K383" s="678" t="str">
        <f t="shared" si="57"/>
        <v/>
      </c>
      <c r="L383" s="697" t="str">
        <f t="shared" si="58"/>
        <v/>
      </c>
      <c r="M383" s="678" t="str">
        <f t="shared" si="59"/>
        <v/>
      </c>
    </row>
    <row r="384" spans="4:13">
      <c r="E384" s="226"/>
    </row>
    <row r="385" spans="5:5">
      <c r="E385" s="226"/>
    </row>
    <row r="386" spans="5:5">
      <c r="E386" s="226"/>
    </row>
    <row r="387" spans="5:5">
      <c r="E387" s="226"/>
    </row>
    <row r="388" spans="5:5">
      <c r="E388" s="226"/>
    </row>
    <row r="389" spans="5:5">
      <c r="E389" s="226"/>
    </row>
    <row r="390" spans="5:5">
      <c r="E390" s="226"/>
    </row>
    <row r="391" spans="5:5">
      <c r="E391" s="226"/>
    </row>
    <row r="392" spans="5:5">
      <c r="E392" s="226"/>
    </row>
  </sheetData>
  <sheetProtection selectLockedCells="1"/>
  <mergeCells count="369">
    <mergeCell ref="E13:F13"/>
    <mergeCell ref="E17:F17"/>
    <mergeCell ref="I13:J13"/>
    <mergeCell ref="I16:J16"/>
    <mergeCell ref="I17:J17"/>
    <mergeCell ref="I19:J19"/>
    <mergeCell ref="I20:J20"/>
    <mergeCell ref="I28:J28"/>
    <mergeCell ref="I29:J29"/>
    <mergeCell ref="I30:J30"/>
    <mergeCell ref="I31:J31"/>
    <mergeCell ref="I32:J32"/>
    <mergeCell ref="I33:J33"/>
    <mergeCell ref="I22:J22"/>
    <mergeCell ref="I23:J23"/>
    <mergeCell ref="I24:J24"/>
    <mergeCell ref="I25:J25"/>
    <mergeCell ref="I26:J26"/>
    <mergeCell ref="I27:J27"/>
    <mergeCell ref="I40:J40"/>
    <mergeCell ref="I41:J41"/>
    <mergeCell ref="I42:J42"/>
    <mergeCell ref="I43:J43"/>
    <mergeCell ref="I44:J44"/>
    <mergeCell ref="I45:J45"/>
    <mergeCell ref="I34:J34"/>
    <mergeCell ref="I35:J35"/>
    <mergeCell ref="I36:J36"/>
    <mergeCell ref="I37:J37"/>
    <mergeCell ref="I38:J38"/>
    <mergeCell ref="I39:J39"/>
    <mergeCell ref="I52:J52"/>
    <mergeCell ref="I53:J53"/>
    <mergeCell ref="I54:J54"/>
    <mergeCell ref="I55:J55"/>
    <mergeCell ref="I56:J56"/>
    <mergeCell ref="I57:J57"/>
    <mergeCell ref="I46:J46"/>
    <mergeCell ref="I47:J47"/>
    <mergeCell ref="I48:J48"/>
    <mergeCell ref="I49:J49"/>
    <mergeCell ref="I50:J50"/>
    <mergeCell ref="I51:J51"/>
    <mergeCell ref="I64:J64"/>
    <mergeCell ref="I65:J65"/>
    <mergeCell ref="I66:J66"/>
    <mergeCell ref="I67:J67"/>
    <mergeCell ref="I68:J68"/>
    <mergeCell ref="I69:J69"/>
    <mergeCell ref="I58:J58"/>
    <mergeCell ref="I59:J59"/>
    <mergeCell ref="I60:J60"/>
    <mergeCell ref="I61:J61"/>
    <mergeCell ref="I62:J62"/>
    <mergeCell ref="I63:J63"/>
    <mergeCell ref="I76:J76"/>
    <mergeCell ref="I77:J77"/>
    <mergeCell ref="I78:J78"/>
    <mergeCell ref="I79:J79"/>
    <mergeCell ref="I80:J80"/>
    <mergeCell ref="I81:J81"/>
    <mergeCell ref="I70:J70"/>
    <mergeCell ref="I71:J71"/>
    <mergeCell ref="I72:J72"/>
    <mergeCell ref="I73:J73"/>
    <mergeCell ref="I74:J74"/>
    <mergeCell ref="I75:J75"/>
    <mergeCell ref="I88:J88"/>
    <mergeCell ref="I89:J89"/>
    <mergeCell ref="I90:J90"/>
    <mergeCell ref="I91:J91"/>
    <mergeCell ref="I92:J92"/>
    <mergeCell ref="I93:J93"/>
    <mergeCell ref="I82:J82"/>
    <mergeCell ref="I83:J83"/>
    <mergeCell ref="I84:J84"/>
    <mergeCell ref="I85:J85"/>
    <mergeCell ref="I86:J86"/>
    <mergeCell ref="I87:J87"/>
    <mergeCell ref="I100:J100"/>
    <mergeCell ref="I101:J101"/>
    <mergeCell ref="I102:J102"/>
    <mergeCell ref="I103:J103"/>
    <mergeCell ref="I104:J104"/>
    <mergeCell ref="I105:J105"/>
    <mergeCell ref="I94:J94"/>
    <mergeCell ref="I95:J95"/>
    <mergeCell ref="I96:J96"/>
    <mergeCell ref="I97:J97"/>
    <mergeCell ref="I98:J98"/>
    <mergeCell ref="I99:J99"/>
    <mergeCell ref="I112:J112"/>
    <mergeCell ref="I113:J113"/>
    <mergeCell ref="I114:J114"/>
    <mergeCell ref="I115:J115"/>
    <mergeCell ref="I116:J116"/>
    <mergeCell ref="I117:J117"/>
    <mergeCell ref="I106:J106"/>
    <mergeCell ref="I107:J107"/>
    <mergeCell ref="I108:J108"/>
    <mergeCell ref="I109:J109"/>
    <mergeCell ref="I110:J110"/>
    <mergeCell ref="I111:J111"/>
    <mergeCell ref="I124:J124"/>
    <mergeCell ref="I125:J125"/>
    <mergeCell ref="I126:J126"/>
    <mergeCell ref="I127:J127"/>
    <mergeCell ref="I128:J128"/>
    <mergeCell ref="I129:J129"/>
    <mergeCell ref="I118:J118"/>
    <mergeCell ref="I119:J119"/>
    <mergeCell ref="I120:J120"/>
    <mergeCell ref="I121:J121"/>
    <mergeCell ref="I122:J122"/>
    <mergeCell ref="I123:J123"/>
    <mergeCell ref="I136:J136"/>
    <mergeCell ref="I137:J137"/>
    <mergeCell ref="I138:J138"/>
    <mergeCell ref="I139:J139"/>
    <mergeCell ref="I140:J140"/>
    <mergeCell ref="I141:J141"/>
    <mergeCell ref="I130:J130"/>
    <mergeCell ref="I131:J131"/>
    <mergeCell ref="I132:J132"/>
    <mergeCell ref="I133:J133"/>
    <mergeCell ref="I134:J134"/>
    <mergeCell ref="I135:J135"/>
    <mergeCell ref="I148:J148"/>
    <mergeCell ref="I149:J149"/>
    <mergeCell ref="I150:J150"/>
    <mergeCell ref="I151:J151"/>
    <mergeCell ref="I152:J152"/>
    <mergeCell ref="I153:J153"/>
    <mergeCell ref="I142:J142"/>
    <mergeCell ref="I143:J143"/>
    <mergeCell ref="I144:J144"/>
    <mergeCell ref="I145:J145"/>
    <mergeCell ref="I146:J146"/>
    <mergeCell ref="I147:J147"/>
    <mergeCell ref="I160:J160"/>
    <mergeCell ref="I161:J161"/>
    <mergeCell ref="I162:J162"/>
    <mergeCell ref="I163:J163"/>
    <mergeCell ref="I164:J164"/>
    <mergeCell ref="I165:J165"/>
    <mergeCell ref="I154:J154"/>
    <mergeCell ref="I155:J155"/>
    <mergeCell ref="I156:J156"/>
    <mergeCell ref="I157:J157"/>
    <mergeCell ref="I158:J158"/>
    <mergeCell ref="I159:J159"/>
    <mergeCell ref="I172:J172"/>
    <mergeCell ref="I173:J173"/>
    <mergeCell ref="I174:J174"/>
    <mergeCell ref="I175:J175"/>
    <mergeCell ref="I176:J176"/>
    <mergeCell ref="I177:J177"/>
    <mergeCell ref="I166:J166"/>
    <mergeCell ref="I167:J167"/>
    <mergeCell ref="I168:J168"/>
    <mergeCell ref="I169:J169"/>
    <mergeCell ref="I170:J170"/>
    <mergeCell ref="I171:J171"/>
    <mergeCell ref="I184:J184"/>
    <mergeCell ref="I185:J185"/>
    <mergeCell ref="I186:J186"/>
    <mergeCell ref="I187:J187"/>
    <mergeCell ref="I188:J188"/>
    <mergeCell ref="I189:J189"/>
    <mergeCell ref="I178:J178"/>
    <mergeCell ref="I179:J179"/>
    <mergeCell ref="I180:J180"/>
    <mergeCell ref="I181:J181"/>
    <mergeCell ref="I182:J182"/>
    <mergeCell ref="I183:J183"/>
    <mergeCell ref="I196:J196"/>
    <mergeCell ref="I197:J197"/>
    <mergeCell ref="I198:J198"/>
    <mergeCell ref="I199:J199"/>
    <mergeCell ref="I200:J200"/>
    <mergeCell ref="I201:J201"/>
    <mergeCell ref="I190:J190"/>
    <mergeCell ref="I191:J191"/>
    <mergeCell ref="I192:J192"/>
    <mergeCell ref="I193:J193"/>
    <mergeCell ref="I194:J194"/>
    <mergeCell ref="I195:J195"/>
    <mergeCell ref="I208:J208"/>
    <mergeCell ref="I209:J209"/>
    <mergeCell ref="I210:J210"/>
    <mergeCell ref="I211:J211"/>
    <mergeCell ref="I212:J212"/>
    <mergeCell ref="I213:J213"/>
    <mergeCell ref="I202:J202"/>
    <mergeCell ref="I203:J203"/>
    <mergeCell ref="I204:J204"/>
    <mergeCell ref="I205:J205"/>
    <mergeCell ref="I206:J206"/>
    <mergeCell ref="I207:J207"/>
    <mergeCell ref="I220:J220"/>
    <mergeCell ref="I221:J221"/>
    <mergeCell ref="I222:J222"/>
    <mergeCell ref="I223:J223"/>
    <mergeCell ref="I224:J224"/>
    <mergeCell ref="I225:J225"/>
    <mergeCell ref="I214:J214"/>
    <mergeCell ref="I215:J215"/>
    <mergeCell ref="I216:J216"/>
    <mergeCell ref="I217:J217"/>
    <mergeCell ref="I218:J218"/>
    <mergeCell ref="I219:J219"/>
    <mergeCell ref="I232:J232"/>
    <mergeCell ref="I233:J233"/>
    <mergeCell ref="I234:J234"/>
    <mergeCell ref="I235:J235"/>
    <mergeCell ref="I236:J236"/>
    <mergeCell ref="I237:J237"/>
    <mergeCell ref="I226:J226"/>
    <mergeCell ref="I227:J227"/>
    <mergeCell ref="I228:J228"/>
    <mergeCell ref="I229:J229"/>
    <mergeCell ref="I230:J230"/>
    <mergeCell ref="I231:J231"/>
    <mergeCell ref="I244:J244"/>
    <mergeCell ref="I245:J245"/>
    <mergeCell ref="I246:J246"/>
    <mergeCell ref="I247:J247"/>
    <mergeCell ref="I248:J248"/>
    <mergeCell ref="I249:J249"/>
    <mergeCell ref="I238:J238"/>
    <mergeCell ref="I239:J239"/>
    <mergeCell ref="I240:J240"/>
    <mergeCell ref="I241:J241"/>
    <mergeCell ref="I242:J242"/>
    <mergeCell ref="I243:J243"/>
    <mergeCell ref="I256:J256"/>
    <mergeCell ref="I257:J257"/>
    <mergeCell ref="I258:J258"/>
    <mergeCell ref="I259:J259"/>
    <mergeCell ref="I260:J260"/>
    <mergeCell ref="I261:J261"/>
    <mergeCell ref="I250:J250"/>
    <mergeCell ref="I251:J251"/>
    <mergeCell ref="I252:J252"/>
    <mergeCell ref="I253:J253"/>
    <mergeCell ref="I254:J254"/>
    <mergeCell ref="I255:J255"/>
    <mergeCell ref="I268:J268"/>
    <mergeCell ref="I269:J269"/>
    <mergeCell ref="I270:J270"/>
    <mergeCell ref="I271:J271"/>
    <mergeCell ref="I272:J272"/>
    <mergeCell ref="I273:J273"/>
    <mergeCell ref="I262:J262"/>
    <mergeCell ref="I263:J263"/>
    <mergeCell ref="I264:J264"/>
    <mergeCell ref="I265:J265"/>
    <mergeCell ref="I266:J266"/>
    <mergeCell ref="I267:J267"/>
    <mergeCell ref="I280:J280"/>
    <mergeCell ref="I281:J281"/>
    <mergeCell ref="I282:J282"/>
    <mergeCell ref="I283:J283"/>
    <mergeCell ref="I284:J284"/>
    <mergeCell ref="I285:J285"/>
    <mergeCell ref="I274:J274"/>
    <mergeCell ref="I275:J275"/>
    <mergeCell ref="I276:J276"/>
    <mergeCell ref="I277:J277"/>
    <mergeCell ref="I278:J278"/>
    <mergeCell ref="I279:J279"/>
    <mergeCell ref="I292:J292"/>
    <mergeCell ref="I293:J293"/>
    <mergeCell ref="I294:J294"/>
    <mergeCell ref="I295:J295"/>
    <mergeCell ref="I296:J296"/>
    <mergeCell ref="I297:J297"/>
    <mergeCell ref="I286:J286"/>
    <mergeCell ref="I287:J287"/>
    <mergeCell ref="I288:J288"/>
    <mergeCell ref="I289:J289"/>
    <mergeCell ref="I290:J290"/>
    <mergeCell ref="I291:J291"/>
    <mergeCell ref="I304:J304"/>
    <mergeCell ref="I305:J305"/>
    <mergeCell ref="I306:J306"/>
    <mergeCell ref="I307:J307"/>
    <mergeCell ref="I308:J308"/>
    <mergeCell ref="I309:J309"/>
    <mergeCell ref="I298:J298"/>
    <mergeCell ref="I299:J299"/>
    <mergeCell ref="I300:J300"/>
    <mergeCell ref="I301:J301"/>
    <mergeCell ref="I302:J302"/>
    <mergeCell ref="I303:J303"/>
    <mergeCell ref="I316:J316"/>
    <mergeCell ref="I317:J317"/>
    <mergeCell ref="I318:J318"/>
    <mergeCell ref="I319:J319"/>
    <mergeCell ref="I320:J320"/>
    <mergeCell ref="I321:J321"/>
    <mergeCell ref="I310:J310"/>
    <mergeCell ref="I311:J311"/>
    <mergeCell ref="I312:J312"/>
    <mergeCell ref="I313:J313"/>
    <mergeCell ref="I314:J314"/>
    <mergeCell ref="I315:J315"/>
    <mergeCell ref="I328:J328"/>
    <mergeCell ref="I329:J329"/>
    <mergeCell ref="I330:J330"/>
    <mergeCell ref="I331:J331"/>
    <mergeCell ref="I332:J332"/>
    <mergeCell ref="I333:J333"/>
    <mergeCell ref="I322:J322"/>
    <mergeCell ref="I323:J323"/>
    <mergeCell ref="I324:J324"/>
    <mergeCell ref="I325:J325"/>
    <mergeCell ref="I326:J326"/>
    <mergeCell ref="I327:J327"/>
    <mergeCell ref="I340:J340"/>
    <mergeCell ref="I341:J341"/>
    <mergeCell ref="I342:J342"/>
    <mergeCell ref="I343:J343"/>
    <mergeCell ref="I344:J344"/>
    <mergeCell ref="I345:J345"/>
    <mergeCell ref="I334:J334"/>
    <mergeCell ref="I335:J335"/>
    <mergeCell ref="I336:J336"/>
    <mergeCell ref="I337:J337"/>
    <mergeCell ref="I338:J338"/>
    <mergeCell ref="I339:J339"/>
    <mergeCell ref="I352:J352"/>
    <mergeCell ref="I353:J353"/>
    <mergeCell ref="I354:J354"/>
    <mergeCell ref="I355:J355"/>
    <mergeCell ref="I356:J356"/>
    <mergeCell ref="I357:J357"/>
    <mergeCell ref="I346:J346"/>
    <mergeCell ref="I347:J347"/>
    <mergeCell ref="I348:J348"/>
    <mergeCell ref="I349:J349"/>
    <mergeCell ref="I350:J350"/>
    <mergeCell ref="I351:J351"/>
    <mergeCell ref="I364:J364"/>
    <mergeCell ref="I365:J365"/>
    <mergeCell ref="I366:J366"/>
    <mergeCell ref="I367:J367"/>
    <mergeCell ref="I368:J368"/>
    <mergeCell ref="I369:J369"/>
    <mergeCell ref="I358:J358"/>
    <mergeCell ref="I359:J359"/>
    <mergeCell ref="I360:J360"/>
    <mergeCell ref="I361:J361"/>
    <mergeCell ref="I362:J362"/>
    <mergeCell ref="I363:J363"/>
    <mergeCell ref="I382:J382"/>
    <mergeCell ref="I383:J383"/>
    <mergeCell ref="I376:J376"/>
    <mergeCell ref="I377:J377"/>
    <mergeCell ref="I378:J378"/>
    <mergeCell ref="I379:J379"/>
    <mergeCell ref="I380:J380"/>
    <mergeCell ref="I381:J381"/>
    <mergeCell ref="I370:J370"/>
    <mergeCell ref="I371:J371"/>
    <mergeCell ref="I372:J372"/>
    <mergeCell ref="I373:J373"/>
    <mergeCell ref="I374:J374"/>
    <mergeCell ref="I375:J375"/>
  </mergeCells>
  <conditionalFormatting sqref="E17:G17">
    <cfRule type="expression" dxfId="24" priority="1">
      <formula>$E$13="Somme empruntée à titre perso"</formula>
    </cfRule>
  </conditionalFormatting>
  <conditionalFormatting sqref="G15:G17">
    <cfRule type="cellIs" dxfId="23" priority="4" operator="equal">
      <formula>""</formula>
    </cfRule>
  </conditionalFormatting>
  <conditionalFormatting sqref="K17">
    <cfRule type="cellIs" dxfId="22" priority="2" operator="equal">
      <formula>""</formula>
    </cfRule>
  </conditionalFormatting>
  <conditionalFormatting sqref="R4">
    <cfRule type="expression" dxfId="21" priority="9">
      <formula>$B$5-$R$4&gt;7</formula>
    </cfRule>
  </conditionalFormatting>
  <dataValidations count="1">
    <dataValidation type="decimal" allowBlank="1" showInputMessage="1" showErrorMessage="1" error="Merci de saisir un pourcentage cohérent" sqref="G17" xr:uid="{9FD99ED5-F1B1-4D06-92E8-90CFFC71B847}">
      <formula1>0</formula1>
      <formula2>1</formula2>
    </dataValidation>
  </dataValidations>
  <pageMargins left="0.7" right="0.7" top="0.75" bottom="0.75" header="0.3" footer="0.3"/>
  <pageSetup paperSize="9" orientation="portrait" verticalDpi="0" r:id="rId1"/>
  <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05AC-0A32-435E-B79D-AF0C11FB7C5F}">
  <sheetPr codeName="Feuil37">
    <tabColor theme="9" tint="-0.499984740745262"/>
  </sheetPr>
  <dimension ref="A4:AQ159"/>
  <sheetViews>
    <sheetView showGridLines="0" zoomScale="123" zoomScaleNormal="123" workbookViewId="0">
      <selection activeCell="K12" sqref="K12:L12"/>
    </sheetView>
  </sheetViews>
  <sheetFormatPr baseColWidth="10" defaultRowHeight="14.4"/>
  <cols>
    <col min="1" max="1" width="1.88671875" style="640" customWidth="1"/>
    <col min="2" max="2" width="1.6640625" style="640" customWidth="1"/>
    <col min="3" max="4" width="4.33203125" style="640" customWidth="1"/>
    <col min="5" max="5" width="5.6640625" style="640" customWidth="1"/>
    <col min="6" max="6" width="11.33203125" style="640" customWidth="1"/>
    <col min="7" max="7" width="11.44140625" style="640" customWidth="1"/>
    <col min="8" max="8" width="7.109375" style="640" customWidth="1"/>
    <col min="9" max="10" width="1.44140625" style="640" customWidth="1"/>
    <col min="11" max="13" width="9.33203125" style="640" customWidth="1"/>
    <col min="14" max="14" width="11.33203125" style="640" customWidth="1"/>
    <col min="15" max="15" width="7.88671875" style="640" customWidth="1"/>
    <col min="16" max="16" width="10.33203125" style="640" customWidth="1"/>
    <col min="17" max="17" width="5.6640625" style="640" customWidth="1"/>
    <col min="18" max="19" width="1.44140625" style="640" customWidth="1"/>
    <col min="20" max="20" width="10" style="640" customWidth="1"/>
    <col min="21" max="21" width="9" style="640" hidden="1" customWidth="1"/>
    <col min="22" max="22" width="8.5546875" style="640" customWidth="1"/>
    <col min="23" max="23" width="11.109375" style="640" customWidth="1"/>
    <col min="24" max="24" width="9" style="640" customWidth="1"/>
    <col min="25" max="25" width="11.109375" style="640" hidden="1" customWidth="1"/>
    <col min="26" max="27" width="11.88671875" style="640" hidden="1" customWidth="1"/>
    <col min="28" max="30" width="9" style="640" hidden="1" customWidth="1"/>
    <col min="31" max="31" width="11" style="640" hidden="1" customWidth="1"/>
    <col min="32" max="32" width="9" style="640" hidden="1" customWidth="1"/>
    <col min="33" max="33" width="11.5546875" style="640" hidden="1" customWidth="1"/>
    <col min="34" max="34" width="9" style="640" hidden="1" customWidth="1"/>
    <col min="35" max="35" width="8.5546875" style="640" customWidth="1"/>
    <col min="36" max="36" width="9" style="640" customWidth="1"/>
    <col min="37" max="38" width="1.33203125" style="640" customWidth="1"/>
    <col min="39" max="39" width="9.88671875" style="640" customWidth="1"/>
    <col min="40" max="40" width="9" style="640" customWidth="1"/>
    <col min="41" max="41" width="9.5546875" style="640" customWidth="1"/>
    <col min="42" max="42" width="9.33203125" style="710" customWidth="1"/>
    <col min="43" max="43" width="16.33203125" customWidth="1"/>
  </cols>
  <sheetData>
    <row r="4" spans="2:43">
      <c r="AQ4" s="4"/>
    </row>
    <row r="5" spans="2:43">
      <c r="B5" s="663">
        <f ca="1">TODAY()</f>
        <v>46023</v>
      </c>
    </row>
    <row r="8" spans="2:43">
      <c r="P8" s="718"/>
    </row>
    <row r="10" spans="2:43">
      <c r="X10" s="1087" t="str">
        <f ca="1">"Besoin revenu à compter de "&amp;AO10</f>
        <v>Besoin revenu à compter de 2026</v>
      </c>
      <c r="Y10" s="1087"/>
      <c r="Z10" s="1087"/>
      <c r="AA10" s="1087"/>
      <c r="AB10" s="1087"/>
      <c r="AC10" s="1087"/>
      <c r="AD10" s="1087"/>
      <c r="AE10" s="1087"/>
      <c r="AF10" s="1087"/>
      <c r="AG10" s="1087"/>
      <c r="AH10" s="1087"/>
      <c r="AI10" s="1087"/>
      <c r="AJ10" s="1087"/>
      <c r="AK10" s="648"/>
      <c r="AL10" s="645"/>
      <c r="AM10" s="1114">
        <f>IFERROR('Treso IS'!Z3,0)</f>
        <v>180000</v>
      </c>
      <c r="AN10" s="1114"/>
      <c r="AO10" s="701">
        <f ca="1">'Treso IS'!U3</f>
        <v>2026</v>
      </c>
    </row>
    <row r="11" spans="2:43" ht="6.75" customHeight="1">
      <c r="AO11" s="701"/>
    </row>
    <row r="12" spans="2:43" ht="15.75" customHeight="1">
      <c r="B12" s="653"/>
      <c r="C12" s="1087" t="s">
        <v>1884</v>
      </c>
      <c r="D12" s="1087"/>
      <c r="E12" s="1087"/>
      <c r="F12" s="1087"/>
      <c r="G12" s="1087"/>
      <c r="H12" s="1087"/>
      <c r="I12" s="648"/>
      <c r="K12" s="1061"/>
      <c r="L12" s="1061"/>
      <c r="N12" s="1087" t="s">
        <v>1921</v>
      </c>
      <c r="O12" s="1087"/>
      <c r="P12" s="1087"/>
      <c r="Q12" s="1087"/>
      <c r="R12" s="648"/>
      <c r="S12" s="645"/>
      <c r="T12" s="1099"/>
      <c r="U12" s="1099"/>
      <c r="V12" s="1099"/>
      <c r="X12" s="1087" t="str">
        <f ca="1">"Besoin à revenu compter de "&amp;AO12</f>
        <v>Besoin à revenu compter de 2029</v>
      </c>
      <c r="Y12" s="1087"/>
      <c r="Z12" s="1087"/>
      <c r="AA12" s="1087"/>
      <c r="AB12" s="1087"/>
      <c r="AC12" s="1087"/>
      <c r="AD12" s="1087"/>
      <c r="AE12" s="1087"/>
      <c r="AF12" s="1087"/>
      <c r="AG12" s="1087"/>
      <c r="AH12" s="1087"/>
      <c r="AI12" s="1087"/>
      <c r="AJ12" s="1087"/>
      <c r="AK12" s="648"/>
      <c r="AL12" s="645"/>
      <c r="AM12" s="1114">
        <f ca="1">IFERROR('Treso IS'!AA4,0)</f>
        <v>145447.93910000002</v>
      </c>
      <c r="AN12" s="1114"/>
      <c r="AO12" s="701">
        <f ca="1">'Treso IS'!U4</f>
        <v>2029</v>
      </c>
    </row>
    <row r="13" spans="2:43" ht="6.75" customHeight="1">
      <c r="B13" s="653"/>
      <c r="C13" s="653"/>
      <c r="D13" s="653"/>
      <c r="E13" s="508"/>
      <c r="F13" s="508"/>
      <c r="G13" s="508"/>
      <c r="H13" s="508"/>
      <c r="N13" s="508"/>
      <c r="O13" s="508"/>
      <c r="P13" s="508"/>
      <c r="Q13" s="508"/>
    </row>
    <row r="14" spans="2:43" ht="15" customHeight="1">
      <c r="B14" s="653"/>
      <c r="C14" s="1087" t="s">
        <v>1869</v>
      </c>
      <c r="D14" s="1087"/>
      <c r="E14" s="1087"/>
      <c r="F14" s="1087"/>
      <c r="G14" s="1087"/>
      <c r="H14" s="1087"/>
      <c r="I14" s="648"/>
      <c r="K14" s="927"/>
      <c r="L14" s="927"/>
      <c r="P14" s="1087" t="str">
        <f>"=&gt; Taux"</f>
        <v>=&gt; Taux</v>
      </c>
      <c r="Q14" s="1087"/>
      <c r="R14" s="648"/>
      <c r="S14" s="664"/>
      <c r="T14" s="1100"/>
      <c r="U14" s="1100"/>
      <c r="V14" s="1100"/>
      <c r="X14" s="1087" t="s">
        <v>1915</v>
      </c>
      <c r="Y14" s="1087"/>
      <c r="Z14" s="1087"/>
      <c r="AA14" s="1087"/>
      <c r="AB14" s="1087"/>
      <c r="AC14" s="1087"/>
      <c r="AD14" s="1087"/>
      <c r="AE14" s="1087"/>
      <c r="AF14" s="1087"/>
      <c r="AG14" s="1087"/>
      <c r="AH14" s="1087"/>
      <c r="AI14" s="1087"/>
      <c r="AJ14" s="1087"/>
      <c r="AK14" s="648"/>
      <c r="AL14" s="645"/>
      <c r="AM14" s="1114" t="str">
        <f>IF('Param treso'!K2=FALSE,"Non","Oui")</f>
        <v>Non</v>
      </c>
      <c r="AN14" s="1114"/>
    </row>
    <row r="15" spans="2:43" ht="6.75" customHeight="1">
      <c r="B15" s="653"/>
      <c r="C15" s="653"/>
      <c r="D15" s="653"/>
      <c r="E15" s="508"/>
      <c r="F15" s="508"/>
      <c r="G15" s="508"/>
      <c r="H15" s="508"/>
      <c r="N15" s="508"/>
      <c r="O15" s="508"/>
      <c r="P15" s="508"/>
      <c r="Q15" s="508"/>
      <c r="V15" s="508"/>
      <c r="W15" s="508"/>
      <c r="X15" s="508"/>
      <c r="Y15" s="508"/>
      <c r="Z15" s="508"/>
      <c r="AA15" s="508"/>
      <c r="AB15" s="508"/>
      <c r="AC15" s="508"/>
      <c r="AD15" s="508"/>
      <c r="AE15" s="508"/>
      <c r="AF15" s="508"/>
      <c r="AG15" s="508"/>
      <c r="AH15" s="508"/>
    </row>
    <row r="16" spans="2:43" ht="15" customHeight="1">
      <c r="B16" s="1115" t="s">
        <v>1882</v>
      </c>
      <c r="C16" s="1115"/>
      <c r="D16" s="1115"/>
      <c r="E16" s="1115"/>
      <c r="F16" s="1115"/>
      <c r="G16" s="1115"/>
      <c r="H16" s="1115"/>
      <c r="I16" s="648"/>
      <c r="K16" s="1061" t="s">
        <v>94</v>
      </c>
      <c r="L16" s="1061"/>
      <c r="N16" s="1087" t="s">
        <v>1886</v>
      </c>
      <c r="O16" s="1087"/>
      <c r="P16" s="1087"/>
      <c r="Q16" s="1087"/>
      <c r="R16" s="648"/>
      <c r="S16" s="645"/>
      <c r="T16" s="1101"/>
      <c r="U16" s="1101"/>
      <c r="V16" s="1101"/>
      <c r="W16" s="191"/>
      <c r="X16" s="1087" t="s">
        <v>1916</v>
      </c>
      <c r="Y16" s="1087"/>
      <c r="Z16" s="1087"/>
      <c r="AA16" s="1087"/>
      <c r="AB16" s="1087"/>
      <c r="AC16" s="1087"/>
      <c r="AD16" s="1087"/>
      <c r="AE16" s="1087"/>
      <c r="AF16" s="1087"/>
      <c r="AG16" s="1087"/>
      <c r="AH16" s="1087"/>
      <c r="AI16" s="1087"/>
      <c r="AJ16" s="1087"/>
      <c r="AK16" s="648"/>
      <c r="AL16" s="645"/>
      <c r="AM16" s="1114" t="str">
        <f>IF('Param treso'!L2=FALSE,"Non","Oui")</f>
        <v>Oui</v>
      </c>
      <c r="AN16" s="1114"/>
    </row>
    <row r="18" spans="1:42">
      <c r="F18" s="1113" t="s">
        <v>53</v>
      </c>
      <c r="G18" s="1113"/>
      <c r="H18" s="1113"/>
      <c r="I18" s="1113"/>
      <c r="J18" s="1113"/>
      <c r="K18" s="1105" t="s">
        <v>54</v>
      </c>
      <c r="L18" s="1105"/>
      <c r="M18" s="1105"/>
      <c r="N18" s="1105" t="s">
        <v>1878</v>
      </c>
      <c r="O18" s="1105"/>
      <c r="P18" s="1105"/>
      <c r="Q18" s="1105"/>
      <c r="R18" s="1105"/>
      <c r="S18" s="1105"/>
      <c r="T18" s="1105"/>
      <c r="U18" s="1105"/>
      <c r="V18" s="1105"/>
      <c r="W18" s="1105" t="s">
        <v>1867</v>
      </c>
      <c r="X18" s="1105"/>
      <c r="Y18" s="1105"/>
      <c r="Z18" s="1105"/>
      <c r="AA18" s="1105"/>
      <c r="AB18" s="1105"/>
      <c r="AC18" s="1105"/>
      <c r="AD18" s="1105"/>
      <c r="AE18" s="1105"/>
      <c r="AF18" s="1105"/>
      <c r="AG18" s="1105"/>
      <c r="AH18" s="1105"/>
      <c r="AI18" s="1105"/>
      <c r="AJ18" s="1105"/>
      <c r="AK18" s="1105"/>
      <c r="AL18" s="1105"/>
      <c r="AM18" s="1105"/>
      <c r="AN18" s="693"/>
      <c r="AO18" s="693"/>
    </row>
    <row r="19" spans="1:42" ht="15" thickBot="1">
      <c r="F19" s="1102">
        <f>'Param treso'!H28+IF(AM16="Oui",'Crédit (IS)'!G13,0)</f>
        <v>3100000</v>
      </c>
      <c r="G19" s="1103"/>
      <c r="H19" s="1103"/>
      <c r="I19" s="1103"/>
      <c r="J19" s="1104"/>
      <c r="K19" s="1102">
        <f>'Param treso'!H37</f>
        <v>800000</v>
      </c>
      <c r="L19" s="1103"/>
      <c r="M19" s="1103"/>
      <c r="N19" s="1102"/>
      <c r="O19" s="1103"/>
      <c r="P19" s="1103"/>
      <c r="Q19" s="1103"/>
      <c r="R19" s="1103"/>
      <c r="S19" s="1103"/>
      <c r="T19" s="1103"/>
      <c r="U19" s="1103"/>
      <c r="V19" s="1104"/>
      <c r="W19" s="654"/>
      <c r="X19" s="703"/>
      <c r="Y19" s="703"/>
      <c r="Z19" s="703"/>
      <c r="AA19" s="703"/>
      <c r="AB19" s="703"/>
      <c r="AC19" s="703"/>
      <c r="AD19" s="703"/>
      <c r="AE19" s="703"/>
      <c r="AF19" s="703"/>
      <c r="AG19" s="703"/>
      <c r="AH19" s="703"/>
      <c r="AI19" s="703"/>
      <c r="AJ19" s="703"/>
      <c r="AK19" s="703"/>
      <c r="AL19" s="703"/>
      <c r="AM19" s="703"/>
      <c r="AN19" s="669"/>
      <c r="AO19" s="694"/>
    </row>
    <row r="20" spans="1:42" ht="56.25" customHeight="1">
      <c r="A20" s="707" t="s">
        <v>1871</v>
      </c>
      <c r="B20" s="707" t="s">
        <v>1870</v>
      </c>
      <c r="C20" s="590" t="s">
        <v>1554</v>
      </c>
      <c r="D20" s="590" t="s">
        <v>1416</v>
      </c>
      <c r="E20" s="651" t="s">
        <v>1866</v>
      </c>
      <c r="F20" s="655" t="s">
        <v>1872</v>
      </c>
      <c r="G20" s="652" t="s">
        <v>1888</v>
      </c>
      <c r="H20" s="1109" t="s">
        <v>1868</v>
      </c>
      <c r="I20" s="1109"/>
      <c r="J20" s="1110"/>
      <c r="K20" s="655" t="s">
        <v>1872</v>
      </c>
      <c r="L20" s="652" t="s">
        <v>1885</v>
      </c>
      <c r="M20" s="656" t="s">
        <v>1868</v>
      </c>
      <c r="N20" s="651" t="s">
        <v>1923</v>
      </c>
      <c r="O20" s="651" t="s">
        <v>1877</v>
      </c>
      <c r="P20" s="651" t="s">
        <v>1879</v>
      </c>
      <c r="Q20" s="1109" t="s">
        <v>1880</v>
      </c>
      <c r="R20" s="1109"/>
      <c r="S20" s="1109"/>
      <c r="T20" s="651" t="s">
        <v>1925</v>
      </c>
      <c r="U20" s="702" t="s">
        <v>1924</v>
      </c>
      <c r="V20" s="655" t="s">
        <v>1881</v>
      </c>
      <c r="W20" s="706" t="s">
        <v>1926</v>
      </c>
      <c r="X20" s="652" t="s">
        <v>1911</v>
      </c>
      <c r="Y20" s="702" t="s">
        <v>1928</v>
      </c>
      <c r="Z20" s="702" t="s">
        <v>1918</v>
      </c>
      <c r="AA20" s="702" t="s">
        <v>1932</v>
      </c>
      <c r="AB20" s="702" t="s">
        <v>1927</v>
      </c>
      <c r="AC20" s="702" t="s">
        <v>1912</v>
      </c>
      <c r="AD20" s="702" t="s">
        <v>1913</v>
      </c>
      <c r="AE20" s="702" t="s">
        <v>1914</v>
      </c>
      <c r="AF20" s="702" t="s">
        <v>1919</v>
      </c>
      <c r="AG20" s="702" t="s">
        <v>1920</v>
      </c>
      <c r="AH20" s="702" t="s">
        <v>1922</v>
      </c>
      <c r="AI20" s="651" t="s">
        <v>1876</v>
      </c>
      <c r="AJ20" s="651" t="s">
        <v>1906</v>
      </c>
      <c r="AK20" s="1109" t="s">
        <v>1887</v>
      </c>
      <c r="AL20" s="1109"/>
      <c r="AM20" s="1109"/>
      <c r="AN20" s="651" t="s">
        <v>1883</v>
      </c>
      <c r="AO20" s="695" t="s">
        <v>1889</v>
      </c>
    </row>
    <row r="21" spans="1:42">
      <c r="A21" s="708">
        <f>IF(C21&lt;='Param treso'!$H$32,C21,IF(A20&lt;'Param treso'!$H$32,A20+1,1))</f>
        <v>1</v>
      </c>
      <c r="B21" s="708">
        <f>IF(C21&lt;='Param treso'!$H$41,C21,IF(B20&lt;'Param treso'!$H$41,B20+1,1))</f>
        <v>1</v>
      </c>
      <c r="C21" s="639">
        <f>1</f>
        <v>1</v>
      </c>
      <c r="D21" s="639">
        <f ca="1">Données!F4-'Treso IS'!H14+1</f>
        <v>61</v>
      </c>
      <c r="E21" s="649">
        <f ca="1">YEAR(TODAY())+1</f>
        <v>2027</v>
      </c>
      <c r="F21" s="186">
        <f>IF(C21=1,$F$19,IF(AND(A21=1,$K$16="Oui"),-AG20,IF(AND(A21&lt;='Param treso'!$H$32,$K$12="Oui"),IF(A21=1,-AG20,-AG20+G20),IF(AND(A21&lt;='Param treso'!$H$32,C21&lt;='Param treso'!$H$32),G20,IF($K$16="Oui",G20,0)))))</f>
        <v>3100000</v>
      </c>
      <c r="G21" s="650">
        <f>IF(F21=0,0,F21*(1+$K$14))</f>
        <v>3100000</v>
      </c>
      <c r="H21" s="1111">
        <f>F21*'Param treso'!$H$30</f>
        <v>155000</v>
      </c>
      <c r="I21" s="1111"/>
      <c r="J21" s="1112"/>
      <c r="K21" s="657">
        <f>IF(C21&gt;'Param treso'!H41,0,K19)</f>
        <v>800000</v>
      </c>
      <c r="L21" s="650">
        <f>IF(K21=0,0,IF(B21=1,K21*(1+'Param treso'!$H$39),0))</f>
        <v>824000</v>
      </c>
      <c r="M21" s="658">
        <f>IFERROR(IF(B21='Param treso'!$H$41,L21-K21,0),0)</f>
        <v>0</v>
      </c>
      <c r="N21" s="186">
        <f>M21+H21+IF(A21='Param treso'!$H$32,G21,0)+IF(B21='Param treso'!$H$41,K21,0)</f>
        <v>155000</v>
      </c>
      <c r="O21" s="186">
        <f ca="1">IF($AM$16="Oui",-IFERROR(VLOOKUP(E21,'Crédit (IS)'!$O$8:$P$145,2,FALSE),0),0)-((T12)*T14)</f>
        <v>-1916.6563502075214</v>
      </c>
      <c r="P21" s="186">
        <f ca="1">H21+M21+O21+IF(A21='Param treso'!$H$32,G21-F21,0)</f>
        <v>153083.34364979248</v>
      </c>
      <c r="Q21" s="1111">
        <f ca="1">IF(P21&lt;0,P21,0)</f>
        <v>0</v>
      </c>
      <c r="R21" s="1111"/>
      <c r="S21" s="1111"/>
      <c r="T21" s="186">
        <f ca="1">IF(P21&lt;0,0,P21)</f>
        <v>153083.34364979248</v>
      </c>
      <c r="U21" s="661">
        <f ca="1">N21+O21</f>
        <v>153083.34364979248</v>
      </c>
      <c r="V21" s="661">
        <f ca="1">-IF('Param treso'!$H$20="Non",T21*Données!$L$24,IF(T21&lt;=Données!$L$26,T21*Données!$L$25,(Données!$L$26*Données!$L$25)+((T21-Données!$L$26)*Données!$L$24)))</f>
        <v>-34020.835912448121</v>
      </c>
      <c r="W21" s="662">
        <f ca="1">U21+V21+'Param treso'!H24</f>
        <v>319062.50773734436</v>
      </c>
      <c r="X21" s="650">
        <f ca="1">IF($AM$16="Oui",-IFERROR(VLOOKUP(E21,'Crédit (IS)'!$O$8:$Q$145,3,FALSE),0),0)</f>
        <v>-9124.9581108997627</v>
      </c>
      <c r="Y21" s="186">
        <f ca="1">W21+X21</f>
        <v>309937.54962644458</v>
      </c>
      <c r="Z21" s="186">
        <f ca="1">Y21</f>
        <v>309937.54962644458</v>
      </c>
      <c r="AA21" s="186">
        <f ca="1">IF(Z21&lt;0,-Z21,0)</f>
        <v>0</v>
      </c>
      <c r="AB21" s="186">
        <f ca="1">T12*(1+T14)+AA21</f>
        <v>0</v>
      </c>
      <c r="AC21" s="186">
        <f>IF(C21&lt;='Crédit (IR)'!$G$16/12,-(('Crédit (IR)'!$K$17)/(1-'Param treso'!$H$18)),0)</f>
        <v>0</v>
      </c>
      <c r="AD21" s="186">
        <f>IF($AM$14="Non",0,IF(C21&lt;='Crédit (IR)'!$G$16/12,-('Crédit (IR)'!$K$17),0))</f>
        <v>0</v>
      </c>
      <c r="AE21" s="186">
        <f ca="1">-IF(AND(E21&gt;=$AO$10,E21&lt;$AO$12),$AM$10/(1-'Param treso'!$H$18),IF(E21&gt;=$AO$12,$AM$12/(1-'Param treso'!$H$18),0))</f>
        <v>-257142.85714285716</v>
      </c>
      <c r="AF21" s="186">
        <f t="shared" ref="AF21:AF52" ca="1" si="0">-IF(AND(E21&gt;=$AO$10,E21&lt;$AO$12),$AM$10,IF(E21&gt;=$AO$12,$AM$12,0))</f>
        <v>-180000</v>
      </c>
      <c r="AG21" s="186">
        <f>IF(C21=1,IF($K$12="Oui",-(Z21+AI21+AJ21),0),IF(AND($K$12="Oui",$K$16="Oui",A21='Param treso'!$H$32,B21='Param treso'!$H$41),-(Z21+AI21+AJ21+AH21),IF(AND($K$12="Oui",B21='Param treso'!$H$41),-(Z21+AI21+AJ21+AH21),IF(AND(A21='Param treso'!$H$32,$K$16="Oui"),-$F$19,IF($K$12="Oui",-(Z21+AI21+AJ21+AH21),0)))))</f>
        <v>0</v>
      </c>
      <c r="AH21" s="186">
        <f>IF(C21=1,0,IF(AND($K$16="Oui",B21='Param treso'!$H$41),-$K$19,0))</f>
        <v>0</v>
      </c>
      <c r="AI21" s="186">
        <f t="shared" ref="AI21:AI52" si="1">IF($T$16="",0,IF($T$16&lt;=E21,IF(AB21&gt;0,-MIN(Z21,-(AD21+AF21),AB21),0),0))</f>
        <v>0</v>
      </c>
      <c r="AJ21" s="704">
        <f ca="1">IF(AI21=AF21+AD21,0,IF(AD21+AF21&lt;0,IF((Z21+AI21)&gt;=-(AC21+AE21),(AD21+AF21-AI21)/(1-'Param treso'!$H$18),-(Z21+AI21)),0))</f>
        <v>-257142.85714285716</v>
      </c>
      <c r="AK21" s="1111">
        <f ca="1">Z21+AI21+AJ21+AG21+AH21+AA21</f>
        <v>52794.692483587423</v>
      </c>
      <c r="AL21" s="1111"/>
      <c r="AM21" s="1111"/>
      <c r="AN21" s="660">
        <f ca="1">IF(T12=AI21,0+AB21,(AB21+AI21))</f>
        <v>0</v>
      </c>
      <c r="AO21" s="696">
        <f ca="1">-AJ21*(1-'Param treso'!$H$18)</f>
        <v>180000</v>
      </c>
      <c r="AP21" s="709" t="str">
        <f ca="1">IF((AF21+AD21)=(AI21-AO21),"Ok",(AF21+AD21)-(AI21-AO21))</f>
        <v>Ok</v>
      </c>
    </row>
    <row r="22" spans="1:42">
      <c r="A22" s="708">
        <f>IF(C22&lt;='Param treso'!$H$32,C22,IF(A21&lt;'Param treso'!$H$32,A21+1,1))</f>
        <v>2</v>
      </c>
      <c r="B22" s="708">
        <f>IF(C22&lt;='Param treso'!$H$41,C22,IF(B21&lt;'Param treso'!$H$41,B21+1,1))</f>
        <v>2</v>
      </c>
      <c r="C22" s="639">
        <f>C21+1</f>
        <v>2</v>
      </c>
      <c r="D22" s="639">
        <f ca="1">D21+1</f>
        <v>62</v>
      </c>
      <c r="E22" s="649">
        <f ca="1">E21+1</f>
        <v>2028</v>
      </c>
      <c r="F22" s="186">
        <f>IF(C22=1,$F$19,IF(AND(A22=1,$K$16="Oui"),-AG21,IF(AND(A22&lt;='Param treso'!$H$32,$K$12="Oui"),IF(A22=1,-AG21,-AG21+G21),IF(AND(A22&lt;='Param treso'!$H$32,C22&lt;='Param treso'!$H$32),G21,IF($K$16="Oui",G21,0)))))</f>
        <v>3100000</v>
      </c>
      <c r="G22" s="186">
        <f>IF(F22=0,0,F22*(1+$K$14))</f>
        <v>3100000</v>
      </c>
      <c r="H22" s="1106">
        <f>F22*'Param treso'!$H$30</f>
        <v>155000</v>
      </c>
      <c r="I22" s="1106"/>
      <c r="J22" s="1107"/>
      <c r="K22" s="659">
        <f>IF(B22&gt;1,K21,IF($K$16="Oui",K21,0))</f>
        <v>800000</v>
      </c>
      <c r="L22" s="186">
        <f>IF(K22=0,0,IF(B22=1,K22*(1+'Param treso'!$H$39),PRODUCT(L21,(POWER('Param treso'!$H$39,1)))+L21))</f>
        <v>848720</v>
      </c>
      <c r="M22" s="660">
        <f>IFERROR(IF(B22='Param treso'!$H$41,L22-K22,0),0)</f>
        <v>0</v>
      </c>
      <c r="N22" s="186">
        <f>M22+H22+IF(A22='Param treso'!$H$32,G22,0)+IF(B22='Param treso'!$H$41,K22,0)</f>
        <v>155000</v>
      </c>
      <c r="O22" s="186">
        <f ca="1">IF($AM$16="Oui",-IFERROR(VLOOKUP(E22,'Crédit (IS)'!$O$8:$P$145,2,FALSE),0),0)-(AN21*$T$14)</f>
        <v>-1732.4749501183205</v>
      </c>
      <c r="P22" s="186">
        <f ca="1">H22+M22+O22+IF(A22='Param treso'!$H$32,G22-F22,0)</f>
        <v>153267.52504988169</v>
      </c>
      <c r="Q22" s="1106">
        <f ca="1">IF(Q21&gt;P22,Q21-P22,0)</f>
        <v>0</v>
      </c>
      <c r="R22" s="1106"/>
      <c r="S22" s="1106"/>
      <c r="T22" s="186">
        <f ca="1">IF(P22&lt;0,0,P22-Q21)</f>
        <v>153267.52504988169</v>
      </c>
      <c r="U22" s="662">
        <f ca="1">N22+O22</f>
        <v>153267.52504988169</v>
      </c>
      <c r="V22" s="662">
        <f ca="1">-IF('Param treso'!$H$20="Non",T22*Données!$L$24,IF(T22&lt;=Données!$L$26,T22*Données!$L$25,(Données!$L$26*Données!$L$25)+((T22-Données!$L$26)*Données!$L$24)))</f>
        <v>-34066.881262470422</v>
      </c>
      <c r="W22" s="662">
        <f ca="1">U22+V22</f>
        <v>119200.64378741127</v>
      </c>
      <c r="X22" s="186">
        <f ca="1">IF($AM$16="Oui",-IFERROR(VLOOKUP(E22,'Crédit (IS)'!$O$8:$Q$145,3,FALSE),0),0)</f>
        <v>-9309.1395109889636</v>
      </c>
      <c r="Y22" s="186">
        <f ca="1">W22+X22</f>
        <v>109891.50427642232</v>
      </c>
      <c r="Z22" s="186">
        <f t="shared" ref="Z22:Z53" ca="1" si="2">Y22+AK21</f>
        <v>162686.19676000974</v>
      </c>
      <c r="AA22" s="186">
        <f ca="1">IF(Z22&lt;0,-Z22,0)</f>
        <v>0</v>
      </c>
      <c r="AB22" s="186">
        <f ca="1">AN21*(1+$T$14)+AA22</f>
        <v>0</v>
      </c>
      <c r="AC22" s="186">
        <f>IF(C22&lt;='Crédit (IR)'!$G$16/12,-(('Crédit (IR)'!$K$17)/(1-'Param treso'!$H$18)),0)</f>
        <v>0</v>
      </c>
      <c r="AD22" s="186">
        <f>IF($AM$14="Non",0,IF(C22&lt;='Crédit (IR)'!$G$16/12,-('Crédit (IR)'!$K$17),0))</f>
        <v>0</v>
      </c>
      <c r="AE22" s="186">
        <f ca="1">-IF(AND(E22&gt;=$AO$10,E22&lt;$AO$12),$AM$10/(1-'Param treso'!$H$18),IF(E22&gt;=$AO$12,$AM$12/(1-'Param treso'!$H$18),0))</f>
        <v>-257142.85714285716</v>
      </c>
      <c r="AF22" s="186">
        <f t="shared" ca="1" si="0"/>
        <v>-180000</v>
      </c>
      <c r="AG22" s="186">
        <f>IF(C22=1,IF($K$12="Oui",-(Z22+AI22+AJ22),0),IF(AND($K$12="Oui",$K$16="Oui",A22='Param treso'!$H$32,B22='Param treso'!$H$41),-(Z22+AI22+AJ22+AH22),IF(AND($K$12="Oui",B22='Param treso'!$H$41),-(Z22+AI22+AJ22+AH22),IF(AND(A22='Param treso'!$H$32,$K$16="Oui"),-$F$19,IF($K$12="Oui",-(Z22+AI22+AJ22+AH22),0)))))</f>
        <v>0</v>
      </c>
      <c r="AH22" s="186">
        <f>IF(C22=1,0,IF(AND($K$16="Oui",B22='Param treso'!$H$41),-$K$19,0))</f>
        <v>0</v>
      </c>
      <c r="AI22" s="186">
        <f t="shared" si="1"/>
        <v>0</v>
      </c>
      <c r="AJ22" s="704">
        <f ca="1">IF(AI22=AF22+AD22,0,IF(AD22+AF22&lt;0,IF((Z22+AI22)&gt;=-(AC22+AE22),(AD22+AF22-AI22)/(1-'Param treso'!$H$18),-(Z22+AI22)),0))</f>
        <v>-162686.19676000974</v>
      </c>
      <c r="AK22" s="1106">
        <f ca="1">Z22+AI22+AJ22+AG22+AH22+AA22</f>
        <v>0</v>
      </c>
      <c r="AL22" s="1106"/>
      <c r="AM22" s="1106"/>
      <c r="AN22" s="660">
        <f ca="1">IF(AN21=AI22,0+AB22,(AB22+AI22))</f>
        <v>0</v>
      </c>
      <c r="AO22" s="696">
        <f ca="1">-AJ22*(1-'Param treso'!$H$18)</f>
        <v>113880.33773200681</v>
      </c>
      <c r="AP22" s="709">
        <f t="shared" ref="AP22:AP85" ca="1" si="3">IF((AF22+AD22)=(AI22-AO22),"Ok",(AF22+AD22)-(AI22-AO22))</f>
        <v>-66119.66226799319</v>
      </c>
    </row>
    <row r="23" spans="1:42">
      <c r="A23" s="708">
        <f>IF(C23&lt;='Param treso'!$H$32,C23,IF(A22&lt;'Param treso'!$H$32,A22+1,1))</f>
        <v>3</v>
      </c>
      <c r="B23" s="708">
        <f>IF(C23&lt;='Param treso'!$H$41,C23,IF(B22&lt;'Param treso'!$H$41,B22+1,1))</f>
        <v>3</v>
      </c>
      <c r="C23" s="639">
        <f t="shared" ref="C23:C86" si="4">C22+1</f>
        <v>3</v>
      </c>
      <c r="D23" s="639">
        <f t="shared" ref="D23:D86" ca="1" si="5">D22+1</f>
        <v>63</v>
      </c>
      <c r="E23" s="649">
        <f t="shared" ref="E23:E86" ca="1" si="6">E22+1</f>
        <v>2029</v>
      </c>
      <c r="F23" s="186">
        <f>IF(C23=1,$F$19,IF(AND(A23=1,$K$16="Oui"),-AG22,IF(AND(A23&lt;='Param treso'!$H$32,$K$12="Oui"),IF(A23=1,-AG22,-AG22+G22),IF(AND(A23&lt;='Param treso'!$H$32,C23&lt;='Param treso'!$H$32),G22,IF($K$16="Oui",G22,0)))))</f>
        <v>3100000</v>
      </c>
      <c r="G23" s="186">
        <f t="shared" ref="G23:G86" si="7">IF(F23=0,0,F23*(1+$K$14))</f>
        <v>3100000</v>
      </c>
      <c r="H23" s="1106">
        <f>F23*'Param treso'!$H$30</f>
        <v>155000</v>
      </c>
      <c r="I23" s="1106"/>
      <c r="J23" s="1107"/>
      <c r="K23" s="659">
        <f t="shared" ref="K23:K86" si="8">IF(B23&gt;1,K22,IF($K$16="Oui",K22,0))</f>
        <v>800000</v>
      </c>
      <c r="L23" s="186">
        <f>IF(K23=0,0,IF(B23=1,K23*(1+'Param treso'!$H$39),PRODUCT(L22,(POWER('Param treso'!$H$39,1)))+L22))</f>
        <v>874181.6</v>
      </c>
      <c r="M23" s="660">
        <f>IFERROR(IF(B23='Param treso'!$H$41,L23-K23,0),0)</f>
        <v>0</v>
      </c>
      <c r="N23" s="186">
        <f>M23+H23+IF(A23='Param treso'!$H$32,G23,0)+IF(B23='Param treso'!$H$41,K23,0)</f>
        <v>155000</v>
      </c>
      <c r="O23" s="186">
        <f ca="1">IF($AM$16="Oui",-IFERROR(VLOOKUP(E23,'Crédit (IS)'!$O$8:$P$145,2,FALSE),0),0)-(AN22*$T$14)</f>
        <v>-1544.5759671398018</v>
      </c>
      <c r="P23" s="186">
        <f ca="1">H23+M23+O23+IF(A23='Param treso'!$H$32,G23-F23,0)</f>
        <v>153455.4240328602</v>
      </c>
      <c r="Q23" s="1106">
        <f t="shared" ref="Q23:Q86" ca="1" si="9">IF(Q22&gt;P23,Q22-P23,0)</f>
        <v>0</v>
      </c>
      <c r="R23" s="1106"/>
      <c r="S23" s="1106"/>
      <c r="T23" s="186">
        <f t="shared" ref="T23:T86" ca="1" si="10">IF(P23&lt;0,0,P23-Q22)</f>
        <v>153455.4240328602</v>
      </c>
      <c r="U23" s="662">
        <f t="shared" ref="U23:U86" ca="1" si="11">N23+O23</f>
        <v>153455.4240328602</v>
      </c>
      <c r="V23" s="662">
        <f ca="1">-IF('Param treso'!$H$20="Non",T23*Données!$L$24,IF(T23&lt;=Données!$L$26,T23*Données!$L$25,(Données!$L$26*Données!$L$25)+((T23-Données!$L$26)*Données!$L$24)))</f>
        <v>-34113.856008215051</v>
      </c>
      <c r="W23" s="662">
        <f t="shared" ref="W23:W86" ca="1" si="12">U23+V23</f>
        <v>119341.56802464515</v>
      </c>
      <c r="X23" s="186">
        <f ca="1">IF($AM$16="Oui",-IFERROR(VLOOKUP(E23,'Crédit (IS)'!$O$8:$Q$145,3,FALSE),0),0)</f>
        <v>-9497.0384939674841</v>
      </c>
      <c r="Y23" s="186">
        <f ca="1">W23+X23</f>
        <v>109844.52953067767</v>
      </c>
      <c r="Z23" s="186">
        <f t="shared" ca="1" si="2"/>
        <v>109844.52953067767</v>
      </c>
      <c r="AA23" s="186">
        <f t="shared" ref="AA23:AA86" ca="1" si="13">IF(Z23&lt;0,-Z23,0)</f>
        <v>0</v>
      </c>
      <c r="AB23" s="186">
        <f t="shared" ref="AB23:AB86" ca="1" si="14">AN22*(1+$T$14)+AA23</f>
        <v>0</v>
      </c>
      <c r="AC23" s="186">
        <f>IF(C23&lt;='Crédit (IR)'!$G$16/12,-(('Crédit (IR)'!$K$17)/(1-'Param treso'!$H$18)),0)</f>
        <v>0</v>
      </c>
      <c r="AD23" s="186">
        <f>IF($AM$14="Non",0,IF(C23&lt;='Crédit (IR)'!$G$16/12,-('Crédit (IR)'!$K$17),0))</f>
        <v>0</v>
      </c>
      <c r="AE23" s="186">
        <f ca="1">-IF(AND(E23&gt;=$AO$10,E23&lt;$AO$12),$AM$10/(1-'Param treso'!$H$18),IF(E23&gt;=$AO$12,$AM$12/(1-'Param treso'!$H$18),0))</f>
        <v>-207782.77014285719</v>
      </c>
      <c r="AF23" s="186">
        <f t="shared" ca="1" si="0"/>
        <v>-145447.93910000002</v>
      </c>
      <c r="AG23" s="186">
        <f>IF(C23=1,IF($K$12="Oui",-(Z23+AI23+AJ23),0),IF(AND($K$12="Oui",$K$16="Oui",A23='Param treso'!$H$32,B23='Param treso'!$H$41),-(Z23+AI23+AJ23+AH23),IF(AND($K$12="Oui",B23='Param treso'!$H$41),-(Z23+AI23+AJ23+AH23),IF(AND(A23='Param treso'!$H$32,$K$16="Oui"),-$F$19,IF($K$12="Oui",-(Z23+AI23+AJ23+AH23),0)))))</f>
        <v>0</v>
      </c>
      <c r="AH23" s="186">
        <f>IF(C23=1,0,IF(AND($K$16="Oui",B23='Param treso'!$H$41),-$K$19,0))</f>
        <v>0</v>
      </c>
      <c r="AI23" s="186">
        <f t="shared" si="1"/>
        <v>0</v>
      </c>
      <c r="AJ23" s="704">
        <f ca="1">IF(AI23=AF23+AD23,0,IF(AD23+AF23&lt;0,IF((Z23+AI23)&gt;=-(AC23+AE23),(AD23+AF23-AI23)/(1-'Param treso'!$H$18),-(Z23+AI23)),0))</f>
        <v>-109844.52953067767</v>
      </c>
      <c r="AK23" s="1106">
        <f t="shared" ref="AK23:AK86" ca="1" si="15">Z23+AI23+AJ23+AG23+AH23+AA23</f>
        <v>0</v>
      </c>
      <c r="AL23" s="1106"/>
      <c r="AM23" s="1106"/>
      <c r="AN23" s="660">
        <f t="shared" ref="AN23:AN86" ca="1" si="16">IF(AN22=AI23,0+AB23,(AB23+AI23))</f>
        <v>0</v>
      </c>
      <c r="AO23" s="696">
        <f ca="1">-AJ23*(1-'Param treso'!$H$18)</f>
        <v>76891.170671474363</v>
      </c>
      <c r="AP23" s="709">
        <f t="shared" ca="1" si="3"/>
        <v>-68556.768428525655</v>
      </c>
    </row>
    <row r="24" spans="1:42">
      <c r="A24" s="708">
        <f>IF(C24&lt;='Param treso'!$H$32,C24,IF(A23&lt;'Param treso'!$H$32,A23+1,1))</f>
        <v>4</v>
      </c>
      <c r="B24" s="708">
        <f>IF(C24&lt;='Param treso'!$H$41,C24,IF(B23&lt;'Param treso'!$H$41,B23+1,1))</f>
        <v>4</v>
      </c>
      <c r="C24" s="639">
        <f t="shared" si="4"/>
        <v>4</v>
      </c>
      <c r="D24" s="639">
        <f t="shared" ca="1" si="5"/>
        <v>64</v>
      </c>
      <c r="E24" s="649">
        <f t="shared" ca="1" si="6"/>
        <v>2030</v>
      </c>
      <c r="F24" s="186">
        <f>IF(C24=1,$F$19,IF(AND(A24=1,$K$16="Oui"),-AG23,IF(AND(A24&lt;='Param treso'!$H$32,$K$12="Oui"),IF(A24=1,-AG23,-AG23+G23),IF(AND(A24&lt;='Param treso'!$H$32,C24&lt;='Param treso'!$H$32),G23,IF($K$16="Oui",G23,0)))))</f>
        <v>3100000</v>
      </c>
      <c r="G24" s="186">
        <f t="shared" si="7"/>
        <v>3100000</v>
      </c>
      <c r="H24" s="1106">
        <f>F24*'Param treso'!$H$30</f>
        <v>155000</v>
      </c>
      <c r="I24" s="1106"/>
      <c r="J24" s="1107"/>
      <c r="K24" s="659">
        <f t="shared" si="8"/>
        <v>800000</v>
      </c>
      <c r="L24" s="186">
        <f>IF(K24=0,0,IF(B24=1,K24*(1+'Param treso'!$H$39),PRODUCT(L23,(POWER('Param treso'!$H$39,1)))+L23))</f>
        <v>900407.04799999995</v>
      </c>
      <c r="M24" s="660">
        <f>IFERROR(IF(B24='Param treso'!$H$41,L24-K24,0),0)</f>
        <v>0</v>
      </c>
      <c r="N24" s="186">
        <f>M24+H24+IF(A24='Param treso'!$H$32,G24,0)+IF(B24='Param treso'!$H$41,K24,0)</f>
        <v>155000</v>
      </c>
      <c r="O24" s="186">
        <f ca="1">IF($AM$16="Oui",-IFERROR(VLOOKUP(E24,'Crédit (IS)'!$O$8:$P$145,2,FALSE),0),0)-(AN23*$T$14)</f>
        <v>-1352.8843642566526</v>
      </c>
      <c r="P24" s="186">
        <f ca="1">H24+M24+O24+IF(A24='Param treso'!$H$32,G24-F24,0)</f>
        <v>153647.11563574334</v>
      </c>
      <c r="Q24" s="1106">
        <f t="shared" ca="1" si="9"/>
        <v>0</v>
      </c>
      <c r="R24" s="1106"/>
      <c r="S24" s="1106"/>
      <c r="T24" s="186">
        <f t="shared" ca="1" si="10"/>
        <v>153647.11563574334</v>
      </c>
      <c r="U24" s="662">
        <f t="shared" ca="1" si="11"/>
        <v>153647.11563574334</v>
      </c>
      <c r="V24" s="662">
        <f ca="1">-IF('Param treso'!$H$20="Non",T24*Données!$L$24,IF(T24&lt;=Données!$L$26,T24*Données!$L$25,(Données!$L$26*Données!$L$25)+((T24-Données!$L$26)*Données!$L$24)))</f>
        <v>-34161.778908935834</v>
      </c>
      <c r="W24" s="662">
        <f t="shared" ca="1" si="12"/>
        <v>119485.33672680749</v>
      </c>
      <c r="X24" s="186">
        <f ca="1">IF($AM$16="Oui",-IFERROR(VLOOKUP(E24,'Crédit (IS)'!$O$8:$Q$145,3,FALSE),0),0)</f>
        <v>-9688.7300968506315</v>
      </c>
      <c r="Y24" s="186">
        <f t="shared" ref="Y24:Y86" ca="1" si="17">W24+X24</f>
        <v>109796.60662995686</v>
      </c>
      <c r="Z24" s="186">
        <f t="shared" ca="1" si="2"/>
        <v>109796.60662995686</v>
      </c>
      <c r="AA24" s="186">
        <f t="shared" ca="1" si="13"/>
        <v>0</v>
      </c>
      <c r="AB24" s="186">
        <f t="shared" ca="1" si="14"/>
        <v>0</v>
      </c>
      <c r="AC24" s="186">
        <f>IF(C24&lt;='Crédit (IR)'!$G$16/12,-(('Crédit (IR)'!$K$17)/(1-'Param treso'!$H$18)),0)</f>
        <v>0</v>
      </c>
      <c r="AD24" s="186">
        <f>IF($AM$14="Non",0,IF(C24&lt;='Crédit (IR)'!$G$16/12,-('Crédit (IR)'!$K$17),0))</f>
        <v>0</v>
      </c>
      <c r="AE24" s="186">
        <f ca="1">-IF(AND(E24&gt;=$AO$10,E24&lt;$AO$12),$AM$10/(1-'Param treso'!$H$18),IF(E24&gt;=$AO$12,$AM$12/(1-'Param treso'!$H$18),0))</f>
        <v>-207782.77014285719</v>
      </c>
      <c r="AF24" s="186">
        <f t="shared" ca="1" si="0"/>
        <v>-145447.93910000002</v>
      </c>
      <c r="AG24" s="186">
        <f>IF(C24=1,IF($K$12="Oui",-(Z24+AI24+AJ24),0),IF(AND($K$12="Oui",$K$16="Oui",A24='Param treso'!$H$32,B24='Param treso'!$H$41),-(Z24+AI24+AJ24+AH24),IF(AND($K$12="Oui",B24='Param treso'!$H$41),-(Z24+AI24+AJ24+AH24),IF(AND(A24='Param treso'!$H$32,$K$16="Oui"),-$F$19,IF($K$12="Oui",-(Z24+AI24+AJ24+AH24),0)))))</f>
        <v>0</v>
      </c>
      <c r="AH24" s="186">
        <f>IF(C24=1,0,IF(AND($K$16="Oui",B24='Param treso'!$H$41),-$K$19,0))</f>
        <v>0</v>
      </c>
      <c r="AI24" s="186">
        <f t="shared" si="1"/>
        <v>0</v>
      </c>
      <c r="AJ24" s="704">
        <f ca="1">IF(AI24=AF24+AD24,0,IF(AD24+AF24&lt;0,IF((Z24+AI24)&gt;=-(AC24+AE24),(AD24+AF24-AI24)/(1-'Param treso'!$H$18),-(Z24+AI24)),0))</f>
        <v>-109796.60662995686</v>
      </c>
      <c r="AK24" s="1106">
        <f t="shared" ca="1" si="15"/>
        <v>0</v>
      </c>
      <c r="AL24" s="1106"/>
      <c r="AM24" s="1106"/>
      <c r="AN24" s="660">
        <f t="shared" ca="1" si="16"/>
        <v>0</v>
      </c>
      <c r="AO24" s="696">
        <f ca="1">-AJ24*(1-'Param treso'!$H$18)</f>
        <v>76857.624640969792</v>
      </c>
      <c r="AP24" s="709">
        <f t="shared" ca="1" si="3"/>
        <v>-68590.314459030225</v>
      </c>
    </row>
    <row r="25" spans="1:42">
      <c r="A25" s="708">
        <f>IF(C25&lt;='Param treso'!$H$32,C25,IF(A24&lt;'Param treso'!$H$32,A24+1,1))</f>
        <v>5</v>
      </c>
      <c r="B25" s="708">
        <f>IF(C25&lt;='Param treso'!$H$41,C25,IF(B24&lt;'Param treso'!$H$41,B24+1,1))</f>
        <v>5</v>
      </c>
      <c r="C25" s="639">
        <f t="shared" si="4"/>
        <v>5</v>
      </c>
      <c r="D25" s="639">
        <f t="shared" ca="1" si="5"/>
        <v>65</v>
      </c>
      <c r="E25" s="649">
        <f t="shared" ca="1" si="6"/>
        <v>2031</v>
      </c>
      <c r="F25" s="186">
        <f>IF(C25=1,$F$19,IF(AND(A25=1,$K$16="Oui"),-AG24,IF(AND(A25&lt;='Param treso'!$H$32,$K$12="Oui"),IF(A25=1,-AG24,-AG24+G24),IF(AND(A25&lt;='Param treso'!$H$32,C25&lt;='Param treso'!$H$32),G24,IF($K$16="Oui",G24,0)))))</f>
        <v>3100000</v>
      </c>
      <c r="G25" s="186">
        <f t="shared" si="7"/>
        <v>3100000</v>
      </c>
      <c r="H25" s="1106">
        <f>F25*'Param treso'!$H$30</f>
        <v>155000</v>
      </c>
      <c r="I25" s="1106"/>
      <c r="J25" s="1107"/>
      <c r="K25" s="659">
        <f t="shared" si="8"/>
        <v>800000</v>
      </c>
      <c r="L25" s="186">
        <f>IF(K25=0,0,IF(B25=1,K25*(1+'Param treso'!$H$39),PRODUCT(L24,(POWER('Param treso'!$H$39,1)))+L24))</f>
        <v>927419.25943999994</v>
      </c>
      <c r="M25" s="660">
        <f>IFERROR(IF(B25='Param treso'!$H$41,L25-K25,0),0)</f>
        <v>127419.25943999994</v>
      </c>
      <c r="N25" s="186">
        <f>M25+H25+IF(A25='Param treso'!$H$32,G25,0)+IF(B25='Param treso'!$H$41,K25,0)</f>
        <v>1082419.2594399999</v>
      </c>
      <c r="O25" s="186">
        <f ca="1">IF($AM$16="Oui",-IFERROR(VLOOKUP(E25,'Crédit (IS)'!$O$8:$P$145,2,FALSE),0),0)-(AN24*$T$14)</f>
        <v>-1157.3235898797529</v>
      </c>
      <c r="P25" s="186">
        <f ca="1">H25+M25+O25+IF(A25='Param treso'!$H$32,G25-F25,0)</f>
        <v>281261.93585012021</v>
      </c>
      <c r="Q25" s="1106">
        <f t="shared" ca="1" si="9"/>
        <v>0</v>
      </c>
      <c r="R25" s="1106"/>
      <c r="S25" s="1106"/>
      <c r="T25" s="186">
        <f t="shared" ca="1" si="10"/>
        <v>281261.93585012021</v>
      </c>
      <c r="U25" s="662">
        <f t="shared" ca="1" si="11"/>
        <v>1081261.9358501201</v>
      </c>
      <c r="V25" s="662">
        <f ca="1">-IF('Param treso'!$H$20="Non",T25*Données!$L$24,IF(T25&lt;=Données!$L$26,T25*Données!$L$25,(Données!$L$26*Données!$L$25)+((T25-Données!$L$26)*Données!$L$24)))</f>
        <v>-66065.483962530052</v>
      </c>
      <c r="W25" s="662">
        <f t="shared" ca="1" si="12"/>
        <v>1015196.4518875901</v>
      </c>
      <c r="X25" s="186">
        <f ca="1">IF($AM$16="Oui",-IFERROR(VLOOKUP(E25,'Crédit (IS)'!$O$8:$Q$145,3,FALSE),0),0)</f>
        <v>-9884.2908712275312</v>
      </c>
      <c r="Y25" s="186">
        <f t="shared" ca="1" si="17"/>
        <v>1005312.1610163626</v>
      </c>
      <c r="Z25" s="186">
        <f t="shared" ca="1" si="2"/>
        <v>1005312.1610163626</v>
      </c>
      <c r="AA25" s="186">
        <f t="shared" ca="1" si="13"/>
        <v>0</v>
      </c>
      <c r="AB25" s="186">
        <f t="shared" ca="1" si="14"/>
        <v>0</v>
      </c>
      <c r="AC25" s="186">
        <f>IF(C25&lt;='Crédit (IR)'!$G$16/12,-(('Crédit (IR)'!$K$17)/(1-'Param treso'!$H$18)),0)</f>
        <v>0</v>
      </c>
      <c r="AD25" s="186">
        <f>IF($AM$14="Non",0,IF(C25&lt;='Crédit (IR)'!$G$16/12,-('Crédit (IR)'!$K$17),0))</f>
        <v>0</v>
      </c>
      <c r="AE25" s="186">
        <f ca="1">-IF(AND(E25&gt;=$AO$10,E25&lt;$AO$12),$AM$10/(1-'Param treso'!$H$18),IF(E25&gt;=$AO$12,$AM$12/(1-'Param treso'!$H$18),0))</f>
        <v>-207782.77014285719</v>
      </c>
      <c r="AF25" s="186">
        <f t="shared" ca="1" si="0"/>
        <v>-145447.93910000002</v>
      </c>
      <c r="AG25" s="186">
        <f>IF(C25=1,IF($K$12="Oui",-(Z25+AI25+AJ25),0),IF(AND($K$12="Oui",$K$16="Oui",A25='Param treso'!$H$32,B25='Param treso'!$H$41),-(Z25+AI25+AJ25+AH25),IF(AND($K$12="Oui",B25='Param treso'!$H$41),-(Z25+AI25+AJ25+AH25),IF(AND(A25='Param treso'!$H$32,$K$16="Oui"),-$F$19,IF($K$12="Oui",-(Z25+AI25+AJ25+AH25),0)))))</f>
        <v>0</v>
      </c>
      <c r="AH25" s="186">
        <f>IF(C25=1,0,IF(AND($K$16="Oui",B25='Param treso'!$H$41),-$K$19,0))</f>
        <v>0</v>
      </c>
      <c r="AI25" s="186">
        <f t="shared" si="1"/>
        <v>0</v>
      </c>
      <c r="AJ25" s="704">
        <f ca="1">IF(AI25=AF25+AD25,0,IF(AD25+AF25&lt;0,IF((Z25+AI25)&gt;=-(AC25+AE25),(AD25+AF25-AI25)/(1-'Param treso'!$H$18),-(Z25+AI25)),0))</f>
        <v>-207782.77014285719</v>
      </c>
      <c r="AK25" s="1106">
        <f t="shared" ca="1" si="15"/>
        <v>797529.39087350538</v>
      </c>
      <c r="AL25" s="1106"/>
      <c r="AM25" s="1106"/>
      <c r="AN25" s="660">
        <f t="shared" ca="1" si="16"/>
        <v>0</v>
      </c>
      <c r="AO25" s="696">
        <f ca="1">-AJ25*(1-'Param treso'!$H$18)</f>
        <v>145447.93910000002</v>
      </c>
      <c r="AP25" s="709" t="str">
        <f t="shared" ca="1" si="3"/>
        <v>Ok</v>
      </c>
    </row>
    <row r="26" spans="1:42">
      <c r="A26" s="708">
        <f>IF(C26&lt;='Param treso'!$H$32,C26,IF(A25&lt;'Param treso'!$H$32,A25+1,1))</f>
        <v>6</v>
      </c>
      <c r="B26" s="708">
        <f>IF(C26&lt;='Param treso'!$H$41,C26,IF(B25&lt;'Param treso'!$H$41,B25+1,1))</f>
        <v>1</v>
      </c>
      <c r="C26" s="639">
        <f t="shared" si="4"/>
        <v>6</v>
      </c>
      <c r="D26" s="639">
        <f t="shared" ca="1" si="5"/>
        <v>66</v>
      </c>
      <c r="E26" s="649">
        <f t="shared" ca="1" si="6"/>
        <v>2032</v>
      </c>
      <c r="F26" s="186">
        <f>IF(C26=1,$F$19,IF(AND(A26=1,$K$16="Oui"),-AG25,IF(AND(A26&lt;='Param treso'!$H$32,$K$12="Oui"),IF(A26=1,-AG25,-AG25+G25),IF(AND(A26&lt;='Param treso'!$H$32,C26&lt;='Param treso'!$H$32),G25,IF($K$16="Oui",G25,0)))))</f>
        <v>3100000</v>
      </c>
      <c r="G26" s="186">
        <f t="shared" si="7"/>
        <v>3100000</v>
      </c>
      <c r="H26" s="1106">
        <f>F26*'Param treso'!$H$30</f>
        <v>155000</v>
      </c>
      <c r="I26" s="1106"/>
      <c r="J26" s="1107"/>
      <c r="K26" s="659">
        <f t="shared" si="8"/>
        <v>0</v>
      </c>
      <c r="L26" s="186">
        <f>IF(K26=0,0,IF(B26=1,K26*(1+'Param treso'!$H$39),PRODUCT(L25,(POWER('Param treso'!$H$39,1)))+L25))</f>
        <v>0</v>
      </c>
      <c r="M26" s="660">
        <f>IFERROR(IF(B26='Param treso'!$H$41,L26-K26,0),0)</f>
        <v>0</v>
      </c>
      <c r="N26" s="186">
        <f>M26+H26+IF(A26='Param treso'!$H$32,G26,0)+IF(B26='Param treso'!$H$41,K26,0)</f>
        <v>155000</v>
      </c>
      <c r="O26" s="186">
        <f ca="1">IF($AM$16="Oui",-IFERROR(VLOOKUP(E26,'Crédit (IS)'!$O$8:$P$145,2,FALSE),0),0)-(AN25*$T$14)</f>
        <v>-957.81554727547973</v>
      </c>
      <c r="P26" s="186">
        <f ca="1">H26+M26+O26+IF(A26='Param treso'!$H$32,G26-F26,0)</f>
        <v>154042.18445272453</v>
      </c>
      <c r="Q26" s="1106">
        <f t="shared" ca="1" si="9"/>
        <v>0</v>
      </c>
      <c r="R26" s="1106"/>
      <c r="S26" s="1106"/>
      <c r="T26" s="186">
        <f t="shared" ca="1" si="10"/>
        <v>154042.18445272453</v>
      </c>
      <c r="U26" s="662">
        <f t="shared" ca="1" si="11"/>
        <v>154042.18445272453</v>
      </c>
      <c r="V26" s="662">
        <f ca="1">-IF('Param treso'!$H$20="Non",T26*Données!$L$24,IF(T26&lt;=Données!$L$26,T26*Données!$L$25,(Données!$L$26*Données!$L$25)+((T26-Données!$L$26)*Données!$L$24)))</f>
        <v>-34260.546113181132</v>
      </c>
      <c r="W26" s="662">
        <f t="shared" ca="1" si="12"/>
        <v>119781.63833954339</v>
      </c>
      <c r="X26" s="186">
        <f ca="1">IF($AM$16="Oui",-IFERROR(VLOOKUP(E26,'Crédit (IS)'!$O$8:$Q$145,3,FALSE),0),0)</f>
        <v>-10083.798913831806</v>
      </c>
      <c r="Y26" s="186">
        <f t="shared" ca="1" si="17"/>
        <v>109697.83942571159</v>
      </c>
      <c r="Z26" s="186">
        <f t="shared" ca="1" si="2"/>
        <v>907227.23029921693</v>
      </c>
      <c r="AA26" s="186">
        <f t="shared" ca="1" si="13"/>
        <v>0</v>
      </c>
      <c r="AB26" s="186">
        <f t="shared" ca="1" si="14"/>
        <v>0</v>
      </c>
      <c r="AC26" s="186">
        <f>IF(C26&lt;='Crédit (IR)'!$G$16/12,-(('Crédit (IR)'!$K$17)/(1-'Param treso'!$H$18)),0)</f>
        <v>0</v>
      </c>
      <c r="AD26" s="186">
        <f>IF($AM$14="Non",0,IF(C26&lt;='Crédit (IR)'!$G$16/12,-('Crédit (IR)'!$K$17),0))</f>
        <v>0</v>
      </c>
      <c r="AE26" s="186">
        <f ca="1">-IF(AND(E26&gt;=$AO$10,E26&lt;$AO$12),$AM$10/(1-'Param treso'!$H$18),IF(E26&gt;=$AO$12,$AM$12/(1-'Param treso'!$H$18),0))</f>
        <v>-207782.77014285719</v>
      </c>
      <c r="AF26" s="186">
        <f t="shared" ca="1" si="0"/>
        <v>-145447.93910000002</v>
      </c>
      <c r="AG26" s="186">
        <f>IF(C26=1,IF($K$12="Oui",-(Z26+AI26+AJ26),0),IF(AND($K$12="Oui",$K$16="Oui",A26='Param treso'!$H$32,B26='Param treso'!$H$41),-(Z26+AI26+AJ26+AH26),IF(AND($K$12="Oui",B26='Param treso'!$H$41),-(Z26+AI26+AJ26+AH26),IF(AND(A26='Param treso'!$H$32,$K$16="Oui"),-$F$19,IF($K$12="Oui",-(Z26+AI26+AJ26+AH26),0)))))</f>
        <v>0</v>
      </c>
      <c r="AH26" s="186">
        <f>IF(C26=1,0,IF(AND($K$16="Oui",B26='Param treso'!$H$41),-$K$19,0))</f>
        <v>0</v>
      </c>
      <c r="AI26" s="186">
        <f t="shared" si="1"/>
        <v>0</v>
      </c>
      <c r="AJ26" s="704">
        <f ca="1">IF(AI26=AF26+AD26,0,IF(AD26+AF26&lt;0,IF((Z26+AI26)&gt;=-(AC26+AE26),(AD26+AF26-AI26)/(1-'Param treso'!$H$18),-(Z26+AI26)),0))</f>
        <v>-207782.77014285719</v>
      </c>
      <c r="AK26" s="1106">
        <f t="shared" ca="1" si="15"/>
        <v>699444.46015635971</v>
      </c>
      <c r="AL26" s="1106"/>
      <c r="AM26" s="1106"/>
      <c r="AN26" s="660">
        <f t="shared" ca="1" si="16"/>
        <v>0</v>
      </c>
      <c r="AO26" s="696">
        <f ca="1">-AJ26*(1-'Param treso'!$H$18)</f>
        <v>145447.93910000002</v>
      </c>
      <c r="AP26" s="709" t="str">
        <f t="shared" ca="1" si="3"/>
        <v>Ok</v>
      </c>
    </row>
    <row r="27" spans="1:42">
      <c r="A27" s="708">
        <f>IF(C27&lt;='Param treso'!$H$32,C27,IF(A26&lt;'Param treso'!$H$32,A26+1,1))</f>
        <v>7</v>
      </c>
      <c r="B27" s="708">
        <f>IF(C27&lt;='Param treso'!$H$41,C27,IF(B26&lt;'Param treso'!$H$41,B26+1,1))</f>
        <v>2</v>
      </c>
      <c r="C27" s="639">
        <f t="shared" si="4"/>
        <v>7</v>
      </c>
      <c r="D27" s="639">
        <f t="shared" ca="1" si="5"/>
        <v>67</v>
      </c>
      <c r="E27" s="649">
        <f t="shared" ca="1" si="6"/>
        <v>2033</v>
      </c>
      <c r="F27" s="186">
        <f>IF(C27=1,$F$19,IF(AND(A27=1,$K$16="Oui"),-AG26,IF(AND(A27&lt;='Param treso'!$H$32,$K$12="Oui"),IF(A27=1,-AG26,-AG26+G26),IF(AND(A27&lt;='Param treso'!$H$32,C27&lt;='Param treso'!$H$32),G26,IF($K$16="Oui",G26,0)))))</f>
        <v>3100000</v>
      </c>
      <c r="G27" s="186">
        <f t="shared" si="7"/>
        <v>3100000</v>
      </c>
      <c r="H27" s="1106">
        <f>F27*'Param treso'!$H$30</f>
        <v>155000</v>
      </c>
      <c r="I27" s="1106"/>
      <c r="J27" s="1107"/>
      <c r="K27" s="659">
        <f t="shared" si="8"/>
        <v>0</v>
      </c>
      <c r="L27" s="186">
        <f>IF(K27=0,0,IF(B27=1,K27*(1+'Param treso'!$H$39),PRODUCT(L26,(POWER('Param treso'!$H$39,1)))+L26))</f>
        <v>0</v>
      </c>
      <c r="M27" s="660">
        <f>IFERROR(IF(B27='Param treso'!$H$41,L27-K27,0),0)</f>
        <v>0</v>
      </c>
      <c r="N27" s="186">
        <f>M27+H27+IF(A27='Param treso'!$H$32,G27,0)+IF(B27='Param treso'!$H$41,K27,0)</f>
        <v>155000</v>
      </c>
      <c r="O27" s="186">
        <f ca="1">IF($AM$16="Oui",-IFERROR(VLOOKUP(E27,'Crédit (IS)'!$O$8:$P$145,2,FALSE),0),0)-(AN26*$T$14)</f>
        <v>-754.28056337796193</v>
      </c>
      <c r="P27" s="186">
        <f ca="1">H27+M27+O27+IF(A27='Param treso'!$H$32,G27-F27,0)</f>
        <v>154245.71943662205</v>
      </c>
      <c r="Q27" s="1106">
        <f t="shared" ca="1" si="9"/>
        <v>0</v>
      </c>
      <c r="R27" s="1106"/>
      <c r="S27" s="1106"/>
      <c r="T27" s="186">
        <f t="shared" ca="1" si="10"/>
        <v>154245.71943662205</v>
      </c>
      <c r="U27" s="662">
        <f t="shared" ca="1" si="11"/>
        <v>154245.71943662205</v>
      </c>
      <c r="V27" s="662">
        <f ca="1">-IF('Param treso'!$H$20="Non",T27*Données!$L$24,IF(T27&lt;=Données!$L$26,T27*Données!$L$25,(Données!$L$26*Données!$L$25)+((T27-Données!$L$26)*Données!$L$24)))</f>
        <v>-34311.429859155513</v>
      </c>
      <c r="W27" s="662">
        <f t="shared" ca="1" si="12"/>
        <v>119934.28957746654</v>
      </c>
      <c r="X27" s="186">
        <f ca="1">IF($AM$16="Oui",-IFERROR(VLOOKUP(E27,'Crédit (IS)'!$O$8:$Q$145,3,FALSE),0),0)</f>
        <v>-10287.333897729322</v>
      </c>
      <c r="Y27" s="186">
        <f t="shared" ca="1" si="17"/>
        <v>109646.95567973722</v>
      </c>
      <c r="Z27" s="186">
        <f t="shared" ca="1" si="2"/>
        <v>809091.41583609697</v>
      </c>
      <c r="AA27" s="186">
        <f t="shared" ca="1" si="13"/>
        <v>0</v>
      </c>
      <c r="AB27" s="186">
        <f t="shared" ca="1" si="14"/>
        <v>0</v>
      </c>
      <c r="AC27" s="186">
        <f>IF(C27&lt;='Crédit (IR)'!$G$16/12,-(('Crédit (IR)'!$K$17)/(1-'Param treso'!$H$18)),0)</f>
        <v>0</v>
      </c>
      <c r="AD27" s="186">
        <f>IF($AM$14="Non",0,IF(C27&lt;='Crédit (IR)'!$G$16/12,-('Crédit (IR)'!$K$17),0))</f>
        <v>0</v>
      </c>
      <c r="AE27" s="186">
        <f ca="1">-IF(AND(E27&gt;=$AO$10,E27&lt;$AO$12),$AM$10/(1-'Param treso'!$H$18),IF(E27&gt;=$AO$12,$AM$12/(1-'Param treso'!$H$18),0))</f>
        <v>-207782.77014285719</v>
      </c>
      <c r="AF27" s="186">
        <f t="shared" ca="1" si="0"/>
        <v>-145447.93910000002</v>
      </c>
      <c r="AG27" s="186">
        <f>IF(C27=1,IF($K$12="Oui",-(Z27+AI27+AJ27),0),IF(AND($K$12="Oui",$K$16="Oui",A27='Param treso'!$H$32,B27='Param treso'!$H$41),-(Z27+AI27+AJ27+AH27),IF(AND($K$12="Oui",B27='Param treso'!$H$41),-(Z27+AI27+AJ27+AH27),IF(AND(A27='Param treso'!$H$32,$K$16="Oui"),-$F$19,IF($K$12="Oui",-(Z27+AI27+AJ27+AH27),0)))))</f>
        <v>0</v>
      </c>
      <c r="AH27" s="186">
        <f>IF(C27=1,0,IF(AND($K$16="Oui",B27='Param treso'!$H$41),-$K$19,0))</f>
        <v>0</v>
      </c>
      <c r="AI27" s="186">
        <f t="shared" si="1"/>
        <v>0</v>
      </c>
      <c r="AJ27" s="704">
        <f ca="1">IF(AI27=AF27+AD27,0,IF(AD27+AF27&lt;0,IF((Z27+AI27)&gt;=-(AC27+AE27),(AD27+AF27-AI27)/(1-'Param treso'!$H$18),-(Z27+AI27)),0))</f>
        <v>-207782.77014285719</v>
      </c>
      <c r="AK27" s="1106">
        <f t="shared" ca="1" si="15"/>
        <v>601308.64569323976</v>
      </c>
      <c r="AL27" s="1106"/>
      <c r="AM27" s="1106"/>
      <c r="AN27" s="660">
        <f t="shared" ca="1" si="16"/>
        <v>0</v>
      </c>
      <c r="AO27" s="696">
        <f ca="1">-AJ27*(1-'Param treso'!$H$18)</f>
        <v>145447.93910000002</v>
      </c>
      <c r="AP27" s="709" t="str">
        <f t="shared" ca="1" si="3"/>
        <v>Ok</v>
      </c>
    </row>
    <row r="28" spans="1:42">
      <c r="A28" s="708">
        <f>IF(C28&lt;='Param treso'!$H$32,C28,IF(A27&lt;'Param treso'!$H$32,A27+1,1))</f>
        <v>8</v>
      </c>
      <c r="B28" s="708">
        <f>IF(C28&lt;='Param treso'!$H$41,C28,IF(B27&lt;'Param treso'!$H$41,B27+1,1))</f>
        <v>3</v>
      </c>
      <c r="C28" s="639">
        <f t="shared" si="4"/>
        <v>8</v>
      </c>
      <c r="D28" s="639">
        <f t="shared" ca="1" si="5"/>
        <v>68</v>
      </c>
      <c r="E28" s="649">
        <f t="shared" ca="1" si="6"/>
        <v>2034</v>
      </c>
      <c r="F28" s="186">
        <f>IF(C28=1,$F$19,IF(AND(A28=1,$K$16="Oui"),-AG27,IF(AND(A28&lt;='Param treso'!$H$32,$K$12="Oui"),IF(A28=1,-AG27,-AG27+G27),IF(AND(A28&lt;='Param treso'!$H$32,C28&lt;='Param treso'!$H$32),G27,IF($K$16="Oui",G27,0)))))</f>
        <v>3100000</v>
      </c>
      <c r="G28" s="186">
        <f t="shared" si="7"/>
        <v>3100000</v>
      </c>
      <c r="H28" s="1106">
        <f>F28*'Param treso'!$H$30</f>
        <v>155000</v>
      </c>
      <c r="I28" s="1106"/>
      <c r="J28" s="1107"/>
      <c r="K28" s="659">
        <f t="shared" si="8"/>
        <v>0</v>
      </c>
      <c r="L28" s="186">
        <f>IF(K28=0,0,IF(B28=1,K28*(1+'Param treso'!$H$39),PRODUCT(L27,(POWER('Param treso'!$H$39,1)))+L27))</f>
        <v>0</v>
      </c>
      <c r="M28" s="660">
        <f>IFERROR(IF(B28='Param treso'!$H$41,L28-K28,0),0)</f>
        <v>0</v>
      </c>
      <c r="N28" s="186">
        <f>M28+H28+IF(A28='Param treso'!$H$32,G28,0)+IF(B28='Param treso'!$H$41,K28,0)</f>
        <v>155000</v>
      </c>
      <c r="O28" s="186">
        <f ca="1">IF($AM$16="Oui",-IFERROR(VLOOKUP(E28,'Crédit (IS)'!$O$8:$P$145,2,FALSE),0),0)-(AN27*$T$14)</f>
        <v>-546.63735697182801</v>
      </c>
      <c r="P28" s="186">
        <f ca="1">H28+M28+O28+IF(A28='Param treso'!$H$32,G28-F28,0)</f>
        <v>154453.36264302817</v>
      </c>
      <c r="Q28" s="1106">
        <f t="shared" ca="1" si="9"/>
        <v>0</v>
      </c>
      <c r="R28" s="1106"/>
      <c r="S28" s="1106"/>
      <c r="T28" s="186">
        <f t="shared" ca="1" si="10"/>
        <v>154453.36264302817</v>
      </c>
      <c r="U28" s="662">
        <f t="shared" ca="1" si="11"/>
        <v>154453.36264302817</v>
      </c>
      <c r="V28" s="662">
        <f ca="1">-IF('Param treso'!$H$20="Non",T28*Données!$L$24,IF(T28&lt;=Données!$L$26,T28*Données!$L$25,(Données!$L$26*Données!$L$25)+((T28-Données!$L$26)*Données!$L$24)))</f>
        <v>-34363.340660757043</v>
      </c>
      <c r="W28" s="662">
        <f t="shared" ca="1" si="12"/>
        <v>120090.02198227114</v>
      </c>
      <c r="X28" s="186">
        <f ca="1">IF($AM$16="Oui",-IFERROR(VLOOKUP(E28,'Crédit (IS)'!$O$8:$Q$145,3,FALSE),0),0)</f>
        <v>-10494.977104135456</v>
      </c>
      <c r="Y28" s="186">
        <f t="shared" ca="1" si="17"/>
        <v>109595.04487813568</v>
      </c>
      <c r="Z28" s="186">
        <f t="shared" ca="1" si="2"/>
        <v>710903.69057137542</v>
      </c>
      <c r="AA28" s="186">
        <f t="shared" ca="1" si="13"/>
        <v>0</v>
      </c>
      <c r="AB28" s="186">
        <f t="shared" ca="1" si="14"/>
        <v>0</v>
      </c>
      <c r="AC28" s="186">
        <f>IF(C28&lt;='Crédit (IR)'!$G$16/12,-(('Crédit (IR)'!$K$17)/(1-'Param treso'!$H$18)),0)</f>
        <v>0</v>
      </c>
      <c r="AD28" s="186">
        <f>IF($AM$14="Non",0,IF(C28&lt;='Crédit (IR)'!$G$16/12,-('Crédit (IR)'!$K$17),0))</f>
        <v>0</v>
      </c>
      <c r="AE28" s="186">
        <f ca="1">-IF(AND(E28&gt;=$AO$10,E28&lt;$AO$12),$AM$10/(1-'Param treso'!$H$18),IF(E28&gt;=$AO$12,$AM$12/(1-'Param treso'!$H$18),0))</f>
        <v>-207782.77014285719</v>
      </c>
      <c r="AF28" s="186">
        <f t="shared" ca="1" si="0"/>
        <v>-145447.93910000002</v>
      </c>
      <c r="AG28" s="186">
        <f>IF(C28=1,IF($K$12="Oui",-(Z28+AI28+AJ28),0),IF(AND($K$12="Oui",$K$16="Oui",A28='Param treso'!$H$32,B28='Param treso'!$H$41),-(Z28+AI28+AJ28+AH28),IF(AND($K$12="Oui",B28='Param treso'!$H$41),-(Z28+AI28+AJ28+AH28),IF(AND(A28='Param treso'!$H$32,$K$16="Oui"),-$F$19,IF($K$12="Oui",-(Z28+AI28+AJ28+AH28),0)))))</f>
        <v>0</v>
      </c>
      <c r="AH28" s="186">
        <f>IF(C28=1,0,IF(AND($K$16="Oui",B28='Param treso'!$H$41),-$K$19,0))</f>
        <v>0</v>
      </c>
      <c r="AI28" s="186">
        <f t="shared" si="1"/>
        <v>0</v>
      </c>
      <c r="AJ28" s="704">
        <f ca="1">IF(AI28=AF28+AD28,0,IF(AD28+AF28&lt;0,IF((Z28+AI28)&gt;=-(AC28+AE28),(AD28+AF28-AI28)/(1-'Param treso'!$H$18),-(Z28+AI28)),0))</f>
        <v>-207782.77014285719</v>
      </c>
      <c r="AK28" s="1106">
        <f t="shared" ca="1" si="15"/>
        <v>503120.92042851821</v>
      </c>
      <c r="AL28" s="1106"/>
      <c r="AM28" s="1106"/>
      <c r="AN28" s="660">
        <f t="shared" ca="1" si="16"/>
        <v>0</v>
      </c>
      <c r="AO28" s="696">
        <f ca="1">-AJ28*(1-'Param treso'!$H$18)</f>
        <v>145447.93910000002</v>
      </c>
      <c r="AP28" s="709" t="str">
        <f t="shared" ca="1" si="3"/>
        <v>Ok</v>
      </c>
    </row>
    <row r="29" spans="1:42">
      <c r="A29" s="708">
        <f>IF(C29&lt;='Param treso'!$H$32,C29,IF(A28&lt;'Param treso'!$H$32,A28+1,1))</f>
        <v>9</v>
      </c>
      <c r="B29" s="708">
        <f>IF(C29&lt;='Param treso'!$H$41,C29,IF(B28&lt;'Param treso'!$H$41,B28+1,1))</f>
        <v>4</v>
      </c>
      <c r="C29" s="639">
        <f t="shared" si="4"/>
        <v>9</v>
      </c>
      <c r="D29" s="639">
        <f t="shared" ca="1" si="5"/>
        <v>69</v>
      </c>
      <c r="E29" s="649">
        <f t="shared" ca="1" si="6"/>
        <v>2035</v>
      </c>
      <c r="F29" s="186">
        <f>IF(C29=1,$F$19,IF(AND(A29=1,$K$16="Oui"),-AG28,IF(AND(A29&lt;='Param treso'!$H$32,$K$12="Oui"),IF(A29=1,-AG28,-AG28+G28),IF(AND(A29&lt;='Param treso'!$H$32,C29&lt;='Param treso'!$H$32),G28,IF($K$16="Oui",G28,0)))))</f>
        <v>3100000</v>
      </c>
      <c r="G29" s="186">
        <f t="shared" si="7"/>
        <v>3100000</v>
      </c>
      <c r="H29" s="1106">
        <f>F29*'Param treso'!$H$30</f>
        <v>155000</v>
      </c>
      <c r="I29" s="1106"/>
      <c r="J29" s="1107"/>
      <c r="K29" s="659">
        <f t="shared" si="8"/>
        <v>0</v>
      </c>
      <c r="L29" s="186">
        <f>IF(K29=0,0,IF(B29=1,K29*(1+'Param treso'!$H$39),PRODUCT(L28,(POWER('Param treso'!$H$39,1)))+L28))</f>
        <v>0</v>
      </c>
      <c r="M29" s="660">
        <f>IFERROR(IF(B29='Param treso'!$H$41,L29-K29,0),0)</f>
        <v>0</v>
      </c>
      <c r="N29" s="186">
        <f>M29+H29+IF(A29='Param treso'!$H$32,G29,0)+IF(B29='Param treso'!$H$41,K29,0)</f>
        <v>155000</v>
      </c>
      <c r="O29" s="186">
        <f ca="1">IF($AM$16="Oui",-IFERROR(VLOOKUP(E29,'Crédit (IS)'!$O$8:$P$145,2,FALSE),0),0)-(AN28*$T$14)</f>
        <v>-334.80300623274525</v>
      </c>
      <c r="P29" s="186">
        <f ca="1">H29+M29+O29+IF(A29='Param treso'!$H$32,G29-F29,0)</f>
        <v>154665.19699376725</v>
      </c>
      <c r="Q29" s="1106">
        <f t="shared" ca="1" si="9"/>
        <v>0</v>
      </c>
      <c r="R29" s="1106"/>
      <c r="S29" s="1106"/>
      <c r="T29" s="186">
        <f t="shared" ca="1" si="10"/>
        <v>154665.19699376725</v>
      </c>
      <c r="U29" s="662">
        <f t="shared" ca="1" si="11"/>
        <v>154665.19699376725</v>
      </c>
      <c r="V29" s="662">
        <f ca="1">-IF('Param treso'!$H$20="Non",T29*Données!$L$24,IF(T29&lt;=Données!$L$26,T29*Données!$L$25,(Données!$L$26*Données!$L$25)+((T29-Données!$L$26)*Données!$L$24)))</f>
        <v>-34416.299248441814</v>
      </c>
      <c r="W29" s="662">
        <f t="shared" ca="1" si="12"/>
        <v>120248.89774532543</v>
      </c>
      <c r="X29" s="186">
        <f ca="1">IF($AM$16="Oui",-IFERROR(VLOOKUP(E29,'Crédit (IS)'!$O$8:$Q$145,3,FALSE),0),0)</f>
        <v>-10706.81145487454</v>
      </c>
      <c r="Y29" s="186">
        <f t="shared" ca="1" si="17"/>
        <v>109542.0862904509</v>
      </c>
      <c r="Z29" s="186">
        <f t="shared" ca="1" si="2"/>
        <v>612663.00671896909</v>
      </c>
      <c r="AA29" s="186">
        <f t="shared" ca="1" si="13"/>
        <v>0</v>
      </c>
      <c r="AB29" s="186">
        <f t="shared" ca="1" si="14"/>
        <v>0</v>
      </c>
      <c r="AC29" s="186">
        <f>IF(C29&lt;='Crédit (IR)'!$G$16/12,-(('Crédit (IR)'!$K$17)/(1-'Param treso'!$H$18)),0)</f>
        <v>0</v>
      </c>
      <c r="AD29" s="186">
        <f>IF($AM$14="Non",0,IF(C29&lt;='Crédit (IR)'!$G$16/12,-('Crédit (IR)'!$K$17),0))</f>
        <v>0</v>
      </c>
      <c r="AE29" s="186">
        <f ca="1">-IF(AND(E29&gt;=$AO$10,E29&lt;$AO$12),$AM$10/(1-'Param treso'!$H$18),IF(E29&gt;=$AO$12,$AM$12/(1-'Param treso'!$H$18),0))</f>
        <v>-207782.77014285719</v>
      </c>
      <c r="AF29" s="186">
        <f t="shared" ca="1" si="0"/>
        <v>-145447.93910000002</v>
      </c>
      <c r="AG29" s="186">
        <f>IF(C29=1,IF($K$12="Oui",-(Z29+AI29+AJ29),0),IF(AND($K$12="Oui",$K$16="Oui",A29='Param treso'!$H$32,B29='Param treso'!$H$41),-(Z29+AI29+AJ29+AH29),IF(AND($K$12="Oui",B29='Param treso'!$H$41),-(Z29+AI29+AJ29+AH29),IF(AND(A29='Param treso'!$H$32,$K$16="Oui"),-$F$19,IF($K$12="Oui",-(Z29+AI29+AJ29+AH29),0)))))</f>
        <v>0</v>
      </c>
      <c r="AH29" s="186">
        <f>IF(C29=1,0,IF(AND($K$16="Oui",B29='Param treso'!$H$41),-$K$19,0))</f>
        <v>0</v>
      </c>
      <c r="AI29" s="186">
        <f t="shared" si="1"/>
        <v>0</v>
      </c>
      <c r="AJ29" s="704">
        <f ca="1">IF(AI29=AF29+AD29,0,IF(AD29+AF29&lt;0,IF((Z29+AI29)&gt;=-(AC29+AE29),(AD29+AF29-AI29)/(1-'Param treso'!$H$18),-(Z29+AI29)),0))</f>
        <v>-207782.77014285719</v>
      </c>
      <c r="AK29" s="1106">
        <f t="shared" ca="1" si="15"/>
        <v>404880.23657611187</v>
      </c>
      <c r="AL29" s="1106"/>
      <c r="AM29" s="1106"/>
      <c r="AN29" s="660">
        <f t="shared" ca="1" si="16"/>
        <v>0</v>
      </c>
      <c r="AO29" s="696">
        <f ca="1">-AJ29*(1-'Param treso'!$H$18)</f>
        <v>145447.93910000002</v>
      </c>
      <c r="AP29" s="709" t="str">
        <f t="shared" ca="1" si="3"/>
        <v>Ok</v>
      </c>
    </row>
    <row r="30" spans="1:42">
      <c r="A30" s="708">
        <f>IF(C30&lt;='Param treso'!$H$32,C30,IF(A29&lt;'Param treso'!$H$32,A29+1,1))</f>
        <v>10</v>
      </c>
      <c r="B30" s="708">
        <f>IF(C30&lt;='Param treso'!$H$41,C30,IF(B29&lt;'Param treso'!$H$41,B29+1,1))</f>
        <v>5</v>
      </c>
      <c r="C30" s="639">
        <f t="shared" si="4"/>
        <v>10</v>
      </c>
      <c r="D30" s="639">
        <f t="shared" ca="1" si="5"/>
        <v>70</v>
      </c>
      <c r="E30" s="649">
        <f t="shared" ca="1" si="6"/>
        <v>2036</v>
      </c>
      <c r="F30" s="186">
        <f>IF(C30=1,$F$19,IF(AND(A30=1,$K$16="Oui"),-AG29,IF(AND(A30&lt;='Param treso'!$H$32,$K$12="Oui"),IF(A30=1,-AG29,-AG29+G29),IF(AND(A30&lt;='Param treso'!$H$32,C30&lt;='Param treso'!$H$32),G29,IF($K$16="Oui",G29,0)))))</f>
        <v>3100000</v>
      </c>
      <c r="G30" s="186">
        <f t="shared" si="7"/>
        <v>3100000</v>
      </c>
      <c r="H30" s="1106">
        <f>F30*'Param treso'!$H$30</f>
        <v>155000</v>
      </c>
      <c r="I30" s="1106"/>
      <c r="J30" s="1107"/>
      <c r="K30" s="659">
        <f t="shared" si="8"/>
        <v>0</v>
      </c>
      <c r="L30" s="186">
        <f>IF(K30=0,0,IF(B30=1,K30*(1+'Param treso'!$H$39),PRODUCT(L29,(POWER('Param treso'!$H$39,1)))+L29))</f>
        <v>0</v>
      </c>
      <c r="M30" s="660">
        <f>IFERROR(IF(B30='Param treso'!$H$41,L30-K30,0),0)</f>
        <v>0</v>
      </c>
      <c r="N30" s="186">
        <f>M30+H30+IF(A30='Param treso'!$H$32,G30,0)+IF(B30='Param treso'!$H$41,K30,0)</f>
        <v>155000</v>
      </c>
      <c r="O30" s="186">
        <f ca="1">IF($AM$16="Oui",-IFERROR(VLOOKUP(E30,'Crédit (IS)'!$O$8:$P$145,2,FALSE),0),0)-(AN29*$T$14)</f>
        <v>-118.69291561278499</v>
      </c>
      <c r="P30" s="186">
        <f ca="1">H30+M30+O30+IF(A30='Param treso'!$H$32,G30-F30,0)</f>
        <v>154881.30708438723</v>
      </c>
      <c r="Q30" s="1106">
        <f t="shared" ca="1" si="9"/>
        <v>0</v>
      </c>
      <c r="R30" s="1106"/>
      <c r="S30" s="1106"/>
      <c r="T30" s="186">
        <f ca="1">IF(P30&lt;0,0,P30-Q29)</f>
        <v>154881.30708438723</v>
      </c>
      <c r="U30" s="662">
        <f ca="1">N30+O30</f>
        <v>154881.30708438723</v>
      </c>
      <c r="V30" s="662">
        <f ca="1">-IF('Param treso'!$H$20="Non",T30*Données!$L$24,IF(T30&lt;=Données!$L$26,T30*Données!$L$25,(Données!$L$26*Données!$L$25)+((T30-Données!$L$26)*Données!$L$24)))</f>
        <v>-34470.326771096807</v>
      </c>
      <c r="W30" s="662">
        <f t="shared" ca="1" si="12"/>
        <v>120410.98031329042</v>
      </c>
      <c r="X30" s="186">
        <f ca="1">IF($AM$16="Oui",-IFERROR(VLOOKUP(E30,'Crédit (IS)'!$O$8:$Q$145,3,FALSE),0),0)</f>
        <v>-10922.921545494499</v>
      </c>
      <c r="Y30" s="186">
        <f t="shared" ca="1" si="17"/>
        <v>109488.05876779593</v>
      </c>
      <c r="Z30" s="186">
        <f t="shared" ca="1" si="2"/>
        <v>514368.29534390778</v>
      </c>
      <c r="AA30" s="186">
        <f t="shared" ca="1" si="13"/>
        <v>0</v>
      </c>
      <c r="AB30" s="186">
        <f t="shared" ca="1" si="14"/>
        <v>0</v>
      </c>
      <c r="AC30" s="186">
        <f>IF(C30&lt;='Crédit (IR)'!$G$16/12,-(('Crédit (IR)'!$K$17)/(1-'Param treso'!$H$18)),0)</f>
        <v>0</v>
      </c>
      <c r="AD30" s="186">
        <f>IF($AM$14="Non",0,IF(C30&lt;='Crédit (IR)'!$G$16/12,-('Crédit (IR)'!$K$17),0))</f>
        <v>0</v>
      </c>
      <c r="AE30" s="186">
        <f ca="1">-IF(AND(E30&gt;=$AO$10,E30&lt;$AO$12),$AM$10/(1-'Param treso'!$H$18),IF(E30&gt;=$AO$12,$AM$12/(1-'Param treso'!$H$18),0))</f>
        <v>-207782.77014285719</v>
      </c>
      <c r="AF30" s="186">
        <f t="shared" ca="1" si="0"/>
        <v>-145447.93910000002</v>
      </c>
      <c r="AG30" s="186">
        <f>IF(C30=1,IF($K$12="Oui",-(Z30+AI30+AJ30),0),IF(AND($K$12="Oui",$K$16="Oui",A30='Param treso'!$H$32,B30='Param treso'!$H$41),-(Z30+AI30+AJ30+AH30),IF(AND($K$12="Oui",B30='Param treso'!$H$41),-(Z30+AI30+AJ30+AH30),IF(AND(A30='Param treso'!$H$32,$K$16="Oui"),-$F$19,IF($K$12="Oui",-(Z30+AI30+AJ30+AH30),0)))))</f>
        <v>0</v>
      </c>
      <c r="AH30" s="186">
        <f>IF(C30=1,0,IF(AND($K$16="Oui",B30='Param treso'!$H$41),-$K$19,0))</f>
        <v>0</v>
      </c>
      <c r="AI30" s="186">
        <f t="shared" si="1"/>
        <v>0</v>
      </c>
      <c r="AJ30" s="704">
        <f ca="1">IF(AI30=AF30+AD30,0,IF(AD30+AF30&lt;0,IF((Z30+AI30)&gt;=-(AC30+AE30),(AD30+AF30-AI30)/(1-'Param treso'!$H$18),-(Z30+AI30)),0))</f>
        <v>-207782.77014285719</v>
      </c>
      <c r="AK30" s="1106">
        <f t="shared" ca="1" si="15"/>
        <v>306585.52520105056</v>
      </c>
      <c r="AL30" s="1106"/>
      <c r="AM30" s="1106"/>
      <c r="AN30" s="660">
        <f t="shared" ca="1" si="16"/>
        <v>0</v>
      </c>
      <c r="AO30" s="696">
        <f ca="1">-AJ30*(1-'Param treso'!$H$18)</f>
        <v>145447.93910000002</v>
      </c>
      <c r="AP30" s="709" t="str">
        <f t="shared" ca="1" si="3"/>
        <v>Ok</v>
      </c>
    </row>
    <row r="31" spans="1:42">
      <c r="A31" s="708">
        <f>IF(C31&lt;='Param treso'!$H$32,C31,IF(A30&lt;'Param treso'!$H$32,A30+1,1))</f>
        <v>11</v>
      </c>
      <c r="B31" s="708">
        <f>IF(C31&lt;='Param treso'!$H$41,C31,IF(B30&lt;'Param treso'!$H$41,B30+1,1))</f>
        <v>1</v>
      </c>
      <c r="C31" s="639">
        <f t="shared" si="4"/>
        <v>11</v>
      </c>
      <c r="D31" s="639">
        <f t="shared" ca="1" si="5"/>
        <v>71</v>
      </c>
      <c r="E31" s="649">
        <f t="shared" ca="1" si="6"/>
        <v>2037</v>
      </c>
      <c r="F31" s="186">
        <f>IF(C31=1,$F$19,IF(AND(A31=1,$K$16="Oui"),-AG30,IF(AND(A31&lt;='Param treso'!$H$32,$K$12="Oui"),IF(A31=1,-AG30,-AG30+G30),IF(AND(A31&lt;='Param treso'!$H$32,C31&lt;='Param treso'!$H$32),G30,IF($K$16="Oui",G30,0)))))</f>
        <v>3100000</v>
      </c>
      <c r="G31" s="186">
        <f t="shared" si="7"/>
        <v>3100000</v>
      </c>
      <c r="H31" s="1106">
        <f>F31*'Param treso'!$H$30</f>
        <v>155000</v>
      </c>
      <c r="I31" s="1106"/>
      <c r="J31" s="1107"/>
      <c r="K31" s="659">
        <f t="shared" si="8"/>
        <v>0</v>
      </c>
      <c r="L31" s="186">
        <f>IF(K31=0,0,IF(B31=1,K31*(1+'Param treso'!$H$39),PRODUCT(L30,(POWER('Param treso'!$H$39,1)))+L30))</f>
        <v>0</v>
      </c>
      <c r="M31" s="660">
        <f>IFERROR(IF(B31='Param treso'!$H$41,L31-K31,0),0)</f>
        <v>0</v>
      </c>
      <c r="N31" s="186">
        <f>M31+H31+IF(A31='Param treso'!$H$32,G31,0)+IF(B31='Param treso'!$H$41,K31,0)</f>
        <v>155000</v>
      </c>
      <c r="O31" s="186">
        <f ca="1">IF($AM$16="Oui",-IFERROR(VLOOKUP(E31,'Crédit (IS)'!$O$8:$P$145,2,FALSE),0),0)-(AN30*$T$14)</f>
        <v>0</v>
      </c>
      <c r="P31" s="186">
        <f ca="1">H31+M31+O31+IF(A31='Param treso'!$H$32,G31-F31,0)</f>
        <v>155000</v>
      </c>
      <c r="Q31" s="1106">
        <f t="shared" ca="1" si="9"/>
        <v>0</v>
      </c>
      <c r="R31" s="1106"/>
      <c r="S31" s="1106"/>
      <c r="T31" s="186">
        <f t="shared" ca="1" si="10"/>
        <v>155000</v>
      </c>
      <c r="U31" s="662">
        <f t="shared" ca="1" si="11"/>
        <v>155000</v>
      </c>
      <c r="V31" s="662">
        <f ca="1">-IF('Param treso'!$H$20="Non",T31*Données!$L$24,IF(T31&lt;=Données!$L$26,T31*Données!$L$25,(Données!$L$26*Données!$L$25)+((T31-Données!$L$26)*Données!$L$24)))</f>
        <v>-34500</v>
      </c>
      <c r="W31" s="662">
        <f t="shared" ca="1" si="12"/>
        <v>120500</v>
      </c>
      <c r="X31" s="186">
        <f ca="1">IF($AM$16="Oui",-IFERROR(VLOOKUP(E31,'Crédit (IS)'!$O$8:$Q$145,3,FALSE),0),0)</f>
        <v>0</v>
      </c>
      <c r="Y31" s="186">
        <f t="shared" ca="1" si="17"/>
        <v>120500</v>
      </c>
      <c r="Z31" s="186">
        <f t="shared" ca="1" si="2"/>
        <v>427085.52520105056</v>
      </c>
      <c r="AA31" s="186">
        <f t="shared" ca="1" si="13"/>
        <v>0</v>
      </c>
      <c r="AB31" s="186">
        <f t="shared" ca="1" si="14"/>
        <v>0</v>
      </c>
      <c r="AC31" s="186">
        <f>IF(C31&lt;='Crédit (IR)'!$G$16/12,-(('Crédit (IR)'!$K$17)/(1-'Param treso'!$H$18)),0)</f>
        <v>0</v>
      </c>
      <c r="AD31" s="186">
        <f>IF($AM$14="Non",0,IF(C31&lt;='Crédit (IR)'!$G$16/12,-('Crédit (IR)'!$K$17),0))</f>
        <v>0</v>
      </c>
      <c r="AE31" s="186">
        <f ca="1">-IF(AND(E31&gt;=$AO$10,E31&lt;$AO$12),$AM$10/(1-'Param treso'!$H$18),IF(E31&gt;=$AO$12,$AM$12/(1-'Param treso'!$H$18),0))</f>
        <v>-207782.77014285719</v>
      </c>
      <c r="AF31" s="186">
        <f t="shared" ca="1" si="0"/>
        <v>-145447.93910000002</v>
      </c>
      <c r="AG31" s="186">
        <f>IF(C31=1,IF($K$12="Oui",-(Z31+AI31+AJ31),0),IF(AND($K$12="Oui",$K$16="Oui",A31='Param treso'!$H$32,B31='Param treso'!$H$41),-(Z31+AI31+AJ31+AH31),IF(AND($K$12="Oui",B31='Param treso'!$H$41),-(Z31+AI31+AJ31+AH31),IF(AND(A31='Param treso'!$H$32,$K$16="Oui"),-$F$19,IF($K$12="Oui",-(Z31+AI31+AJ31+AH31),0)))))</f>
        <v>0</v>
      </c>
      <c r="AH31" s="186">
        <f>IF(C31=1,0,IF(AND($K$16="Oui",B31='Param treso'!$H$41),-$K$19,0))</f>
        <v>0</v>
      </c>
      <c r="AI31" s="186">
        <f t="shared" si="1"/>
        <v>0</v>
      </c>
      <c r="AJ31" s="704">
        <f ca="1">IF(AI31=AF31+AD31,0,IF(AD31+AF31&lt;0,IF((Z31+AI31)&gt;=-(AC31+AE31),(AD31+AF31-AI31)/(1-'Param treso'!$H$18),-(Z31+AI31)),0))</f>
        <v>-207782.77014285719</v>
      </c>
      <c r="AK31" s="1106">
        <f t="shared" ca="1" si="15"/>
        <v>219302.75505819338</v>
      </c>
      <c r="AL31" s="1106"/>
      <c r="AM31" s="1106"/>
      <c r="AN31" s="660">
        <f t="shared" ca="1" si="16"/>
        <v>0</v>
      </c>
      <c r="AO31" s="696">
        <f ca="1">-AJ31*(1-'Param treso'!$H$18)</f>
        <v>145447.93910000002</v>
      </c>
      <c r="AP31" s="709" t="str">
        <f t="shared" ca="1" si="3"/>
        <v>Ok</v>
      </c>
    </row>
    <row r="32" spans="1:42">
      <c r="A32" s="708">
        <f>IF(C32&lt;='Param treso'!$H$32,C32,IF(A31&lt;'Param treso'!$H$32,A31+1,1))</f>
        <v>12</v>
      </c>
      <c r="B32" s="708">
        <f>IF(C32&lt;='Param treso'!$H$41,C32,IF(B31&lt;'Param treso'!$H$41,B31+1,1))</f>
        <v>2</v>
      </c>
      <c r="C32" s="639">
        <f t="shared" si="4"/>
        <v>12</v>
      </c>
      <c r="D32" s="639">
        <f t="shared" ca="1" si="5"/>
        <v>72</v>
      </c>
      <c r="E32" s="649">
        <f t="shared" ca="1" si="6"/>
        <v>2038</v>
      </c>
      <c r="F32" s="186">
        <f>IF(C32=1,$F$19,IF(AND(A32=1,$K$16="Oui"),-AG31,IF(AND(A32&lt;='Param treso'!$H$32,$K$12="Oui"),IF(A32=1,-AG31,-AG31+G31),IF(AND(A32&lt;='Param treso'!$H$32,C32&lt;='Param treso'!$H$32),G31,IF($K$16="Oui",G31,0)))))</f>
        <v>3100000</v>
      </c>
      <c r="G32" s="186">
        <f t="shared" si="7"/>
        <v>3100000</v>
      </c>
      <c r="H32" s="1106">
        <f>F32*'Param treso'!$H$30</f>
        <v>155000</v>
      </c>
      <c r="I32" s="1106"/>
      <c r="J32" s="1107"/>
      <c r="K32" s="659">
        <f t="shared" si="8"/>
        <v>0</v>
      </c>
      <c r="L32" s="186">
        <f>IF(K32=0,0,IF(B32=1,K32*(1+'Param treso'!$H$39),PRODUCT(L31,(POWER('Param treso'!$H$39,1)))+L31))</f>
        <v>0</v>
      </c>
      <c r="M32" s="660">
        <f>IFERROR(IF(B32='Param treso'!$H$41,L32-K32,0),0)</f>
        <v>0</v>
      </c>
      <c r="N32" s="186">
        <f>M32+H32+IF(A32='Param treso'!$H$32,G32,0)+IF(B32='Param treso'!$H$41,K32,0)</f>
        <v>155000</v>
      </c>
      <c r="O32" s="186">
        <f ca="1">IF($AM$16="Oui",-IFERROR(VLOOKUP(E32,'Crédit (IS)'!$O$8:$P$145,2,FALSE),0),0)-(AN31*$T$14)</f>
        <v>0</v>
      </c>
      <c r="P32" s="186">
        <f ca="1">H32+M32+O32+IF(A32='Param treso'!$H$32,G32-F32,0)</f>
        <v>155000</v>
      </c>
      <c r="Q32" s="1106">
        <f t="shared" ca="1" si="9"/>
        <v>0</v>
      </c>
      <c r="R32" s="1106"/>
      <c r="S32" s="1106"/>
      <c r="T32" s="186">
        <f t="shared" ca="1" si="10"/>
        <v>155000</v>
      </c>
      <c r="U32" s="662">
        <f t="shared" ca="1" si="11"/>
        <v>155000</v>
      </c>
      <c r="V32" s="662">
        <f ca="1">-IF('Param treso'!$H$20="Non",T32*Données!$L$24,IF(T32&lt;=Données!$L$26,T32*Données!$L$25,(Données!$L$26*Données!$L$25)+((T32-Données!$L$26)*Données!$L$24)))</f>
        <v>-34500</v>
      </c>
      <c r="W32" s="662">
        <f t="shared" ca="1" si="12"/>
        <v>120500</v>
      </c>
      <c r="X32" s="186">
        <f ca="1">IF($AM$16="Oui",-IFERROR(VLOOKUP(E32,'Crédit (IS)'!$O$8:$Q$145,3,FALSE),0),0)</f>
        <v>0</v>
      </c>
      <c r="Y32" s="186">
        <f t="shared" ca="1" si="17"/>
        <v>120500</v>
      </c>
      <c r="Z32" s="186">
        <f t="shared" ca="1" si="2"/>
        <v>339802.75505819335</v>
      </c>
      <c r="AA32" s="186">
        <f t="shared" ca="1" si="13"/>
        <v>0</v>
      </c>
      <c r="AB32" s="186">
        <f t="shared" ca="1" si="14"/>
        <v>0</v>
      </c>
      <c r="AC32" s="186">
        <f>IF(C32&lt;='Crédit (IR)'!$G$16/12,-(('Crédit (IR)'!$K$17)/(1-'Param treso'!$H$18)),0)</f>
        <v>0</v>
      </c>
      <c r="AD32" s="186">
        <f>IF($AM$14="Non",0,IF(C32&lt;='Crédit (IR)'!$G$16/12,-('Crédit (IR)'!$K$17),0))</f>
        <v>0</v>
      </c>
      <c r="AE32" s="186">
        <f ca="1">-IF(AND(E32&gt;=$AO$10,E32&lt;$AO$12),$AM$10/(1-'Param treso'!$H$18),IF(E32&gt;=$AO$12,$AM$12/(1-'Param treso'!$H$18),0))</f>
        <v>-207782.77014285719</v>
      </c>
      <c r="AF32" s="186">
        <f t="shared" ca="1" si="0"/>
        <v>-145447.93910000002</v>
      </c>
      <c r="AG32" s="186">
        <f>IF(C32=1,IF($K$12="Oui",-(Z32+AI32+AJ32),0),IF(AND($K$12="Oui",$K$16="Oui",A32='Param treso'!$H$32,B32='Param treso'!$H$41),-(Z32+AI32+AJ32+AH32),IF(AND($K$12="Oui",B32='Param treso'!$H$41),-(Z32+AI32+AJ32+AH32),IF(AND(A32='Param treso'!$H$32,$K$16="Oui"),-$F$19,IF($K$12="Oui",-(Z32+AI32+AJ32+AH32),0)))))</f>
        <v>0</v>
      </c>
      <c r="AH32" s="186">
        <f>IF(C32=1,0,IF(AND($K$16="Oui",B32='Param treso'!$H$41),-$K$19,0))</f>
        <v>0</v>
      </c>
      <c r="AI32" s="186">
        <f t="shared" si="1"/>
        <v>0</v>
      </c>
      <c r="AJ32" s="704">
        <f ca="1">IF(AI32=AF32+AD32,0,IF(AD32+AF32&lt;0,IF((Z32+AI32)&gt;=-(AC32+AE32),(AD32+AF32-AI32)/(1-'Param treso'!$H$18),-(Z32+AI32)),0))</f>
        <v>-207782.77014285719</v>
      </c>
      <c r="AK32" s="1106">
        <f t="shared" ca="1" si="15"/>
        <v>132019.98491533616</v>
      </c>
      <c r="AL32" s="1106"/>
      <c r="AM32" s="1106"/>
      <c r="AN32" s="660">
        <f t="shared" ca="1" si="16"/>
        <v>0</v>
      </c>
      <c r="AO32" s="696">
        <f ca="1">-AJ32*(1-'Param treso'!$H$18)</f>
        <v>145447.93910000002</v>
      </c>
      <c r="AP32" s="709" t="str">
        <f t="shared" ca="1" si="3"/>
        <v>Ok</v>
      </c>
    </row>
    <row r="33" spans="1:42">
      <c r="A33" s="708">
        <f>IF(C33&lt;='Param treso'!$H$32,C33,IF(A32&lt;'Param treso'!$H$32,A32+1,1))</f>
        <v>13</v>
      </c>
      <c r="B33" s="708">
        <f>IF(C33&lt;='Param treso'!$H$41,C33,IF(B32&lt;'Param treso'!$H$41,B32+1,1))</f>
        <v>3</v>
      </c>
      <c r="C33" s="639">
        <f t="shared" si="4"/>
        <v>13</v>
      </c>
      <c r="D33" s="639">
        <f t="shared" ca="1" si="5"/>
        <v>73</v>
      </c>
      <c r="E33" s="649">
        <f t="shared" ca="1" si="6"/>
        <v>2039</v>
      </c>
      <c r="F33" s="186">
        <f>IF(C33=1,$F$19,IF(AND(A33=1,$K$16="Oui"),-AG32,IF(AND(A33&lt;='Param treso'!$H$32,$K$12="Oui"),IF(A33=1,-AG32,-AG32+G32),IF(AND(A33&lt;='Param treso'!$H$32,C33&lt;='Param treso'!$H$32),G32,IF($K$16="Oui",G32,0)))))</f>
        <v>3100000</v>
      </c>
      <c r="G33" s="186">
        <f t="shared" si="7"/>
        <v>3100000</v>
      </c>
      <c r="H33" s="1106">
        <f>F33*'Param treso'!$H$30</f>
        <v>155000</v>
      </c>
      <c r="I33" s="1106"/>
      <c r="J33" s="1107"/>
      <c r="K33" s="659">
        <f t="shared" si="8"/>
        <v>0</v>
      </c>
      <c r="L33" s="186">
        <f>IF(K33=0,0,IF(B33=1,K33*(1+'Param treso'!$H$39),PRODUCT(L32,(POWER('Param treso'!$H$39,1)))+L32))</f>
        <v>0</v>
      </c>
      <c r="M33" s="660">
        <f>IFERROR(IF(B33='Param treso'!$H$41,L33-K33,0),0)</f>
        <v>0</v>
      </c>
      <c r="N33" s="186">
        <f>M33+H33+IF(A33='Param treso'!$H$32,G33,0)+IF(B33='Param treso'!$H$41,K33,0)</f>
        <v>155000</v>
      </c>
      <c r="O33" s="186">
        <f ca="1">IF($AM$16="Oui",-IFERROR(VLOOKUP(E33,'Crédit (IS)'!$O$8:$P$145,2,FALSE),0),0)-(AN32*$T$14)</f>
        <v>0</v>
      </c>
      <c r="P33" s="186">
        <f ca="1">H33+M33+O33+IF(A33='Param treso'!$H$32,G33-F33,0)</f>
        <v>155000</v>
      </c>
      <c r="Q33" s="1106">
        <f t="shared" ca="1" si="9"/>
        <v>0</v>
      </c>
      <c r="R33" s="1106"/>
      <c r="S33" s="1106"/>
      <c r="T33" s="186">
        <f t="shared" ca="1" si="10"/>
        <v>155000</v>
      </c>
      <c r="U33" s="662">
        <f t="shared" ca="1" si="11"/>
        <v>155000</v>
      </c>
      <c r="V33" s="662">
        <f ca="1">-IF('Param treso'!$H$20="Non",T33*Données!$L$24,IF(T33&lt;=Données!$L$26,T33*Données!$L$25,(Données!$L$26*Données!$L$25)+((T33-Données!$L$26)*Données!$L$24)))</f>
        <v>-34500</v>
      </c>
      <c r="W33" s="662">
        <f t="shared" ca="1" si="12"/>
        <v>120500</v>
      </c>
      <c r="X33" s="186">
        <f ca="1">IF($AM$16="Oui",-IFERROR(VLOOKUP(E33,'Crédit (IS)'!$O$8:$Q$145,3,FALSE),0),0)</f>
        <v>0</v>
      </c>
      <c r="Y33" s="186">
        <f t="shared" ca="1" si="17"/>
        <v>120500</v>
      </c>
      <c r="Z33" s="186">
        <f t="shared" ca="1" si="2"/>
        <v>252519.98491533616</v>
      </c>
      <c r="AA33" s="186">
        <f t="shared" ca="1" si="13"/>
        <v>0</v>
      </c>
      <c r="AB33" s="186">
        <f t="shared" ca="1" si="14"/>
        <v>0</v>
      </c>
      <c r="AC33" s="186">
        <f>IF(C33&lt;='Crédit (IR)'!$G$16/12,-(('Crédit (IR)'!$K$17)/(1-'Param treso'!$H$18)),0)</f>
        <v>0</v>
      </c>
      <c r="AD33" s="186">
        <f>IF($AM$14="Non",0,IF(C33&lt;='Crédit (IR)'!$G$16/12,-('Crédit (IR)'!$K$17),0))</f>
        <v>0</v>
      </c>
      <c r="AE33" s="186">
        <f ca="1">-IF(AND(E33&gt;=$AO$10,E33&lt;$AO$12),$AM$10/(1-'Param treso'!$H$18),IF(E33&gt;=$AO$12,$AM$12/(1-'Param treso'!$H$18),0))</f>
        <v>-207782.77014285719</v>
      </c>
      <c r="AF33" s="186">
        <f t="shared" ca="1" si="0"/>
        <v>-145447.93910000002</v>
      </c>
      <c r="AG33" s="186">
        <f>IF(C33=1,IF($K$12="Oui",-(Z33+AI33+AJ33),0),IF(AND($K$12="Oui",$K$16="Oui",A33='Param treso'!$H$32,B33='Param treso'!$H$41),-(Z33+AI33+AJ33+AH33),IF(AND($K$12="Oui",B33='Param treso'!$H$41),-(Z33+AI33+AJ33+AH33),IF(AND(A33='Param treso'!$H$32,$K$16="Oui"),-$F$19,IF($K$12="Oui",-(Z33+AI33+AJ33+AH33),0)))))</f>
        <v>0</v>
      </c>
      <c r="AH33" s="186">
        <f>IF(C33=1,0,IF(AND($K$16="Oui",B33='Param treso'!$H$41),-$K$19,0))</f>
        <v>0</v>
      </c>
      <c r="AI33" s="186">
        <f t="shared" si="1"/>
        <v>0</v>
      </c>
      <c r="AJ33" s="704">
        <f ca="1">IF(AI33=AF33+AD33,0,IF(AD33+AF33&lt;0,IF((Z33+AI33)&gt;=-(AC33+AE33),(AD33+AF33-AI33)/(1-'Param treso'!$H$18),-(Z33+AI33)),0))</f>
        <v>-207782.77014285719</v>
      </c>
      <c r="AK33" s="1106">
        <f t="shared" ca="1" si="15"/>
        <v>44737.214772478968</v>
      </c>
      <c r="AL33" s="1106"/>
      <c r="AM33" s="1106"/>
      <c r="AN33" s="660">
        <f t="shared" ca="1" si="16"/>
        <v>0</v>
      </c>
      <c r="AO33" s="696">
        <f ca="1">-AJ33*(1-'Param treso'!$H$18)</f>
        <v>145447.93910000002</v>
      </c>
      <c r="AP33" s="709" t="str">
        <f t="shared" ca="1" si="3"/>
        <v>Ok</v>
      </c>
    </row>
    <row r="34" spans="1:42">
      <c r="A34" s="708">
        <f>IF(C34&lt;='Param treso'!$H$32,C34,IF(A33&lt;'Param treso'!$H$32,A33+1,1))</f>
        <v>14</v>
      </c>
      <c r="B34" s="708">
        <f>IF(C34&lt;='Param treso'!$H$41,C34,IF(B33&lt;'Param treso'!$H$41,B33+1,1))</f>
        <v>4</v>
      </c>
      <c r="C34" s="639">
        <f t="shared" si="4"/>
        <v>14</v>
      </c>
      <c r="D34" s="639">
        <f t="shared" ca="1" si="5"/>
        <v>74</v>
      </c>
      <c r="E34" s="649">
        <f t="shared" ca="1" si="6"/>
        <v>2040</v>
      </c>
      <c r="F34" s="186">
        <f>IF(C34=1,$F$19,IF(AND(A34=1,$K$16="Oui"),-AG33,IF(AND(A34&lt;='Param treso'!$H$32,$K$12="Oui"),IF(A34=1,-AG33,-AG33+G33),IF(AND(A34&lt;='Param treso'!$H$32,C34&lt;='Param treso'!$H$32),G33,IF($K$16="Oui",G33,0)))))</f>
        <v>3100000</v>
      </c>
      <c r="G34" s="186">
        <f t="shared" si="7"/>
        <v>3100000</v>
      </c>
      <c r="H34" s="1106">
        <f>F34*'Param treso'!$H$30</f>
        <v>155000</v>
      </c>
      <c r="I34" s="1106"/>
      <c r="J34" s="1107"/>
      <c r="K34" s="659">
        <f t="shared" si="8"/>
        <v>0</v>
      </c>
      <c r="L34" s="186">
        <f>IF(K34=0,0,IF(B34=1,K34*(1+'Param treso'!$H$39),PRODUCT(L33,(POWER('Param treso'!$H$39,1)))+L33))</f>
        <v>0</v>
      </c>
      <c r="M34" s="660">
        <f>IFERROR(IF(B34='Param treso'!$H$41,L34-K34,0),0)</f>
        <v>0</v>
      </c>
      <c r="N34" s="186">
        <f>M34+H34+IF(A34='Param treso'!$H$32,G34,0)+IF(B34='Param treso'!$H$41,K34,0)</f>
        <v>155000</v>
      </c>
      <c r="O34" s="186">
        <f ca="1">IF($AM$16="Oui",-IFERROR(VLOOKUP(E34,'Crédit (IS)'!$O$8:$P$145,2,FALSE),0),0)-(AN33*$T$14)</f>
        <v>0</v>
      </c>
      <c r="P34" s="186">
        <f ca="1">H34+M34+O34+IF(A34='Param treso'!$H$32,G34-F34,0)</f>
        <v>155000</v>
      </c>
      <c r="Q34" s="1106">
        <f t="shared" ca="1" si="9"/>
        <v>0</v>
      </c>
      <c r="R34" s="1106"/>
      <c r="S34" s="1106"/>
      <c r="T34" s="186">
        <f t="shared" ca="1" si="10"/>
        <v>155000</v>
      </c>
      <c r="U34" s="662">
        <f t="shared" ca="1" si="11"/>
        <v>155000</v>
      </c>
      <c r="V34" s="662">
        <f ca="1">-IF('Param treso'!$H$20="Non",T34*Données!$L$24,IF(T34&lt;=Données!$L$26,T34*Données!$L$25,(Données!$L$26*Données!$L$25)+((T34-Données!$L$26)*Données!$L$24)))</f>
        <v>-34500</v>
      </c>
      <c r="W34" s="662">
        <f t="shared" ca="1" si="12"/>
        <v>120500</v>
      </c>
      <c r="X34" s="186">
        <f ca="1">IF($AM$16="Oui",-IFERROR(VLOOKUP(E34,'Crédit (IS)'!$O$8:$Q$145,3,FALSE),0),0)</f>
        <v>0</v>
      </c>
      <c r="Y34" s="186">
        <f t="shared" ca="1" si="17"/>
        <v>120500</v>
      </c>
      <c r="Z34" s="186">
        <f t="shared" ca="1" si="2"/>
        <v>165237.21477247897</v>
      </c>
      <c r="AA34" s="186">
        <f t="shared" ca="1" si="13"/>
        <v>0</v>
      </c>
      <c r="AB34" s="186">
        <f t="shared" ca="1" si="14"/>
        <v>0</v>
      </c>
      <c r="AC34" s="186">
        <f>IF(C34&lt;='Crédit (IR)'!$G$16/12,-(('Crédit (IR)'!$K$17)/(1-'Param treso'!$H$18)),0)</f>
        <v>0</v>
      </c>
      <c r="AD34" s="186">
        <f>IF($AM$14="Non",0,IF(C34&lt;='Crédit (IR)'!$G$16/12,-('Crédit (IR)'!$K$17),0))</f>
        <v>0</v>
      </c>
      <c r="AE34" s="186">
        <f ca="1">-IF(AND(E34&gt;=$AO$10,E34&lt;$AO$12),$AM$10/(1-'Param treso'!$H$18),IF(E34&gt;=$AO$12,$AM$12/(1-'Param treso'!$H$18),0))</f>
        <v>-207782.77014285719</v>
      </c>
      <c r="AF34" s="186">
        <f t="shared" ca="1" si="0"/>
        <v>-145447.93910000002</v>
      </c>
      <c r="AG34" s="186">
        <f>IF(C34=1,IF($K$12="Oui",-(Z34+AI34+AJ34),0),IF(AND($K$12="Oui",$K$16="Oui",A34='Param treso'!$H$32,B34='Param treso'!$H$41),-(Z34+AI34+AJ34+AH34),IF(AND($K$12="Oui",B34='Param treso'!$H$41),-(Z34+AI34+AJ34+AH34),IF(AND(A34='Param treso'!$H$32,$K$16="Oui"),-$F$19,IF($K$12="Oui",-(Z34+AI34+AJ34+AH34),0)))))</f>
        <v>0</v>
      </c>
      <c r="AH34" s="186">
        <f>IF(C34=1,0,IF(AND($K$16="Oui",B34='Param treso'!$H$41),-$K$19,0))</f>
        <v>0</v>
      </c>
      <c r="AI34" s="186">
        <f t="shared" si="1"/>
        <v>0</v>
      </c>
      <c r="AJ34" s="704">
        <f ca="1">IF(AI34=AF34+AD34,0,IF(AD34+AF34&lt;0,IF((Z34+AI34)&gt;=-(AC34+AE34),(AD34+AF34-AI34)/(1-'Param treso'!$H$18),-(Z34+AI34)),0))</f>
        <v>-165237.21477247897</v>
      </c>
      <c r="AK34" s="1106">
        <f t="shared" ca="1" si="15"/>
        <v>0</v>
      </c>
      <c r="AL34" s="1106"/>
      <c r="AM34" s="1106"/>
      <c r="AN34" s="660">
        <f t="shared" ca="1" si="16"/>
        <v>0</v>
      </c>
      <c r="AO34" s="696">
        <f ca="1">-AJ34*(1-'Param treso'!$H$18)</f>
        <v>115666.05034073527</v>
      </c>
      <c r="AP34" s="709">
        <f t="shared" ca="1" si="3"/>
        <v>-29781.888759264752</v>
      </c>
    </row>
    <row r="35" spans="1:42">
      <c r="A35" s="708">
        <f>IF(C35&lt;='Param treso'!$H$32,C35,IF(A34&lt;'Param treso'!$H$32,A34+1,1))</f>
        <v>15</v>
      </c>
      <c r="B35" s="708">
        <f>IF(C35&lt;='Param treso'!$H$41,C35,IF(B34&lt;'Param treso'!$H$41,B34+1,1))</f>
        <v>5</v>
      </c>
      <c r="C35" s="639">
        <f t="shared" si="4"/>
        <v>15</v>
      </c>
      <c r="D35" s="639">
        <f t="shared" ca="1" si="5"/>
        <v>75</v>
      </c>
      <c r="E35" s="649">
        <f t="shared" ca="1" si="6"/>
        <v>2041</v>
      </c>
      <c r="F35" s="186">
        <f>IF(C35=1,$F$19,IF(AND(A35=1,$K$16="Oui"),-AG34,IF(AND(A35&lt;='Param treso'!$H$32,$K$12="Oui"),IF(A35=1,-AG34,-AG34+G34),IF(AND(A35&lt;='Param treso'!$H$32,C35&lt;='Param treso'!$H$32),G34,IF($K$16="Oui",G34,0)))))</f>
        <v>3100000</v>
      </c>
      <c r="G35" s="186">
        <f t="shared" si="7"/>
        <v>3100000</v>
      </c>
      <c r="H35" s="1106">
        <f>F35*'Param treso'!$H$30</f>
        <v>155000</v>
      </c>
      <c r="I35" s="1106"/>
      <c r="J35" s="1107"/>
      <c r="K35" s="659">
        <f t="shared" si="8"/>
        <v>0</v>
      </c>
      <c r="L35" s="186">
        <f>IF(K35=0,0,IF(B35=1,K35*(1+'Param treso'!$H$39),PRODUCT(L34,(POWER('Param treso'!$H$39,1)))+L34))</f>
        <v>0</v>
      </c>
      <c r="M35" s="660">
        <f>IFERROR(IF(B35='Param treso'!$H$41,L35-K35,0),0)</f>
        <v>0</v>
      </c>
      <c r="N35" s="186">
        <f>M35+H35+IF(A35='Param treso'!$H$32,G35,0)+IF(B35='Param treso'!$H$41,K35,0)</f>
        <v>155000</v>
      </c>
      <c r="O35" s="186">
        <f ca="1">IF($AM$16="Oui",-IFERROR(VLOOKUP(E35,'Crédit (IS)'!$O$8:$P$145,2,FALSE),0),0)-(AN34*$T$14)</f>
        <v>0</v>
      </c>
      <c r="P35" s="186">
        <f ca="1">H35+M35+O35+IF(A35='Param treso'!$H$32,G35-F35,0)</f>
        <v>155000</v>
      </c>
      <c r="Q35" s="1106">
        <f t="shared" ca="1" si="9"/>
        <v>0</v>
      </c>
      <c r="R35" s="1106"/>
      <c r="S35" s="1106"/>
      <c r="T35" s="186">
        <f t="shared" ca="1" si="10"/>
        <v>155000</v>
      </c>
      <c r="U35" s="662">
        <f t="shared" ca="1" si="11"/>
        <v>155000</v>
      </c>
      <c r="V35" s="662">
        <f ca="1">-IF('Param treso'!$H$20="Non",T35*Données!$L$24,IF(T35&lt;=Données!$L$26,T35*Données!$L$25,(Données!$L$26*Données!$L$25)+((T35-Données!$L$26)*Données!$L$24)))</f>
        <v>-34500</v>
      </c>
      <c r="W35" s="662">
        <f t="shared" ca="1" si="12"/>
        <v>120500</v>
      </c>
      <c r="X35" s="186">
        <f ca="1">IF($AM$16="Oui",-IFERROR(VLOOKUP(E35,'Crédit (IS)'!$O$8:$Q$145,3,FALSE),0),0)</f>
        <v>0</v>
      </c>
      <c r="Y35" s="186">
        <f t="shared" ca="1" si="17"/>
        <v>120500</v>
      </c>
      <c r="Z35" s="186">
        <f t="shared" ca="1" si="2"/>
        <v>120500</v>
      </c>
      <c r="AA35" s="186">
        <f t="shared" ca="1" si="13"/>
        <v>0</v>
      </c>
      <c r="AB35" s="186">
        <f t="shared" ca="1" si="14"/>
        <v>0</v>
      </c>
      <c r="AC35" s="186">
        <f>IF(C35&lt;='Crédit (IR)'!$G$16/12,-(('Crédit (IR)'!$K$17)/(1-'Param treso'!$H$18)),0)</f>
        <v>0</v>
      </c>
      <c r="AD35" s="186">
        <f>IF($AM$14="Non",0,IF(C35&lt;='Crédit (IR)'!$G$16/12,-('Crédit (IR)'!$K$17),0))</f>
        <v>0</v>
      </c>
      <c r="AE35" s="186">
        <f ca="1">-IF(AND(E35&gt;=$AO$10,E35&lt;$AO$12),$AM$10/(1-'Param treso'!$H$18),IF(E35&gt;=$AO$12,$AM$12/(1-'Param treso'!$H$18),0))</f>
        <v>-207782.77014285719</v>
      </c>
      <c r="AF35" s="186">
        <f t="shared" ca="1" si="0"/>
        <v>-145447.93910000002</v>
      </c>
      <c r="AG35" s="186">
        <f>IF(C35=1,IF($K$12="Oui",-(Z35+AI35+AJ35),0),IF(AND($K$12="Oui",$K$16="Oui",A35='Param treso'!$H$32,B35='Param treso'!$H$41),-(Z35+AI35+AJ35+AH35),IF(AND($K$12="Oui",B35='Param treso'!$H$41),-(Z35+AI35+AJ35+AH35),IF(AND(A35='Param treso'!$H$32,$K$16="Oui"),-$F$19,IF($K$12="Oui",-(Z35+AI35+AJ35+AH35),0)))))</f>
        <v>0</v>
      </c>
      <c r="AH35" s="186">
        <f>IF(C35=1,0,IF(AND($K$16="Oui",B35='Param treso'!$H$41),-$K$19,0))</f>
        <v>0</v>
      </c>
      <c r="AI35" s="186">
        <f t="shared" si="1"/>
        <v>0</v>
      </c>
      <c r="AJ35" s="704">
        <f ca="1">IF(AI35=AF35+AD35,0,IF(AD35+AF35&lt;0,IF((Z35+AI35)&gt;=-(AC35+AE35),(AD35+AF35-AI35)/(1-'Param treso'!$H$18),-(Z35+AI35)),0))</f>
        <v>-120500</v>
      </c>
      <c r="AK35" s="1106">
        <f t="shared" ca="1" si="15"/>
        <v>0</v>
      </c>
      <c r="AL35" s="1106"/>
      <c r="AM35" s="1106"/>
      <c r="AN35" s="660">
        <f t="shared" ca="1" si="16"/>
        <v>0</v>
      </c>
      <c r="AO35" s="696">
        <f ca="1">-AJ35*(1-'Param treso'!$H$18)</f>
        <v>84350</v>
      </c>
      <c r="AP35" s="709">
        <f t="shared" ca="1" si="3"/>
        <v>-61097.939100000018</v>
      </c>
    </row>
    <row r="36" spans="1:42">
      <c r="A36" s="708">
        <f>IF(C36&lt;='Param treso'!$H$32,C36,IF(A35&lt;'Param treso'!$H$32,A35+1,1))</f>
        <v>16</v>
      </c>
      <c r="B36" s="708">
        <f>IF(C36&lt;='Param treso'!$H$41,C36,IF(B35&lt;'Param treso'!$H$41,B35+1,1))</f>
        <v>1</v>
      </c>
      <c r="C36" s="639">
        <f t="shared" si="4"/>
        <v>16</v>
      </c>
      <c r="D36" s="639">
        <f t="shared" ca="1" si="5"/>
        <v>76</v>
      </c>
      <c r="E36" s="649">
        <f t="shared" ca="1" si="6"/>
        <v>2042</v>
      </c>
      <c r="F36" s="186">
        <f>IF(C36=1,$F$19,IF(AND(A36=1,$K$16="Oui"),-AG35,IF(AND(A36&lt;='Param treso'!$H$32,$K$12="Oui"),IF(A36=1,-AG35,-AG35+G35),IF(AND(A36&lt;='Param treso'!$H$32,C36&lt;='Param treso'!$H$32),G35,IF($K$16="Oui",G35,0)))))</f>
        <v>3100000</v>
      </c>
      <c r="G36" s="186">
        <f t="shared" si="7"/>
        <v>3100000</v>
      </c>
      <c r="H36" s="1106">
        <f>F36*'Param treso'!$H$30</f>
        <v>155000</v>
      </c>
      <c r="I36" s="1106"/>
      <c r="J36" s="1107"/>
      <c r="K36" s="659">
        <f t="shared" si="8"/>
        <v>0</v>
      </c>
      <c r="L36" s="186">
        <f>IF(K36=0,0,IF(B36=1,K36*(1+'Param treso'!$H$39),PRODUCT(L35,(POWER('Param treso'!$H$39,1)))+L35))</f>
        <v>0</v>
      </c>
      <c r="M36" s="660">
        <f>IFERROR(IF(B36='Param treso'!$H$41,L36-K36,0),0)</f>
        <v>0</v>
      </c>
      <c r="N36" s="186">
        <f>M36+H36+IF(A36='Param treso'!$H$32,G36,0)+IF(B36='Param treso'!$H$41,K36,0)</f>
        <v>155000</v>
      </c>
      <c r="O36" s="186">
        <f ca="1">IF($AM$16="Oui",-IFERROR(VLOOKUP(E36,'Crédit (IS)'!$O$8:$P$145,2,FALSE),0),0)-(AN35*$T$14)</f>
        <v>0</v>
      </c>
      <c r="P36" s="186">
        <f ca="1">H36+M36+O36+IF(A36='Param treso'!$H$32,G36-F36,0)</f>
        <v>155000</v>
      </c>
      <c r="Q36" s="1106">
        <f t="shared" ca="1" si="9"/>
        <v>0</v>
      </c>
      <c r="R36" s="1106"/>
      <c r="S36" s="1106"/>
      <c r="T36" s="186">
        <f t="shared" ca="1" si="10"/>
        <v>155000</v>
      </c>
      <c r="U36" s="662">
        <f t="shared" ca="1" si="11"/>
        <v>155000</v>
      </c>
      <c r="V36" s="662">
        <f ca="1">-IF('Param treso'!$H$20="Non",T36*Données!$L$24,IF(T36&lt;=Données!$L$26,T36*Données!$L$25,(Données!$L$26*Données!$L$25)+((T36-Données!$L$26)*Données!$L$24)))</f>
        <v>-34500</v>
      </c>
      <c r="W36" s="662">
        <f t="shared" ca="1" si="12"/>
        <v>120500</v>
      </c>
      <c r="X36" s="186">
        <f ca="1">IF($AM$16="Oui",-IFERROR(VLOOKUP(E36,'Crédit (IS)'!$O$8:$Q$145,3,FALSE),0),0)</f>
        <v>0</v>
      </c>
      <c r="Y36" s="186">
        <f t="shared" ca="1" si="17"/>
        <v>120500</v>
      </c>
      <c r="Z36" s="186">
        <f t="shared" ca="1" si="2"/>
        <v>120500</v>
      </c>
      <c r="AA36" s="186">
        <f t="shared" ca="1" si="13"/>
        <v>0</v>
      </c>
      <c r="AB36" s="186">
        <f t="shared" ca="1" si="14"/>
        <v>0</v>
      </c>
      <c r="AC36" s="186">
        <f>IF(C36&lt;='Crédit (IR)'!$G$16/12,-(('Crédit (IR)'!$K$17)/(1-'Param treso'!$H$18)),0)</f>
        <v>0</v>
      </c>
      <c r="AD36" s="186">
        <f>IF($AM$14="Non",0,IF(C36&lt;='Crédit (IR)'!$G$16/12,-('Crédit (IR)'!$K$17),0))</f>
        <v>0</v>
      </c>
      <c r="AE36" s="186">
        <f ca="1">-IF(AND(E36&gt;=$AO$10,E36&lt;$AO$12),$AM$10/(1-'Param treso'!$H$18),IF(E36&gt;=$AO$12,$AM$12/(1-'Param treso'!$H$18),0))</f>
        <v>-207782.77014285719</v>
      </c>
      <c r="AF36" s="186">
        <f t="shared" ca="1" si="0"/>
        <v>-145447.93910000002</v>
      </c>
      <c r="AG36" s="186">
        <f>IF(C36=1,IF($K$12="Oui",-(Z36+AI36+AJ36),0),IF(AND($K$12="Oui",$K$16="Oui",A36='Param treso'!$H$32,B36='Param treso'!$H$41),-(Z36+AI36+AJ36+AH36),IF(AND($K$12="Oui",B36='Param treso'!$H$41),-(Z36+AI36+AJ36+AH36),IF(AND(A36='Param treso'!$H$32,$K$16="Oui"),-$F$19,IF($K$12="Oui",-(Z36+AI36+AJ36+AH36),0)))))</f>
        <v>0</v>
      </c>
      <c r="AH36" s="186">
        <f>IF(C36=1,0,IF(AND($K$16="Oui",B36='Param treso'!$H$41),-$K$19,0))</f>
        <v>0</v>
      </c>
      <c r="AI36" s="186">
        <f t="shared" si="1"/>
        <v>0</v>
      </c>
      <c r="AJ36" s="704">
        <f ca="1">IF(AI36=AF36+AD36,0,IF(AD36+AF36&lt;0,IF((Z36+AI36)&gt;=-(AC36+AE36),(AD36+AF36-AI36)/(1-'Param treso'!$H$18),-(Z36+AI36)),0))</f>
        <v>-120500</v>
      </c>
      <c r="AK36" s="1106">
        <f t="shared" ca="1" si="15"/>
        <v>0</v>
      </c>
      <c r="AL36" s="1106"/>
      <c r="AM36" s="1106"/>
      <c r="AN36" s="660">
        <f t="shared" ca="1" si="16"/>
        <v>0</v>
      </c>
      <c r="AO36" s="696">
        <f ca="1">-AJ36*(1-'Param treso'!$H$18)</f>
        <v>84350</v>
      </c>
      <c r="AP36" s="709">
        <f t="shared" ca="1" si="3"/>
        <v>-61097.939100000018</v>
      </c>
    </row>
    <row r="37" spans="1:42">
      <c r="A37" s="708">
        <f>IF(C37&lt;='Param treso'!$H$32,C37,IF(A36&lt;'Param treso'!$H$32,A36+1,1))</f>
        <v>17</v>
      </c>
      <c r="B37" s="708">
        <f>IF(C37&lt;='Param treso'!$H$41,C37,IF(B36&lt;'Param treso'!$H$41,B36+1,1))</f>
        <v>2</v>
      </c>
      <c r="C37" s="639">
        <f t="shared" si="4"/>
        <v>17</v>
      </c>
      <c r="D37" s="639">
        <f t="shared" ca="1" si="5"/>
        <v>77</v>
      </c>
      <c r="E37" s="649">
        <f t="shared" ca="1" si="6"/>
        <v>2043</v>
      </c>
      <c r="F37" s="186">
        <f>IF(C37=1,$F$19,IF(AND(A37=1,$K$16="Oui"),-AG36,IF(AND(A37&lt;='Param treso'!$H$32,$K$12="Oui"),IF(A37=1,-AG36,-AG36+G36),IF(AND(A37&lt;='Param treso'!$H$32,C37&lt;='Param treso'!$H$32),G36,IF($K$16="Oui",G36,0)))))</f>
        <v>3100000</v>
      </c>
      <c r="G37" s="186">
        <f t="shared" si="7"/>
        <v>3100000</v>
      </c>
      <c r="H37" s="1106">
        <f>F37*'Param treso'!$H$30</f>
        <v>155000</v>
      </c>
      <c r="I37" s="1106"/>
      <c r="J37" s="1107"/>
      <c r="K37" s="659">
        <f t="shared" si="8"/>
        <v>0</v>
      </c>
      <c r="L37" s="186">
        <f>IF(K37=0,0,IF(B37=1,K37*(1+'Param treso'!$H$39),PRODUCT(L36,(POWER('Param treso'!$H$39,1)))+L36))</f>
        <v>0</v>
      </c>
      <c r="M37" s="660">
        <f>IFERROR(IF(B37='Param treso'!$H$41,L37-K37,0),0)</f>
        <v>0</v>
      </c>
      <c r="N37" s="186">
        <f>M37+H37+IF(A37='Param treso'!$H$32,G37,0)+IF(B37='Param treso'!$H$41,K37,0)</f>
        <v>155000</v>
      </c>
      <c r="O37" s="186">
        <f ca="1">IF($AM$16="Oui",-IFERROR(VLOOKUP(E37,'Crédit (IS)'!$O$8:$P$145,2,FALSE),0),0)-(AN36*$T$14)</f>
        <v>0</v>
      </c>
      <c r="P37" s="186">
        <f ca="1">H37+M37+O37+IF(A37='Param treso'!$H$32,G37-F37,0)</f>
        <v>155000</v>
      </c>
      <c r="Q37" s="1106">
        <f t="shared" ca="1" si="9"/>
        <v>0</v>
      </c>
      <c r="R37" s="1106"/>
      <c r="S37" s="1106"/>
      <c r="T37" s="186">
        <f t="shared" ca="1" si="10"/>
        <v>155000</v>
      </c>
      <c r="U37" s="662">
        <f t="shared" ca="1" si="11"/>
        <v>155000</v>
      </c>
      <c r="V37" s="662">
        <f ca="1">-IF('Param treso'!$H$20="Non",T37*Données!$L$24,IF(T37&lt;=Données!$L$26,T37*Données!$L$25,(Données!$L$26*Données!$L$25)+((T37-Données!$L$26)*Données!$L$24)))</f>
        <v>-34500</v>
      </c>
      <c r="W37" s="662">
        <f t="shared" ca="1" si="12"/>
        <v>120500</v>
      </c>
      <c r="X37" s="186">
        <f ca="1">IF($AM$16="Oui",-IFERROR(VLOOKUP(E37,'Crédit (IS)'!$O$8:$Q$145,3,FALSE),0),0)</f>
        <v>0</v>
      </c>
      <c r="Y37" s="186">
        <f t="shared" ca="1" si="17"/>
        <v>120500</v>
      </c>
      <c r="Z37" s="186">
        <f t="shared" ca="1" si="2"/>
        <v>120500</v>
      </c>
      <c r="AA37" s="186">
        <f t="shared" ca="1" si="13"/>
        <v>0</v>
      </c>
      <c r="AB37" s="186">
        <f t="shared" ca="1" si="14"/>
        <v>0</v>
      </c>
      <c r="AC37" s="186">
        <f>IF(C37&lt;='Crédit (IR)'!$G$16/12,-(('Crédit (IR)'!$K$17)/(1-'Param treso'!$H$18)),0)</f>
        <v>0</v>
      </c>
      <c r="AD37" s="186">
        <f>IF($AM$14="Non",0,IF(C37&lt;='Crédit (IR)'!$G$16/12,-('Crédit (IR)'!$K$17),0))</f>
        <v>0</v>
      </c>
      <c r="AE37" s="186">
        <f ca="1">-IF(AND(E37&gt;=$AO$10,E37&lt;$AO$12),$AM$10/(1-'Param treso'!$H$18),IF(E37&gt;=$AO$12,$AM$12/(1-'Param treso'!$H$18),0))</f>
        <v>-207782.77014285719</v>
      </c>
      <c r="AF37" s="186">
        <f t="shared" ca="1" si="0"/>
        <v>-145447.93910000002</v>
      </c>
      <c r="AG37" s="186">
        <f>IF(C37=1,IF($K$12="Oui",-(Z37+AI37+AJ37),0),IF(AND($K$12="Oui",$K$16="Oui",A37='Param treso'!$H$32,B37='Param treso'!$H$41),-(Z37+AI37+AJ37+AH37),IF(AND($K$12="Oui",B37='Param treso'!$H$41),-(Z37+AI37+AJ37+AH37),IF(AND(A37='Param treso'!$H$32,$K$16="Oui"),-$F$19,IF($K$12="Oui",-(Z37+AI37+AJ37+AH37),0)))))</f>
        <v>0</v>
      </c>
      <c r="AH37" s="186">
        <f>IF(C37=1,0,IF(AND($K$16="Oui",B37='Param treso'!$H$41),-$K$19,0))</f>
        <v>0</v>
      </c>
      <c r="AI37" s="186">
        <f t="shared" si="1"/>
        <v>0</v>
      </c>
      <c r="AJ37" s="704">
        <f ca="1">IF(AI37=AF37+AD37,0,IF(AD37+AF37&lt;0,IF((Z37+AI37)&gt;=-(AC37+AE37),(AD37+AF37-AI37)/(1-'Param treso'!$H$18),-(Z37+AI37)),0))</f>
        <v>-120500</v>
      </c>
      <c r="AK37" s="1106">
        <f t="shared" ca="1" si="15"/>
        <v>0</v>
      </c>
      <c r="AL37" s="1106"/>
      <c r="AM37" s="1106"/>
      <c r="AN37" s="660">
        <f t="shared" ca="1" si="16"/>
        <v>0</v>
      </c>
      <c r="AO37" s="696">
        <f ca="1">-AJ37*(1-'Param treso'!$H$18)</f>
        <v>84350</v>
      </c>
      <c r="AP37" s="709">
        <f t="shared" ca="1" si="3"/>
        <v>-61097.939100000018</v>
      </c>
    </row>
    <row r="38" spans="1:42">
      <c r="A38" s="708">
        <f>IF(C38&lt;='Param treso'!$H$32,C38,IF(A37&lt;'Param treso'!$H$32,A37+1,1))</f>
        <v>18</v>
      </c>
      <c r="B38" s="708">
        <f>IF(C38&lt;='Param treso'!$H$41,C38,IF(B37&lt;'Param treso'!$H$41,B37+1,1))</f>
        <v>3</v>
      </c>
      <c r="C38" s="639">
        <f t="shared" si="4"/>
        <v>18</v>
      </c>
      <c r="D38" s="639">
        <f t="shared" ca="1" si="5"/>
        <v>78</v>
      </c>
      <c r="E38" s="649">
        <f t="shared" ca="1" si="6"/>
        <v>2044</v>
      </c>
      <c r="F38" s="186">
        <f>IF(C38=1,$F$19,IF(AND(A38=1,$K$16="Oui"),-AG37,IF(AND(A38&lt;='Param treso'!$H$32,$K$12="Oui"),IF(A38=1,-AG37,-AG37+G37),IF(AND(A38&lt;='Param treso'!$H$32,C38&lt;='Param treso'!$H$32),G37,IF($K$16="Oui",G37,0)))))</f>
        <v>3100000</v>
      </c>
      <c r="G38" s="186">
        <f t="shared" si="7"/>
        <v>3100000</v>
      </c>
      <c r="H38" s="1106">
        <f>F38*'Param treso'!$H$30</f>
        <v>155000</v>
      </c>
      <c r="I38" s="1106"/>
      <c r="J38" s="1107"/>
      <c r="K38" s="659">
        <f t="shared" si="8"/>
        <v>0</v>
      </c>
      <c r="L38" s="186">
        <f>IF(K38=0,0,IF(B38=1,K38*(1+'Param treso'!$H$39),PRODUCT(L37,(POWER('Param treso'!$H$39,1)))+L37))</f>
        <v>0</v>
      </c>
      <c r="M38" s="660">
        <f>IFERROR(IF(B38='Param treso'!$H$41,L38-K38,0),0)</f>
        <v>0</v>
      </c>
      <c r="N38" s="186">
        <f>M38+H38+IF(A38='Param treso'!$H$32,G38,0)+IF(B38='Param treso'!$H$41,K38,0)</f>
        <v>155000</v>
      </c>
      <c r="O38" s="186">
        <f ca="1">IF($AM$16="Oui",-IFERROR(VLOOKUP(E38,'Crédit (IS)'!$O$8:$P$145,2,FALSE),0),0)-(AN37*$T$14)</f>
        <v>0</v>
      </c>
      <c r="P38" s="186">
        <f ca="1">H38+M38+O38+IF(A38='Param treso'!$H$32,G38-F38,0)</f>
        <v>155000</v>
      </c>
      <c r="Q38" s="1106">
        <f t="shared" ca="1" si="9"/>
        <v>0</v>
      </c>
      <c r="R38" s="1106"/>
      <c r="S38" s="1106"/>
      <c r="T38" s="186">
        <f ca="1">IF(P38&lt;0,0,P38-Q37)</f>
        <v>155000</v>
      </c>
      <c r="U38" s="662">
        <f t="shared" ca="1" si="11"/>
        <v>155000</v>
      </c>
      <c r="V38" s="662">
        <f ca="1">-IF('Param treso'!$H$20="Non",T38*Données!$L$24,IF(T38&lt;=Données!$L$26,T38*Données!$L$25,(Données!$L$26*Données!$L$25)+((T38-Données!$L$26)*Données!$L$24)))</f>
        <v>-34500</v>
      </c>
      <c r="W38" s="662">
        <f t="shared" ca="1" si="12"/>
        <v>120500</v>
      </c>
      <c r="X38" s="186">
        <f ca="1">IF($AM$16="Oui",-IFERROR(VLOOKUP(E38,'Crédit (IS)'!$O$8:$Q$145,3,FALSE),0),0)</f>
        <v>0</v>
      </c>
      <c r="Y38" s="186">
        <f t="shared" ca="1" si="17"/>
        <v>120500</v>
      </c>
      <c r="Z38" s="186">
        <f t="shared" ca="1" si="2"/>
        <v>120500</v>
      </c>
      <c r="AA38" s="186">
        <f t="shared" ca="1" si="13"/>
        <v>0</v>
      </c>
      <c r="AB38" s="186">
        <f t="shared" ca="1" si="14"/>
        <v>0</v>
      </c>
      <c r="AC38" s="186">
        <f>IF(C38&lt;='Crédit (IR)'!$G$16/12,-(('Crédit (IR)'!$K$17)/(1-'Param treso'!$H$18)),0)</f>
        <v>0</v>
      </c>
      <c r="AD38" s="186">
        <f>IF($AM$14="Non",0,IF(C38&lt;='Crédit (IR)'!$G$16/12,-('Crédit (IR)'!$K$17),0))</f>
        <v>0</v>
      </c>
      <c r="AE38" s="186">
        <f ca="1">-IF(AND(E38&gt;=$AO$10,E38&lt;$AO$12),$AM$10/(1-'Param treso'!$H$18),IF(E38&gt;=$AO$12,$AM$12/(1-'Param treso'!$H$18),0))</f>
        <v>-207782.77014285719</v>
      </c>
      <c r="AF38" s="186">
        <f t="shared" ca="1" si="0"/>
        <v>-145447.93910000002</v>
      </c>
      <c r="AG38" s="186">
        <f>IF(C38=1,IF($K$12="Oui",-(Z38+AI38+AJ38),0),IF(AND($K$12="Oui",$K$16="Oui",A38='Param treso'!$H$32,B38='Param treso'!$H$41),-(Z38+AI38+AJ38+AH38),IF(AND($K$12="Oui",B38='Param treso'!$H$41),-(Z38+AI38+AJ38+AH38),IF(AND(A38='Param treso'!$H$32,$K$16="Oui"),-$F$19,IF($K$12="Oui",-(Z38+AI38+AJ38+AH38),0)))))</f>
        <v>0</v>
      </c>
      <c r="AH38" s="186">
        <f>IF(C38=1,0,IF(AND($K$16="Oui",B38='Param treso'!$H$41),-$K$19,0))</f>
        <v>0</v>
      </c>
      <c r="AI38" s="186">
        <f t="shared" si="1"/>
        <v>0</v>
      </c>
      <c r="AJ38" s="704">
        <f ca="1">IF(AI38=AF38+AD38,0,IF(AD38+AF38&lt;0,IF((Z38+AI38)&gt;=-(AC38+AE38),(AD38+AF38-AI38)/(1-'Param treso'!$H$18),-(Z38+AI38)),0))</f>
        <v>-120500</v>
      </c>
      <c r="AK38" s="1106">
        <f t="shared" ca="1" si="15"/>
        <v>0</v>
      </c>
      <c r="AL38" s="1106"/>
      <c r="AM38" s="1106"/>
      <c r="AN38" s="660">
        <f t="shared" ca="1" si="16"/>
        <v>0</v>
      </c>
      <c r="AO38" s="696">
        <f ca="1">-AJ38*(1-'Param treso'!$H$18)</f>
        <v>84350</v>
      </c>
      <c r="AP38" s="709">
        <f t="shared" ca="1" si="3"/>
        <v>-61097.939100000018</v>
      </c>
    </row>
    <row r="39" spans="1:42">
      <c r="A39" s="708">
        <f>IF(C39&lt;='Param treso'!$H$32,C39,IF(A38&lt;'Param treso'!$H$32,A38+1,1))</f>
        <v>19</v>
      </c>
      <c r="B39" s="708">
        <f>IF(C39&lt;='Param treso'!$H$41,C39,IF(B38&lt;'Param treso'!$H$41,B38+1,1))</f>
        <v>4</v>
      </c>
      <c r="C39" s="639">
        <f t="shared" si="4"/>
        <v>19</v>
      </c>
      <c r="D39" s="639">
        <f t="shared" ca="1" si="5"/>
        <v>79</v>
      </c>
      <c r="E39" s="649">
        <f t="shared" ca="1" si="6"/>
        <v>2045</v>
      </c>
      <c r="F39" s="186">
        <f>IF(C39=1,$F$19,IF(AND(A39=1,$K$16="Oui"),-AG38,IF(AND(A39&lt;='Param treso'!$H$32,$K$12="Oui"),IF(A39=1,-AG38,-AG38+G38),IF(AND(A39&lt;='Param treso'!$H$32,C39&lt;='Param treso'!$H$32),G38,IF($K$16="Oui",G38,0)))))</f>
        <v>3100000</v>
      </c>
      <c r="G39" s="186">
        <f t="shared" si="7"/>
        <v>3100000</v>
      </c>
      <c r="H39" s="1106">
        <f>F39*'Param treso'!$H$30</f>
        <v>155000</v>
      </c>
      <c r="I39" s="1106"/>
      <c r="J39" s="1107"/>
      <c r="K39" s="659">
        <f t="shared" si="8"/>
        <v>0</v>
      </c>
      <c r="L39" s="186">
        <f>IF(K39=0,0,IF(B39=1,K39*(1+'Param treso'!$H$39),PRODUCT(L38,(POWER('Param treso'!$H$39,1)))+L38))</f>
        <v>0</v>
      </c>
      <c r="M39" s="660">
        <f>IFERROR(IF(B39='Param treso'!$H$41,L39-K39,0),0)</f>
        <v>0</v>
      </c>
      <c r="N39" s="186">
        <f>M39+H39+IF(A39='Param treso'!$H$32,G39,0)+IF(B39='Param treso'!$H$41,K39,0)</f>
        <v>155000</v>
      </c>
      <c r="O39" s="186">
        <f ca="1">IF($AM$16="Oui",-IFERROR(VLOOKUP(E39,'Crédit (IS)'!$O$8:$P$145,2,FALSE),0),0)-(AN38*$T$14)</f>
        <v>0</v>
      </c>
      <c r="P39" s="186">
        <f ca="1">H39+M39+O39+IF(A39='Param treso'!$H$32,G39-F39,0)</f>
        <v>155000</v>
      </c>
      <c r="Q39" s="1106">
        <f t="shared" ca="1" si="9"/>
        <v>0</v>
      </c>
      <c r="R39" s="1106"/>
      <c r="S39" s="1106"/>
      <c r="T39" s="186">
        <f t="shared" ca="1" si="10"/>
        <v>155000</v>
      </c>
      <c r="U39" s="662">
        <f t="shared" ca="1" si="11"/>
        <v>155000</v>
      </c>
      <c r="V39" s="662">
        <f ca="1">-IF('Param treso'!$H$20="Non",T39*Données!$L$24,IF(T39&lt;=Données!$L$26,T39*Données!$L$25,(Données!$L$26*Données!$L$25)+((T39-Données!$L$26)*Données!$L$24)))</f>
        <v>-34500</v>
      </c>
      <c r="W39" s="662">
        <f t="shared" ca="1" si="12"/>
        <v>120500</v>
      </c>
      <c r="X39" s="186">
        <f ca="1">IF($AM$16="Oui",-IFERROR(VLOOKUP(E39,'Crédit (IS)'!$O$8:$Q$145,3,FALSE),0),0)</f>
        <v>0</v>
      </c>
      <c r="Y39" s="186">
        <f t="shared" ca="1" si="17"/>
        <v>120500</v>
      </c>
      <c r="Z39" s="186">
        <f t="shared" ca="1" si="2"/>
        <v>120500</v>
      </c>
      <c r="AA39" s="186">
        <f t="shared" ca="1" si="13"/>
        <v>0</v>
      </c>
      <c r="AB39" s="186">
        <f t="shared" ca="1" si="14"/>
        <v>0</v>
      </c>
      <c r="AC39" s="186">
        <f>IF(C39&lt;='Crédit (IR)'!$G$16/12,-(('Crédit (IR)'!$K$17)/(1-'Param treso'!$H$18)),0)</f>
        <v>0</v>
      </c>
      <c r="AD39" s="186">
        <f>IF($AM$14="Non",0,IF(C39&lt;='Crédit (IR)'!$G$16/12,-('Crédit (IR)'!$K$17),0))</f>
        <v>0</v>
      </c>
      <c r="AE39" s="186">
        <f ca="1">-IF(AND(E39&gt;=$AO$10,E39&lt;$AO$12),$AM$10/(1-'Param treso'!$H$18),IF(E39&gt;=$AO$12,$AM$12/(1-'Param treso'!$H$18),0))</f>
        <v>-207782.77014285719</v>
      </c>
      <c r="AF39" s="186">
        <f t="shared" ca="1" si="0"/>
        <v>-145447.93910000002</v>
      </c>
      <c r="AG39" s="186">
        <f>IF(C39=1,IF($K$12="Oui",-(Z39+AI39+AJ39),0),IF(AND($K$12="Oui",$K$16="Oui",A39='Param treso'!$H$32,B39='Param treso'!$H$41),-(Z39+AI39+AJ39+AH39),IF(AND($K$12="Oui",B39='Param treso'!$H$41),-(Z39+AI39+AJ39+AH39),IF(AND(A39='Param treso'!$H$32,$K$16="Oui"),-$F$19,IF($K$12="Oui",-(Z39+AI39+AJ39+AH39),0)))))</f>
        <v>0</v>
      </c>
      <c r="AH39" s="186">
        <f>IF(C39=1,0,IF(AND($K$16="Oui",B39='Param treso'!$H$41),-$K$19,0))</f>
        <v>0</v>
      </c>
      <c r="AI39" s="186">
        <f t="shared" si="1"/>
        <v>0</v>
      </c>
      <c r="AJ39" s="704">
        <f ca="1">IF(AI39=AF39+AD39,0,IF(AD39+AF39&lt;0,IF((Z39+AI39)&gt;=-(AC39+AE39),(AD39+AF39-AI39)/(1-'Param treso'!$H$18),-(Z39+AI39)),0))</f>
        <v>-120500</v>
      </c>
      <c r="AK39" s="1106">
        <f t="shared" ca="1" si="15"/>
        <v>0</v>
      </c>
      <c r="AL39" s="1106"/>
      <c r="AM39" s="1106"/>
      <c r="AN39" s="660">
        <f t="shared" ca="1" si="16"/>
        <v>0</v>
      </c>
      <c r="AO39" s="696">
        <f ca="1">-AJ39*(1-'Param treso'!$H$18)</f>
        <v>84350</v>
      </c>
      <c r="AP39" s="709">
        <f t="shared" ca="1" si="3"/>
        <v>-61097.939100000018</v>
      </c>
    </row>
    <row r="40" spans="1:42">
      <c r="A40" s="708">
        <f>IF(C40&lt;='Param treso'!$H$32,C40,IF(A39&lt;'Param treso'!$H$32,A39+1,1))</f>
        <v>20</v>
      </c>
      <c r="B40" s="708">
        <f>IF(C40&lt;='Param treso'!$H$41,C40,IF(B39&lt;'Param treso'!$H$41,B39+1,1))</f>
        <v>5</v>
      </c>
      <c r="C40" s="639">
        <f t="shared" si="4"/>
        <v>20</v>
      </c>
      <c r="D40" s="639">
        <f t="shared" ca="1" si="5"/>
        <v>80</v>
      </c>
      <c r="E40" s="649">
        <f t="shared" ca="1" si="6"/>
        <v>2046</v>
      </c>
      <c r="F40" s="186">
        <f>IF(C40=1,$F$19,IF(AND(A40=1,$K$16="Oui"),-AG39,IF(AND(A40&lt;='Param treso'!$H$32,$K$12="Oui"),IF(A40=1,-AG39,-AG39+G39),IF(AND(A40&lt;='Param treso'!$H$32,C40&lt;='Param treso'!$H$32),G39,IF($K$16="Oui",G39,0)))))</f>
        <v>3100000</v>
      </c>
      <c r="G40" s="186">
        <f t="shared" si="7"/>
        <v>3100000</v>
      </c>
      <c r="H40" s="1106">
        <f>F40*'Param treso'!$H$30</f>
        <v>155000</v>
      </c>
      <c r="I40" s="1106"/>
      <c r="J40" s="1107"/>
      <c r="K40" s="659">
        <f t="shared" si="8"/>
        <v>0</v>
      </c>
      <c r="L40" s="186">
        <f>IF(K40=0,0,IF(B40=1,K40*(1+'Param treso'!$H$39),PRODUCT(L39,(POWER('Param treso'!$H$39,1)))+L39))</f>
        <v>0</v>
      </c>
      <c r="M40" s="660">
        <f>IFERROR(IF(B40='Param treso'!$H$41,L40-K40,0),0)</f>
        <v>0</v>
      </c>
      <c r="N40" s="186">
        <f>M40+H40+IF(A40='Param treso'!$H$32,G40,0)+IF(B40='Param treso'!$H$41,K40,0)</f>
        <v>155000</v>
      </c>
      <c r="O40" s="186">
        <f ca="1">IF($AM$16="Oui",-IFERROR(VLOOKUP(E40,'Crédit (IS)'!$O$8:$P$145,2,FALSE),0),0)-(AN39*$T$14)</f>
        <v>0</v>
      </c>
      <c r="P40" s="186">
        <f ca="1">H40+M40+O40+IF(A40='Param treso'!$H$32,G40-F40,0)</f>
        <v>155000</v>
      </c>
      <c r="Q40" s="1106">
        <f t="shared" ca="1" si="9"/>
        <v>0</v>
      </c>
      <c r="R40" s="1106"/>
      <c r="S40" s="1106"/>
      <c r="T40" s="186">
        <f t="shared" ca="1" si="10"/>
        <v>155000</v>
      </c>
      <c r="U40" s="662">
        <f t="shared" ca="1" si="11"/>
        <v>155000</v>
      </c>
      <c r="V40" s="662">
        <f ca="1">-IF('Param treso'!$H$20="Non",T40*Données!$L$24,IF(T40&lt;=Données!$L$26,T40*Données!$L$25,(Données!$L$26*Données!$L$25)+((T40-Données!$L$26)*Données!$L$24)))</f>
        <v>-34500</v>
      </c>
      <c r="W40" s="662">
        <f t="shared" ca="1" si="12"/>
        <v>120500</v>
      </c>
      <c r="X40" s="186">
        <f ca="1">IF($AM$16="Oui",-IFERROR(VLOOKUP(E40,'Crédit (IS)'!$O$8:$Q$145,3,FALSE),0),0)</f>
        <v>0</v>
      </c>
      <c r="Y40" s="186">
        <f t="shared" ca="1" si="17"/>
        <v>120500</v>
      </c>
      <c r="Z40" s="186">
        <f t="shared" ca="1" si="2"/>
        <v>120500</v>
      </c>
      <c r="AA40" s="186">
        <f t="shared" ca="1" si="13"/>
        <v>0</v>
      </c>
      <c r="AB40" s="186">
        <f t="shared" ca="1" si="14"/>
        <v>0</v>
      </c>
      <c r="AC40" s="186">
        <f>IF(C40&lt;='Crédit (IR)'!$G$16/12,-(('Crédit (IR)'!$K$17)/(1-'Param treso'!$H$18)),0)</f>
        <v>0</v>
      </c>
      <c r="AD40" s="186">
        <f>IF($AM$14="Non",0,IF(C40&lt;='Crédit (IR)'!$G$16/12,-('Crédit (IR)'!$K$17),0))</f>
        <v>0</v>
      </c>
      <c r="AE40" s="186">
        <f ca="1">-IF(AND(E40&gt;=$AO$10,E40&lt;$AO$12),$AM$10/(1-'Param treso'!$H$18),IF(E40&gt;=$AO$12,$AM$12/(1-'Param treso'!$H$18),0))</f>
        <v>-207782.77014285719</v>
      </c>
      <c r="AF40" s="186">
        <f t="shared" ca="1" si="0"/>
        <v>-145447.93910000002</v>
      </c>
      <c r="AG40" s="186">
        <f>IF(C40=1,IF($K$12="Oui",-(Z40+AI40+AJ40),0),IF(AND($K$12="Oui",$K$16="Oui",A40='Param treso'!$H$32,B40='Param treso'!$H$41),-(Z40+AI40+AJ40+AH40),IF(AND($K$12="Oui",B40='Param treso'!$H$41),-(Z40+AI40+AJ40+AH40),IF(AND(A40='Param treso'!$H$32,$K$16="Oui"),-$F$19,IF($K$12="Oui",-(Z40+AI40+AJ40+AH40),0)))))</f>
        <v>0</v>
      </c>
      <c r="AH40" s="186">
        <f>IF(C40=1,0,IF(AND($K$16="Oui",B40='Param treso'!$H$41),-$K$19,0))</f>
        <v>0</v>
      </c>
      <c r="AI40" s="186">
        <f t="shared" si="1"/>
        <v>0</v>
      </c>
      <c r="AJ40" s="704">
        <f ca="1">IF(AI40=AF40+AD40,0,IF(AD40+AF40&lt;0,IF((Z40+AI40)&gt;=-(AC40+AE40),(AD40+AF40-AI40)/(1-'Param treso'!$H$18),-(Z40+AI40)),0))</f>
        <v>-120500</v>
      </c>
      <c r="AK40" s="1106">
        <f t="shared" ca="1" si="15"/>
        <v>0</v>
      </c>
      <c r="AL40" s="1106"/>
      <c r="AM40" s="1106"/>
      <c r="AN40" s="660">
        <f t="shared" ca="1" si="16"/>
        <v>0</v>
      </c>
      <c r="AO40" s="696">
        <f ca="1">-AJ40*(1-'Param treso'!$H$18)</f>
        <v>84350</v>
      </c>
      <c r="AP40" s="709">
        <f t="shared" ca="1" si="3"/>
        <v>-61097.939100000018</v>
      </c>
    </row>
    <row r="41" spans="1:42">
      <c r="A41" s="708">
        <f>IF(C41&lt;='Param treso'!$H$32,C41,IF(A40&lt;'Param treso'!$H$32,A40+1,1))</f>
        <v>21</v>
      </c>
      <c r="B41" s="708">
        <f>IF(C41&lt;='Param treso'!$H$41,C41,IF(B40&lt;'Param treso'!$H$41,B40+1,1))</f>
        <v>1</v>
      </c>
      <c r="C41" s="639">
        <f t="shared" si="4"/>
        <v>21</v>
      </c>
      <c r="D41" s="639">
        <f t="shared" ca="1" si="5"/>
        <v>81</v>
      </c>
      <c r="E41" s="649">
        <f t="shared" ca="1" si="6"/>
        <v>2047</v>
      </c>
      <c r="F41" s="186">
        <f>IF(C41=1,$F$19,IF(AND(A41=1,$K$16="Oui"),-AG40,IF(AND(A41&lt;='Param treso'!$H$32,$K$12="Oui"),IF(A41=1,-AG40,-AG40+G40),IF(AND(A41&lt;='Param treso'!$H$32,C41&lt;='Param treso'!$H$32),G40,IF($K$16="Oui",G40,0)))))</f>
        <v>3100000</v>
      </c>
      <c r="G41" s="186">
        <f t="shared" si="7"/>
        <v>3100000</v>
      </c>
      <c r="H41" s="1106">
        <f>F41*'Param treso'!$H$30</f>
        <v>155000</v>
      </c>
      <c r="I41" s="1106"/>
      <c r="J41" s="1107"/>
      <c r="K41" s="659">
        <f t="shared" si="8"/>
        <v>0</v>
      </c>
      <c r="L41" s="186">
        <f>IF(K41=0,0,IF(B41=1,K41*(1+'Param treso'!$H$39),PRODUCT(L40,(POWER('Param treso'!$H$39,1)))+L40))</f>
        <v>0</v>
      </c>
      <c r="M41" s="660">
        <f>IFERROR(IF(B41='Param treso'!$H$41,L41-K41,0),0)</f>
        <v>0</v>
      </c>
      <c r="N41" s="186">
        <f>M41+H41+IF(A41='Param treso'!$H$32,G41,0)+IF(B41='Param treso'!$H$41,K41,0)</f>
        <v>155000</v>
      </c>
      <c r="O41" s="186">
        <f ca="1">IF($AM$16="Oui",-IFERROR(VLOOKUP(E41,'Crédit (IS)'!$O$8:$P$145,2,FALSE),0),0)-(AN40*$T$14)</f>
        <v>0</v>
      </c>
      <c r="P41" s="186">
        <f ca="1">H41+M41+O41+IF(A41='Param treso'!$H$32,G41-F41,0)</f>
        <v>155000</v>
      </c>
      <c r="Q41" s="1106">
        <f t="shared" ca="1" si="9"/>
        <v>0</v>
      </c>
      <c r="R41" s="1106"/>
      <c r="S41" s="1106"/>
      <c r="T41" s="186">
        <f t="shared" ca="1" si="10"/>
        <v>155000</v>
      </c>
      <c r="U41" s="662">
        <f t="shared" ca="1" si="11"/>
        <v>155000</v>
      </c>
      <c r="V41" s="662">
        <f ca="1">-IF('Param treso'!$H$20="Non",T41*Données!$L$24,IF(T41&lt;=Données!$L$26,T41*Données!$L$25,(Données!$L$26*Données!$L$25)+((T41-Données!$L$26)*Données!$L$24)))</f>
        <v>-34500</v>
      </c>
      <c r="W41" s="662">
        <f t="shared" ca="1" si="12"/>
        <v>120500</v>
      </c>
      <c r="X41" s="186">
        <f ca="1">IF($AM$16="Oui",-IFERROR(VLOOKUP(E41,'Crédit (IS)'!$O$8:$Q$145,3,FALSE),0),0)</f>
        <v>0</v>
      </c>
      <c r="Y41" s="186">
        <f t="shared" ca="1" si="17"/>
        <v>120500</v>
      </c>
      <c r="Z41" s="186">
        <f t="shared" ca="1" si="2"/>
        <v>120500</v>
      </c>
      <c r="AA41" s="186">
        <f t="shared" ca="1" si="13"/>
        <v>0</v>
      </c>
      <c r="AB41" s="186">
        <f t="shared" ca="1" si="14"/>
        <v>0</v>
      </c>
      <c r="AC41" s="186">
        <f>IF(C41&lt;='Crédit (IR)'!$G$16/12,-(('Crédit (IR)'!$K$17)/(1-'Param treso'!$H$18)),0)</f>
        <v>0</v>
      </c>
      <c r="AD41" s="186">
        <f>IF($AM$14="Non",0,IF(C41&lt;='Crédit (IR)'!$G$16/12,-('Crédit (IR)'!$K$17),0))</f>
        <v>0</v>
      </c>
      <c r="AE41" s="186">
        <f ca="1">-IF(AND(E41&gt;=$AO$10,E41&lt;$AO$12),$AM$10/(1-'Param treso'!$H$18),IF(E41&gt;=$AO$12,$AM$12/(1-'Param treso'!$H$18),0))</f>
        <v>-207782.77014285719</v>
      </c>
      <c r="AF41" s="186">
        <f t="shared" ca="1" si="0"/>
        <v>-145447.93910000002</v>
      </c>
      <c r="AG41" s="186">
        <f>IF(C41=1,IF($K$12="Oui",-(Z41+AI41+AJ41),0),IF(AND($K$12="Oui",$K$16="Oui",A41='Param treso'!$H$32,B41='Param treso'!$H$41),-(Z41+AI41+AJ41+AH41),IF(AND($K$12="Oui",B41='Param treso'!$H$41),-(Z41+AI41+AJ41+AH41),IF(AND(A41='Param treso'!$H$32,$K$16="Oui"),-$F$19,IF($K$12="Oui",-(Z41+AI41+AJ41+AH41),0)))))</f>
        <v>0</v>
      </c>
      <c r="AH41" s="186">
        <f>IF(C41=1,0,IF(AND($K$16="Oui",B41='Param treso'!$H$41),-$K$19,0))</f>
        <v>0</v>
      </c>
      <c r="AI41" s="186">
        <f t="shared" si="1"/>
        <v>0</v>
      </c>
      <c r="AJ41" s="704">
        <f ca="1">IF(AI41=AF41+AD41,0,IF(AD41+AF41&lt;0,IF((Z41+AI41)&gt;=-(AC41+AE41),(AD41+AF41-AI41)/(1-'Param treso'!$H$18),-(Z41+AI41)),0))</f>
        <v>-120500</v>
      </c>
      <c r="AK41" s="1106">
        <f t="shared" ca="1" si="15"/>
        <v>0</v>
      </c>
      <c r="AL41" s="1106"/>
      <c r="AM41" s="1106"/>
      <c r="AN41" s="660">
        <f t="shared" ca="1" si="16"/>
        <v>0</v>
      </c>
      <c r="AO41" s="696">
        <f ca="1">-AJ41*(1-'Param treso'!$H$18)</f>
        <v>84350</v>
      </c>
      <c r="AP41" s="709">
        <f t="shared" ca="1" si="3"/>
        <v>-61097.939100000018</v>
      </c>
    </row>
    <row r="42" spans="1:42">
      <c r="A42" s="708">
        <f>IF(C42&lt;='Param treso'!$H$32,C42,IF(A41&lt;'Param treso'!$H$32,A41+1,1))</f>
        <v>22</v>
      </c>
      <c r="B42" s="708">
        <f>IF(C42&lt;='Param treso'!$H$41,C42,IF(B41&lt;'Param treso'!$H$41,B41+1,1))</f>
        <v>2</v>
      </c>
      <c r="C42" s="639">
        <f t="shared" si="4"/>
        <v>22</v>
      </c>
      <c r="D42" s="639">
        <f t="shared" ca="1" si="5"/>
        <v>82</v>
      </c>
      <c r="E42" s="649">
        <f t="shared" ca="1" si="6"/>
        <v>2048</v>
      </c>
      <c r="F42" s="186">
        <f>IF(C42=1,$F$19,IF(AND(A42=1,$K$16="Oui"),-AG41,IF(AND(A42&lt;='Param treso'!$H$32,$K$12="Oui"),IF(A42=1,-AG41,-AG41+G41),IF(AND(A42&lt;='Param treso'!$H$32,C42&lt;='Param treso'!$H$32),G41,IF($K$16="Oui",G41,0)))))</f>
        <v>3100000</v>
      </c>
      <c r="G42" s="186">
        <f t="shared" si="7"/>
        <v>3100000</v>
      </c>
      <c r="H42" s="1106">
        <f>F42*'Param treso'!$H$30</f>
        <v>155000</v>
      </c>
      <c r="I42" s="1106"/>
      <c r="J42" s="1107"/>
      <c r="K42" s="659">
        <f t="shared" si="8"/>
        <v>0</v>
      </c>
      <c r="L42" s="186">
        <f>IF(K42=0,0,IF(B42=1,K42*(1+'Param treso'!$H$39),PRODUCT(L41,(POWER('Param treso'!$H$39,1)))+L41))</f>
        <v>0</v>
      </c>
      <c r="M42" s="660">
        <f>IFERROR(IF(B42='Param treso'!$H$41,L42-K42,0),0)</f>
        <v>0</v>
      </c>
      <c r="N42" s="186">
        <f>M42+H42+IF(A42='Param treso'!$H$32,G42,0)+IF(B42='Param treso'!$H$41,K42,0)</f>
        <v>155000</v>
      </c>
      <c r="O42" s="186">
        <f ca="1">IF($AM$16="Oui",-IFERROR(VLOOKUP(E42,'Crédit (IS)'!$O$8:$P$145,2,FALSE),0),0)-(AN41*$T$14)</f>
        <v>0</v>
      </c>
      <c r="P42" s="186">
        <f ca="1">H42+M42+O42+IF(A42='Param treso'!$H$32,G42-F42,0)</f>
        <v>155000</v>
      </c>
      <c r="Q42" s="1106">
        <f t="shared" ca="1" si="9"/>
        <v>0</v>
      </c>
      <c r="R42" s="1106"/>
      <c r="S42" s="1106"/>
      <c r="T42" s="186">
        <f t="shared" ca="1" si="10"/>
        <v>155000</v>
      </c>
      <c r="U42" s="662">
        <f t="shared" ca="1" si="11"/>
        <v>155000</v>
      </c>
      <c r="V42" s="662">
        <f ca="1">-IF('Param treso'!$H$20="Non",T42*Données!$L$24,IF(T42&lt;=Données!$L$26,T42*Données!$L$25,(Données!$L$26*Données!$L$25)+((T42-Données!$L$26)*Données!$L$24)))</f>
        <v>-34500</v>
      </c>
      <c r="W42" s="662">
        <f t="shared" ca="1" si="12"/>
        <v>120500</v>
      </c>
      <c r="X42" s="186">
        <f ca="1">IF($AM$16="Oui",-IFERROR(VLOOKUP(E42,'Crédit (IS)'!$O$8:$Q$145,3,FALSE),0),0)</f>
        <v>0</v>
      </c>
      <c r="Y42" s="186">
        <f t="shared" ca="1" si="17"/>
        <v>120500</v>
      </c>
      <c r="Z42" s="186">
        <f t="shared" ca="1" si="2"/>
        <v>120500</v>
      </c>
      <c r="AA42" s="186">
        <f t="shared" ca="1" si="13"/>
        <v>0</v>
      </c>
      <c r="AB42" s="186">
        <f t="shared" ca="1" si="14"/>
        <v>0</v>
      </c>
      <c r="AC42" s="186">
        <f>IF(C42&lt;='Crédit (IR)'!$G$16/12,-(('Crédit (IR)'!$K$17)/(1-'Param treso'!$H$18)),0)</f>
        <v>0</v>
      </c>
      <c r="AD42" s="186">
        <f>IF($AM$14="Non",0,IF(C42&lt;='Crédit (IR)'!$G$16/12,-('Crédit (IR)'!$K$17),0))</f>
        <v>0</v>
      </c>
      <c r="AE42" s="186">
        <f ca="1">-IF(AND(E42&gt;=$AO$10,E42&lt;$AO$12),$AM$10/(1-'Param treso'!$H$18),IF(E42&gt;=$AO$12,$AM$12/(1-'Param treso'!$H$18),0))</f>
        <v>-207782.77014285719</v>
      </c>
      <c r="AF42" s="186">
        <f t="shared" ca="1" si="0"/>
        <v>-145447.93910000002</v>
      </c>
      <c r="AG42" s="186">
        <f>IF(C42=1,IF($K$12="Oui",-(Z42+AI42+AJ42),0),IF(AND($K$12="Oui",$K$16="Oui",A42='Param treso'!$H$32,B42='Param treso'!$H$41),-(Z42+AI42+AJ42+AH42),IF(AND($K$12="Oui",B42='Param treso'!$H$41),-(Z42+AI42+AJ42+AH42),IF(AND(A42='Param treso'!$H$32,$K$16="Oui"),-$F$19,IF($K$12="Oui",-(Z42+AI42+AJ42+AH42),0)))))</f>
        <v>0</v>
      </c>
      <c r="AH42" s="186">
        <f>IF(C42=1,0,IF(AND($K$16="Oui",B42='Param treso'!$H$41),-$K$19,0))</f>
        <v>0</v>
      </c>
      <c r="AI42" s="186">
        <f t="shared" si="1"/>
        <v>0</v>
      </c>
      <c r="AJ42" s="704">
        <f ca="1">IF(AI42=AF42+AD42,0,IF(AD42+AF42&lt;0,IF((Z42+AI42)&gt;=-(AC42+AE42),(AD42+AF42-AI42)/(1-'Param treso'!$H$18),-(Z42+AI42)),0))</f>
        <v>-120500</v>
      </c>
      <c r="AK42" s="1106">
        <f t="shared" ca="1" si="15"/>
        <v>0</v>
      </c>
      <c r="AL42" s="1106"/>
      <c r="AM42" s="1106"/>
      <c r="AN42" s="660">
        <f t="shared" ca="1" si="16"/>
        <v>0</v>
      </c>
      <c r="AO42" s="696">
        <f ca="1">-AJ42*(1-'Param treso'!$H$18)</f>
        <v>84350</v>
      </c>
      <c r="AP42" s="709">
        <f t="shared" ca="1" si="3"/>
        <v>-61097.939100000018</v>
      </c>
    </row>
    <row r="43" spans="1:42">
      <c r="A43" s="708">
        <f>IF(C43&lt;='Param treso'!$H$32,C43,IF(A42&lt;'Param treso'!$H$32,A42+1,1))</f>
        <v>23</v>
      </c>
      <c r="B43" s="708">
        <f>IF(C43&lt;='Param treso'!$H$41,C43,IF(B42&lt;'Param treso'!$H$41,B42+1,1))</f>
        <v>3</v>
      </c>
      <c r="C43" s="639">
        <f t="shared" si="4"/>
        <v>23</v>
      </c>
      <c r="D43" s="639">
        <f t="shared" ca="1" si="5"/>
        <v>83</v>
      </c>
      <c r="E43" s="649">
        <f t="shared" ca="1" si="6"/>
        <v>2049</v>
      </c>
      <c r="F43" s="186">
        <f>IF(C43=1,$F$19,IF(AND(A43=1,$K$16="Oui"),-AG42,IF(AND(A43&lt;='Param treso'!$H$32,$K$12="Oui"),IF(A43=1,-AG42,-AG42+G42),IF(AND(A43&lt;='Param treso'!$H$32,C43&lt;='Param treso'!$H$32),G42,IF($K$16="Oui",G42,0)))))</f>
        <v>3100000</v>
      </c>
      <c r="G43" s="186">
        <f t="shared" si="7"/>
        <v>3100000</v>
      </c>
      <c r="H43" s="1106">
        <f>F43*'Param treso'!$H$30</f>
        <v>155000</v>
      </c>
      <c r="I43" s="1106"/>
      <c r="J43" s="1107"/>
      <c r="K43" s="659">
        <f t="shared" si="8"/>
        <v>0</v>
      </c>
      <c r="L43" s="186">
        <f>IF(K43=0,0,IF(B43=1,K43*(1+'Param treso'!$H$39),PRODUCT(L42,(POWER('Param treso'!$H$39,1)))+L42))</f>
        <v>0</v>
      </c>
      <c r="M43" s="660">
        <f>IFERROR(IF(B43='Param treso'!$H$41,L43-K43,0),0)</f>
        <v>0</v>
      </c>
      <c r="N43" s="186">
        <f>M43+H43+IF(A43='Param treso'!$H$32,G43,0)+IF(B43='Param treso'!$H$41,K43,0)</f>
        <v>155000</v>
      </c>
      <c r="O43" s="186">
        <f ca="1">IF($AM$16="Oui",-IFERROR(VLOOKUP(E43,'Crédit (IS)'!$O$8:$P$145,2,FALSE),0),0)-(AN42*$T$14)</f>
        <v>0</v>
      </c>
      <c r="P43" s="186">
        <f ca="1">H43+M43+O43+IF(A43='Param treso'!$H$32,G43-F43,0)</f>
        <v>155000</v>
      </c>
      <c r="Q43" s="1106">
        <f t="shared" ca="1" si="9"/>
        <v>0</v>
      </c>
      <c r="R43" s="1106"/>
      <c r="S43" s="1106"/>
      <c r="T43" s="186">
        <f t="shared" ca="1" si="10"/>
        <v>155000</v>
      </c>
      <c r="U43" s="662">
        <f t="shared" ca="1" si="11"/>
        <v>155000</v>
      </c>
      <c r="V43" s="662">
        <f ca="1">-IF('Param treso'!$H$20="Non",T43*Données!$L$24,IF(T43&lt;=Données!$L$26,T43*Données!$L$25,(Données!$L$26*Données!$L$25)+((T43-Données!$L$26)*Données!$L$24)))</f>
        <v>-34500</v>
      </c>
      <c r="W43" s="662">
        <f t="shared" ca="1" si="12"/>
        <v>120500</v>
      </c>
      <c r="X43" s="186">
        <f ca="1">IF($AM$16="Oui",-IFERROR(VLOOKUP(E43,'Crédit (IS)'!$O$8:$Q$145,3,FALSE),0),0)</f>
        <v>0</v>
      </c>
      <c r="Y43" s="186">
        <f t="shared" ca="1" si="17"/>
        <v>120500</v>
      </c>
      <c r="Z43" s="186">
        <f t="shared" ca="1" si="2"/>
        <v>120500</v>
      </c>
      <c r="AA43" s="186">
        <f t="shared" ca="1" si="13"/>
        <v>0</v>
      </c>
      <c r="AB43" s="186">
        <f t="shared" ca="1" si="14"/>
        <v>0</v>
      </c>
      <c r="AC43" s="186">
        <f>IF(C43&lt;='Crédit (IR)'!$G$16/12,-(('Crédit (IR)'!$K$17)/(1-'Param treso'!$H$18)),0)</f>
        <v>0</v>
      </c>
      <c r="AD43" s="186">
        <f>IF($AM$14="Non",0,IF(C43&lt;='Crédit (IR)'!$G$16/12,-('Crédit (IR)'!$K$17),0))</f>
        <v>0</v>
      </c>
      <c r="AE43" s="186">
        <f ca="1">-IF(AND(E43&gt;=$AO$10,E43&lt;$AO$12),$AM$10/(1-'Param treso'!$H$18),IF(E43&gt;=$AO$12,$AM$12/(1-'Param treso'!$H$18),0))</f>
        <v>-207782.77014285719</v>
      </c>
      <c r="AF43" s="186">
        <f t="shared" ca="1" si="0"/>
        <v>-145447.93910000002</v>
      </c>
      <c r="AG43" s="186">
        <f>IF(C43=1,IF($K$12="Oui",-(Z43+AI43+AJ43),0),IF(AND($K$12="Oui",$K$16="Oui",A43='Param treso'!$H$32,B43='Param treso'!$H$41),-(Z43+AI43+AJ43+AH43),IF(AND($K$12="Oui",B43='Param treso'!$H$41),-(Z43+AI43+AJ43+AH43),IF(AND(A43='Param treso'!$H$32,$K$16="Oui"),-$F$19,IF($K$12="Oui",-(Z43+AI43+AJ43+AH43),0)))))</f>
        <v>0</v>
      </c>
      <c r="AH43" s="186">
        <f>IF(C43=1,0,IF(AND($K$16="Oui",B43='Param treso'!$H$41),-$K$19,0))</f>
        <v>0</v>
      </c>
      <c r="AI43" s="186">
        <f t="shared" si="1"/>
        <v>0</v>
      </c>
      <c r="AJ43" s="704">
        <f ca="1">IF(AI43=AF43+AD43,0,IF(AD43+AF43&lt;0,IF((Z43+AI43)&gt;=-(AC43+AE43),(AD43+AF43-AI43)/(1-'Param treso'!$H$18),-(Z43+AI43)),0))</f>
        <v>-120500</v>
      </c>
      <c r="AK43" s="1106">
        <f t="shared" ca="1" si="15"/>
        <v>0</v>
      </c>
      <c r="AL43" s="1106"/>
      <c r="AM43" s="1106"/>
      <c r="AN43" s="660">
        <f t="shared" ca="1" si="16"/>
        <v>0</v>
      </c>
      <c r="AO43" s="696">
        <f ca="1">-AJ43*(1-'Param treso'!$H$18)</f>
        <v>84350</v>
      </c>
      <c r="AP43" s="709">
        <f t="shared" ca="1" si="3"/>
        <v>-61097.939100000018</v>
      </c>
    </row>
    <row r="44" spans="1:42">
      <c r="A44" s="708">
        <f>IF(C44&lt;='Param treso'!$H$32,C44,IF(A43&lt;'Param treso'!$H$32,A43+1,1))</f>
        <v>24</v>
      </c>
      <c r="B44" s="708">
        <f>IF(C44&lt;='Param treso'!$H$41,C44,IF(B43&lt;'Param treso'!$H$41,B43+1,1))</f>
        <v>4</v>
      </c>
      <c r="C44" s="639">
        <f t="shared" si="4"/>
        <v>24</v>
      </c>
      <c r="D44" s="639">
        <f t="shared" ca="1" si="5"/>
        <v>84</v>
      </c>
      <c r="E44" s="649">
        <f t="shared" ca="1" si="6"/>
        <v>2050</v>
      </c>
      <c r="F44" s="186">
        <f>IF(C44=1,$F$19,IF(AND(A44=1,$K$16="Oui"),-AG43,IF(AND(A44&lt;='Param treso'!$H$32,$K$12="Oui"),IF(A44=1,-AG43,-AG43+G43),IF(AND(A44&lt;='Param treso'!$H$32,C44&lt;='Param treso'!$H$32),G43,IF($K$16="Oui",G43,0)))))</f>
        <v>3100000</v>
      </c>
      <c r="G44" s="186">
        <f t="shared" si="7"/>
        <v>3100000</v>
      </c>
      <c r="H44" s="1106">
        <f>F44*'Param treso'!$H$30</f>
        <v>155000</v>
      </c>
      <c r="I44" s="1106"/>
      <c r="J44" s="1107"/>
      <c r="K44" s="659">
        <f t="shared" si="8"/>
        <v>0</v>
      </c>
      <c r="L44" s="186">
        <f>IF(K44=0,0,IF(B44=1,K44*(1+'Param treso'!$H$39),PRODUCT(L43,(POWER('Param treso'!$H$39,1)))+L43))</f>
        <v>0</v>
      </c>
      <c r="M44" s="660">
        <f>IFERROR(IF(B44='Param treso'!$H$41,L44-K44,0),0)</f>
        <v>0</v>
      </c>
      <c r="N44" s="186">
        <f>M44+H44+IF(A44='Param treso'!$H$32,G44,0)+IF(B44='Param treso'!$H$41,K44,0)</f>
        <v>155000</v>
      </c>
      <c r="O44" s="186">
        <f ca="1">IF($AM$16="Oui",-IFERROR(VLOOKUP(E44,'Crédit (IS)'!$O$8:$P$145,2,FALSE),0),0)-(AN43*$T$14)</f>
        <v>0</v>
      </c>
      <c r="P44" s="186">
        <f ca="1">H44+M44+O44+IF(A44='Param treso'!$H$32,G44-F44,0)</f>
        <v>155000</v>
      </c>
      <c r="Q44" s="1106">
        <f t="shared" ca="1" si="9"/>
        <v>0</v>
      </c>
      <c r="R44" s="1106"/>
      <c r="S44" s="1106"/>
      <c r="T44" s="186">
        <f t="shared" ca="1" si="10"/>
        <v>155000</v>
      </c>
      <c r="U44" s="662">
        <f t="shared" ca="1" si="11"/>
        <v>155000</v>
      </c>
      <c r="V44" s="662">
        <f ca="1">-IF('Param treso'!$H$20="Non",T44*Données!$L$24,IF(T44&lt;=Données!$L$26,T44*Données!$L$25,(Données!$L$26*Données!$L$25)+((T44-Données!$L$26)*Données!$L$24)))</f>
        <v>-34500</v>
      </c>
      <c r="W44" s="662">
        <f t="shared" ca="1" si="12"/>
        <v>120500</v>
      </c>
      <c r="X44" s="186">
        <f ca="1">IF($AM$16="Oui",-IFERROR(VLOOKUP(E44,'Crédit (IS)'!$O$8:$Q$145,3,FALSE),0),0)</f>
        <v>0</v>
      </c>
      <c r="Y44" s="186">
        <f t="shared" ca="1" si="17"/>
        <v>120500</v>
      </c>
      <c r="Z44" s="186">
        <f t="shared" ca="1" si="2"/>
        <v>120500</v>
      </c>
      <c r="AA44" s="186">
        <f t="shared" ca="1" si="13"/>
        <v>0</v>
      </c>
      <c r="AB44" s="186">
        <f t="shared" ca="1" si="14"/>
        <v>0</v>
      </c>
      <c r="AC44" s="186">
        <f>IF(C44&lt;='Crédit (IR)'!$G$16/12,-(('Crédit (IR)'!$K$17)/(1-'Param treso'!$H$18)),0)</f>
        <v>0</v>
      </c>
      <c r="AD44" s="186">
        <f>IF($AM$14="Non",0,IF(C44&lt;='Crédit (IR)'!$G$16/12,-('Crédit (IR)'!$K$17),0))</f>
        <v>0</v>
      </c>
      <c r="AE44" s="186">
        <f ca="1">-IF(AND(E44&gt;=$AO$10,E44&lt;$AO$12),$AM$10/(1-'Param treso'!$H$18),IF(E44&gt;=$AO$12,$AM$12/(1-'Param treso'!$H$18),0))</f>
        <v>-207782.77014285719</v>
      </c>
      <c r="AF44" s="186">
        <f t="shared" ca="1" si="0"/>
        <v>-145447.93910000002</v>
      </c>
      <c r="AG44" s="186">
        <f>IF(C44=1,IF($K$12="Oui",-(Z44+AI44+AJ44),0),IF(AND($K$12="Oui",$K$16="Oui",A44='Param treso'!$H$32,B44='Param treso'!$H$41),-(Z44+AI44+AJ44+AH44),IF(AND($K$12="Oui",B44='Param treso'!$H$41),-(Z44+AI44+AJ44+AH44),IF(AND(A44='Param treso'!$H$32,$K$16="Oui"),-$F$19,IF($K$12="Oui",-(Z44+AI44+AJ44+AH44),0)))))</f>
        <v>0</v>
      </c>
      <c r="AH44" s="186">
        <f>IF(C44=1,0,IF(AND($K$16="Oui",B44='Param treso'!$H$41),-$K$19,0))</f>
        <v>0</v>
      </c>
      <c r="AI44" s="186">
        <f t="shared" si="1"/>
        <v>0</v>
      </c>
      <c r="AJ44" s="704">
        <f ca="1">IF(AI44=AF44+AD44,0,IF(AD44+AF44&lt;0,IF((Z44+AI44)&gt;=-(AC44+AE44),(AD44+AF44-AI44)/(1-'Param treso'!$H$18),-(Z44+AI44)),0))</f>
        <v>-120500</v>
      </c>
      <c r="AK44" s="1106">
        <f t="shared" ca="1" si="15"/>
        <v>0</v>
      </c>
      <c r="AL44" s="1106"/>
      <c r="AM44" s="1106"/>
      <c r="AN44" s="660">
        <f t="shared" ca="1" si="16"/>
        <v>0</v>
      </c>
      <c r="AO44" s="696">
        <f ca="1">-AJ44*(1-'Param treso'!$H$18)</f>
        <v>84350</v>
      </c>
      <c r="AP44" s="709">
        <f t="shared" ca="1" si="3"/>
        <v>-61097.939100000018</v>
      </c>
    </row>
    <row r="45" spans="1:42">
      <c r="A45" s="708">
        <f>IF(C45&lt;='Param treso'!$H$32,C45,IF(A44&lt;'Param treso'!$H$32,A44+1,1))</f>
        <v>25</v>
      </c>
      <c r="B45" s="708">
        <f>IF(C45&lt;='Param treso'!$H$41,C45,IF(B44&lt;'Param treso'!$H$41,B44+1,1))</f>
        <v>5</v>
      </c>
      <c r="C45" s="639">
        <f t="shared" si="4"/>
        <v>25</v>
      </c>
      <c r="D45" s="639">
        <f t="shared" ca="1" si="5"/>
        <v>85</v>
      </c>
      <c r="E45" s="649">
        <f t="shared" ca="1" si="6"/>
        <v>2051</v>
      </c>
      <c r="F45" s="186">
        <f>IF(C45=1,$F$19,IF(AND(A45=1,$K$16="Oui"),-AG44,IF(AND(A45&lt;='Param treso'!$H$32,$K$12="Oui"),IF(A45=1,-AG44,-AG44+G44),IF(AND(A45&lt;='Param treso'!$H$32,C45&lt;='Param treso'!$H$32),G44,IF($K$16="Oui",G44,0)))))</f>
        <v>3100000</v>
      </c>
      <c r="G45" s="186">
        <f t="shared" si="7"/>
        <v>3100000</v>
      </c>
      <c r="H45" s="1106">
        <f>F45*'Param treso'!$H$30</f>
        <v>155000</v>
      </c>
      <c r="I45" s="1106"/>
      <c r="J45" s="1107"/>
      <c r="K45" s="659">
        <f t="shared" si="8"/>
        <v>0</v>
      </c>
      <c r="L45" s="186">
        <f>IF(K45=0,0,IF(B45=1,K45*(1+'Param treso'!$H$39),PRODUCT(L44,(POWER('Param treso'!$H$39,1)))+L44))</f>
        <v>0</v>
      </c>
      <c r="M45" s="660">
        <f>IFERROR(IF(B45='Param treso'!$H$41,L45-K45,0),0)</f>
        <v>0</v>
      </c>
      <c r="N45" s="186">
        <f>M45+H45+IF(A45='Param treso'!$H$32,G45,0)+IF(B45='Param treso'!$H$41,K45,0)</f>
        <v>155000</v>
      </c>
      <c r="O45" s="186">
        <f ca="1">IF($AM$16="Oui",-IFERROR(VLOOKUP(E45,'Crédit (IS)'!$O$8:$P$145,2,FALSE),0),0)-(AN44*$T$14)</f>
        <v>0</v>
      </c>
      <c r="P45" s="186">
        <f ca="1">H45+M45+O45+IF(A45='Param treso'!$H$32,G45-F45,0)</f>
        <v>155000</v>
      </c>
      <c r="Q45" s="1106">
        <f t="shared" ca="1" si="9"/>
        <v>0</v>
      </c>
      <c r="R45" s="1106"/>
      <c r="S45" s="1106"/>
      <c r="T45" s="186">
        <f t="shared" ca="1" si="10"/>
        <v>155000</v>
      </c>
      <c r="U45" s="662">
        <f t="shared" ca="1" si="11"/>
        <v>155000</v>
      </c>
      <c r="V45" s="662">
        <f ca="1">-IF('Param treso'!$H$20="Non",T45*Données!$L$24,IF(T45&lt;=Données!$L$26,T45*Données!$L$25,(Données!$L$26*Données!$L$25)+((T45-Données!$L$26)*Données!$L$24)))</f>
        <v>-34500</v>
      </c>
      <c r="W45" s="662">
        <f t="shared" ca="1" si="12"/>
        <v>120500</v>
      </c>
      <c r="X45" s="186">
        <f ca="1">IF($AM$16="Oui",-IFERROR(VLOOKUP(E45,'Crédit (IS)'!$O$8:$Q$145,3,FALSE),0),0)</f>
        <v>0</v>
      </c>
      <c r="Y45" s="186">
        <f t="shared" ca="1" si="17"/>
        <v>120500</v>
      </c>
      <c r="Z45" s="186">
        <f t="shared" ca="1" si="2"/>
        <v>120500</v>
      </c>
      <c r="AA45" s="186">
        <f t="shared" ca="1" si="13"/>
        <v>0</v>
      </c>
      <c r="AB45" s="186">
        <f t="shared" ca="1" si="14"/>
        <v>0</v>
      </c>
      <c r="AC45" s="186">
        <f>IF(C45&lt;='Crédit (IR)'!$G$16/12,-(('Crédit (IR)'!$K$17)/(1-'Param treso'!$H$18)),0)</f>
        <v>0</v>
      </c>
      <c r="AD45" s="186">
        <f>IF($AM$14="Non",0,IF(C45&lt;='Crédit (IR)'!$G$16/12,-('Crédit (IR)'!$K$17),0))</f>
        <v>0</v>
      </c>
      <c r="AE45" s="186">
        <f ca="1">-IF(AND(E45&gt;=$AO$10,E45&lt;$AO$12),$AM$10/(1-'Param treso'!$H$18),IF(E45&gt;=$AO$12,$AM$12/(1-'Param treso'!$H$18),0))</f>
        <v>-207782.77014285719</v>
      </c>
      <c r="AF45" s="186">
        <f t="shared" ca="1" si="0"/>
        <v>-145447.93910000002</v>
      </c>
      <c r="AG45" s="186">
        <f>IF(C45=1,IF($K$12="Oui",-(Z45+AI45+AJ45),0),IF(AND($K$12="Oui",$K$16="Oui",A45='Param treso'!$H$32,B45='Param treso'!$H$41),-(Z45+AI45+AJ45+AH45),IF(AND($K$12="Oui",B45='Param treso'!$H$41),-(Z45+AI45+AJ45+AH45),IF(AND(A45='Param treso'!$H$32,$K$16="Oui"),-$F$19,IF($K$12="Oui",-(Z45+AI45+AJ45+AH45),0)))))</f>
        <v>0</v>
      </c>
      <c r="AH45" s="186">
        <f>IF(C45=1,0,IF(AND($K$16="Oui",B45='Param treso'!$H$41),-$K$19,0))</f>
        <v>0</v>
      </c>
      <c r="AI45" s="186">
        <f t="shared" si="1"/>
        <v>0</v>
      </c>
      <c r="AJ45" s="704">
        <f ca="1">IF(AI45=AF45+AD45,0,IF(AD45+AF45&lt;0,IF((Z45+AI45)&gt;=-(AC45+AE45),(AD45+AF45-AI45)/(1-'Param treso'!$H$18),-(Z45+AI45)),0))</f>
        <v>-120500</v>
      </c>
      <c r="AK45" s="1106">
        <f t="shared" ca="1" si="15"/>
        <v>0</v>
      </c>
      <c r="AL45" s="1106"/>
      <c r="AM45" s="1106"/>
      <c r="AN45" s="660">
        <f t="shared" ca="1" si="16"/>
        <v>0</v>
      </c>
      <c r="AO45" s="696">
        <f ca="1">-AJ45*(1-'Param treso'!$H$18)</f>
        <v>84350</v>
      </c>
      <c r="AP45" s="709">
        <f t="shared" ca="1" si="3"/>
        <v>-61097.939100000018</v>
      </c>
    </row>
    <row r="46" spans="1:42">
      <c r="A46" s="708">
        <f>IF(C46&lt;='Param treso'!$H$32,C46,IF(A45&lt;'Param treso'!$H$32,A45+1,1))</f>
        <v>26</v>
      </c>
      <c r="B46" s="708">
        <f>IF(C46&lt;='Param treso'!$H$41,C46,IF(B45&lt;'Param treso'!$H$41,B45+1,1))</f>
        <v>1</v>
      </c>
      <c r="C46" s="639">
        <f t="shared" si="4"/>
        <v>26</v>
      </c>
      <c r="D46" s="639">
        <f t="shared" ca="1" si="5"/>
        <v>86</v>
      </c>
      <c r="E46" s="649">
        <f t="shared" ca="1" si="6"/>
        <v>2052</v>
      </c>
      <c r="F46" s="186">
        <f>IF(C46=1,$F$19,IF(AND(A46=1,$K$16="Oui"),-AG45,IF(AND(A46&lt;='Param treso'!$H$32,$K$12="Oui"),IF(A46=1,-AG45,-AG45+G45),IF(AND(A46&lt;='Param treso'!$H$32,C46&lt;='Param treso'!$H$32),G45,IF($K$16="Oui",G45,0)))))</f>
        <v>3100000</v>
      </c>
      <c r="G46" s="186">
        <f t="shared" si="7"/>
        <v>3100000</v>
      </c>
      <c r="H46" s="1106">
        <f>F46*'Param treso'!$H$30</f>
        <v>155000</v>
      </c>
      <c r="I46" s="1106"/>
      <c r="J46" s="1107"/>
      <c r="K46" s="659">
        <f t="shared" si="8"/>
        <v>0</v>
      </c>
      <c r="L46" s="186">
        <f>IF(K46=0,0,IF(B46=1,K46*(1+'Param treso'!$H$39),PRODUCT(L45,(POWER('Param treso'!$H$39,1)))+L45))</f>
        <v>0</v>
      </c>
      <c r="M46" s="660">
        <f>IFERROR(IF(B46='Param treso'!$H$41,L46-K46,0),0)</f>
        <v>0</v>
      </c>
      <c r="N46" s="186">
        <f>M46+H46+IF(A46='Param treso'!$H$32,G46,0)+IF(B46='Param treso'!$H$41,K46,0)</f>
        <v>155000</v>
      </c>
      <c r="O46" s="186">
        <f ca="1">IF($AM$16="Oui",-IFERROR(VLOOKUP(E46,'Crédit (IS)'!$O$8:$P$145,2,FALSE),0),0)-(AN45*$T$14)</f>
        <v>0</v>
      </c>
      <c r="P46" s="186">
        <f ca="1">H46+M46+O46+IF(A46='Param treso'!$H$32,G46-F46,0)</f>
        <v>155000</v>
      </c>
      <c r="Q46" s="1106">
        <f t="shared" ca="1" si="9"/>
        <v>0</v>
      </c>
      <c r="R46" s="1106"/>
      <c r="S46" s="1106"/>
      <c r="T46" s="186">
        <f t="shared" ca="1" si="10"/>
        <v>155000</v>
      </c>
      <c r="U46" s="662">
        <f t="shared" ca="1" si="11"/>
        <v>155000</v>
      </c>
      <c r="V46" s="662">
        <f ca="1">-IF('Param treso'!$H$20="Non",T46*Données!$L$24,IF(T46&lt;=Données!$L$26,T46*Données!$L$25,(Données!$L$26*Données!$L$25)+((T46-Données!$L$26)*Données!$L$24)))</f>
        <v>-34500</v>
      </c>
      <c r="W46" s="662">
        <f t="shared" ca="1" si="12"/>
        <v>120500</v>
      </c>
      <c r="X46" s="186">
        <f ca="1">IF($AM$16="Oui",-IFERROR(VLOOKUP(E46,'Crédit (IS)'!$O$8:$Q$145,3,FALSE),0),0)</f>
        <v>0</v>
      </c>
      <c r="Y46" s="186">
        <f t="shared" ca="1" si="17"/>
        <v>120500</v>
      </c>
      <c r="Z46" s="186">
        <f t="shared" ca="1" si="2"/>
        <v>120500</v>
      </c>
      <c r="AA46" s="186">
        <f t="shared" ca="1" si="13"/>
        <v>0</v>
      </c>
      <c r="AB46" s="186">
        <f t="shared" ca="1" si="14"/>
        <v>0</v>
      </c>
      <c r="AC46" s="186">
        <f>IF(C46&lt;='Crédit (IR)'!$G$16/12,-(('Crédit (IR)'!$K$17)/(1-'Param treso'!$H$18)),0)</f>
        <v>0</v>
      </c>
      <c r="AD46" s="186">
        <f>IF($AM$14="Non",0,IF(C46&lt;='Crédit (IR)'!$G$16/12,-('Crédit (IR)'!$K$17),0))</f>
        <v>0</v>
      </c>
      <c r="AE46" s="186">
        <f ca="1">-IF(AND(E46&gt;=$AO$10,E46&lt;$AO$12),$AM$10/(1-'Param treso'!$H$18),IF(E46&gt;=$AO$12,$AM$12/(1-'Param treso'!$H$18),0))</f>
        <v>-207782.77014285719</v>
      </c>
      <c r="AF46" s="186">
        <f t="shared" ca="1" si="0"/>
        <v>-145447.93910000002</v>
      </c>
      <c r="AG46" s="186">
        <f>IF(C46=1,IF($K$12="Oui",-(Z46+AI46+AJ46),0),IF(AND($K$12="Oui",$K$16="Oui",A46='Param treso'!$H$32,B46='Param treso'!$H$41),-(Z46+AI46+AJ46+AH46),IF(AND($K$12="Oui",B46='Param treso'!$H$41),-(Z46+AI46+AJ46+AH46),IF(AND(A46='Param treso'!$H$32,$K$16="Oui"),-$F$19,IF($K$12="Oui",-(Z46+AI46+AJ46+AH46),0)))))</f>
        <v>0</v>
      </c>
      <c r="AH46" s="186">
        <f>IF(C46=1,0,IF(AND($K$16="Oui",B46='Param treso'!$H$41),-$K$19,0))</f>
        <v>0</v>
      </c>
      <c r="AI46" s="186">
        <f t="shared" si="1"/>
        <v>0</v>
      </c>
      <c r="AJ46" s="704">
        <f ca="1">IF(AI46=AF46+AD46,0,IF(AD46+AF46&lt;0,IF((Z46+AI46)&gt;=-(AC46+AE46),(AD46+AF46-AI46)/(1-'Param treso'!$H$18),-(Z46+AI46)),0))</f>
        <v>-120500</v>
      </c>
      <c r="AK46" s="1106">
        <f t="shared" ca="1" si="15"/>
        <v>0</v>
      </c>
      <c r="AL46" s="1106"/>
      <c r="AM46" s="1106"/>
      <c r="AN46" s="660">
        <f t="shared" ca="1" si="16"/>
        <v>0</v>
      </c>
      <c r="AO46" s="696">
        <f ca="1">-AJ46*(1-'Param treso'!$H$18)</f>
        <v>84350</v>
      </c>
      <c r="AP46" s="709">
        <f t="shared" ca="1" si="3"/>
        <v>-61097.939100000018</v>
      </c>
    </row>
    <row r="47" spans="1:42">
      <c r="A47" s="708">
        <f>IF(C47&lt;='Param treso'!$H$32,C47,IF(A46&lt;'Param treso'!$H$32,A46+1,1))</f>
        <v>27</v>
      </c>
      <c r="B47" s="708">
        <f>IF(C47&lt;='Param treso'!$H$41,C47,IF(B46&lt;'Param treso'!$H$41,B46+1,1))</f>
        <v>2</v>
      </c>
      <c r="C47" s="639">
        <f t="shared" si="4"/>
        <v>27</v>
      </c>
      <c r="D47" s="639">
        <f t="shared" ca="1" si="5"/>
        <v>87</v>
      </c>
      <c r="E47" s="649">
        <f t="shared" ca="1" si="6"/>
        <v>2053</v>
      </c>
      <c r="F47" s="186">
        <f>IF(C47=1,$F$19,IF(AND(A47=1,$K$16="Oui"),-AG46,IF(AND(A47&lt;='Param treso'!$H$32,$K$12="Oui"),IF(A47=1,-AG46,-AG46+G46),IF(AND(A47&lt;='Param treso'!$H$32,C47&lt;='Param treso'!$H$32),G46,IF($K$16="Oui",G46,0)))))</f>
        <v>3100000</v>
      </c>
      <c r="G47" s="186">
        <f t="shared" si="7"/>
        <v>3100000</v>
      </c>
      <c r="H47" s="1106">
        <f>F47*'Param treso'!$H$30</f>
        <v>155000</v>
      </c>
      <c r="I47" s="1106"/>
      <c r="J47" s="1107"/>
      <c r="K47" s="659">
        <f t="shared" si="8"/>
        <v>0</v>
      </c>
      <c r="L47" s="186">
        <f>IF(K47=0,0,IF(B47=1,K47*(1+'Param treso'!$H$39),PRODUCT(L46,(POWER('Param treso'!$H$39,1)))+L46))</f>
        <v>0</v>
      </c>
      <c r="M47" s="660">
        <f>IFERROR(IF(B47='Param treso'!$H$41,L47-K47,0),0)</f>
        <v>0</v>
      </c>
      <c r="N47" s="186">
        <f>M47+H47+IF(A47='Param treso'!$H$32,G47,0)+IF(B47='Param treso'!$H$41,K47,0)</f>
        <v>155000</v>
      </c>
      <c r="O47" s="186">
        <f ca="1">IF($AM$16="Oui",-IFERROR(VLOOKUP(E47,'Crédit (IS)'!$O$8:$P$145,2,FALSE),0),0)-(AN46*$T$14)</f>
        <v>0</v>
      </c>
      <c r="P47" s="186">
        <f ca="1">H47+M47+O47+IF(A47='Param treso'!$H$32,G47-F47,0)</f>
        <v>155000</v>
      </c>
      <c r="Q47" s="1106">
        <f t="shared" ca="1" si="9"/>
        <v>0</v>
      </c>
      <c r="R47" s="1106"/>
      <c r="S47" s="1106"/>
      <c r="T47" s="186">
        <f t="shared" ca="1" si="10"/>
        <v>155000</v>
      </c>
      <c r="U47" s="662">
        <f t="shared" ca="1" si="11"/>
        <v>155000</v>
      </c>
      <c r="V47" s="662">
        <f ca="1">-IF('Param treso'!$H$20="Non",T47*Données!$L$24,IF(T47&lt;=Données!$L$26,T47*Données!$L$25,(Données!$L$26*Données!$L$25)+((T47-Données!$L$26)*Données!$L$24)))</f>
        <v>-34500</v>
      </c>
      <c r="W47" s="662">
        <f t="shared" ca="1" si="12"/>
        <v>120500</v>
      </c>
      <c r="X47" s="186">
        <f ca="1">IF($AM$16="Oui",-IFERROR(VLOOKUP(E47,'Crédit (IS)'!$O$8:$Q$145,3,FALSE),0),0)</f>
        <v>0</v>
      </c>
      <c r="Y47" s="186">
        <f t="shared" ca="1" si="17"/>
        <v>120500</v>
      </c>
      <c r="Z47" s="186">
        <f t="shared" ca="1" si="2"/>
        <v>120500</v>
      </c>
      <c r="AA47" s="186">
        <f t="shared" ca="1" si="13"/>
        <v>0</v>
      </c>
      <c r="AB47" s="186">
        <f t="shared" ca="1" si="14"/>
        <v>0</v>
      </c>
      <c r="AC47" s="186">
        <f>IF(C47&lt;='Crédit (IR)'!$G$16/12,-(('Crédit (IR)'!$K$17)/(1-'Param treso'!$H$18)),0)</f>
        <v>0</v>
      </c>
      <c r="AD47" s="186">
        <f>IF($AM$14="Non",0,IF(C47&lt;='Crédit (IR)'!$G$16/12,-('Crédit (IR)'!$K$17),0))</f>
        <v>0</v>
      </c>
      <c r="AE47" s="186">
        <f ca="1">-IF(AND(E47&gt;=$AO$10,E47&lt;$AO$12),$AM$10/(1-'Param treso'!$H$18),IF(E47&gt;=$AO$12,$AM$12/(1-'Param treso'!$H$18),0))</f>
        <v>-207782.77014285719</v>
      </c>
      <c r="AF47" s="186">
        <f t="shared" ca="1" si="0"/>
        <v>-145447.93910000002</v>
      </c>
      <c r="AG47" s="186">
        <f>IF(C47=1,IF($K$12="Oui",-(Z47+AI47+AJ47),0),IF(AND($K$12="Oui",$K$16="Oui",A47='Param treso'!$H$32,B47='Param treso'!$H$41),-(Z47+AI47+AJ47+AH47),IF(AND($K$12="Oui",B47='Param treso'!$H$41),-(Z47+AI47+AJ47+AH47),IF(AND(A47='Param treso'!$H$32,$K$16="Oui"),-$F$19,IF($K$12="Oui",-(Z47+AI47+AJ47+AH47),0)))))</f>
        <v>0</v>
      </c>
      <c r="AH47" s="186">
        <f>IF(C47=1,0,IF(AND($K$16="Oui",B47='Param treso'!$H$41),-$K$19,0))</f>
        <v>0</v>
      </c>
      <c r="AI47" s="186">
        <f t="shared" si="1"/>
        <v>0</v>
      </c>
      <c r="AJ47" s="704">
        <f ca="1">IF(AI47=AF47+AD47,0,IF(AD47+AF47&lt;0,IF((Z47+AI47)&gt;=-(AC47+AE47),(AD47+AF47-AI47)/(1-'Param treso'!$H$18),-(Z47+AI47)),0))</f>
        <v>-120500</v>
      </c>
      <c r="AK47" s="1106">
        <f t="shared" ca="1" si="15"/>
        <v>0</v>
      </c>
      <c r="AL47" s="1106"/>
      <c r="AM47" s="1106"/>
      <c r="AN47" s="660">
        <f t="shared" ca="1" si="16"/>
        <v>0</v>
      </c>
      <c r="AO47" s="696">
        <f ca="1">-AJ47*(1-'Param treso'!$H$18)</f>
        <v>84350</v>
      </c>
      <c r="AP47" s="709">
        <f t="shared" ca="1" si="3"/>
        <v>-61097.939100000018</v>
      </c>
    </row>
    <row r="48" spans="1:42">
      <c r="A48" s="708">
        <f>IF(C48&lt;='Param treso'!$H$32,C48,IF(A47&lt;'Param treso'!$H$32,A47+1,1))</f>
        <v>28</v>
      </c>
      <c r="B48" s="708">
        <f>IF(C48&lt;='Param treso'!$H$41,C48,IF(B47&lt;'Param treso'!$H$41,B47+1,1))</f>
        <v>3</v>
      </c>
      <c r="C48" s="639">
        <f t="shared" si="4"/>
        <v>28</v>
      </c>
      <c r="D48" s="639">
        <f t="shared" ca="1" si="5"/>
        <v>88</v>
      </c>
      <c r="E48" s="649">
        <f t="shared" ca="1" si="6"/>
        <v>2054</v>
      </c>
      <c r="F48" s="186">
        <f>IF(C48=1,$F$19,IF(AND(A48=1,$K$16="Oui"),-AG47,IF(AND(A48&lt;='Param treso'!$H$32,$K$12="Oui"),IF(A48=1,-AG47,-AG47+G47),IF(AND(A48&lt;='Param treso'!$H$32,C48&lt;='Param treso'!$H$32),G47,IF($K$16="Oui",G47,0)))))</f>
        <v>3100000</v>
      </c>
      <c r="G48" s="186">
        <f t="shared" si="7"/>
        <v>3100000</v>
      </c>
      <c r="H48" s="1106">
        <f>F48*'Param treso'!$H$30</f>
        <v>155000</v>
      </c>
      <c r="I48" s="1106"/>
      <c r="J48" s="1107"/>
      <c r="K48" s="659">
        <f t="shared" si="8"/>
        <v>0</v>
      </c>
      <c r="L48" s="186">
        <f>IF(K48=0,0,IF(B48=1,K48*(1+'Param treso'!$H$39),PRODUCT(L47,(POWER('Param treso'!$H$39,1)))+L47))</f>
        <v>0</v>
      </c>
      <c r="M48" s="660">
        <f>IFERROR(IF(B48='Param treso'!$H$41,L48-K48,0),0)</f>
        <v>0</v>
      </c>
      <c r="N48" s="186">
        <f>M48+H48+IF(A48='Param treso'!$H$32,G48,0)+IF(B48='Param treso'!$H$41,K48,0)</f>
        <v>155000</v>
      </c>
      <c r="O48" s="186">
        <f ca="1">IF($AM$16="Oui",-IFERROR(VLOOKUP(E48,'Crédit (IS)'!$O$8:$P$145,2,FALSE),0),0)-(AN47*$T$14)</f>
        <v>0</v>
      </c>
      <c r="P48" s="186">
        <f ca="1">H48+M48+O48+IF(A48='Param treso'!$H$32,G48-F48,0)</f>
        <v>155000</v>
      </c>
      <c r="Q48" s="1106">
        <f t="shared" ca="1" si="9"/>
        <v>0</v>
      </c>
      <c r="R48" s="1106"/>
      <c r="S48" s="1106"/>
      <c r="T48" s="186">
        <f t="shared" ca="1" si="10"/>
        <v>155000</v>
      </c>
      <c r="U48" s="662">
        <f t="shared" ca="1" si="11"/>
        <v>155000</v>
      </c>
      <c r="V48" s="662">
        <f ca="1">-IF('Param treso'!$H$20="Non",T48*Données!$L$24,IF(T48&lt;=Données!$L$26,T48*Données!$L$25,(Données!$L$26*Données!$L$25)+((T48-Données!$L$26)*Données!$L$24)))</f>
        <v>-34500</v>
      </c>
      <c r="W48" s="662">
        <f t="shared" ca="1" si="12"/>
        <v>120500</v>
      </c>
      <c r="X48" s="186">
        <f ca="1">IF($AM$16="Oui",-IFERROR(VLOOKUP(E48,'Crédit (IS)'!$O$8:$Q$145,3,FALSE),0),0)</f>
        <v>0</v>
      </c>
      <c r="Y48" s="186">
        <f t="shared" ca="1" si="17"/>
        <v>120500</v>
      </c>
      <c r="Z48" s="186">
        <f t="shared" ca="1" si="2"/>
        <v>120500</v>
      </c>
      <c r="AA48" s="186">
        <f t="shared" ca="1" si="13"/>
        <v>0</v>
      </c>
      <c r="AB48" s="186">
        <f t="shared" ca="1" si="14"/>
        <v>0</v>
      </c>
      <c r="AC48" s="186">
        <f>IF(C48&lt;='Crédit (IR)'!$G$16/12,-(('Crédit (IR)'!$K$17)/(1-'Param treso'!$H$18)),0)</f>
        <v>0</v>
      </c>
      <c r="AD48" s="186">
        <f>IF($AM$14="Non",0,IF(C48&lt;='Crédit (IR)'!$G$16/12,-('Crédit (IR)'!$K$17),0))</f>
        <v>0</v>
      </c>
      <c r="AE48" s="186">
        <f ca="1">-IF(AND(E48&gt;=$AO$10,E48&lt;$AO$12),$AM$10/(1-'Param treso'!$H$18),IF(E48&gt;=$AO$12,$AM$12/(1-'Param treso'!$H$18),0))</f>
        <v>-207782.77014285719</v>
      </c>
      <c r="AF48" s="186">
        <f t="shared" ca="1" si="0"/>
        <v>-145447.93910000002</v>
      </c>
      <c r="AG48" s="186">
        <f>IF(C48=1,IF($K$12="Oui",-(Z48+AI48+AJ48),0),IF(AND($K$12="Oui",$K$16="Oui",A48='Param treso'!$H$32,B48='Param treso'!$H$41),-(Z48+AI48+AJ48+AH48),IF(AND($K$12="Oui",B48='Param treso'!$H$41),-(Z48+AI48+AJ48+AH48),IF(AND(A48='Param treso'!$H$32,$K$16="Oui"),-$F$19,IF($K$12="Oui",-(Z48+AI48+AJ48+AH48),0)))))</f>
        <v>0</v>
      </c>
      <c r="AH48" s="186">
        <f>IF(C48=1,0,IF(AND($K$16="Oui",B48='Param treso'!$H$41),-$K$19,0))</f>
        <v>0</v>
      </c>
      <c r="AI48" s="186">
        <f t="shared" si="1"/>
        <v>0</v>
      </c>
      <c r="AJ48" s="704">
        <f ca="1">IF(AI48=AF48+AD48,0,IF(AD48+AF48&lt;0,IF((Z48+AI48)&gt;=-(AC48+AE48),(AD48+AF48-AI48)/(1-'Param treso'!$H$18),-(Z48+AI48)),0))</f>
        <v>-120500</v>
      </c>
      <c r="AK48" s="1106">
        <f t="shared" ca="1" si="15"/>
        <v>0</v>
      </c>
      <c r="AL48" s="1106"/>
      <c r="AM48" s="1106"/>
      <c r="AN48" s="660">
        <f t="shared" ca="1" si="16"/>
        <v>0</v>
      </c>
      <c r="AO48" s="696">
        <f ca="1">-AJ48*(1-'Param treso'!$H$18)</f>
        <v>84350</v>
      </c>
      <c r="AP48" s="709">
        <f t="shared" ca="1" si="3"/>
        <v>-61097.939100000018</v>
      </c>
    </row>
    <row r="49" spans="1:42">
      <c r="A49" s="708">
        <f>IF(C49&lt;='Param treso'!$H$32,C49,IF(A48&lt;'Param treso'!$H$32,A48+1,1))</f>
        <v>29</v>
      </c>
      <c r="B49" s="708">
        <f>IF(C49&lt;='Param treso'!$H$41,C49,IF(B48&lt;'Param treso'!$H$41,B48+1,1))</f>
        <v>4</v>
      </c>
      <c r="C49" s="639">
        <f t="shared" si="4"/>
        <v>29</v>
      </c>
      <c r="D49" s="639">
        <f t="shared" ca="1" si="5"/>
        <v>89</v>
      </c>
      <c r="E49" s="649">
        <f t="shared" ca="1" si="6"/>
        <v>2055</v>
      </c>
      <c r="F49" s="186">
        <f>IF(C49=1,$F$19,IF(AND(A49=1,$K$16="Oui"),-AG48,IF(AND(A49&lt;='Param treso'!$H$32,$K$12="Oui"),IF(A49=1,-AG48,-AG48+G48),IF(AND(A49&lt;='Param treso'!$H$32,C49&lt;='Param treso'!$H$32),G48,IF($K$16="Oui",G48,0)))))</f>
        <v>3100000</v>
      </c>
      <c r="G49" s="186">
        <f t="shared" si="7"/>
        <v>3100000</v>
      </c>
      <c r="H49" s="1106">
        <f>F49*'Param treso'!$H$30</f>
        <v>155000</v>
      </c>
      <c r="I49" s="1106"/>
      <c r="J49" s="1107"/>
      <c r="K49" s="659">
        <f t="shared" si="8"/>
        <v>0</v>
      </c>
      <c r="L49" s="186">
        <f>IF(K49=0,0,IF(B49=1,K49*(1+'Param treso'!$H$39),PRODUCT(L48,(POWER('Param treso'!$H$39,1)))+L48))</f>
        <v>0</v>
      </c>
      <c r="M49" s="660">
        <f>IFERROR(IF(B49='Param treso'!$H$41,L49-K49,0),0)</f>
        <v>0</v>
      </c>
      <c r="N49" s="186">
        <f>M49+H49+IF(A49='Param treso'!$H$32,G49,0)+IF(B49='Param treso'!$H$41,K49,0)</f>
        <v>155000</v>
      </c>
      <c r="O49" s="186">
        <f ca="1">IF($AM$16="Oui",-IFERROR(VLOOKUP(E49,'Crédit (IS)'!$O$8:$P$145,2,FALSE),0),0)-(AN48*$T$14)</f>
        <v>0</v>
      </c>
      <c r="P49" s="186">
        <f ca="1">H49+M49+O49+IF(A49='Param treso'!$H$32,G49-F49,0)</f>
        <v>155000</v>
      </c>
      <c r="Q49" s="1106">
        <f t="shared" ca="1" si="9"/>
        <v>0</v>
      </c>
      <c r="R49" s="1106"/>
      <c r="S49" s="1106"/>
      <c r="T49" s="186">
        <f t="shared" ca="1" si="10"/>
        <v>155000</v>
      </c>
      <c r="U49" s="662">
        <f t="shared" ca="1" si="11"/>
        <v>155000</v>
      </c>
      <c r="V49" s="662">
        <f ca="1">-IF('Param treso'!$H$20="Non",T49*Données!$L$24,IF(T49&lt;=Données!$L$26,T49*Données!$L$25,(Données!$L$26*Données!$L$25)+((T49-Données!$L$26)*Données!$L$24)))</f>
        <v>-34500</v>
      </c>
      <c r="W49" s="662">
        <f t="shared" ca="1" si="12"/>
        <v>120500</v>
      </c>
      <c r="X49" s="186">
        <f ca="1">IF($AM$16="Oui",-IFERROR(VLOOKUP(E49,'Crédit (IS)'!$O$8:$Q$145,3,FALSE),0),0)</f>
        <v>0</v>
      </c>
      <c r="Y49" s="186">
        <f t="shared" ca="1" si="17"/>
        <v>120500</v>
      </c>
      <c r="Z49" s="186">
        <f t="shared" ca="1" si="2"/>
        <v>120500</v>
      </c>
      <c r="AA49" s="186">
        <f t="shared" ca="1" si="13"/>
        <v>0</v>
      </c>
      <c r="AB49" s="186">
        <f t="shared" ca="1" si="14"/>
        <v>0</v>
      </c>
      <c r="AC49" s="186">
        <f>IF(C49&lt;='Crédit (IR)'!$G$16/12,-(('Crédit (IR)'!$K$17)/(1-'Param treso'!$H$18)),0)</f>
        <v>0</v>
      </c>
      <c r="AD49" s="186">
        <f>IF($AM$14="Non",0,IF(C49&lt;='Crédit (IR)'!$G$16/12,-('Crédit (IR)'!$K$17),0))</f>
        <v>0</v>
      </c>
      <c r="AE49" s="186">
        <f ca="1">-IF(AND(E49&gt;=$AO$10,E49&lt;$AO$12),$AM$10/(1-'Param treso'!$H$18),IF(E49&gt;=$AO$12,$AM$12/(1-'Param treso'!$H$18),0))</f>
        <v>-207782.77014285719</v>
      </c>
      <c r="AF49" s="186">
        <f t="shared" ca="1" si="0"/>
        <v>-145447.93910000002</v>
      </c>
      <c r="AG49" s="186">
        <f>IF(C49=1,IF($K$12="Oui",-(Z49+AI49+AJ49),0),IF(AND($K$12="Oui",$K$16="Oui",A49='Param treso'!$H$32,B49='Param treso'!$H$41),-(Z49+AI49+AJ49+AH49),IF(AND($K$12="Oui",B49='Param treso'!$H$41),-(Z49+AI49+AJ49+AH49),IF(AND(A49='Param treso'!$H$32,$K$16="Oui"),-$F$19,IF($K$12="Oui",-(Z49+AI49+AJ49+AH49),0)))))</f>
        <v>0</v>
      </c>
      <c r="AH49" s="186">
        <f>IF(C49=1,0,IF(AND($K$16="Oui",B49='Param treso'!$H$41),-$K$19,0))</f>
        <v>0</v>
      </c>
      <c r="AI49" s="186">
        <f t="shared" si="1"/>
        <v>0</v>
      </c>
      <c r="AJ49" s="704">
        <f ca="1">IF(AI49=AF49+AD49,0,IF(AD49+AF49&lt;0,IF((Z49+AI49)&gt;=-(AC49+AE49),(AD49+AF49-AI49)/(1-'Param treso'!$H$18),-(Z49+AI49)),0))</f>
        <v>-120500</v>
      </c>
      <c r="AK49" s="1106">
        <f t="shared" ca="1" si="15"/>
        <v>0</v>
      </c>
      <c r="AL49" s="1106"/>
      <c r="AM49" s="1106"/>
      <c r="AN49" s="660">
        <f t="shared" ca="1" si="16"/>
        <v>0</v>
      </c>
      <c r="AO49" s="696">
        <f ca="1">-AJ49*(1-'Param treso'!$H$18)</f>
        <v>84350</v>
      </c>
      <c r="AP49" s="709">
        <f t="shared" ca="1" si="3"/>
        <v>-61097.939100000018</v>
      </c>
    </row>
    <row r="50" spans="1:42">
      <c r="A50" s="708">
        <f>IF(C50&lt;='Param treso'!$H$32,C50,IF(A49&lt;'Param treso'!$H$32,A49+1,1))</f>
        <v>30</v>
      </c>
      <c r="B50" s="708">
        <f>IF(C50&lt;='Param treso'!$H$41,C50,IF(B49&lt;'Param treso'!$H$41,B49+1,1))</f>
        <v>5</v>
      </c>
      <c r="C50" s="639">
        <f t="shared" si="4"/>
        <v>30</v>
      </c>
      <c r="D50" s="639">
        <f t="shared" ca="1" si="5"/>
        <v>90</v>
      </c>
      <c r="E50" s="649">
        <f t="shared" ca="1" si="6"/>
        <v>2056</v>
      </c>
      <c r="F50" s="186">
        <f>IF(C50=1,$F$19,IF(AND(A50=1,$K$16="Oui"),-AG49,IF(AND(A50&lt;='Param treso'!$H$32,$K$12="Oui"),IF(A50=1,-AG49,-AG49+G49),IF(AND(A50&lt;='Param treso'!$H$32,C50&lt;='Param treso'!$H$32),G49,IF($K$16="Oui",G49,0)))))</f>
        <v>3100000</v>
      </c>
      <c r="G50" s="186">
        <f t="shared" si="7"/>
        <v>3100000</v>
      </c>
      <c r="H50" s="1106">
        <f>F50*'Param treso'!$H$30</f>
        <v>155000</v>
      </c>
      <c r="I50" s="1106"/>
      <c r="J50" s="1107"/>
      <c r="K50" s="659">
        <f t="shared" si="8"/>
        <v>0</v>
      </c>
      <c r="L50" s="186">
        <f>IF(K50=0,0,IF(B50=1,K50*(1+'Param treso'!$H$39),PRODUCT(L49,(POWER('Param treso'!$H$39,1)))+L49))</f>
        <v>0</v>
      </c>
      <c r="M50" s="660">
        <f>IFERROR(IF(B50='Param treso'!$H$41,L50-K50,0),0)</f>
        <v>0</v>
      </c>
      <c r="N50" s="186">
        <f>M50+H50+IF(A50='Param treso'!$H$32,G50,0)+IF(B50='Param treso'!$H$41,K50,0)</f>
        <v>3255000</v>
      </c>
      <c r="O50" s="186">
        <f ca="1">IF($AM$16="Oui",-IFERROR(VLOOKUP(E50,'Crédit (IS)'!$O$8:$P$145,2,FALSE),0),0)-(AN49*$T$14)</f>
        <v>0</v>
      </c>
      <c r="P50" s="186">
        <f ca="1">H50+M50+O50+IF(A50='Param treso'!$H$32,G50-F50,0)</f>
        <v>155000</v>
      </c>
      <c r="Q50" s="1106">
        <f t="shared" ca="1" si="9"/>
        <v>0</v>
      </c>
      <c r="R50" s="1106"/>
      <c r="S50" s="1106"/>
      <c r="T50" s="186">
        <f t="shared" ca="1" si="10"/>
        <v>155000</v>
      </c>
      <c r="U50" s="662">
        <f t="shared" ca="1" si="11"/>
        <v>3255000</v>
      </c>
      <c r="V50" s="662">
        <f ca="1">-IF('Param treso'!$H$20="Non",T50*Données!$L$24,IF(T50&lt;=Données!$L$26,T50*Données!$L$25,(Données!$L$26*Données!$L$25)+((T50-Données!$L$26)*Données!$L$24)))</f>
        <v>-34500</v>
      </c>
      <c r="W50" s="662">
        <f t="shared" ca="1" si="12"/>
        <v>3220500</v>
      </c>
      <c r="X50" s="186">
        <f ca="1">IF($AM$16="Oui",-IFERROR(VLOOKUP(E50,'Crédit (IS)'!$O$8:$Q$145,3,FALSE),0),0)</f>
        <v>0</v>
      </c>
      <c r="Y50" s="186">
        <f t="shared" ca="1" si="17"/>
        <v>3220500</v>
      </c>
      <c r="Z50" s="186">
        <f t="shared" ca="1" si="2"/>
        <v>3220500</v>
      </c>
      <c r="AA50" s="186">
        <f t="shared" ca="1" si="13"/>
        <v>0</v>
      </c>
      <c r="AB50" s="186">
        <f t="shared" ca="1" si="14"/>
        <v>0</v>
      </c>
      <c r="AC50" s="186">
        <f>IF(C50&lt;='Crédit (IR)'!$G$16/12,-(('Crédit (IR)'!$K$17)/(1-'Param treso'!$H$18)),0)</f>
        <v>0</v>
      </c>
      <c r="AD50" s="186">
        <f>IF($AM$14="Non",0,IF(C50&lt;='Crédit (IR)'!$G$16/12,-('Crédit (IR)'!$K$17),0))</f>
        <v>0</v>
      </c>
      <c r="AE50" s="186">
        <f ca="1">-IF(AND(E50&gt;=$AO$10,E50&lt;$AO$12),$AM$10/(1-'Param treso'!$H$18),IF(E50&gt;=$AO$12,$AM$12/(1-'Param treso'!$H$18),0))</f>
        <v>-207782.77014285719</v>
      </c>
      <c r="AF50" s="186">
        <f t="shared" ca="1" si="0"/>
        <v>-145447.93910000002</v>
      </c>
      <c r="AG50" s="186">
        <f>IF(C50=1,IF($K$12="Oui",-(Z50+AI50+AJ50),0),IF(AND($K$12="Oui",$K$16="Oui",A50='Param treso'!$H$32,B50='Param treso'!$H$41),-(Z50+AI50+AJ50+AH50),IF(AND($K$12="Oui",B50='Param treso'!$H$41),-(Z50+AI50+AJ50+AH50),IF(AND(A50='Param treso'!$H$32,$K$16="Oui"),-$F$19,IF($K$12="Oui",-(Z50+AI50+AJ50+AH50),0)))))</f>
        <v>0</v>
      </c>
      <c r="AH50" s="186">
        <f>IF(C50=1,0,IF(AND($K$16="Oui",B50='Param treso'!$H$41),-$K$19,0))</f>
        <v>0</v>
      </c>
      <c r="AI50" s="186">
        <f t="shared" si="1"/>
        <v>0</v>
      </c>
      <c r="AJ50" s="704">
        <f ca="1">IF(AI50=AF50+AD50,0,IF(AD50+AF50&lt;0,IF((Z50+AI50)&gt;=-(AC50+AE50),(AD50+AF50-AI50)/(1-'Param treso'!$H$18),-(Z50+AI50)),0))</f>
        <v>-207782.77014285719</v>
      </c>
      <c r="AK50" s="1106">
        <f t="shared" ca="1" si="15"/>
        <v>3012717.229857143</v>
      </c>
      <c r="AL50" s="1106"/>
      <c r="AM50" s="1106"/>
      <c r="AN50" s="660">
        <f t="shared" ca="1" si="16"/>
        <v>0</v>
      </c>
      <c r="AO50" s="696">
        <f ca="1">-AJ50*(1-'Param treso'!$H$18)</f>
        <v>145447.93910000002</v>
      </c>
      <c r="AP50" s="709" t="str">
        <f t="shared" ca="1" si="3"/>
        <v>Ok</v>
      </c>
    </row>
    <row r="51" spans="1:42">
      <c r="A51" s="708">
        <f>IF(C51&lt;='Param treso'!$H$32,C51,IF(A50&lt;'Param treso'!$H$32,A50+1,1))</f>
        <v>1</v>
      </c>
      <c r="B51" s="708">
        <f>IF(C51&lt;='Param treso'!$H$41,C51,IF(B50&lt;'Param treso'!$H$41,B50+1,1))</f>
        <v>1</v>
      </c>
      <c r="C51" s="639">
        <f t="shared" si="4"/>
        <v>31</v>
      </c>
      <c r="D51" s="639">
        <f t="shared" ca="1" si="5"/>
        <v>91</v>
      </c>
      <c r="E51" s="649">
        <f t="shared" ca="1" si="6"/>
        <v>2057</v>
      </c>
      <c r="F51" s="186">
        <f>IF(C51=1,$F$19,IF(AND(A51=1,$K$16="Oui"),-AG50,IF(AND(A51&lt;='Param treso'!$H$32,$K$12="Oui"),IF(A51=1,-AG50,-AG50+G50),IF(AND(A51&lt;='Param treso'!$H$32,C51&lt;='Param treso'!$H$32),G50,IF($K$16="Oui",G50,0)))))</f>
        <v>0</v>
      </c>
      <c r="G51" s="186">
        <f t="shared" si="7"/>
        <v>0</v>
      </c>
      <c r="H51" s="1106">
        <f>F51*'Param treso'!$H$30</f>
        <v>0</v>
      </c>
      <c r="I51" s="1106"/>
      <c r="J51" s="1107"/>
      <c r="K51" s="659">
        <f t="shared" si="8"/>
        <v>0</v>
      </c>
      <c r="L51" s="186">
        <f>IF(K51=0,0,IF(B51=1,K51*(1+'Param treso'!$H$39),PRODUCT(L50,(POWER('Param treso'!$H$39,1)))+L50))</f>
        <v>0</v>
      </c>
      <c r="M51" s="660">
        <f>IFERROR(IF(B51='Param treso'!$H$41,L51-K51,0),0)</f>
        <v>0</v>
      </c>
      <c r="N51" s="186">
        <f>M51+H51+IF(A51='Param treso'!$H$32,G51,0)+IF(B51='Param treso'!$H$41,K51,0)</f>
        <v>0</v>
      </c>
      <c r="O51" s="186">
        <f ca="1">IF($AM$16="Oui",-IFERROR(VLOOKUP(E51,'Crédit (IS)'!$O$8:$P$145,2,FALSE),0),0)-(AN50*$T$14)</f>
        <v>0</v>
      </c>
      <c r="P51" s="186">
        <f ca="1">H51+M51+O51+IF(A51='Param treso'!$H$32,G51-F51,0)</f>
        <v>0</v>
      </c>
      <c r="Q51" s="1106">
        <f t="shared" ca="1" si="9"/>
        <v>0</v>
      </c>
      <c r="R51" s="1106"/>
      <c r="S51" s="1106"/>
      <c r="T51" s="186">
        <f t="shared" ca="1" si="10"/>
        <v>0</v>
      </c>
      <c r="U51" s="662">
        <f t="shared" ca="1" si="11"/>
        <v>0</v>
      </c>
      <c r="V51" s="662">
        <f ca="1">-IF('Param treso'!$H$20="Non",T51*Données!$L$24,IF(T51&lt;=Données!$L$26,T51*Données!$L$25,(Données!$L$26*Données!$L$25)+((T51-Données!$L$26)*Données!$L$24)))</f>
        <v>0</v>
      </c>
      <c r="W51" s="662">
        <f t="shared" ca="1" si="12"/>
        <v>0</v>
      </c>
      <c r="X51" s="186">
        <f ca="1">IF($AM$16="Oui",-IFERROR(VLOOKUP(E51,'Crédit (IS)'!$O$8:$Q$145,3,FALSE),0),0)</f>
        <v>0</v>
      </c>
      <c r="Y51" s="186">
        <f t="shared" ca="1" si="17"/>
        <v>0</v>
      </c>
      <c r="Z51" s="186">
        <f t="shared" ca="1" si="2"/>
        <v>3012717.229857143</v>
      </c>
      <c r="AA51" s="186">
        <f t="shared" ca="1" si="13"/>
        <v>0</v>
      </c>
      <c r="AB51" s="186">
        <f t="shared" ca="1" si="14"/>
        <v>0</v>
      </c>
      <c r="AC51" s="186">
        <f>IF(C51&lt;='Crédit (IR)'!$G$16/12,-(('Crédit (IR)'!$K$17)/(1-'Param treso'!$H$18)),0)</f>
        <v>0</v>
      </c>
      <c r="AD51" s="186">
        <f>IF($AM$14="Non",0,IF(C51&lt;='Crédit (IR)'!$G$16/12,-('Crédit (IR)'!$K$17),0))</f>
        <v>0</v>
      </c>
      <c r="AE51" s="186">
        <f ca="1">-IF(AND(E51&gt;=$AO$10,E51&lt;$AO$12),$AM$10/(1-'Param treso'!$H$18),IF(E51&gt;=$AO$12,$AM$12/(1-'Param treso'!$H$18),0))</f>
        <v>-207782.77014285719</v>
      </c>
      <c r="AF51" s="186">
        <f t="shared" ca="1" si="0"/>
        <v>-145447.93910000002</v>
      </c>
      <c r="AG51" s="186">
        <f>IF(C51=1,IF($K$12="Oui",-(Z51+AI51+AJ51),0),IF(AND($K$12="Oui",$K$16="Oui",A51='Param treso'!$H$32,B51='Param treso'!$H$41),-(Z51+AI51+AJ51+AH51),IF(AND($K$12="Oui",B51='Param treso'!$H$41),-(Z51+AI51+AJ51+AH51),IF(AND(A51='Param treso'!$H$32,$K$16="Oui"),-$F$19,IF($K$12="Oui",-(Z51+AI51+AJ51+AH51),0)))))</f>
        <v>0</v>
      </c>
      <c r="AH51" s="186">
        <f>IF(C51=1,0,IF(AND($K$16="Oui",B51='Param treso'!$H$41),-$K$19,0))</f>
        <v>0</v>
      </c>
      <c r="AI51" s="186">
        <f t="shared" si="1"/>
        <v>0</v>
      </c>
      <c r="AJ51" s="704">
        <f ca="1">IF(AI51=AF51+AD51,0,IF(AD51+AF51&lt;0,IF((Z51+AI51)&gt;=-(AC51+AE51),(AD51+AF51-AI51)/(1-'Param treso'!$H$18),-(Z51+AI51)),0))</f>
        <v>-207782.77014285719</v>
      </c>
      <c r="AK51" s="1106">
        <f t="shared" ca="1" si="15"/>
        <v>2804934.459714286</v>
      </c>
      <c r="AL51" s="1106"/>
      <c r="AM51" s="1106"/>
      <c r="AN51" s="660">
        <f t="shared" ca="1" si="16"/>
        <v>0</v>
      </c>
      <c r="AO51" s="696">
        <f ca="1">-AJ51*(1-'Param treso'!$H$18)</f>
        <v>145447.93910000002</v>
      </c>
      <c r="AP51" s="709" t="str">
        <f t="shared" ca="1" si="3"/>
        <v>Ok</v>
      </c>
    </row>
    <row r="52" spans="1:42">
      <c r="A52" s="708">
        <f>IF(C52&lt;='Param treso'!$H$32,C52,IF(A51&lt;'Param treso'!$H$32,A51+1,1))</f>
        <v>2</v>
      </c>
      <c r="B52" s="708">
        <f>IF(C52&lt;='Param treso'!$H$41,C52,IF(B51&lt;'Param treso'!$H$41,B51+1,1))</f>
        <v>2</v>
      </c>
      <c r="C52" s="639">
        <f t="shared" si="4"/>
        <v>32</v>
      </c>
      <c r="D52" s="639">
        <f t="shared" ca="1" si="5"/>
        <v>92</v>
      </c>
      <c r="E52" s="649">
        <f t="shared" ca="1" si="6"/>
        <v>2058</v>
      </c>
      <c r="F52" s="186">
        <f>IF(C52=1,$F$19,IF(AND(A52=1,$K$16="Oui"),-AG51,IF(AND(A52&lt;='Param treso'!$H$32,$K$12="Oui"),IF(A52=1,-AG51,-AG51+G51),IF(AND(A52&lt;='Param treso'!$H$32,C52&lt;='Param treso'!$H$32),G51,IF($K$16="Oui",G51,0)))))</f>
        <v>0</v>
      </c>
      <c r="G52" s="186">
        <f t="shared" si="7"/>
        <v>0</v>
      </c>
      <c r="H52" s="1106">
        <f>F52*'Param treso'!$H$30</f>
        <v>0</v>
      </c>
      <c r="I52" s="1106"/>
      <c r="J52" s="1107"/>
      <c r="K52" s="659">
        <f t="shared" si="8"/>
        <v>0</v>
      </c>
      <c r="L52" s="186">
        <f>IF(K52=0,0,IF(B52=1,K52*(1+'Param treso'!$H$39),PRODUCT(L51,(POWER('Param treso'!$H$39,1)))+L51))</f>
        <v>0</v>
      </c>
      <c r="M52" s="660">
        <f>IFERROR(IF(B52='Param treso'!$H$41,L52-K52,0),0)</f>
        <v>0</v>
      </c>
      <c r="N52" s="186">
        <f>M52+H52+IF(A52='Param treso'!$H$32,G52,0)+IF(B52='Param treso'!$H$41,K52,0)</f>
        <v>0</v>
      </c>
      <c r="O52" s="186">
        <f ca="1">IF($AM$16="Oui",-IFERROR(VLOOKUP(E52,'Crédit (IS)'!$O$8:$P$145,2,FALSE),0),0)-(AN51*$T$14)</f>
        <v>0</v>
      </c>
      <c r="P52" s="186">
        <f ca="1">H52+M52+O52+IF(A52='Param treso'!$H$32,G52-F52,0)</f>
        <v>0</v>
      </c>
      <c r="Q52" s="1106">
        <f t="shared" ca="1" si="9"/>
        <v>0</v>
      </c>
      <c r="R52" s="1106"/>
      <c r="S52" s="1106"/>
      <c r="T52" s="186">
        <f t="shared" ca="1" si="10"/>
        <v>0</v>
      </c>
      <c r="U52" s="662">
        <f t="shared" ca="1" si="11"/>
        <v>0</v>
      </c>
      <c r="V52" s="662">
        <f ca="1">-IF('Param treso'!$H$20="Non",T52*Données!$L$24,IF(T52&lt;=Données!$L$26,T52*Données!$L$25,(Données!$L$26*Données!$L$25)+((T52-Données!$L$26)*Données!$L$24)))</f>
        <v>0</v>
      </c>
      <c r="W52" s="662">
        <f t="shared" ca="1" si="12"/>
        <v>0</v>
      </c>
      <c r="X52" s="186">
        <f ca="1">IF($AM$16="Oui",-IFERROR(VLOOKUP(E52,'Crédit (IS)'!$O$8:$Q$145,3,FALSE),0),0)</f>
        <v>0</v>
      </c>
      <c r="Y52" s="186">
        <f t="shared" ca="1" si="17"/>
        <v>0</v>
      </c>
      <c r="Z52" s="186">
        <f t="shared" ca="1" si="2"/>
        <v>2804934.459714286</v>
      </c>
      <c r="AA52" s="186">
        <f t="shared" ca="1" si="13"/>
        <v>0</v>
      </c>
      <c r="AB52" s="186">
        <f t="shared" ca="1" si="14"/>
        <v>0</v>
      </c>
      <c r="AC52" s="186">
        <f>IF(C52&lt;='Crédit (IR)'!$G$16/12,-(('Crédit (IR)'!$K$17)/(1-'Param treso'!$H$18)),0)</f>
        <v>0</v>
      </c>
      <c r="AD52" s="186">
        <f>IF($AM$14="Non",0,IF(C52&lt;='Crédit (IR)'!$G$16/12,-('Crédit (IR)'!$K$17),0))</f>
        <v>0</v>
      </c>
      <c r="AE52" s="186">
        <f ca="1">-IF(AND(E52&gt;=$AO$10,E52&lt;$AO$12),$AM$10/(1-'Param treso'!$H$18),IF(E52&gt;=$AO$12,$AM$12/(1-'Param treso'!$H$18),0))</f>
        <v>-207782.77014285719</v>
      </c>
      <c r="AF52" s="186">
        <f t="shared" ca="1" si="0"/>
        <v>-145447.93910000002</v>
      </c>
      <c r="AG52" s="186">
        <f>IF(C52=1,IF($K$12="Oui",-(Z52+AI52+AJ52),0),IF(AND($K$12="Oui",$K$16="Oui",A52='Param treso'!$H$32,B52='Param treso'!$H$41),-(Z52+AI52+AJ52+AH52),IF(AND($K$12="Oui",B52='Param treso'!$H$41),-(Z52+AI52+AJ52+AH52),IF(AND(A52='Param treso'!$H$32,$K$16="Oui"),-$F$19,IF($K$12="Oui",-(Z52+AI52+AJ52+AH52),0)))))</f>
        <v>0</v>
      </c>
      <c r="AH52" s="186">
        <f>IF(C52=1,0,IF(AND($K$16="Oui",B52='Param treso'!$H$41),-$K$19,0))</f>
        <v>0</v>
      </c>
      <c r="AI52" s="186">
        <f t="shared" si="1"/>
        <v>0</v>
      </c>
      <c r="AJ52" s="704">
        <f ca="1">IF(AI52=AF52+AD52,0,IF(AD52+AF52&lt;0,IF((Z52+AI52)&gt;=-(AC52+AE52),(AD52+AF52-AI52)/(1-'Param treso'!$H$18),-(Z52+AI52)),0))</f>
        <v>-207782.77014285719</v>
      </c>
      <c r="AK52" s="1106">
        <f t="shared" ca="1" si="15"/>
        <v>2597151.689571429</v>
      </c>
      <c r="AL52" s="1106"/>
      <c r="AM52" s="1106"/>
      <c r="AN52" s="660">
        <f t="shared" ca="1" si="16"/>
        <v>0</v>
      </c>
      <c r="AO52" s="696">
        <f ca="1">-AJ52*(1-'Param treso'!$H$18)</f>
        <v>145447.93910000002</v>
      </c>
      <c r="AP52" s="709" t="str">
        <f t="shared" ca="1" si="3"/>
        <v>Ok</v>
      </c>
    </row>
    <row r="53" spans="1:42">
      <c r="A53" s="708">
        <f>IF(C53&lt;='Param treso'!$H$32,C53,IF(A52&lt;'Param treso'!$H$32,A52+1,1))</f>
        <v>3</v>
      </c>
      <c r="B53" s="708">
        <f>IF(C53&lt;='Param treso'!$H$41,C53,IF(B52&lt;'Param treso'!$H$41,B52+1,1))</f>
        <v>3</v>
      </c>
      <c r="C53" s="639">
        <f t="shared" si="4"/>
        <v>33</v>
      </c>
      <c r="D53" s="639">
        <f t="shared" ca="1" si="5"/>
        <v>93</v>
      </c>
      <c r="E53" s="649">
        <f t="shared" ca="1" si="6"/>
        <v>2059</v>
      </c>
      <c r="F53" s="186">
        <f>IF(C53=1,$F$19,IF(AND(A53=1,$K$16="Oui"),-AG52,IF(AND(A53&lt;='Param treso'!$H$32,$K$12="Oui"),IF(A53=1,-AG52,-AG52+G52),IF(AND(A53&lt;='Param treso'!$H$32,C53&lt;='Param treso'!$H$32),G52,IF($K$16="Oui",G52,0)))))</f>
        <v>0</v>
      </c>
      <c r="G53" s="186">
        <f t="shared" si="7"/>
        <v>0</v>
      </c>
      <c r="H53" s="1106">
        <f>F53*'Param treso'!$H$30</f>
        <v>0</v>
      </c>
      <c r="I53" s="1106"/>
      <c r="J53" s="1107"/>
      <c r="K53" s="659">
        <f t="shared" si="8"/>
        <v>0</v>
      </c>
      <c r="L53" s="186">
        <f>IF(K53=0,0,IF(B53=1,K53*(1+'Param treso'!$H$39),PRODUCT(L52,(POWER('Param treso'!$H$39,1)))+L52))</f>
        <v>0</v>
      </c>
      <c r="M53" s="660">
        <f>IFERROR(IF(B53='Param treso'!$H$41,L53-K53,0),0)</f>
        <v>0</v>
      </c>
      <c r="N53" s="186">
        <f>M53+H53+IF(A53='Param treso'!$H$32,G53,0)+IF(B53='Param treso'!$H$41,K53,0)</f>
        <v>0</v>
      </c>
      <c r="O53" s="186">
        <f ca="1">IF($AM$16="Oui",-IFERROR(VLOOKUP(E53,'Crédit (IS)'!$O$8:$P$145,2,FALSE),0),0)-(AN52*$T$14)</f>
        <v>0</v>
      </c>
      <c r="P53" s="186">
        <f ca="1">H53+M53+O53+IF(A53='Param treso'!$H$32,G53-F53,0)</f>
        <v>0</v>
      </c>
      <c r="Q53" s="1106">
        <f t="shared" ca="1" si="9"/>
        <v>0</v>
      </c>
      <c r="R53" s="1106"/>
      <c r="S53" s="1106"/>
      <c r="T53" s="186">
        <f t="shared" ca="1" si="10"/>
        <v>0</v>
      </c>
      <c r="U53" s="662">
        <f t="shared" ca="1" si="11"/>
        <v>0</v>
      </c>
      <c r="V53" s="662">
        <f ca="1">-IF('Param treso'!$H$20="Non",T53*Données!$L$24,IF(T53&lt;=Données!$L$26,T53*Données!$L$25,(Données!$L$26*Données!$L$25)+((T53-Données!$L$26)*Données!$L$24)))</f>
        <v>0</v>
      </c>
      <c r="W53" s="662">
        <f t="shared" ca="1" si="12"/>
        <v>0</v>
      </c>
      <c r="X53" s="186">
        <f ca="1">IF($AM$16="Oui",-IFERROR(VLOOKUP(E53,'Crédit (IS)'!$O$8:$Q$145,3,FALSE),0),0)</f>
        <v>0</v>
      </c>
      <c r="Y53" s="186">
        <f t="shared" ca="1" si="17"/>
        <v>0</v>
      </c>
      <c r="Z53" s="186">
        <f t="shared" ca="1" si="2"/>
        <v>2597151.689571429</v>
      </c>
      <c r="AA53" s="186">
        <f t="shared" ca="1" si="13"/>
        <v>0</v>
      </c>
      <c r="AB53" s="186">
        <f t="shared" ca="1" si="14"/>
        <v>0</v>
      </c>
      <c r="AC53" s="186">
        <f>IF(C53&lt;='Crédit (IR)'!$G$16/12,-(('Crédit (IR)'!$K$17)/(1-'Param treso'!$H$18)),0)</f>
        <v>0</v>
      </c>
      <c r="AD53" s="186">
        <f>IF($AM$14="Non",0,IF(C53&lt;='Crédit (IR)'!$G$16/12,-('Crédit (IR)'!$K$17),0))</f>
        <v>0</v>
      </c>
      <c r="AE53" s="186">
        <f ca="1">-IF(AND(E53&gt;=$AO$10,E53&lt;$AO$12),$AM$10/(1-'Param treso'!$H$18),IF(E53&gt;=$AO$12,$AM$12/(1-'Param treso'!$H$18),0))</f>
        <v>-207782.77014285719</v>
      </c>
      <c r="AF53" s="186">
        <f t="shared" ref="AF53:AF84" ca="1" si="18">-IF(AND(E53&gt;=$AO$10,E53&lt;$AO$12),$AM$10,IF(E53&gt;=$AO$12,$AM$12,0))</f>
        <v>-145447.93910000002</v>
      </c>
      <c r="AG53" s="186">
        <f>IF(C53=1,IF($K$12="Oui",-(Z53+AI53+AJ53),0),IF(AND($K$12="Oui",$K$16="Oui",A53='Param treso'!$H$32,B53='Param treso'!$H$41),-(Z53+AI53+AJ53+AH53),IF(AND($K$12="Oui",B53='Param treso'!$H$41),-(Z53+AI53+AJ53+AH53),IF(AND(A53='Param treso'!$H$32,$K$16="Oui"),-$F$19,IF($K$12="Oui",-(Z53+AI53+AJ53+AH53),0)))))</f>
        <v>0</v>
      </c>
      <c r="AH53" s="186">
        <f>IF(C53=1,0,IF(AND($K$16="Oui",B53='Param treso'!$H$41),-$K$19,0))</f>
        <v>0</v>
      </c>
      <c r="AI53" s="186">
        <f t="shared" ref="AI53:AI84" si="19">IF($T$16="",0,IF($T$16&lt;=E53,IF(AB53&gt;0,-MIN(Z53,-(AD53+AF53),AB53),0),0))</f>
        <v>0</v>
      </c>
      <c r="AJ53" s="704">
        <f ca="1">IF(AI53=AF53+AD53,0,IF(AD53+AF53&lt;0,IF((Z53+AI53)&gt;=-(AC53+AE53),(AD53+AF53-AI53)/(1-'Param treso'!$H$18),-(Z53+AI53)),0))</f>
        <v>-207782.77014285719</v>
      </c>
      <c r="AK53" s="1106">
        <f t="shared" ca="1" si="15"/>
        <v>2389368.9194285721</v>
      </c>
      <c r="AL53" s="1106"/>
      <c r="AM53" s="1106"/>
      <c r="AN53" s="660">
        <f t="shared" ca="1" si="16"/>
        <v>0</v>
      </c>
      <c r="AO53" s="696">
        <f ca="1">-AJ53*(1-'Param treso'!$H$18)</f>
        <v>145447.93910000002</v>
      </c>
      <c r="AP53" s="709" t="str">
        <f t="shared" ca="1" si="3"/>
        <v>Ok</v>
      </c>
    </row>
    <row r="54" spans="1:42">
      <c r="A54" s="708">
        <f>IF(C54&lt;='Param treso'!$H$32,C54,IF(A53&lt;'Param treso'!$H$32,A53+1,1))</f>
        <v>4</v>
      </c>
      <c r="B54" s="708">
        <f>IF(C54&lt;='Param treso'!$H$41,C54,IF(B53&lt;'Param treso'!$H$41,B53+1,1))</f>
        <v>4</v>
      </c>
      <c r="C54" s="639">
        <f t="shared" si="4"/>
        <v>34</v>
      </c>
      <c r="D54" s="639">
        <f t="shared" ca="1" si="5"/>
        <v>94</v>
      </c>
      <c r="E54" s="649">
        <f t="shared" ca="1" si="6"/>
        <v>2060</v>
      </c>
      <c r="F54" s="186">
        <f>IF(C54=1,$F$19,IF(AND(A54=1,$K$16="Oui"),-AG53,IF(AND(A54&lt;='Param treso'!$H$32,$K$12="Oui"),IF(A54=1,-AG53,-AG53+G53),IF(AND(A54&lt;='Param treso'!$H$32,C54&lt;='Param treso'!$H$32),G53,IF($K$16="Oui",G53,0)))))</f>
        <v>0</v>
      </c>
      <c r="G54" s="186">
        <f t="shared" si="7"/>
        <v>0</v>
      </c>
      <c r="H54" s="1106">
        <f>F54*'Param treso'!$H$30</f>
        <v>0</v>
      </c>
      <c r="I54" s="1106"/>
      <c r="J54" s="1107"/>
      <c r="K54" s="659">
        <f t="shared" si="8"/>
        <v>0</v>
      </c>
      <c r="L54" s="186">
        <f>IF(K54=0,0,IF(B54=1,K54*(1+'Param treso'!$H$39),PRODUCT(L53,(POWER('Param treso'!$H$39,1)))+L53))</f>
        <v>0</v>
      </c>
      <c r="M54" s="660">
        <f>IFERROR(IF(B54='Param treso'!$H$41,L54-K54,0),0)</f>
        <v>0</v>
      </c>
      <c r="N54" s="186">
        <f>M54+H54+IF(A54='Param treso'!$H$32,G54,0)+IF(B54='Param treso'!$H$41,K54,0)</f>
        <v>0</v>
      </c>
      <c r="O54" s="186">
        <f ca="1">IF($AM$16="Oui",-IFERROR(VLOOKUP(E54,'Crédit (IS)'!$O$8:$P$145,2,FALSE),0),0)-(AN53*$T$14)</f>
        <v>0</v>
      </c>
      <c r="P54" s="186">
        <f ca="1">H54+M54+O54+IF(A54='Param treso'!$H$32,G54-F54,0)</f>
        <v>0</v>
      </c>
      <c r="Q54" s="1106">
        <f t="shared" ca="1" si="9"/>
        <v>0</v>
      </c>
      <c r="R54" s="1106"/>
      <c r="S54" s="1106"/>
      <c r="T54" s="186">
        <f t="shared" ca="1" si="10"/>
        <v>0</v>
      </c>
      <c r="U54" s="662">
        <f t="shared" ca="1" si="11"/>
        <v>0</v>
      </c>
      <c r="V54" s="662">
        <f ca="1">-IF('Param treso'!$H$20="Non",T54*Données!$L$24,IF(T54&lt;=Données!$L$26,T54*Données!$L$25,(Données!$L$26*Données!$L$25)+((T54-Données!$L$26)*Données!$L$24)))</f>
        <v>0</v>
      </c>
      <c r="W54" s="662">
        <f t="shared" ca="1" si="12"/>
        <v>0</v>
      </c>
      <c r="X54" s="186">
        <f ca="1">IF($AM$16="Oui",-IFERROR(VLOOKUP(E54,'Crédit (IS)'!$O$8:$Q$145,3,FALSE),0),0)</f>
        <v>0</v>
      </c>
      <c r="Y54" s="186">
        <f t="shared" ca="1" si="17"/>
        <v>0</v>
      </c>
      <c r="Z54" s="186">
        <f t="shared" ref="Z54:Z85" ca="1" si="20">Y54+AK53</f>
        <v>2389368.9194285721</v>
      </c>
      <c r="AA54" s="186">
        <f t="shared" ca="1" si="13"/>
        <v>0</v>
      </c>
      <c r="AB54" s="186">
        <f t="shared" ca="1" si="14"/>
        <v>0</v>
      </c>
      <c r="AC54" s="186">
        <f>IF(C54&lt;='Crédit (IR)'!$G$16/12,-(('Crédit (IR)'!$K$17)/(1-'Param treso'!$H$18)),0)</f>
        <v>0</v>
      </c>
      <c r="AD54" s="186">
        <f>IF($AM$14="Non",0,IF(C54&lt;='Crédit (IR)'!$G$16/12,-('Crédit (IR)'!$K$17),0))</f>
        <v>0</v>
      </c>
      <c r="AE54" s="186">
        <f ca="1">-IF(AND(E54&gt;=$AO$10,E54&lt;$AO$12),$AM$10/(1-'Param treso'!$H$18),IF(E54&gt;=$AO$12,$AM$12/(1-'Param treso'!$H$18),0))</f>
        <v>-207782.77014285719</v>
      </c>
      <c r="AF54" s="186">
        <f t="shared" ca="1" si="18"/>
        <v>-145447.93910000002</v>
      </c>
      <c r="AG54" s="186">
        <f>IF(C54=1,IF($K$12="Oui",-(Z54+AI54+AJ54),0),IF(AND($K$12="Oui",$K$16="Oui",A54='Param treso'!$H$32,B54='Param treso'!$H$41),-(Z54+AI54+AJ54+AH54),IF(AND($K$12="Oui",B54='Param treso'!$H$41),-(Z54+AI54+AJ54+AH54),IF(AND(A54='Param treso'!$H$32,$K$16="Oui"),-$F$19,IF($K$12="Oui",-(Z54+AI54+AJ54+AH54),0)))))</f>
        <v>0</v>
      </c>
      <c r="AH54" s="186">
        <f>IF(C54=1,0,IF(AND($K$16="Oui",B54='Param treso'!$H$41),-$K$19,0))</f>
        <v>0</v>
      </c>
      <c r="AI54" s="186">
        <f t="shared" si="19"/>
        <v>0</v>
      </c>
      <c r="AJ54" s="704">
        <f ca="1">IF(AI54=AF54+AD54,0,IF(AD54+AF54&lt;0,IF((Z54+AI54)&gt;=-(AC54+AE54),(AD54+AF54-AI54)/(1-'Param treso'!$H$18),-(Z54+AI54)),0))</f>
        <v>-207782.77014285719</v>
      </c>
      <c r="AK54" s="1106">
        <f t="shared" ca="1" si="15"/>
        <v>2181586.1492857151</v>
      </c>
      <c r="AL54" s="1106"/>
      <c r="AM54" s="1106"/>
      <c r="AN54" s="660">
        <f t="shared" ca="1" si="16"/>
        <v>0</v>
      </c>
      <c r="AO54" s="696">
        <f ca="1">-AJ54*(1-'Param treso'!$H$18)</f>
        <v>145447.93910000002</v>
      </c>
      <c r="AP54" s="709" t="str">
        <f t="shared" ca="1" si="3"/>
        <v>Ok</v>
      </c>
    </row>
    <row r="55" spans="1:42">
      <c r="A55" s="708">
        <f>IF(C55&lt;='Param treso'!$H$32,C55,IF(A54&lt;'Param treso'!$H$32,A54+1,1))</f>
        <v>5</v>
      </c>
      <c r="B55" s="708">
        <f>IF(C55&lt;='Param treso'!$H$41,C55,IF(B54&lt;'Param treso'!$H$41,B54+1,1))</f>
        <v>5</v>
      </c>
      <c r="C55" s="639">
        <f t="shared" si="4"/>
        <v>35</v>
      </c>
      <c r="D55" s="639">
        <f t="shared" ca="1" si="5"/>
        <v>95</v>
      </c>
      <c r="E55" s="649">
        <f t="shared" ca="1" si="6"/>
        <v>2061</v>
      </c>
      <c r="F55" s="186">
        <f>IF(C55=1,$F$19,IF(AND(A55=1,$K$16="Oui"),-AG54,IF(AND(A55&lt;='Param treso'!$H$32,$K$12="Oui"),IF(A55=1,-AG54,-AG54+G54),IF(AND(A55&lt;='Param treso'!$H$32,C55&lt;='Param treso'!$H$32),G54,IF($K$16="Oui",G54,0)))))</f>
        <v>0</v>
      </c>
      <c r="G55" s="186">
        <f t="shared" si="7"/>
        <v>0</v>
      </c>
      <c r="H55" s="1106">
        <f>F55*'Param treso'!$H$30</f>
        <v>0</v>
      </c>
      <c r="I55" s="1106"/>
      <c r="J55" s="1107"/>
      <c r="K55" s="659">
        <f t="shared" si="8"/>
        <v>0</v>
      </c>
      <c r="L55" s="186">
        <f>IF(K55=0,0,IF(B55=1,K55*(1+'Param treso'!$H$39),PRODUCT(L54,(POWER('Param treso'!$H$39,1)))+L54))</f>
        <v>0</v>
      </c>
      <c r="M55" s="660">
        <f>IFERROR(IF(B55='Param treso'!$H$41,L55-K55,0),0)</f>
        <v>0</v>
      </c>
      <c r="N55" s="186">
        <f>M55+H55+IF(A55='Param treso'!$H$32,G55,0)+IF(B55='Param treso'!$H$41,K55,0)</f>
        <v>0</v>
      </c>
      <c r="O55" s="186">
        <f ca="1">IF($AM$16="Oui",-IFERROR(VLOOKUP(E55,'Crédit (IS)'!$O$8:$P$145,2,FALSE),0),0)-(AN54*$T$14)</f>
        <v>0</v>
      </c>
      <c r="P55" s="186">
        <f ca="1">H55+M55+O55+IF(A55='Param treso'!$H$32,G55-F55,0)</f>
        <v>0</v>
      </c>
      <c r="Q55" s="1106">
        <f t="shared" ca="1" si="9"/>
        <v>0</v>
      </c>
      <c r="R55" s="1106"/>
      <c r="S55" s="1106"/>
      <c r="T55" s="186">
        <f t="shared" ca="1" si="10"/>
        <v>0</v>
      </c>
      <c r="U55" s="662">
        <f t="shared" ca="1" si="11"/>
        <v>0</v>
      </c>
      <c r="V55" s="662">
        <f ca="1">-IF('Param treso'!$H$20="Non",T55*Données!$L$24,IF(T55&lt;=Données!$L$26,T55*Données!$L$25,(Données!$L$26*Données!$L$25)+((T55-Données!$L$26)*Données!$L$24)))</f>
        <v>0</v>
      </c>
      <c r="W55" s="662">
        <f t="shared" ca="1" si="12"/>
        <v>0</v>
      </c>
      <c r="X55" s="186">
        <f ca="1">IF($AM$16="Oui",-IFERROR(VLOOKUP(E55,'Crédit (IS)'!$O$8:$Q$145,3,FALSE),0),0)</f>
        <v>0</v>
      </c>
      <c r="Y55" s="186">
        <f t="shared" ca="1" si="17"/>
        <v>0</v>
      </c>
      <c r="Z55" s="186">
        <f t="shared" ca="1" si="20"/>
        <v>2181586.1492857151</v>
      </c>
      <c r="AA55" s="186">
        <f t="shared" ca="1" si="13"/>
        <v>0</v>
      </c>
      <c r="AB55" s="186">
        <f t="shared" ca="1" si="14"/>
        <v>0</v>
      </c>
      <c r="AC55" s="186">
        <f>IF(C55&lt;='Crédit (IR)'!$G$16/12,-(('Crédit (IR)'!$K$17)/(1-'Param treso'!$H$18)),0)</f>
        <v>0</v>
      </c>
      <c r="AD55" s="186">
        <f>IF($AM$14="Non",0,IF(C55&lt;='Crédit (IR)'!$G$16/12,-('Crédit (IR)'!$K$17),0))</f>
        <v>0</v>
      </c>
      <c r="AE55" s="186">
        <f ca="1">-IF(AND(E55&gt;=$AO$10,E55&lt;$AO$12),$AM$10/(1-'Param treso'!$H$18),IF(E55&gt;=$AO$12,$AM$12/(1-'Param treso'!$H$18),0))</f>
        <v>-207782.77014285719</v>
      </c>
      <c r="AF55" s="186">
        <f t="shared" ca="1" si="18"/>
        <v>-145447.93910000002</v>
      </c>
      <c r="AG55" s="186">
        <f>IF(C55=1,IF($K$12="Oui",-(Z55+AI55+AJ55),0),IF(AND($K$12="Oui",$K$16="Oui",A55='Param treso'!$H$32,B55='Param treso'!$H$41),-(Z55+AI55+AJ55+AH55),IF(AND($K$12="Oui",B55='Param treso'!$H$41),-(Z55+AI55+AJ55+AH55),IF(AND(A55='Param treso'!$H$32,$K$16="Oui"),-$F$19,IF($K$12="Oui",-(Z55+AI55+AJ55+AH55),0)))))</f>
        <v>0</v>
      </c>
      <c r="AH55" s="186">
        <f>IF(C55=1,0,IF(AND($K$16="Oui",B55='Param treso'!$H$41),-$K$19,0))</f>
        <v>0</v>
      </c>
      <c r="AI55" s="186">
        <f t="shared" si="19"/>
        <v>0</v>
      </c>
      <c r="AJ55" s="704">
        <f ca="1">IF(AI55=AF55+AD55,0,IF(AD55+AF55&lt;0,IF((Z55+AI55)&gt;=-(AC55+AE55),(AD55+AF55-AI55)/(1-'Param treso'!$H$18),-(Z55+AI55)),0))</f>
        <v>-207782.77014285719</v>
      </c>
      <c r="AK55" s="1106">
        <f t="shared" ca="1" si="15"/>
        <v>1973803.3791428579</v>
      </c>
      <c r="AL55" s="1106"/>
      <c r="AM55" s="1106"/>
      <c r="AN55" s="660">
        <f t="shared" ca="1" si="16"/>
        <v>0</v>
      </c>
      <c r="AO55" s="696">
        <f ca="1">-AJ55*(1-'Param treso'!$H$18)</f>
        <v>145447.93910000002</v>
      </c>
      <c r="AP55" s="709" t="str">
        <f t="shared" ca="1" si="3"/>
        <v>Ok</v>
      </c>
    </row>
    <row r="56" spans="1:42">
      <c r="A56" s="708">
        <f>IF(C56&lt;='Param treso'!$H$32,C56,IF(A55&lt;'Param treso'!$H$32,A55+1,1))</f>
        <v>6</v>
      </c>
      <c r="B56" s="708">
        <f>IF(C56&lt;='Param treso'!$H$41,C56,IF(B55&lt;'Param treso'!$H$41,B55+1,1))</f>
        <v>1</v>
      </c>
      <c r="C56" s="639">
        <f t="shared" si="4"/>
        <v>36</v>
      </c>
      <c r="D56" s="639">
        <f t="shared" ca="1" si="5"/>
        <v>96</v>
      </c>
      <c r="E56" s="649">
        <f t="shared" ca="1" si="6"/>
        <v>2062</v>
      </c>
      <c r="F56" s="186">
        <f>IF(C56=1,$F$19,IF(AND(A56=1,$K$16="Oui"),-AG55,IF(AND(A56&lt;='Param treso'!$H$32,$K$12="Oui"),IF(A56=1,-AG55,-AG55+G55),IF(AND(A56&lt;='Param treso'!$H$32,C56&lt;='Param treso'!$H$32),G55,IF($K$16="Oui",G55,0)))))</f>
        <v>0</v>
      </c>
      <c r="G56" s="186">
        <f t="shared" si="7"/>
        <v>0</v>
      </c>
      <c r="H56" s="1106">
        <f>F56*'Param treso'!$H$30</f>
        <v>0</v>
      </c>
      <c r="I56" s="1106"/>
      <c r="J56" s="1107"/>
      <c r="K56" s="659">
        <f t="shared" si="8"/>
        <v>0</v>
      </c>
      <c r="L56" s="186">
        <f>IF(K56=0,0,IF(B56=1,K56*(1+'Param treso'!$H$39),PRODUCT(L55,(POWER('Param treso'!$H$39,1)))+L55))</f>
        <v>0</v>
      </c>
      <c r="M56" s="660">
        <f>IFERROR(IF(B56='Param treso'!$H$41,L56-K56,0),0)</f>
        <v>0</v>
      </c>
      <c r="N56" s="186">
        <f>M56+H56+IF(A56='Param treso'!$H$32,G56,0)+IF(B56='Param treso'!$H$41,K56,0)</f>
        <v>0</v>
      </c>
      <c r="O56" s="186">
        <f ca="1">IF($AM$16="Oui",-IFERROR(VLOOKUP(E56,'Crédit (IS)'!$O$8:$P$145,2,FALSE),0),0)-(AN55*$T$14)</f>
        <v>0</v>
      </c>
      <c r="P56" s="186">
        <f ca="1">H56+M56+O56+IF(A56='Param treso'!$H$32,G56-F56,0)</f>
        <v>0</v>
      </c>
      <c r="Q56" s="1106">
        <f t="shared" ca="1" si="9"/>
        <v>0</v>
      </c>
      <c r="R56" s="1106"/>
      <c r="S56" s="1106"/>
      <c r="T56" s="186">
        <f t="shared" ca="1" si="10"/>
        <v>0</v>
      </c>
      <c r="U56" s="662">
        <f t="shared" ca="1" si="11"/>
        <v>0</v>
      </c>
      <c r="V56" s="662">
        <f ca="1">-IF('Param treso'!$H$20="Non",T56*Données!$L$24,IF(T56&lt;=Données!$L$26,T56*Données!$L$25,(Données!$L$26*Données!$L$25)+((T56-Données!$L$26)*Données!$L$24)))</f>
        <v>0</v>
      </c>
      <c r="W56" s="662">
        <f t="shared" ca="1" si="12"/>
        <v>0</v>
      </c>
      <c r="X56" s="186">
        <f ca="1">IF($AM$16="Oui",-IFERROR(VLOOKUP(E56,'Crédit (IS)'!$O$8:$Q$145,3,FALSE),0),0)</f>
        <v>0</v>
      </c>
      <c r="Y56" s="186">
        <f t="shared" ca="1" si="17"/>
        <v>0</v>
      </c>
      <c r="Z56" s="186">
        <f t="shared" ca="1" si="20"/>
        <v>1973803.3791428579</v>
      </c>
      <c r="AA56" s="186">
        <f t="shared" ca="1" si="13"/>
        <v>0</v>
      </c>
      <c r="AB56" s="186">
        <f t="shared" ca="1" si="14"/>
        <v>0</v>
      </c>
      <c r="AC56" s="186">
        <f>IF(C56&lt;='Crédit (IR)'!$G$16/12,-(('Crédit (IR)'!$K$17)/(1-'Param treso'!$H$18)),0)</f>
        <v>0</v>
      </c>
      <c r="AD56" s="186">
        <f>IF($AM$14="Non",0,IF(C56&lt;='Crédit (IR)'!$G$16/12,-('Crédit (IR)'!$K$17),0))</f>
        <v>0</v>
      </c>
      <c r="AE56" s="186">
        <f ca="1">-IF(AND(E56&gt;=$AO$10,E56&lt;$AO$12),$AM$10/(1-'Param treso'!$H$18),IF(E56&gt;=$AO$12,$AM$12/(1-'Param treso'!$H$18),0))</f>
        <v>-207782.77014285719</v>
      </c>
      <c r="AF56" s="186">
        <f t="shared" ca="1" si="18"/>
        <v>-145447.93910000002</v>
      </c>
      <c r="AG56" s="186">
        <f>IF(C56=1,IF($K$12="Oui",-(Z56+AI56+AJ56),0),IF(AND($K$12="Oui",$K$16="Oui",A56='Param treso'!$H$32,B56='Param treso'!$H$41),-(Z56+AI56+AJ56+AH56),IF(AND($K$12="Oui",B56='Param treso'!$H$41),-(Z56+AI56+AJ56+AH56),IF(AND(A56='Param treso'!$H$32,$K$16="Oui"),-$F$19,IF($K$12="Oui",-(Z56+AI56+AJ56+AH56),0)))))</f>
        <v>0</v>
      </c>
      <c r="AH56" s="186">
        <f>IF(C56=1,0,IF(AND($K$16="Oui",B56='Param treso'!$H$41),-$K$19,0))</f>
        <v>0</v>
      </c>
      <c r="AI56" s="186">
        <f t="shared" si="19"/>
        <v>0</v>
      </c>
      <c r="AJ56" s="704">
        <f ca="1">IF(AI56=AF56+AD56,0,IF(AD56+AF56&lt;0,IF((Z56+AI56)&gt;=-(AC56+AE56),(AD56+AF56-AI56)/(1-'Param treso'!$H$18),-(Z56+AI56)),0))</f>
        <v>-207782.77014285719</v>
      </c>
      <c r="AK56" s="1106">
        <f t="shared" ca="1" si="15"/>
        <v>1766020.6090000006</v>
      </c>
      <c r="AL56" s="1106"/>
      <c r="AM56" s="1106"/>
      <c r="AN56" s="660">
        <f t="shared" ca="1" si="16"/>
        <v>0</v>
      </c>
      <c r="AO56" s="696">
        <f ca="1">-AJ56*(1-'Param treso'!$H$18)</f>
        <v>145447.93910000002</v>
      </c>
      <c r="AP56" s="709" t="str">
        <f t="shared" ca="1" si="3"/>
        <v>Ok</v>
      </c>
    </row>
    <row r="57" spans="1:42">
      <c r="A57" s="708">
        <f>IF(C57&lt;='Param treso'!$H$32,C57,IF(A56&lt;'Param treso'!$H$32,A56+1,1))</f>
        <v>7</v>
      </c>
      <c r="B57" s="708">
        <f>IF(C57&lt;='Param treso'!$H$41,C57,IF(B56&lt;'Param treso'!$H$41,B56+1,1))</f>
        <v>2</v>
      </c>
      <c r="C57" s="639">
        <f t="shared" si="4"/>
        <v>37</v>
      </c>
      <c r="D57" s="639">
        <f t="shared" ca="1" si="5"/>
        <v>97</v>
      </c>
      <c r="E57" s="649">
        <f t="shared" ca="1" si="6"/>
        <v>2063</v>
      </c>
      <c r="F57" s="186">
        <f>IF(C57=1,$F$19,IF(AND(A57=1,$K$16="Oui"),-AG56,IF(AND(A57&lt;='Param treso'!$H$32,$K$12="Oui"),IF(A57=1,-AG56,-AG56+G56),IF(AND(A57&lt;='Param treso'!$H$32,C57&lt;='Param treso'!$H$32),G56,IF($K$16="Oui",G56,0)))))</f>
        <v>0</v>
      </c>
      <c r="G57" s="186">
        <f t="shared" si="7"/>
        <v>0</v>
      </c>
      <c r="H57" s="1106">
        <f>F57*'Param treso'!$H$30</f>
        <v>0</v>
      </c>
      <c r="I57" s="1106"/>
      <c r="J57" s="1107"/>
      <c r="K57" s="659">
        <f t="shared" si="8"/>
        <v>0</v>
      </c>
      <c r="L57" s="186">
        <f>IF(K57=0,0,IF(B57=1,K57*(1+'Param treso'!$H$39),PRODUCT(L56,(POWER('Param treso'!$H$39,1)))+L56))</f>
        <v>0</v>
      </c>
      <c r="M57" s="660">
        <f>IFERROR(IF(B57='Param treso'!$H$41,L57-K57,0),0)</f>
        <v>0</v>
      </c>
      <c r="N57" s="186">
        <f>M57+H57+IF(A57='Param treso'!$H$32,G57,0)+IF(B57='Param treso'!$H$41,K57,0)</f>
        <v>0</v>
      </c>
      <c r="O57" s="186">
        <f ca="1">IF($AM$16="Oui",-IFERROR(VLOOKUP(E57,'Crédit (IS)'!$O$8:$P$145,2,FALSE),0),0)-(AN56*$T$14)</f>
        <v>0</v>
      </c>
      <c r="P57" s="186">
        <f ca="1">H57+M57+O57+IF(A57='Param treso'!$H$32,G57-F57,0)</f>
        <v>0</v>
      </c>
      <c r="Q57" s="1106">
        <f t="shared" ca="1" si="9"/>
        <v>0</v>
      </c>
      <c r="R57" s="1106"/>
      <c r="S57" s="1106"/>
      <c r="T57" s="186">
        <f t="shared" ca="1" si="10"/>
        <v>0</v>
      </c>
      <c r="U57" s="662">
        <f t="shared" ca="1" si="11"/>
        <v>0</v>
      </c>
      <c r="V57" s="662">
        <f ca="1">-IF('Param treso'!$H$20="Non",T57*Données!$L$24,IF(T57&lt;=Données!$L$26,T57*Données!$L$25,(Données!$L$26*Données!$L$25)+((T57-Données!$L$26)*Données!$L$24)))</f>
        <v>0</v>
      </c>
      <c r="W57" s="662">
        <f t="shared" ca="1" si="12"/>
        <v>0</v>
      </c>
      <c r="X57" s="186">
        <f ca="1">IF($AM$16="Oui",-IFERROR(VLOOKUP(E57,'Crédit (IS)'!$O$8:$Q$145,3,FALSE),0),0)</f>
        <v>0</v>
      </c>
      <c r="Y57" s="186">
        <f t="shared" ca="1" si="17"/>
        <v>0</v>
      </c>
      <c r="Z57" s="186">
        <f t="shared" ca="1" si="20"/>
        <v>1766020.6090000006</v>
      </c>
      <c r="AA57" s="186">
        <f t="shared" ca="1" si="13"/>
        <v>0</v>
      </c>
      <c r="AB57" s="186">
        <f t="shared" ca="1" si="14"/>
        <v>0</v>
      </c>
      <c r="AC57" s="186">
        <f>IF(C57&lt;='Crédit (IR)'!$G$16/12,-(('Crédit (IR)'!$K$17)/(1-'Param treso'!$H$18)),0)</f>
        <v>0</v>
      </c>
      <c r="AD57" s="186">
        <f>IF($AM$14="Non",0,IF(C57&lt;='Crédit (IR)'!$G$16/12,-('Crédit (IR)'!$K$17),0))</f>
        <v>0</v>
      </c>
      <c r="AE57" s="186">
        <f ca="1">-IF(AND(E57&gt;=$AO$10,E57&lt;$AO$12),$AM$10/(1-'Param treso'!$H$18),IF(E57&gt;=$AO$12,$AM$12/(1-'Param treso'!$H$18),0))</f>
        <v>-207782.77014285719</v>
      </c>
      <c r="AF57" s="186">
        <f t="shared" ca="1" si="18"/>
        <v>-145447.93910000002</v>
      </c>
      <c r="AG57" s="186">
        <f>IF(C57=1,IF($K$12="Oui",-(Z57+AI57+AJ57),0),IF(AND($K$12="Oui",$K$16="Oui",A57='Param treso'!$H$32,B57='Param treso'!$H$41),-(Z57+AI57+AJ57+AH57),IF(AND($K$12="Oui",B57='Param treso'!$H$41),-(Z57+AI57+AJ57+AH57),IF(AND(A57='Param treso'!$H$32,$K$16="Oui"),-$F$19,IF($K$12="Oui",-(Z57+AI57+AJ57+AH57),0)))))</f>
        <v>0</v>
      </c>
      <c r="AH57" s="186">
        <f>IF(C57=1,0,IF(AND($K$16="Oui",B57='Param treso'!$H$41),-$K$19,0))</f>
        <v>0</v>
      </c>
      <c r="AI57" s="186">
        <f t="shared" si="19"/>
        <v>0</v>
      </c>
      <c r="AJ57" s="704">
        <f ca="1">IF(AI57=AF57+AD57,0,IF(AD57+AF57&lt;0,IF((Z57+AI57)&gt;=-(AC57+AE57),(AD57+AF57-AI57)/(1-'Param treso'!$H$18),-(Z57+AI57)),0))</f>
        <v>-207782.77014285719</v>
      </c>
      <c r="AK57" s="1106">
        <f t="shared" ca="1" si="15"/>
        <v>1558237.8388571434</v>
      </c>
      <c r="AL57" s="1106"/>
      <c r="AM57" s="1106"/>
      <c r="AN57" s="660">
        <f t="shared" ca="1" si="16"/>
        <v>0</v>
      </c>
      <c r="AO57" s="696">
        <f ca="1">-AJ57*(1-'Param treso'!$H$18)</f>
        <v>145447.93910000002</v>
      </c>
      <c r="AP57" s="709" t="str">
        <f t="shared" ca="1" si="3"/>
        <v>Ok</v>
      </c>
    </row>
    <row r="58" spans="1:42">
      <c r="A58" s="708">
        <f>IF(C58&lt;='Param treso'!$H$32,C58,IF(A57&lt;'Param treso'!$H$32,A57+1,1))</f>
        <v>8</v>
      </c>
      <c r="B58" s="708">
        <f>IF(C58&lt;='Param treso'!$H$41,C58,IF(B57&lt;'Param treso'!$H$41,B57+1,1))</f>
        <v>3</v>
      </c>
      <c r="C58" s="639">
        <f t="shared" si="4"/>
        <v>38</v>
      </c>
      <c r="D58" s="639">
        <f t="shared" ca="1" si="5"/>
        <v>98</v>
      </c>
      <c r="E58" s="649">
        <f t="shared" ca="1" si="6"/>
        <v>2064</v>
      </c>
      <c r="F58" s="186">
        <f>IF(C58=1,$F$19,IF(AND(A58=1,$K$16="Oui"),-AG57,IF(AND(A58&lt;='Param treso'!$H$32,$K$12="Oui"),IF(A58=1,-AG57,-AG57+G57),IF(AND(A58&lt;='Param treso'!$H$32,C58&lt;='Param treso'!$H$32),G57,IF($K$16="Oui",G57,0)))))</f>
        <v>0</v>
      </c>
      <c r="G58" s="186">
        <f t="shared" si="7"/>
        <v>0</v>
      </c>
      <c r="H58" s="1106">
        <f>F58*'Param treso'!$H$30</f>
        <v>0</v>
      </c>
      <c r="I58" s="1106"/>
      <c r="J58" s="1107"/>
      <c r="K58" s="659">
        <f t="shared" si="8"/>
        <v>0</v>
      </c>
      <c r="L58" s="186">
        <f>IF(K58=0,0,IF(B58=1,K58*(1+'Param treso'!$H$39),PRODUCT(L57,(POWER('Param treso'!$H$39,1)))+L57))</f>
        <v>0</v>
      </c>
      <c r="M58" s="660">
        <f>IFERROR(IF(B58='Param treso'!$H$41,L58-K58,0),0)</f>
        <v>0</v>
      </c>
      <c r="N58" s="186">
        <f>M58+H58+IF(A58='Param treso'!$H$32,G58,0)+IF(B58='Param treso'!$H$41,K58,0)</f>
        <v>0</v>
      </c>
      <c r="O58" s="186">
        <f ca="1">IF($AM$16="Oui",-IFERROR(VLOOKUP(E58,'Crédit (IS)'!$O$8:$P$145,2,FALSE),0),0)-(AN57*$T$14)</f>
        <v>0</v>
      </c>
      <c r="P58" s="186">
        <f ca="1">H58+M58+O58+IF(A58='Param treso'!$H$32,G58-F58,0)</f>
        <v>0</v>
      </c>
      <c r="Q58" s="1106">
        <f t="shared" ca="1" si="9"/>
        <v>0</v>
      </c>
      <c r="R58" s="1106"/>
      <c r="S58" s="1106"/>
      <c r="T58" s="186">
        <f t="shared" ca="1" si="10"/>
        <v>0</v>
      </c>
      <c r="U58" s="662">
        <f t="shared" ca="1" si="11"/>
        <v>0</v>
      </c>
      <c r="V58" s="662">
        <f ca="1">-IF('Param treso'!$H$20="Non",T58*Données!$L$24,IF(T58&lt;=Données!$L$26,T58*Données!$L$25,(Données!$L$26*Données!$L$25)+((T58-Données!$L$26)*Données!$L$24)))</f>
        <v>0</v>
      </c>
      <c r="W58" s="662">
        <f t="shared" ca="1" si="12"/>
        <v>0</v>
      </c>
      <c r="X58" s="186">
        <f ca="1">IF($AM$16="Oui",-IFERROR(VLOOKUP(E58,'Crédit (IS)'!$O$8:$Q$145,3,FALSE),0),0)</f>
        <v>0</v>
      </c>
      <c r="Y58" s="186">
        <f t="shared" ca="1" si="17"/>
        <v>0</v>
      </c>
      <c r="Z58" s="186">
        <f t="shared" ca="1" si="20"/>
        <v>1558237.8388571434</v>
      </c>
      <c r="AA58" s="186">
        <f t="shared" ca="1" si="13"/>
        <v>0</v>
      </c>
      <c r="AB58" s="186">
        <f t="shared" ca="1" si="14"/>
        <v>0</v>
      </c>
      <c r="AC58" s="186">
        <f>IF(C58&lt;='Crédit (IR)'!$G$16/12,-(('Crédit (IR)'!$K$17)/(1-'Param treso'!$H$18)),0)</f>
        <v>0</v>
      </c>
      <c r="AD58" s="186">
        <f>IF($AM$14="Non",0,IF(C58&lt;='Crédit (IR)'!$G$16/12,-('Crédit (IR)'!$K$17),0))</f>
        <v>0</v>
      </c>
      <c r="AE58" s="186">
        <f ca="1">-IF(AND(E58&gt;=$AO$10,E58&lt;$AO$12),$AM$10/(1-'Param treso'!$H$18),IF(E58&gt;=$AO$12,$AM$12/(1-'Param treso'!$H$18),0))</f>
        <v>-207782.77014285719</v>
      </c>
      <c r="AF58" s="186">
        <f t="shared" ca="1" si="18"/>
        <v>-145447.93910000002</v>
      </c>
      <c r="AG58" s="186">
        <f>IF(C58=1,IF($K$12="Oui",-(Z58+AI58+AJ58),0),IF(AND($K$12="Oui",$K$16="Oui",A58='Param treso'!$H$32,B58='Param treso'!$H$41),-(Z58+AI58+AJ58+AH58),IF(AND($K$12="Oui",B58='Param treso'!$H$41),-(Z58+AI58+AJ58+AH58),IF(AND(A58='Param treso'!$H$32,$K$16="Oui"),-$F$19,IF($K$12="Oui",-(Z58+AI58+AJ58+AH58),0)))))</f>
        <v>0</v>
      </c>
      <c r="AH58" s="186">
        <f>IF(C58=1,0,IF(AND($K$16="Oui",B58='Param treso'!$H$41),-$K$19,0))</f>
        <v>0</v>
      </c>
      <c r="AI58" s="186">
        <f t="shared" si="19"/>
        <v>0</v>
      </c>
      <c r="AJ58" s="704">
        <f ca="1">IF(AI58=AF58+AD58,0,IF(AD58+AF58&lt;0,IF((Z58+AI58)&gt;=-(AC58+AE58),(AD58+AF58-AI58)/(1-'Param treso'!$H$18),-(Z58+AI58)),0))</f>
        <v>-207782.77014285719</v>
      </c>
      <c r="AK58" s="1106">
        <f t="shared" ca="1" si="15"/>
        <v>1350455.0687142862</v>
      </c>
      <c r="AL58" s="1106"/>
      <c r="AM58" s="1106"/>
      <c r="AN58" s="660">
        <f t="shared" ca="1" si="16"/>
        <v>0</v>
      </c>
      <c r="AO58" s="696">
        <f ca="1">-AJ58*(1-'Param treso'!$H$18)</f>
        <v>145447.93910000002</v>
      </c>
      <c r="AP58" s="709" t="str">
        <f t="shared" ca="1" si="3"/>
        <v>Ok</v>
      </c>
    </row>
    <row r="59" spans="1:42">
      <c r="A59" s="708">
        <f>IF(C59&lt;='Param treso'!$H$32,C59,IF(A58&lt;'Param treso'!$H$32,A58+1,1))</f>
        <v>9</v>
      </c>
      <c r="B59" s="708">
        <f>IF(C59&lt;='Param treso'!$H$41,C59,IF(B58&lt;'Param treso'!$H$41,B58+1,1))</f>
        <v>4</v>
      </c>
      <c r="C59" s="639">
        <f t="shared" si="4"/>
        <v>39</v>
      </c>
      <c r="D59" s="639">
        <f t="shared" ca="1" si="5"/>
        <v>99</v>
      </c>
      <c r="E59" s="649">
        <f t="shared" ca="1" si="6"/>
        <v>2065</v>
      </c>
      <c r="F59" s="186">
        <f>IF(C59=1,$F$19,IF(AND(A59=1,$K$16="Oui"),-AG58,IF(AND(A59&lt;='Param treso'!$H$32,$K$12="Oui"),IF(A59=1,-AG58,-AG58+G58),IF(AND(A59&lt;='Param treso'!$H$32,C59&lt;='Param treso'!$H$32),G58,IF($K$16="Oui",G58,0)))))</f>
        <v>0</v>
      </c>
      <c r="G59" s="186">
        <f t="shared" si="7"/>
        <v>0</v>
      </c>
      <c r="H59" s="1106">
        <f>F59*'Param treso'!$H$30</f>
        <v>0</v>
      </c>
      <c r="I59" s="1106"/>
      <c r="J59" s="1107"/>
      <c r="K59" s="659">
        <f t="shared" si="8"/>
        <v>0</v>
      </c>
      <c r="L59" s="186">
        <f>IF(K59=0,0,IF(B59=1,K59*(1+'Param treso'!$H$39),PRODUCT(L58,(POWER('Param treso'!$H$39,1)))+L58))</f>
        <v>0</v>
      </c>
      <c r="M59" s="660">
        <f>IFERROR(IF(B59='Param treso'!$H$41,L59-K59,0),0)</f>
        <v>0</v>
      </c>
      <c r="N59" s="186">
        <f>M59+H59+IF(A59='Param treso'!$H$32,G59,0)+IF(B59='Param treso'!$H$41,K59,0)</f>
        <v>0</v>
      </c>
      <c r="O59" s="186">
        <f ca="1">IF($AM$16="Oui",-IFERROR(VLOOKUP(E59,'Crédit (IS)'!$O$8:$P$145,2,FALSE),0),0)-(AN58*$T$14)</f>
        <v>0</v>
      </c>
      <c r="P59" s="186">
        <f ca="1">H59+M59+O59+IF(A59='Param treso'!$H$32,G59-F59,0)</f>
        <v>0</v>
      </c>
      <c r="Q59" s="1106">
        <f t="shared" ca="1" si="9"/>
        <v>0</v>
      </c>
      <c r="R59" s="1106"/>
      <c r="S59" s="1106"/>
      <c r="T59" s="186">
        <f t="shared" ca="1" si="10"/>
        <v>0</v>
      </c>
      <c r="U59" s="662">
        <f t="shared" ca="1" si="11"/>
        <v>0</v>
      </c>
      <c r="V59" s="662">
        <f ca="1">-IF('Param treso'!$H$20="Non",T59*Données!$L$24,IF(T59&lt;=Données!$L$26,T59*Données!$L$25,(Données!$L$26*Données!$L$25)+((T59-Données!$L$26)*Données!$L$24)))</f>
        <v>0</v>
      </c>
      <c r="W59" s="662">
        <f t="shared" ca="1" si="12"/>
        <v>0</v>
      </c>
      <c r="X59" s="186">
        <f ca="1">IF($AM$16="Oui",-IFERROR(VLOOKUP(E59,'Crédit (IS)'!$O$8:$Q$145,3,FALSE),0),0)</f>
        <v>0</v>
      </c>
      <c r="Y59" s="186">
        <f t="shared" ca="1" si="17"/>
        <v>0</v>
      </c>
      <c r="Z59" s="186">
        <f t="shared" ca="1" si="20"/>
        <v>1350455.0687142862</v>
      </c>
      <c r="AA59" s="186">
        <f t="shared" ca="1" si="13"/>
        <v>0</v>
      </c>
      <c r="AB59" s="186">
        <f t="shared" ca="1" si="14"/>
        <v>0</v>
      </c>
      <c r="AC59" s="186">
        <f>IF(C59&lt;='Crédit (IR)'!$G$16/12,-(('Crédit (IR)'!$K$17)/(1-'Param treso'!$H$18)),0)</f>
        <v>0</v>
      </c>
      <c r="AD59" s="186">
        <f>IF($AM$14="Non",0,IF(C59&lt;='Crédit (IR)'!$G$16/12,-('Crédit (IR)'!$K$17),0))</f>
        <v>0</v>
      </c>
      <c r="AE59" s="186">
        <f ca="1">-IF(AND(E59&gt;=$AO$10,E59&lt;$AO$12),$AM$10/(1-'Param treso'!$H$18),IF(E59&gt;=$AO$12,$AM$12/(1-'Param treso'!$H$18),0))</f>
        <v>-207782.77014285719</v>
      </c>
      <c r="AF59" s="186">
        <f t="shared" ca="1" si="18"/>
        <v>-145447.93910000002</v>
      </c>
      <c r="AG59" s="186">
        <f>IF(C59=1,IF($K$12="Oui",-(Z59+AI59+AJ59),0),IF(AND($K$12="Oui",$K$16="Oui",A59='Param treso'!$H$32,B59='Param treso'!$H$41),-(Z59+AI59+AJ59+AH59),IF(AND($K$12="Oui",B59='Param treso'!$H$41),-(Z59+AI59+AJ59+AH59),IF(AND(A59='Param treso'!$H$32,$K$16="Oui"),-$F$19,IF($K$12="Oui",-(Z59+AI59+AJ59+AH59),0)))))</f>
        <v>0</v>
      </c>
      <c r="AH59" s="186">
        <f>IF(C59=1,0,IF(AND($K$16="Oui",B59='Param treso'!$H$41),-$K$19,0))</f>
        <v>0</v>
      </c>
      <c r="AI59" s="186">
        <f t="shared" si="19"/>
        <v>0</v>
      </c>
      <c r="AJ59" s="704">
        <f ca="1">IF(AI59=AF59+AD59,0,IF(AD59+AF59&lt;0,IF((Z59+AI59)&gt;=-(AC59+AE59),(AD59+AF59-AI59)/(1-'Param treso'!$H$18),-(Z59+AI59)),0))</f>
        <v>-207782.77014285719</v>
      </c>
      <c r="AK59" s="1106">
        <f t="shared" ca="1" si="15"/>
        <v>1142672.298571429</v>
      </c>
      <c r="AL59" s="1106"/>
      <c r="AM59" s="1106"/>
      <c r="AN59" s="660">
        <f t="shared" ca="1" si="16"/>
        <v>0</v>
      </c>
      <c r="AO59" s="696">
        <f ca="1">-AJ59*(1-'Param treso'!$H$18)</f>
        <v>145447.93910000002</v>
      </c>
      <c r="AP59" s="709" t="str">
        <f t="shared" ca="1" si="3"/>
        <v>Ok</v>
      </c>
    </row>
    <row r="60" spans="1:42">
      <c r="A60" s="708">
        <f>IF(C60&lt;='Param treso'!$H$32,C60,IF(A59&lt;'Param treso'!$H$32,A59+1,1))</f>
        <v>10</v>
      </c>
      <c r="B60" s="708">
        <f>IF(C60&lt;='Param treso'!$H$41,C60,IF(B59&lt;'Param treso'!$H$41,B59+1,1))</f>
        <v>5</v>
      </c>
      <c r="C60" s="639">
        <f t="shared" si="4"/>
        <v>40</v>
      </c>
      <c r="D60" s="639">
        <f t="shared" ca="1" si="5"/>
        <v>100</v>
      </c>
      <c r="E60" s="649">
        <f t="shared" ca="1" si="6"/>
        <v>2066</v>
      </c>
      <c r="F60" s="186">
        <f>IF(C60=1,$F$19,IF(AND(A60=1,$K$16="Oui"),-AG59,IF(AND(A60&lt;='Param treso'!$H$32,$K$12="Oui"),IF(A60=1,-AG59,-AG59+G59),IF(AND(A60&lt;='Param treso'!$H$32,C60&lt;='Param treso'!$H$32),G59,IF($K$16="Oui",G59,0)))))</f>
        <v>0</v>
      </c>
      <c r="G60" s="186">
        <f t="shared" si="7"/>
        <v>0</v>
      </c>
      <c r="H60" s="1106">
        <f>F60*'Param treso'!$H$30</f>
        <v>0</v>
      </c>
      <c r="I60" s="1106"/>
      <c r="J60" s="1107"/>
      <c r="K60" s="659">
        <f t="shared" si="8"/>
        <v>0</v>
      </c>
      <c r="L60" s="186">
        <f>IF(K60=0,0,IF(B60=1,K60*(1+'Param treso'!$H$39),PRODUCT(L59,(POWER('Param treso'!$H$39,1)))+L59))</f>
        <v>0</v>
      </c>
      <c r="M60" s="660">
        <f>IFERROR(IF(B60='Param treso'!$H$41,L60-K60,0),0)</f>
        <v>0</v>
      </c>
      <c r="N60" s="186">
        <f>M60+H60+IF(A60='Param treso'!$H$32,G60,0)+IF(B60='Param treso'!$H$41,K60,0)</f>
        <v>0</v>
      </c>
      <c r="O60" s="186">
        <f ca="1">IF($AM$16="Oui",-IFERROR(VLOOKUP(E60,'Crédit (IS)'!$O$8:$P$145,2,FALSE),0),0)-(AN59*$T$14)</f>
        <v>0</v>
      </c>
      <c r="P60" s="186">
        <f ca="1">H60+M60+O60+IF(A60='Param treso'!$H$32,G60-F60,0)</f>
        <v>0</v>
      </c>
      <c r="Q60" s="1106">
        <f t="shared" ca="1" si="9"/>
        <v>0</v>
      </c>
      <c r="R60" s="1106"/>
      <c r="S60" s="1106"/>
      <c r="T60" s="186">
        <f t="shared" ca="1" si="10"/>
        <v>0</v>
      </c>
      <c r="U60" s="662">
        <f t="shared" ca="1" si="11"/>
        <v>0</v>
      </c>
      <c r="V60" s="662">
        <f ca="1">-IF('Param treso'!$H$20="Non",T60*Données!$L$24,IF(T60&lt;=Données!$L$26,T60*Données!$L$25,(Données!$L$26*Données!$L$25)+((T60-Données!$L$26)*Données!$L$24)))</f>
        <v>0</v>
      </c>
      <c r="W60" s="662">
        <f t="shared" ca="1" si="12"/>
        <v>0</v>
      </c>
      <c r="X60" s="186">
        <f ca="1">IF($AM$16="Oui",-IFERROR(VLOOKUP(E60,'Crédit (IS)'!$O$8:$Q$145,3,FALSE),0),0)</f>
        <v>0</v>
      </c>
      <c r="Y60" s="186">
        <f t="shared" ca="1" si="17"/>
        <v>0</v>
      </c>
      <c r="Z60" s="186">
        <f t="shared" ca="1" si="20"/>
        <v>1142672.298571429</v>
      </c>
      <c r="AA60" s="186">
        <f t="shared" ca="1" si="13"/>
        <v>0</v>
      </c>
      <c r="AB60" s="186">
        <f t="shared" ca="1" si="14"/>
        <v>0</v>
      </c>
      <c r="AC60" s="186">
        <f>IF(C60&lt;='Crédit (IR)'!$G$16/12,-(('Crédit (IR)'!$K$17)/(1-'Param treso'!$H$18)),0)</f>
        <v>0</v>
      </c>
      <c r="AD60" s="186">
        <f>IF($AM$14="Non",0,IF(C60&lt;='Crédit (IR)'!$G$16/12,-('Crédit (IR)'!$K$17),0))</f>
        <v>0</v>
      </c>
      <c r="AE60" s="186">
        <f ca="1">-IF(AND(E60&gt;=$AO$10,E60&lt;$AO$12),$AM$10/(1-'Param treso'!$H$18),IF(E60&gt;=$AO$12,$AM$12/(1-'Param treso'!$H$18),0))</f>
        <v>-207782.77014285719</v>
      </c>
      <c r="AF60" s="186">
        <f t="shared" ca="1" si="18"/>
        <v>-145447.93910000002</v>
      </c>
      <c r="AG60" s="186">
        <f>IF(C60=1,IF($K$12="Oui",-(Z60+AI60+AJ60),0),IF(AND($K$12="Oui",$K$16="Oui",A60='Param treso'!$H$32,B60='Param treso'!$H$41),-(Z60+AI60+AJ60+AH60),IF(AND($K$12="Oui",B60='Param treso'!$H$41),-(Z60+AI60+AJ60+AH60),IF(AND(A60='Param treso'!$H$32,$K$16="Oui"),-$F$19,IF($K$12="Oui",-(Z60+AI60+AJ60+AH60),0)))))</f>
        <v>0</v>
      </c>
      <c r="AH60" s="186">
        <f>IF(C60=1,0,IF(AND($K$16="Oui",B60='Param treso'!$H$41),-$K$19,0))</f>
        <v>0</v>
      </c>
      <c r="AI60" s="186">
        <f t="shared" si="19"/>
        <v>0</v>
      </c>
      <c r="AJ60" s="704">
        <f ca="1">IF(AI60=AF60+AD60,0,IF(AD60+AF60&lt;0,IF((Z60+AI60)&gt;=-(AC60+AE60),(AD60+AF60-AI60)/(1-'Param treso'!$H$18),-(Z60+AI60)),0))</f>
        <v>-207782.77014285719</v>
      </c>
      <c r="AK60" s="1106">
        <f t="shared" ca="1" si="15"/>
        <v>934889.52842857176</v>
      </c>
      <c r="AL60" s="1106"/>
      <c r="AM60" s="1106"/>
      <c r="AN60" s="660">
        <f t="shared" ca="1" si="16"/>
        <v>0</v>
      </c>
      <c r="AO60" s="696">
        <f ca="1">-AJ60*(1-'Param treso'!$H$18)</f>
        <v>145447.93910000002</v>
      </c>
      <c r="AP60" s="709" t="str">
        <f t="shared" ca="1" si="3"/>
        <v>Ok</v>
      </c>
    </row>
    <row r="61" spans="1:42">
      <c r="A61" s="708">
        <f>IF(C61&lt;='Param treso'!$H$32,C61,IF(A60&lt;'Param treso'!$H$32,A60+1,1))</f>
        <v>11</v>
      </c>
      <c r="B61" s="708">
        <f>IF(C61&lt;='Param treso'!$H$41,C61,IF(B60&lt;'Param treso'!$H$41,B60+1,1))</f>
        <v>1</v>
      </c>
      <c r="C61" s="639">
        <f t="shared" si="4"/>
        <v>41</v>
      </c>
      <c r="D61" s="639">
        <f t="shared" ca="1" si="5"/>
        <v>101</v>
      </c>
      <c r="E61" s="649">
        <f t="shared" ca="1" si="6"/>
        <v>2067</v>
      </c>
      <c r="F61" s="186">
        <f>IF(C61=1,$F$19,IF(AND(A61=1,$K$16="Oui"),-AG60,IF(AND(A61&lt;='Param treso'!$H$32,$K$12="Oui"),IF(A61=1,-AG60,-AG60+G60),IF(AND(A61&lt;='Param treso'!$H$32,C61&lt;='Param treso'!$H$32),G60,IF($K$16="Oui",G60,0)))))</f>
        <v>0</v>
      </c>
      <c r="G61" s="186">
        <f t="shared" si="7"/>
        <v>0</v>
      </c>
      <c r="H61" s="1106">
        <f>F61*'Param treso'!$H$30</f>
        <v>0</v>
      </c>
      <c r="I61" s="1106"/>
      <c r="J61" s="1107"/>
      <c r="K61" s="659">
        <f t="shared" si="8"/>
        <v>0</v>
      </c>
      <c r="L61" s="186">
        <f>IF(K61=0,0,IF(B61=1,K61*(1+'Param treso'!$H$39),PRODUCT(L60,(POWER('Param treso'!$H$39,1)))+L60))</f>
        <v>0</v>
      </c>
      <c r="M61" s="660">
        <f>IFERROR(IF(B61='Param treso'!$H$41,L61-K61,0),0)</f>
        <v>0</v>
      </c>
      <c r="N61" s="186">
        <f>M61+H61+IF(A61='Param treso'!$H$32,G61,0)+IF(B61='Param treso'!$H$41,K61,0)</f>
        <v>0</v>
      </c>
      <c r="O61" s="186">
        <f ca="1">IF($AM$16="Oui",-IFERROR(VLOOKUP(E61,'Crédit (IS)'!$O$8:$P$145,2,FALSE),0),0)-(AN60*$T$14)</f>
        <v>0</v>
      </c>
      <c r="P61" s="186">
        <f ca="1">H61+M61+O61+IF(A61='Param treso'!$H$32,G61-F61,0)</f>
        <v>0</v>
      </c>
      <c r="Q61" s="1106">
        <f t="shared" ca="1" si="9"/>
        <v>0</v>
      </c>
      <c r="R61" s="1106"/>
      <c r="S61" s="1106"/>
      <c r="T61" s="186">
        <f t="shared" ca="1" si="10"/>
        <v>0</v>
      </c>
      <c r="U61" s="662">
        <f t="shared" ca="1" si="11"/>
        <v>0</v>
      </c>
      <c r="V61" s="662">
        <f ca="1">-IF('Param treso'!$H$20="Non",T61*Données!$L$24,IF(T61&lt;=Données!$L$26,T61*Données!$L$25,(Données!$L$26*Données!$L$25)+((T61-Données!$L$26)*Données!$L$24)))</f>
        <v>0</v>
      </c>
      <c r="W61" s="662">
        <f t="shared" ca="1" si="12"/>
        <v>0</v>
      </c>
      <c r="X61" s="186">
        <f ca="1">IF($AM$16="Oui",-IFERROR(VLOOKUP(E61,'Crédit (IS)'!$O$8:$Q$145,3,FALSE),0),0)</f>
        <v>0</v>
      </c>
      <c r="Y61" s="186">
        <f t="shared" ca="1" si="17"/>
        <v>0</v>
      </c>
      <c r="Z61" s="186">
        <f t="shared" ca="1" si="20"/>
        <v>934889.52842857176</v>
      </c>
      <c r="AA61" s="186">
        <f t="shared" ca="1" si="13"/>
        <v>0</v>
      </c>
      <c r="AB61" s="186">
        <f t="shared" ca="1" si="14"/>
        <v>0</v>
      </c>
      <c r="AC61" s="186">
        <f>IF(C61&lt;='Crédit (IR)'!$G$16/12,-(('Crédit (IR)'!$K$17)/(1-'Param treso'!$H$18)),0)</f>
        <v>0</v>
      </c>
      <c r="AD61" s="186">
        <f>IF($AM$14="Non",0,IF(C61&lt;='Crédit (IR)'!$G$16/12,-('Crédit (IR)'!$K$17),0))</f>
        <v>0</v>
      </c>
      <c r="AE61" s="186">
        <f ca="1">-IF(AND(E61&gt;=$AO$10,E61&lt;$AO$12),$AM$10/(1-'Param treso'!$H$18),IF(E61&gt;=$AO$12,$AM$12/(1-'Param treso'!$H$18),0))</f>
        <v>-207782.77014285719</v>
      </c>
      <c r="AF61" s="186">
        <f t="shared" ca="1" si="18"/>
        <v>-145447.93910000002</v>
      </c>
      <c r="AG61" s="186">
        <f>IF(C61=1,IF($K$12="Oui",-(Z61+AI61+AJ61),0),IF(AND($K$12="Oui",$K$16="Oui",A61='Param treso'!$H$32,B61='Param treso'!$H$41),-(Z61+AI61+AJ61+AH61),IF(AND($K$12="Oui",B61='Param treso'!$H$41),-(Z61+AI61+AJ61+AH61),IF(AND(A61='Param treso'!$H$32,$K$16="Oui"),-$F$19,IF($K$12="Oui",-(Z61+AI61+AJ61+AH61),0)))))</f>
        <v>0</v>
      </c>
      <c r="AH61" s="186">
        <f>IF(C61=1,0,IF(AND($K$16="Oui",B61='Param treso'!$H$41),-$K$19,0))</f>
        <v>0</v>
      </c>
      <c r="AI61" s="186">
        <f t="shared" si="19"/>
        <v>0</v>
      </c>
      <c r="AJ61" s="704">
        <f ca="1">IF(AI61=AF61+AD61,0,IF(AD61+AF61&lt;0,IF((Z61+AI61)&gt;=-(AC61+AE61),(AD61+AF61-AI61)/(1-'Param treso'!$H$18),-(Z61+AI61)),0))</f>
        <v>-207782.77014285719</v>
      </c>
      <c r="AK61" s="1106">
        <f t="shared" ca="1" si="15"/>
        <v>727106.75828571455</v>
      </c>
      <c r="AL61" s="1106"/>
      <c r="AM61" s="1106"/>
      <c r="AN61" s="660">
        <f t="shared" ca="1" si="16"/>
        <v>0</v>
      </c>
      <c r="AO61" s="696">
        <f ca="1">-AJ61*(1-'Param treso'!$H$18)</f>
        <v>145447.93910000002</v>
      </c>
      <c r="AP61" s="709" t="str">
        <f t="shared" ca="1" si="3"/>
        <v>Ok</v>
      </c>
    </row>
    <row r="62" spans="1:42">
      <c r="A62" s="708">
        <f>IF(C62&lt;='Param treso'!$H$32,C62,IF(A61&lt;'Param treso'!$H$32,A61+1,1))</f>
        <v>12</v>
      </c>
      <c r="B62" s="708">
        <f>IF(C62&lt;='Param treso'!$H$41,C62,IF(B61&lt;'Param treso'!$H$41,B61+1,1))</f>
        <v>2</v>
      </c>
      <c r="C62" s="639">
        <f t="shared" si="4"/>
        <v>42</v>
      </c>
      <c r="D62" s="639">
        <f t="shared" ca="1" si="5"/>
        <v>102</v>
      </c>
      <c r="E62" s="649">
        <f t="shared" ca="1" si="6"/>
        <v>2068</v>
      </c>
      <c r="F62" s="186">
        <f>IF(C62=1,$F$19,IF(AND(A62=1,$K$16="Oui"),-AG61,IF(AND(A62&lt;='Param treso'!$H$32,$K$12="Oui"),IF(A62=1,-AG61,-AG61+G61),IF(AND(A62&lt;='Param treso'!$H$32,C62&lt;='Param treso'!$H$32),G61,IF($K$16="Oui",G61,0)))))</f>
        <v>0</v>
      </c>
      <c r="G62" s="186">
        <f t="shared" si="7"/>
        <v>0</v>
      </c>
      <c r="H62" s="1106">
        <f>F62*'Param treso'!$H$30</f>
        <v>0</v>
      </c>
      <c r="I62" s="1106"/>
      <c r="J62" s="1107"/>
      <c r="K62" s="659">
        <f t="shared" si="8"/>
        <v>0</v>
      </c>
      <c r="L62" s="186">
        <f>IF(K62=0,0,IF(B62=1,K62*(1+'Param treso'!$H$39),PRODUCT(L61,(POWER('Param treso'!$H$39,1)))+L61))</f>
        <v>0</v>
      </c>
      <c r="M62" s="660">
        <f>IFERROR(IF(B62='Param treso'!$H$41,L62-K62,0),0)</f>
        <v>0</v>
      </c>
      <c r="N62" s="186">
        <f>M62+H62+IF(A62='Param treso'!$H$32,G62,0)+IF(B62='Param treso'!$H$41,K62,0)</f>
        <v>0</v>
      </c>
      <c r="O62" s="186">
        <f ca="1">IF($AM$16="Oui",-IFERROR(VLOOKUP(E62,'Crédit (IS)'!$O$8:$P$145,2,FALSE),0),0)-(AN61*$T$14)</f>
        <v>0</v>
      </c>
      <c r="P62" s="186">
        <f ca="1">H62+M62+O62+IF(A62='Param treso'!$H$32,G62-F62,0)</f>
        <v>0</v>
      </c>
      <c r="Q62" s="1106">
        <f t="shared" ca="1" si="9"/>
        <v>0</v>
      </c>
      <c r="R62" s="1106"/>
      <c r="S62" s="1106"/>
      <c r="T62" s="186">
        <f t="shared" ca="1" si="10"/>
        <v>0</v>
      </c>
      <c r="U62" s="662">
        <f t="shared" ca="1" si="11"/>
        <v>0</v>
      </c>
      <c r="V62" s="662">
        <f ca="1">-IF('Param treso'!$H$20="Non",T62*Données!$L$24,IF(T62&lt;=Données!$L$26,T62*Données!$L$25,(Données!$L$26*Données!$L$25)+((T62-Données!$L$26)*Données!$L$24)))</f>
        <v>0</v>
      </c>
      <c r="W62" s="662">
        <f t="shared" ca="1" si="12"/>
        <v>0</v>
      </c>
      <c r="X62" s="186">
        <f ca="1">IF($AM$16="Oui",-IFERROR(VLOOKUP(E62,'Crédit (IS)'!$O$8:$Q$145,3,FALSE),0),0)</f>
        <v>0</v>
      </c>
      <c r="Y62" s="186">
        <f t="shared" ca="1" si="17"/>
        <v>0</v>
      </c>
      <c r="Z62" s="186">
        <f t="shared" ca="1" si="20"/>
        <v>727106.75828571455</v>
      </c>
      <c r="AA62" s="186">
        <f t="shared" ca="1" si="13"/>
        <v>0</v>
      </c>
      <c r="AB62" s="186">
        <f t="shared" ca="1" si="14"/>
        <v>0</v>
      </c>
      <c r="AC62" s="186">
        <f>IF(C62&lt;='Crédit (IR)'!$G$16/12,-(('Crédit (IR)'!$K$17)/(1-'Param treso'!$H$18)),0)</f>
        <v>0</v>
      </c>
      <c r="AD62" s="186">
        <f>IF($AM$14="Non",0,IF(C62&lt;='Crédit (IR)'!$G$16/12,-('Crédit (IR)'!$K$17),0))</f>
        <v>0</v>
      </c>
      <c r="AE62" s="186">
        <f ca="1">-IF(AND(E62&gt;=$AO$10,E62&lt;$AO$12),$AM$10/(1-'Param treso'!$H$18),IF(E62&gt;=$AO$12,$AM$12/(1-'Param treso'!$H$18),0))</f>
        <v>-207782.77014285719</v>
      </c>
      <c r="AF62" s="186">
        <f t="shared" ca="1" si="18"/>
        <v>-145447.93910000002</v>
      </c>
      <c r="AG62" s="186">
        <f>IF(C62=1,IF($K$12="Oui",-(Z62+AI62+AJ62),0),IF(AND($K$12="Oui",$K$16="Oui",A62='Param treso'!$H$32,B62='Param treso'!$H$41),-(Z62+AI62+AJ62+AH62),IF(AND($K$12="Oui",B62='Param treso'!$H$41),-(Z62+AI62+AJ62+AH62),IF(AND(A62='Param treso'!$H$32,$K$16="Oui"),-$F$19,IF($K$12="Oui",-(Z62+AI62+AJ62+AH62),0)))))</f>
        <v>0</v>
      </c>
      <c r="AH62" s="186">
        <f>IF(C62=1,0,IF(AND($K$16="Oui",B62='Param treso'!$H$41),-$K$19,0))</f>
        <v>0</v>
      </c>
      <c r="AI62" s="186">
        <f t="shared" si="19"/>
        <v>0</v>
      </c>
      <c r="AJ62" s="704">
        <f ca="1">IF(AI62=AF62+AD62,0,IF(AD62+AF62&lt;0,IF((Z62+AI62)&gt;=-(AC62+AE62),(AD62+AF62-AI62)/(1-'Param treso'!$H$18),-(Z62+AI62)),0))</f>
        <v>-207782.77014285719</v>
      </c>
      <c r="AK62" s="1106">
        <f t="shared" ca="1" si="15"/>
        <v>519323.98814285733</v>
      </c>
      <c r="AL62" s="1106"/>
      <c r="AM62" s="1106"/>
      <c r="AN62" s="660">
        <f t="shared" ca="1" si="16"/>
        <v>0</v>
      </c>
      <c r="AO62" s="696">
        <f ca="1">-AJ62*(1-'Param treso'!$H$18)</f>
        <v>145447.93910000002</v>
      </c>
      <c r="AP62" s="709" t="str">
        <f t="shared" ca="1" si="3"/>
        <v>Ok</v>
      </c>
    </row>
    <row r="63" spans="1:42">
      <c r="A63" s="708">
        <f>IF(C63&lt;='Param treso'!$H$32,C63,IF(A62&lt;'Param treso'!$H$32,A62+1,1))</f>
        <v>13</v>
      </c>
      <c r="B63" s="708">
        <f>IF(C63&lt;='Param treso'!$H$41,C63,IF(B62&lt;'Param treso'!$H$41,B62+1,1))</f>
        <v>3</v>
      </c>
      <c r="C63" s="639">
        <f t="shared" si="4"/>
        <v>43</v>
      </c>
      <c r="D63" s="639">
        <f t="shared" ca="1" si="5"/>
        <v>103</v>
      </c>
      <c r="E63" s="649">
        <f t="shared" ca="1" si="6"/>
        <v>2069</v>
      </c>
      <c r="F63" s="186">
        <f>IF(C63=1,$F$19,IF(AND(A63=1,$K$16="Oui"),-AG62,IF(AND(A63&lt;='Param treso'!$H$32,$K$12="Oui"),IF(A63=1,-AG62,-AG62+G62),IF(AND(A63&lt;='Param treso'!$H$32,C63&lt;='Param treso'!$H$32),G62,IF($K$16="Oui",G62,0)))))</f>
        <v>0</v>
      </c>
      <c r="G63" s="186">
        <f t="shared" si="7"/>
        <v>0</v>
      </c>
      <c r="H63" s="1106">
        <f>F63*'Param treso'!$H$30</f>
        <v>0</v>
      </c>
      <c r="I63" s="1106"/>
      <c r="J63" s="1107"/>
      <c r="K63" s="659">
        <f t="shared" si="8"/>
        <v>0</v>
      </c>
      <c r="L63" s="186">
        <f>IF(K63=0,0,IF(B63=1,K63*(1+'Param treso'!$H$39),PRODUCT(L62,(POWER('Param treso'!$H$39,1)))+L62))</f>
        <v>0</v>
      </c>
      <c r="M63" s="660">
        <f>IFERROR(IF(B63='Param treso'!$H$41,L63-K63,0),0)</f>
        <v>0</v>
      </c>
      <c r="N63" s="186">
        <f>M63+H63+IF(A63='Param treso'!$H$32,G63,0)+IF(B63='Param treso'!$H$41,K63,0)</f>
        <v>0</v>
      </c>
      <c r="O63" s="186">
        <f ca="1">IF($AM$16="Oui",-IFERROR(VLOOKUP(E63,'Crédit (IS)'!$O$8:$P$145,2,FALSE),0),0)-(AN62*$T$14)</f>
        <v>0</v>
      </c>
      <c r="P63" s="186">
        <f ca="1">H63+M63+O63+IF(A63='Param treso'!$H$32,G63-F63,0)</f>
        <v>0</v>
      </c>
      <c r="Q63" s="1106">
        <f t="shared" ca="1" si="9"/>
        <v>0</v>
      </c>
      <c r="R63" s="1106"/>
      <c r="S63" s="1106"/>
      <c r="T63" s="186">
        <f t="shared" ca="1" si="10"/>
        <v>0</v>
      </c>
      <c r="U63" s="662">
        <f t="shared" ca="1" si="11"/>
        <v>0</v>
      </c>
      <c r="V63" s="662">
        <f ca="1">-IF('Param treso'!$H$20="Non",T63*Données!$L$24,IF(T63&lt;=Données!$L$26,T63*Données!$L$25,(Données!$L$26*Données!$L$25)+((T63-Données!$L$26)*Données!$L$24)))</f>
        <v>0</v>
      </c>
      <c r="W63" s="662">
        <f t="shared" ca="1" si="12"/>
        <v>0</v>
      </c>
      <c r="X63" s="186">
        <f ca="1">IF($AM$16="Oui",-IFERROR(VLOOKUP(E63,'Crédit (IS)'!$O$8:$Q$145,3,FALSE),0),0)</f>
        <v>0</v>
      </c>
      <c r="Y63" s="186">
        <f t="shared" ca="1" si="17"/>
        <v>0</v>
      </c>
      <c r="Z63" s="186">
        <f t="shared" ca="1" si="20"/>
        <v>519323.98814285733</v>
      </c>
      <c r="AA63" s="186">
        <f t="shared" ca="1" si="13"/>
        <v>0</v>
      </c>
      <c r="AB63" s="186">
        <f t="shared" ca="1" si="14"/>
        <v>0</v>
      </c>
      <c r="AC63" s="186">
        <f>IF(C63&lt;='Crédit (IR)'!$G$16/12,-(('Crédit (IR)'!$K$17)/(1-'Param treso'!$H$18)),0)</f>
        <v>0</v>
      </c>
      <c r="AD63" s="186">
        <f>IF($AM$14="Non",0,IF(C63&lt;='Crédit (IR)'!$G$16/12,-('Crédit (IR)'!$K$17),0))</f>
        <v>0</v>
      </c>
      <c r="AE63" s="186">
        <f ca="1">-IF(AND(E63&gt;=$AO$10,E63&lt;$AO$12),$AM$10/(1-'Param treso'!$H$18),IF(E63&gt;=$AO$12,$AM$12/(1-'Param treso'!$H$18),0))</f>
        <v>-207782.77014285719</v>
      </c>
      <c r="AF63" s="186">
        <f t="shared" ca="1" si="18"/>
        <v>-145447.93910000002</v>
      </c>
      <c r="AG63" s="186">
        <f>IF(C63=1,IF($K$12="Oui",-(Z63+AI63+AJ63),0),IF(AND($K$12="Oui",$K$16="Oui",A63='Param treso'!$H$32,B63='Param treso'!$H$41),-(Z63+AI63+AJ63+AH63),IF(AND($K$12="Oui",B63='Param treso'!$H$41),-(Z63+AI63+AJ63+AH63),IF(AND(A63='Param treso'!$H$32,$K$16="Oui"),-$F$19,IF($K$12="Oui",-(Z63+AI63+AJ63+AH63),0)))))</f>
        <v>0</v>
      </c>
      <c r="AH63" s="186">
        <f>IF(C63=1,0,IF(AND($K$16="Oui",B63='Param treso'!$H$41),-$K$19,0))</f>
        <v>0</v>
      </c>
      <c r="AI63" s="186">
        <f t="shared" si="19"/>
        <v>0</v>
      </c>
      <c r="AJ63" s="704">
        <f ca="1">IF(AI63=AF63+AD63,0,IF(AD63+AF63&lt;0,IF((Z63+AI63)&gt;=-(AC63+AE63),(AD63+AF63-AI63)/(1-'Param treso'!$H$18),-(Z63+AI63)),0))</f>
        <v>-207782.77014285719</v>
      </c>
      <c r="AK63" s="1106">
        <f t="shared" ca="1" si="15"/>
        <v>311541.21800000011</v>
      </c>
      <c r="AL63" s="1106"/>
      <c r="AM63" s="1106"/>
      <c r="AN63" s="660">
        <f t="shared" ca="1" si="16"/>
        <v>0</v>
      </c>
      <c r="AO63" s="696">
        <f ca="1">-AJ63*(1-'Param treso'!$H$18)</f>
        <v>145447.93910000002</v>
      </c>
      <c r="AP63" s="709" t="str">
        <f t="shared" ca="1" si="3"/>
        <v>Ok</v>
      </c>
    </row>
    <row r="64" spans="1:42">
      <c r="A64" s="708">
        <f>IF(C64&lt;='Param treso'!$H$32,C64,IF(A63&lt;'Param treso'!$H$32,A63+1,1))</f>
        <v>14</v>
      </c>
      <c r="B64" s="708">
        <f>IF(C64&lt;='Param treso'!$H$41,C64,IF(B63&lt;'Param treso'!$H$41,B63+1,1))</f>
        <v>4</v>
      </c>
      <c r="C64" s="639">
        <f t="shared" si="4"/>
        <v>44</v>
      </c>
      <c r="D64" s="639">
        <f t="shared" ca="1" si="5"/>
        <v>104</v>
      </c>
      <c r="E64" s="649">
        <f t="shared" ca="1" si="6"/>
        <v>2070</v>
      </c>
      <c r="F64" s="186">
        <f>IF(C64=1,$F$19,IF(AND(A64=1,$K$16="Oui"),-AG63,IF(AND(A64&lt;='Param treso'!$H$32,$K$12="Oui"),IF(A64=1,-AG63,-AG63+G63),IF(AND(A64&lt;='Param treso'!$H$32,C64&lt;='Param treso'!$H$32),G63,IF($K$16="Oui",G63,0)))))</f>
        <v>0</v>
      </c>
      <c r="G64" s="186">
        <f t="shared" si="7"/>
        <v>0</v>
      </c>
      <c r="H64" s="1106">
        <f>F64*'Param treso'!$H$30</f>
        <v>0</v>
      </c>
      <c r="I64" s="1106"/>
      <c r="J64" s="1107"/>
      <c r="K64" s="659">
        <f t="shared" si="8"/>
        <v>0</v>
      </c>
      <c r="L64" s="186">
        <f>IF(K64=0,0,IF(B64=1,K64*(1+'Param treso'!$H$39),PRODUCT(L63,(POWER('Param treso'!$H$39,1)))+L63))</f>
        <v>0</v>
      </c>
      <c r="M64" s="660">
        <f>IFERROR(IF(B64='Param treso'!$H$41,L64-K64,0),0)</f>
        <v>0</v>
      </c>
      <c r="N64" s="186">
        <f>M64+H64+IF(A64='Param treso'!$H$32,G64,0)+IF(B64='Param treso'!$H$41,K64,0)</f>
        <v>0</v>
      </c>
      <c r="O64" s="186">
        <f ca="1">IF($AM$16="Oui",-IFERROR(VLOOKUP(E64,'Crédit (IS)'!$O$8:$P$145,2,FALSE),0),0)-(AN63*$T$14)</f>
        <v>0</v>
      </c>
      <c r="P64" s="186">
        <f ca="1">H64+M64+O64+IF(A64='Param treso'!$H$32,G64-F64,0)</f>
        <v>0</v>
      </c>
      <c r="Q64" s="1106">
        <f t="shared" ca="1" si="9"/>
        <v>0</v>
      </c>
      <c r="R64" s="1106"/>
      <c r="S64" s="1106"/>
      <c r="T64" s="186">
        <f t="shared" ca="1" si="10"/>
        <v>0</v>
      </c>
      <c r="U64" s="662">
        <f t="shared" ca="1" si="11"/>
        <v>0</v>
      </c>
      <c r="V64" s="662">
        <f ca="1">-IF('Param treso'!$H$20="Non",T64*Données!$L$24,IF(T64&lt;=Données!$L$26,T64*Données!$L$25,(Données!$L$26*Données!$L$25)+((T64-Données!$L$26)*Données!$L$24)))</f>
        <v>0</v>
      </c>
      <c r="W64" s="662">
        <f t="shared" ca="1" si="12"/>
        <v>0</v>
      </c>
      <c r="X64" s="186">
        <f ca="1">IF($AM$16="Oui",-IFERROR(VLOOKUP(E64,'Crédit (IS)'!$O$8:$Q$145,3,FALSE),0),0)</f>
        <v>0</v>
      </c>
      <c r="Y64" s="186">
        <f t="shared" ca="1" si="17"/>
        <v>0</v>
      </c>
      <c r="Z64" s="186">
        <f t="shared" ca="1" si="20"/>
        <v>311541.21800000011</v>
      </c>
      <c r="AA64" s="186">
        <f t="shared" ca="1" si="13"/>
        <v>0</v>
      </c>
      <c r="AB64" s="186">
        <f t="shared" ca="1" si="14"/>
        <v>0</v>
      </c>
      <c r="AC64" s="186">
        <f>IF(C64&lt;='Crédit (IR)'!$G$16/12,-(('Crédit (IR)'!$K$17)/(1-'Param treso'!$H$18)),0)</f>
        <v>0</v>
      </c>
      <c r="AD64" s="186">
        <f>IF($AM$14="Non",0,IF(C64&lt;='Crédit (IR)'!$G$16/12,-('Crédit (IR)'!$K$17),0))</f>
        <v>0</v>
      </c>
      <c r="AE64" s="186">
        <f ca="1">-IF(AND(E64&gt;=$AO$10,E64&lt;$AO$12),$AM$10/(1-'Param treso'!$H$18),IF(E64&gt;=$AO$12,$AM$12/(1-'Param treso'!$H$18),0))</f>
        <v>-207782.77014285719</v>
      </c>
      <c r="AF64" s="186">
        <f t="shared" ca="1" si="18"/>
        <v>-145447.93910000002</v>
      </c>
      <c r="AG64" s="186">
        <f>IF(C64=1,IF($K$12="Oui",-(Z64+AI64+AJ64),0),IF(AND($K$12="Oui",$K$16="Oui",A64='Param treso'!$H$32,B64='Param treso'!$H$41),-(Z64+AI64+AJ64+AH64),IF(AND($K$12="Oui",B64='Param treso'!$H$41),-(Z64+AI64+AJ64+AH64),IF(AND(A64='Param treso'!$H$32,$K$16="Oui"),-$F$19,IF($K$12="Oui",-(Z64+AI64+AJ64+AH64),0)))))</f>
        <v>0</v>
      </c>
      <c r="AH64" s="186">
        <f>IF(C64=1,0,IF(AND($K$16="Oui",B64='Param treso'!$H$41),-$K$19,0))</f>
        <v>0</v>
      </c>
      <c r="AI64" s="186">
        <f t="shared" si="19"/>
        <v>0</v>
      </c>
      <c r="AJ64" s="704">
        <f ca="1">IF(AI64=AF64+AD64,0,IF(AD64+AF64&lt;0,IF((Z64+AI64)&gt;=-(AC64+AE64),(AD64+AF64-AI64)/(1-'Param treso'!$H$18),-(Z64+AI64)),0))</f>
        <v>-207782.77014285719</v>
      </c>
      <c r="AK64" s="1106">
        <f t="shared" ca="1" si="15"/>
        <v>103758.44785714292</v>
      </c>
      <c r="AL64" s="1106"/>
      <c r="AM64" s="1106"/>
      <c r="AN64" s="660">
        <f t="shared" ca="1" si="16"/>
        <v>0</v>
      </c>
      <c r="AO64" s="696">
        <f ca="1">-AJ64*(1-'Param treso'!$H$18)</f>
        <v>145447.93910000002</v>
      </c>
      <c r="AP64" s="709" t="str">
        <f t="shared" ca="1" si="3"/>
        <v>Ok</v>
      </c>
    </row>
    <row r="65" spans="1:42">
      <c r="A65" s="708">
        <f>IF(C65&lt;='Param treso'!$H$32,C65,IF(A64&lt;'Param treso'!$H$32,A64+1,1))</f>
        <v>15</v>
      </c>
      <c r="B65" s="708">
        <f>IF(C65&lt;='Param treso'!$H$41,C65,IF(B64&lt;'Param treso'!$H$41,B64+1,1))</f>
        <v>5</v>
      </c>
      <c r="C65" s="639">
        <f t="shared" si="4"/>
        <v>45</v>
      </c>
      <c r="D65" s="639">
        <f t="shared" ca="1" si="5"/>
        <v>105</v>
      </c>
      <c r="E65" s="649">
        <f t="shared" ca="1" si="6"/>
        <v>2071</v>
      </c>
      <c r="F65" s="186">
        <f>IF(C65=1,$F$19,IF(AND(A65=1,$K$16="Oui"),-AG64,IF(AND(A65&lt;='Param treso'!$H$32,$K$12="Oui"),IF(A65=1,-AG64,-AG64+G64),IF(AND(A65&lt;='Param treso'!$H$32,C65&lt;='Param treso'!$H$32),G64,IF($K$16="Oui",G64,0)))))</f>
        <v>0</v>
      </c>
      <c r="G65" s="186">
        <f t="shared" si="7"/>
        <v>0</v>
      </c>
      <c r="H65" s="1106">
        <f>F65*'Param treso'!$H$30</f>
        <v>0</v>
      </c>
      <c r="I65" s="1106"/>
      <c r="J65" s="1107"/>
      <c r="K65" s="659">
        <f t="shared" si="8"/>
        <v>0</v>
      </c>
      <c r="L65" s="186">
        <f>IF(K65=0,0,IF(B65=1,K65*(1+'Param treso'!$H$39),PRODUCT(L64,(POWER('Param treso'!$H$39,1)))+L64))</f>
        <v>0</v>
      </c>
      <c r="M65" s="660">
        <f>IFERROR(IF(B65='Param treso'!$H$41,L65-K65,0),0)</f>
        <v>0</v>
      </c>
      <c r="N65" s="186">
        <f>M65+H65+IF(A65='Param treso'!$H$32,G65,0)+IF(B65='Param treso'!$H$41,K65,0)</f>
        <v>0</v>
      </c>
      <c r="O65" s="186">
        <f ca="1">IF($AM$16="Oui",-IFERROR(VLOOKUP(E65,'Crédit (IS)'!$O$8:$P$145,2,FALSE),0),0)-(AN64*$T$14)</f>
        <v>0</v>
      </c>
      <c r="P65" s="186">
        <f ca="1">H65+M65+O65+IF(A65='Param treso'!$H$32,G65-F65,0)</f>
        <v>0</v>
      </c>
      <c r="Q65" s="1106">
        <f t="shared" ca="1" si="9"/>
        <v>0</v>
      </c>
      <c r="R65" s="1106"/>
      <c r="S65" s="1106"/>
      <c r="T65" s="186">
        <f t="shared" ca="1" si="10"/>
        <v>0</v>
      </c>
      <c r="U65" s="662">
        <f t="shared" ca="1" si="11"/>
        <v>0</v>
      </c>
      <c r="V65" s="662">
        <f ca="1">-IF('Param treso'!$H$20="Non",T65*Données!$L$24,IF(T65&lt;=Données!$L$26,T65*Données!$L$25,(Données!$L$26*Données!$L$25)+((T65-Données!$L$26)*Données!$L$24)))</f>
        <v>0</v>
      </c>
      <c r="W65" s="662">
        <f t="shared" ca="1" si="12"/>
        <v>0</v>
      </c>
      <c r="X65" s="186">
        <f ca="1">IF($AM$16="Oui",-IFERROR(VLOOKUP(E65,'Crédit (IS)'!$O$8:$Q$145,3,FALSE),0),0)</f>
        <v>0</v>
      </c>
      <c r="Y65" s="186">
        <f t="shared" ca="1" si="17"/>
        <v>0</v>
      </c>
      <c r="Z65" s="186">
        <f t="shared" ca="1" si="20"/>
        <v>103758.44785714292</v>
      </c>
      <c r="AA65" s="186">
        <f t="shared" ca="1" si="13"/>
        <v>0</v>
      </c>
      <c r="AB65" s="186">
        <f t="shared" ca="1" si="14"/>
        <v>0</v>
      </c>
      <c r="AC65" s="186">
        <f>IF(C65&lt;='Crédit (IR)'!$G$16/12,-(('Crédit (IR)'!$K$17)/(1-'Param treso'!$H$18)),0)</f>
        <v>0</v>
      </c>
      <c r="AD65" s="186">
        <f>IF($AM$14="Non",0,IF(C65&lt;='Crédit (IR)'!$G$16/12,-('Crédit (IR)'!$K$17),0))</f>
        <v>0</v>
      </c>
      <c r="AE65" s="186">
        <f ca="1">-IF(AND(E65&gt;=$AO$10,E65&lt;$AO$12),$AM$10/(1-'Param treso'!$H$18),IF(E65&gt;=$AO$12,$AM$12/(1-'Param treso'!$H$18),0))</f>
        <v>-207782.77014285719</v>
      </c>
      <c r="AF65" s="186">
        <f t="shared" ca="1" si="18"/>
        <v>-145447.93910000002</v>
      </c>
      <c r="AG65" s="186">
        <f>IF(C65=1,IF($K$12="Oui",-(Z65+AI65+AJ65),0),IF(AND($K$12="Oui",$K$16="Oui",A65='Param treso'!$H$32,B65='Param treso'!$H$41),-(Z65+AI65+AJ65+AH65),IF(AND($K$12="Oui",B65='Param treso'!$H$41),-(Z65+AI65+AJ65+AH65),IF(AND(A65='Param treso'!$H$32,$K$16="Oui"),-$F$19,IF($K$12="Oui",-(Z65+AI65+AJ65+AH65),0)))))</f>
        <v>0</v>
      </c>
      <c r="AH65" s="186">
        <f>IF(C65=1,0,IF(AND($K$16="Oui",B65='Param treso'!$H$41),-$K$19,0))</f>
        <v>0</v>
      </c>
      <c r="AI65" s="186">
        <f t="shared" si="19"/>
        <v>0</v>
      </c>
      <c r="AJ65" s="704">
        <f ca="1">IF(AI65=AF65+AD65,0,IF(AD65+AF65&lt;0,IF((Z65+AI65)&gt;=-(AC65+AE65),(AD65+AF65-AI65)/(1-'Param treso'!$H$18),-(Z65+AI65)),0))</f>
        <v>-103758.44785714292</v>
      </c>
      <c r="AK65" s="1106">
        <f t="shared" ca="1" si="15"/>
        <v>0</v>
      </c>
      <c r="AL65" s="1106"/>
      <c r="AM65" s="1106"/>
      <c r="AN65" s="660">
        <f t="shared" ca="1" si="16"/>
        <v>0</v>
      </c>
      <c r="AO65" s="696">
        <f ca="1">-AJ65*(1-'Param treso'!$H$18)</f>
        <v>72630.913500000039</v>
      </c>
      <c r="AP65" s="709">
        <f t="shared" ca="1" si="3"/>
        <v>-72817.025599999979</v>
      </c>
    </row>
    <row r="66" spans="1:42">
      <c r="A66" s="708">
        <f>IF(C66&lt;='Param treso'!$H$32,C66,IF(A65&lt;'Param treso'!$H$32,A65+1,1))</f>
        <v>16</v>
      </c>
      <c r="B66" s="708">
        <f>IF(C66&lt;='Param treso'!$H$41,C66,IF(B65&lt;'Param treso'!$H$41,B65+1,1))</f>
        <v>1</v>
      </c>
      <c r="C66" s="639">
        <f t="shared" si="4"/>
        <v>46</v>
      </c>
      <c r="D66" s="639">
        <f t="shared" ca="1" si="5"/>
        <v>106</v>
      </c>
      <c r="E66" s="649">
        <f t="shared" ca="1" si="6"/>
        <v>2072</v>
      </c>
      <c r="F66" s="186">
        <f>IF(C66=1,$F$19,IF(AND(A66=1,$K$16="Oui"),-AG65,IF(AND(A66&lt;='Param treso'!$H$32,$K$12="Oui"),IF(A66=1,-AG65,-AG65+G65),IF(AND(A66&lt;='Param treso'!$H$32,C66&lt;='Param treso'!$H$32),G65,IF($K$16="Oui",G65,0)))))</f>
        <v>0</v>
      </c>
      <c r="G66" s="186">
        <f t="shared" si="7"/>
        <v>0</v>
      </c>
      <c r="H66" s="1106">
        <f>F66*'Param treso'!$H$30</f>
        <v>0</v>
      </c>
      <c r="I66" s="1106"/>
      <c r="J66" s="1107"/>
      <c r="K66" s="659">
        <f t="shared" si="8"/>
        <v>0</v>
      </c>
      <c r="L66" s="186">
        <f>IF(K66=0,0,IF(B66=1,K66*(1+'Param treso'!$H$39),PRODUCT(L65,(POWER('Param treso'!$H$39,1)))+L65))</f>
        <v>0</v>
      </c>
      <c r="M66" s="660">
        <f>IFERROR(IF(B66='Param treso'!$H$41,L66-K66,0),0)</f>
        <v>0</v>
      </c>
      <c r="N66" s="186">
        <f>M66+H66+IF(A66='Param treso'!$H$32,G66,0)+IF(B66='Param treso'!$H$41,K66,0)</f>
        <v>0</v>
      </c>
      <c r="O66" s="186">
        <f ca="1">IF($AM$16="Oui",-IFERROR(VLOOKUP(E66,'Crédit (IS)'!$O$8:$P$145,2,FALSE),0),0)-(AN65*$T$14)</f>
        <v>0</v>
      </c>
      <c r="P66" s="186">
        <f ca="1">H66+M66+O66+IF(A66='Param treso'!$H$32,G66-F66,0)</f>
        <v>0</v>
      </c>
      <c r="Q66" s="1106">
        <f t="shared" ca="1" si="9"/>
        <v>0</v>
      </c>
      <c r="R66" s="1106"/>
      <c r="S66" s="1106"/>
      <c r="T66" s="186">
        <f t="shared" ca="1" si="10"/>
        <v>0</v>
      </c>
      <c r="U66" s="662">
        <f t="shared" ca="1" si="11"/>
        <v>0</v>
      </c>
      <c r="V66" s="662">
        <f ca="1">-IF('Param treso'!$H$20="Non",T66*Données!$L$24,IF(T66&lt;=Données!$L$26,T66*Données!$L$25,(Données!$L$26*Données!$L$25)+((T66-Données!$L$26)*Données!$L$24)))</f>
        <v>0</v>
      </c>
      <c r="W66" s="662">
        <f t="shared" ca="1" si="12"/>
        <v>0</v>
      </c>
      <c r="X66" s="186">
        <f ca="1">IF($AM$16="Oui",-IFERROR(VLOOKUP(E66,'Crédit (IS)'!$O$8:$Q$145,3,FALSE),0),0)</f>
        <v>0</v>
      </c>
      <c r="Y66" s="186">
        <f t="shared" ca="1" si="17"/>
        <v>0</v>
      </c>
      <c r="Z66" s="186">
        <f t="shared" ca="1" si="20"/>
        <v>0</v>
      </c>
      <c r="AA66" s="186">
        <f t="shared" ca="1" si="13"/>
        <v>0</v>
      </c>
      <c r="AB66" s="186">
        <f t="shared" ca="1" si="14"/>
        <v>0</v>
      </c>
      <c r="AC66" s="186">
        <f>IF(C66&lt;='Crédit (IR)'!$G$16/12,-(('Crédit (IR)'!$K$17)/(1-'Param treso'!$H$18)),0)</f>
        <v>0</v>
      </c>
      <c r="AD66" s="186">
        <f>IF($AM$14="Non",0,IF(C66&lt;='Crédit (IR)'!$G$16/12,-('Crédit (IR)'!$K$17),0))</f>
        <v>0</v>
      </c>
      <c r="AE66" s="186">
        <f ca="1">-IF(AND(E66&gt;=$AO$10,E66&lt;$AO$12),$AM$10/(1-'Param treso'!$H$18),IF(E66&gt;=$AO$12,$AM$12/(1-'Param treso'!$H$18),0))</f>
        <v>-207782.77014285719</v>
      </c>
      <c r="AF66" s="186">
        <f t="shared" ca="1" si="18"/>
        <v>-145447.93910000002</v>
      </c>
      <c r="AG66" s="186">
        <f>IF(C66=1,IF($K$12="Oui",-(Z66+AI66+AJ66),0),IF(AND($K$12="Oui",$K$16="Oui",A66='Param treso'!$H$32,B66='Param treso'!$H$41),-(Z66+AI66+AJ66+AH66),IF(AND($K$12="Oui",B66='Param treso'!$H$41),-(Z66+AI66+AJ66+AH66),IF(AND(A66='Param treso'!$H$32,$K$16="Oui"),-$F$19,IF($K$12="Oui",-(Z66+AI66+AJ66+AH66),0)))))</f>
        <v>0</v>
      </c>
      <c r="AH66" s="186">
        <f>IF(C66=1,0,IF(AND($K$16="Oui",B66='Param treso'!$H$41),-$K$19,0))</f>
        <v>0</v>
      </c>
      <c r="AI66" s="186">
        <f t="shared" si="19"/>
        <v>0</v>
      </c>
      <c r="AJ66" s="704">
        <f ca="1">IF(AI66=AF66+AD66,0,IF(AD66+AF66&lt;0,IF((Z66+AI66)&gt;=-(AC66+AE66),(AD66+AF66-AI66)/(1-'Param treso'!$H$18),-(Z66+AI66)),0))</f>
        <v>0</v>
      </c>
      <c r="AK66" s="1106">
        <f t="shared" ca="1" si="15"/>
        <v>0</v>
      </c>
      <c r="AL66" s="1106"/>
      <c r="AM66" s="1106"/>
      <c r="AN66" s="660">
        <f t="shared" ca="1" si="16"/>
        <v>0</v>
      </c>
      <c r="AO66" s="696">
        <f ca="1">-AJ66*(1-'Param treso'!$H$18)</f>
        <v>0</v>
      </c>
      <c r="AP66" s="709">
        <f t="shared" ca="1" si="3"/>
        <v>-145447.93910000002</v>
      </c>
    </row>
    <row r="67" spans="1:42">
      <c r="A67" s="708">
        <f>IF(C67&lt;='Param treso'!$H$32,C67,IF(A66&lt;'Param treso'!$H$32,A66+1,1))</f>
        <v>17</v>
      </c>
      <c r="B67" s="708">
        <f>IF(C67&lt;='Param treso'!$H$41,C67,IF(B66&lt;'Param treso'!$H$41,B66+1,1))</f>
        <v>2</v>
      </c>
      <c r="C67" s="639">
        <f t="shared" si="4"/>
        <v>47</v>
      </c>
      <c r="D67" s="639">
        <f t="shared" ca="1" si="5"/>
        <v>107</v>
      </c>
      <c r="E67" s="649">
        <f t="shared" ca="1" si="6"/>
        <v>2073</v>
      </c>
      <c r="F67" s="186">
        <f>IF(C67=1,$F$19,IF(AND(A67=1,$K$16="Oui"),-AG66,IF(AND(A67&lt;='Param treso'!$H$32,$K$12="Oui"),IF(A67=1,-AG66,-AG66+G66),IF(AND(A67&lt;='Param treso'!$H$32,C67&lt;='Param treso'!$H$32),G66,IF($K$16="Oui",G66,0)))))</f>
        <v>0</v>
      </c>
      <c r="G67" s="186">
        <f t="shared" si="7"/>
        <v>0</v>
      </c>
      <c r="H67" s="1106">
        <f>F67*'Param treso'!$H$30</f>
        <v>0</v>
      </c>
      <c r="I67" s="1106"/>
      <c r="J67" s="1107"/>
      <c r="K67" s="659">
        <f t="shared" si="8"/>
        <v>0</v>
      </c>
      <c r="L67" s="186">
        <f>IF(K67=0,0,IF(B67=1,K67*(1+'Param treso'!$H$39),PRODUCT(L66,(POWER('Param treso'!$H$39,1)))+L66))</f>
        <v>0</v>
      </c>
      <c r="M67" s="660">
        <f>IFERROR(IF(B67='Param treso'!$H$41,L67-K67,0),0)</f>
        <v>0</v>
      </c>
      <c r="N67" s="186">
        <f>M67+H67+IF(A67='Param treso'!$H$32,G67,0)+IF(B67='Param treso'!$H$41,K67,0)</f>
        <v>0</v>
      </c>
      <c r="O67" s="186">
        <f ca="1">IF($AM$16="Oui",-IFERROR(VLOOKUP(E67,'Crédit (IS)'!$O$8:$P$145,2,FALSE),0),0)-(AN66*$T$14)</f>
        <v>0</v>
      </c>
      <c r="P67" s="186">
        <f ca="1">H67+M67+O67+IF(A67='Param treso'!$H$32,G67-F67,0)</f>
        <v>0</v>
      </c>
      <c r="Q67" s="1106">
        <f t="shared" ca="1" si="9"/>
        <v>0</v>
      </c>
      <c r="R67" s="1106"/>
      <c r="S67" s="1106"/>
      <c r="T67" s="186">
        <f t="shared" ca="1" si="10"/>
        <v>0</v>
      </c>
      <c r="U67" s="662">
        <f t="shared" ca="1" si="11"/>
        <v>0</v>
      </c>
      <c r="V67" s="662">
        <f ca="1">-IF('Param treso'!$H$20="Non",T67*Données!$L$24,IF(T67&lt;=Données!$L$26,T67*Données!$L$25,(Données!$L$26*Données!$L$25)+((T67-Données!$L$26)*Données!$L$24)))</f>
        <v>0</v>
      </c>
      <c r="W67" s="662">
        <f t="shared" ca="1" si="12"/>
        <v>0</v>
      </c>
      <c r="X67" s="186">
        <f ca="1">IF($AM$16="Oui",-IFERROR(VLOOKUP(E67,'Crédit (IS)'!$O$8:$Q$145,3,FALSE),0),0)</f>
        <v>0</v>
      </c>
      <c r="Y67" s="186">
        <f t="shared" ca="1" si="17"/>
        <v>0</v>
      </c>
      <c r="Z67" s="186">
        <f t="shared" ca="1" si="20"/>
        <v>0</v>
      </c>
      <c r="AA67" s="186">
        <f t="shared" ca="1" si="13"/>
        <v>0</v>
      </c>
      <c r="AB67" s="186">
        <f t="shared" ca="1" si="14"/>
        <v>0</v>
      </c>
      <c r="AC67" s="186">
        <f>IF(C67&lt;='Crédit (IR)'!$G$16/12,-(('Crédit (IR)'!$K$17)/(1-'Param treso'!$H$18)),0)</f>
        <v>0</v>
      </c>
      <c r="AD67" s="186">
        <f>IF($AM$14="Non",0,IF(C67&lt;='Crédit (IR)'!$G$16/12,-('Crédit (IR)'!$K$17),0))</f>
        <v>0</v>
      </c>
      <c r="AE67" s="186">
        <f ca="1">-IF(AND(E67&gt;=$AO$10,E67&lt;$AO$12),$AM$10/(1-'Param treso'!$H$18),IF(E67&gt;=$AO$12,$AM$12/(1-'Param treso'!$H$18),0))</f>
        <v>-207782.77014285719</v>
      </c>
      <c r="AF67" s="186">
        <f t="shared" ca="1" si="18"/>
        <v>-145447.93910000002</v>
      </c>
      <c r="AG67" s="186">
        <f>IF(C67=1,IF($K$12="Oui",-(Z67+AI67+AJ67),0),IF(AND($K$12="Oui",$K$16="Oui",A67='Param treso'!$H$32,B67='Param treso'!$H$41),-(Z67+AI67+AJ67+AH67),IF(AND($K$12="Oui",B67='Param treso'!$H$41),-(Z67+AI67+AJ67+AH67),IF(AND(A67='Param treso'!$H$32,$K$16="Oui"),-$F$19,IF($K$12="Oui",-(Z67+AI67+AJ67+AH67),0)))))</f>
        <v>0</v>
      </c>
      <c r="AH67" s="186">
        <f>IF(C67=1,0,IF(AND($K$16="Oui",B67='Param treso'!$H$41),-$K$19,0))</f>
        <v>0</v>
      </c>
      <c r="AI67" s="186">
        <f t="shared" si="19"/>
        <v>0</v>
      </c>
      <c r="AJ67" s="704">
        <f ca="1">IF(AI67=AF67+AD67,0,IF(AD67+AF67&lt;0,IF((Z67+AI67)&gt;=-(AC67+AE67),(AD67+AF67-AI67)/(1-'Param treso'!$H$18),-(Z67+AI67)),0))</f>
        <v>0</v>
      </c>
      <c r="AK67" s="1106">
        <f t="shared" ca="1" si="15"/>
        <v>0</v>
      </c>
      <c r="AL67" s="1106"/>
      <c r="AM67" s="1106"/>
      <c r="AN67" s="660">
        <f t="shared" ca="1" si="16"/>
        <v>0</v>
      </c>
      <c r="AO67" s="696">
        <f ca="1">-AJ67*(1-'Param treso'!$H$18)</f>
        <v>0</v>
      </c>
      <c r="AP67" s="709">
        <f t="shared" ca="1" si="3"/>
        <v>-145447.93910000002</v>
      </c>
    </row>
    <row r="68" spans="1:42">
      <c r="A68" s="708">
        <f>IF(C68&lt;='Param treso'!$H$32,C68,IF(A67&lt;'Param treso'!$H$32,A67+1,1))</f>
        <v>18</v>
      </c>
      <c r="B68" s="708">
        <f>IF(C68&lt;='Param treso'!$H$41,C68,IF(B67&lt;'Param treso'!$H$41,B67+1,1))</f>
        <v>3</v>
      </c>
      <c r="C68" s="639">
        <f t="shared" si="4"/>
        <v>48</v>
      </c>
      <c r="D68" s="639">
        <f t="shared" ca="1" si="5"/>
        <v>108</v>
      </c>
      <c r="E68" s="649">
        <f t="shared" ca="1" si="6"/>
        <v>2074</v>
      </c>
      <c r="F68" s="186">
        <f>IF(C68=1,$F$19,IF(AND(A68=1,$K$16="Oui"),-AG67,IF(AND(A68&lt;='Param treso'!$H$32,$K$12="Oui"),IF(A68=1,-AG67,-AG67+G67),IF(AND(A68&lt;='Param treso'!$H$32,C68&lt;='Param treso'!$H$32),G67,IF($K$16="Oui",G67,0)))))</f>
        <v>0</v>
      </c>
      <c r="G68" s="186">
        <f t="shared" si="7"/>
        <v>0</v>
      </c>
      <c r="H68" s="1106">
        <f>F68*'Param treso'!$H$30</f>
        <v>0</v>
      </c>
      <c r="I68" s="1106"/>
      <c r="J68" s="1107"/>
      <c r="K68" s="659">
        <f t="shared" si="8"/>
        <v>0</v>
      </c>
      <c r="L68" s="186">
        <f>IF(K68=0,0,IF(B68=1,K68*(1+'Param treso'!$H$39),PRODUCT(L67,(POWER('Param treso'!$H$39,1)))+L67))</f>
        <v>0</v>
      </c>
      <c r="M68" s="660">
        <f>IFERROR(IF(B68='Param treso'!$H$41,L68-K68,0),0)</f>
        <v>0</v>
      </c>
      <c r="N68" s="186">
        <f>M68+H68+IF(A68='Param treso'!$H$32,G68,0)+IF(B68='Param treso'!$H$41,K68,0)</f>
        <v>0</v>
      </c>
      <c r="O68" s="186">
        <f ca="1">IF($AM$16="Oui",-IFERROR(VLOOKUP(E68,'Crédit (IS)'!$O$8:$P$145,2,FALSE),0),0)-(AN67*$T$14)</f>
        <v>0</v>
      </c>
      <c r="P68" s="186">
        <f ca="1">H68+M68+O68+IF(A68='Param treso'!$H$32,G68-F68,0)</f>
        <v>0</v>
      </c>
      <c r="Q68" s="1106">
        <f t="shared" ca="1" si="9"/>
        <v>0</v>
      </c>
      <c r="R68" s="1106"/>
      <c r="S68" s="1106"/>
      <c r="T68" s="186">
        <f t="shared" ca="1" si="10"/>
        <v>0</v>
      </c>
      <c r="U68" s="662">
        <f t="shared" ca="1" si="11"/>
        <v>0</v>
      </c>
      <c r="V68" s="662">
        <f ca="1">-IF('Param treso'!$H$20="Non",T68*Données!$L$24,IF(T68&lt;=Données!$L$26,T68*Données!$L$25,(Données!$L$26*Données!$L$25)+((T68-Données!$L$26)*Données!$L$24)))</f>
        <v>0</v>
      </c>
      <c r="W68" s="662">
        <f t="shared" ca="1" si="12"/>
        <v>0</v>
      </c>
      <c r="X68" s="186">
        <f ca="1">IF($AM$16="Oui",-IFERROR(VLOOKUP(E68,'Crédit (IS)'!$O$8:$Q$145,3,FALSE),0),0)</f>
        <v>0</v>
      </c>
      <c r="Y68" s="186">
        <f t="shared" ca="1" si="17"/>
        <v>0</v>
      </c>
      <c r="Z68" s="186">
        <f t="shared" ca="1" si="20"/>
        <v>0</v>
      </c>
      <c r="AA68" s="186">
        <f t="shared" ca="1" si="13"/>
        <v>0</v>
      </c>
      <c r="AB68" s="186">
        <f t="shared" ca="1" si="14"/>
        <v>0</v>
      </c>
      <c r="AC68" s="186">
        <f>IF(C68&lt;='Crédit (IR)'!$G$16/12,-(('Crédit (IR)'!$K$17)/(1-'Param treso'!$H$18)),0)</f>
        <v>0</v>
      </c>
      <c r="AD68" s="186">
        <f>IF($AM$14="Non",0,IF(C68&lt;='Crédit (IR)'!$G$16/12,-('Crédit (IR)'!$K$17),0))</f>
        <v>0</v>
      </c>
      <c r="AE68" s="186">
        <f ca="1">-IF(AND(E68&gt;=$AO$10,E68&lt;$AO$12),$AM$10/(1-'Param treso'!$H$18),IF(E68&gt;=$AO$12,$AM$12/(1-'Param treso'!$H$18),0))</f>
        <v>-207782.77014285719</v>
      </c>
      <c r="AF68" s="186">
        <f t="shared" ca="1" si="18"/>
        <v>-145447.93910000002</v>
      </c>
      <c r="AG68" s="186">
        <f>IF(C68=1,IF($K$12="Oui",-(Z68+AI68+AJ68),0),IF(AND($K$12="Oui",$K$16="Oui",A68='Param treso'!$H$32,B68='Param treso'!$H$41),-(Z68+AI68+AJ68+AH68),IF(AND($K$12="Oui",B68='Param treso'!$H$41),-(Z68+AI68+AJ68+AH68),IF(AND(A68='Param treso'!$H$32,$K$16="Oui"),-$F$19,IF($K$12="Oui",-(Z68+AI68+AJ68+AH68),0)))))</f>
        <v>0</v>
      </c>
      <c r="AH68" s="186">
        <f>IF(C68=1,0,IF(AND($K$16="Oui",B68='Param treso'!$H$41),-$K$19,0))</f>
        <v>0</v>
      </c>
      <c r="AI68" s="186">
        <f t="shared" si="19"/>
        <v>0</v>
      </c>
      <c r="AJ68" s="704">
        <f ca="1">IF(AI68=AF68+AD68,0,IF(AD68+AF68&lt;0,IF((Z68+AI68)&gt;=-(AC68+AE68),(AD68+AF68-AI68)/(1-'Param treso'!$H$18),-(Z68+AI68)),0))</f>
        <v>0</v>
      </c>
      <c r="AK68" s="1106">
        <f t="shared" ca="1" si="15"/>
        <v>0</v>
      </c>
      <c r="AL68" s="1106"/>
      <c r="AM68" s="1106"/>
      <c r="AN68" s="660">
        <f t="shared" ca="1" si="16"/>
        <v>0</v>
      </c>
      <c r="AO68" s="696">
        <f ca="1">-AJ68*(1-'Param treso'!$H$18)</f>
        <v>0</v>
      </c>
      <c r="AP68" s="709">
        <f t="shared" ca="1" si="3"/>
        <v>-145447.93910000002</v>
      </c>
    </row>
    <row r="69" spans="1:42">
      <c r="A69" s="708">
        <f>IF(C69&lt;='Param treso'!$H$32,C69,IF(A68&lt;'Param treso'!$H$32,A68+1,1))</f>
        <v>19</v>
      </c>
      <c r="B69" s="708">
        <f>IF(C69&lt;='Param treso'!$H$41,C69,IF(B68&lt;'Param treso'!$H$41,B68+1,1))</f>
        <v>4</v>
      </c>
      <c r="C69" s="639">
        <f t="shared" si="4"/>
        <v>49</v>
      </c>
      <c r="D69" s="639">
        <f t="shared" ca="1" si="5"/>
        <v>109</v>
      </c>
      <c r="E69" s="649">
        <f t="shared" ca="1" si="6"/>
        <v>2075</v>
      </c>
      <c r="F69" s="186">
        <f>IF(C69=1,$F$19,IF(AND(A69=1,$K$16="Oui"),-AG68,IF(AND(A69&lt;='Param treso'!$H$32,$K$12="Oui"),IF(A69=1,-AG68,-AG68+G68),IF(AND(A69&lt;='Param treso'!$H$32,C69&lt;='Param treso'!$H$32),G68,IF($K$16="Oui",G68,0)))))</f>
        <v>0</v>
      </c>
      <c r="G69" s="186">
        <f t="shared" si="7"/>
        <v>0</v>
      </c>
      <c r="H69" s="1106">
        <f>F69*'Param treso'!$H$30</f>
        <v>0</v>
      </c>
      <c r="I69" s="1106"/>
      <c r="J69" s="1107"/>
      <c r="K69" s="659">
        <f t="shared" si="8"/>
        <v>0</v>
      </c>
      <c r="L69" s="186">
        <f>IF(K69=0,0,IF(B69=1,K69*(1+'Param treso'!$H$39),PRODUCT(L68,(POWER('Param treso'!$H$39,1)))+L68))</f>
        <v>0</v>
      </c>
      <c r="M69" s="660">
        <f>IFERROR(IF(B69='Param treso'!$H$41,L69-K69,0),0)</f>
        <v>0</v>
      </c>
      <c r="N69" s="186">
        <f>M69+H69+IF(A69='Param treso'!$H$32,G69,0)+IF(B69='Param treso'!$H$41,K69,0)</f>
        <v>0</v>
      </c>
      <c r="O69" s="186">
        <f ca="1">IF($AM$16="Oui",-IFERROR(VLOOKUP(E69,'Crédit (IS)'!$O$8:$P$145,2,FALSE),0),0)-(AN68*$T$14)</f>
        <v>0</v>
      </c>
      <c r="P69" s="186">
        <f ca="1">H69+M69+O69+IF(A69='Param treso'!$H$32,G69-F69,0)</f>
        <v>0</v>
      </c>
      <c r="Q69" s="1106">
        <f t="shared" ca="1" si="9"/>
        <v>0</v>
      </c>
      <c r="R69" s="1106"/>
      <c r="S69" s="1106"/>
      <c r="T69" s="186">
        <f t="shared" ca="1" si="10"/>
        <v>0</v>
      </c>
      <c r="U69" s="662">
        <f t="shared" ca="1" si="11"/>
        <v>0</v>
      </c>
      <c r="V69" s="662">
        <f ca="1">-IF('Param treso'!$H$20="Non",T69*Données!$L$24,IF(T69&lt;=Données!$L$26,T69*Données!$L$25,(Données!$L$26*Données!$L$25)+((T69-Données!$L$26)*Données!$L$24)))</f>
        <v>0</v>
      </c>
      <c r="W69" s="662">
        <f t="shared" ca="1" si="12"/>
        <v>0</v>
      </c>
      <c r="X69" s="186">
        <f ca="1">IF($AM$16="Oui",-IFERROR(VLOOKUP(E69,'Crédit (IS)'!$O$8:$Q$145,3,FALSE),0),0)</f>
        <v>0</v>
      </c>
      <c r="Y69" s="186">
        <f t="shared" ca="1" si="17"/>
        <v>0</v>
      </c>
      <c r="Z69" s="186">
        <f t="shared" ca="1" si="20"/>
        <v>0</v>
      </c>
      <c r="AA69" s="186">
        <f t="shared" ca="1" si="13"/>
        <v>0</v>
      </c>
      <c r="AB69" s="186">
        <f t="shared" ca="1" si="14"/>
        <v>0</v>
      </c>
      <c r="AC69" s="186">
        <f>IF(C69&lt;='Crédit (IR)'!$G$16/12,-(('Crédit (IR)'!$K$17)/(1-'Param treso'!$H$18)),0)</f>
        <v>0</v>
      </c>
      <c r="AD69" s="186">
        <f>IF($AM$14="Non",0,IF(C69&lt;='Crédit (IR)'!$G$16/12,-('Crédit (IR)'!$K$17),0))</f>
        <v>0</v>
      </c>
      <c r="AE69" s="186">
        <f ca="1">-IF(AND(E69&gt;=$AO$10,E69&lt;$AO$12),$AM$10/(1-'Param treso'!$H$18),IF(E69&gt;=$AO$12,$AM$12/(1-'Param treso'!$H$18),0))</f>
        <v>-207782.77014285719</v>
      </c>
      <c r="AF69" s="186">
        <f t="shared" ca="1" si="18"/>
        <v>-145447.93910000002</v>
      </c>
      <c r="AG69" s="186">
        <f>IF(C69=1,IF($K$12="Oui",-(Z69+AI69+AJ69),0),IF(AND($K$12="Oui",$K$16="Oui",A69='Param treso'!$H$32,B69='Param treso'!$H$41),-(Z69+AI69+AJ69+AH69),IF(AND($K$12="Oui",B69='Param treso'!$H$41),-(Z69+AI69+AJ69+AH69),IF(AND(A69='Param treso'!$H$32,$K$16="Oui"),-$F$19,IF($K$12="Oui",-(Z69+AI69+AJ69+AH69),0)))))</f>
        <v>0</v>
      </c>
      <c r="AH69" s="186">
        <f>IF(C69=1,0,IF(AND($K$16="Oui",B69='Param treso'!$H$41),-$K$19,0))</f>
        <v>0</v>
      </c>
      <c r="AI69" s="186">
        <f t="shared" si="19"/>
        <v>0</v>
      </c>
      <c r="AJ69" s="704">
        <f ca="1">IF(AI69=AF69+AD69,0,IF(AD69+AF69&lt;0,IF((Z69+AI69)&gt;=-(AC69+AE69),(AD69+AF69-AI69)/(1-'Param treso'!$H$18),-(Z69+AI69)),0))</f>
        <v>0</v>
      </c>
      <c r="AK69" s="1106">
        <f t="shared" ca="1" si="15"/>
        <v>0</v>
      </c>
      <c r="AL69" s="1106"/>
      <c r="AM69" s="1106"/>
      <c r="AN69" s="660">
        <f t="shared" ca="1" si="16"/>
        <v>0</v>
      </c>
      <c r="AO69" s="696">
        <f ca="1">-AJ69*(1-'Param treso'!$H$18)</f>
        <v>0</v>
      </c>
      <c r="AP69" s="709">
        <f t="shared" ca="1" si="3"/>
        <v>-145447.93910000002</v>
      </c>
    </row>
    <row r="70" spans="1:42">
      <c r="A70" s="708">
        <f>IF(C70&lt;='Param treso'!$H$32,C70,IF(A69&lt;'Param treso'!$H$32,A69+1,1))</f>
        <v>20</v>
      </c>
      <c r="B70" s="708">
        <f>IF(C70&lt;='Param treso'!$H$41,C70,IF(B69&lt;'Param treso'!$H$41,B69+1,1))</f>
        <v>5</v>
      </c>
      <c r="C70" s="639">
        <f t="shared" si="4"/>
        <v>50</v>
      </c>
      <c r="D70" s="639">
        <f t="shared" ca="1" si="5"/>
        <v>110</v>
      </c>
      <c r="E70" s="649">
        <f t="shared" ca="1" si="6"/>
        <v>2076</v>
      </c>
      <c r="F70" s="186">
        <f>IF(C70=1,$F$19,IF(AND(A70=1,$K$16="Oui"),-AG69,IF(AND(A70&lt;='Param treso'!$H$32,$K$12="Oui"),IF(A70=1,-AG69,-AG69+G69),IF(AND(A70&lt;='Param treso'!$H$32,C70&lt;='Param treso'!$H$32),G69,IF($K$16="Oui",G69,0)))))</f>
        <v>0</v>
      </c>
      <c r="G70" s="186">
        <f t="shared" si="7"/>
        <v>0</v>
      </c>
      <c r="H70" s="1106">
        <f>F70*'Param treso'!$H$30</f>
        <v>0</v>
      </c>
      <c r="I70" s="1106"/>
      <c r="J70" s="1107"/>
      <c r="K70" s="659">
        <f t="shared" si="8"/>
        <v>0</v>
      </c>
      <c r="L70" s="186">
        <f>IF(K70=0,0,IF(B70=1,K70*(1+'Param treso'!$H$39),PRODUCT(L69,(POWER('Param treso'!$H$39,1)))+L69))</f>
        <v>0</v>
      </c>
      <c r="M70" s="660">
        <f>IFERROR(IF(B70='Param treso'!$H$41,L70-K70,0),0)</f>
        <v>0</v>
      </c>
      <c r="N70" s="186">
        <f>M70+H70+IF(A70='Param treso'!$H$32,G70,0)+IF(B70='Param treso'!$H$41,K70,0)</f>
        <v>0</v>
      </c>
      <c r="O70" s="186">
        <f ca="1">IF($AM$16="Oui",-IFERROR(VLOOKUP(E70,'Crédit (IS)'!$O$8:$P$145,2,FALSE),0),0)-(AN69*$T$14)</f>
        <v>0</v>
      </c>
      <c r="P70" s="186">
        <f ca="1">H70+M70+O70+IF(A70='Param treso'!$H$32,G70-F70,0)</f>
        <v>0</v>
      </c>
      <c r="Q70" s="1106">
        <f t="shared" ca="1" si="9"/>
        <v>0</v>
      </c>
      <c r="R70" s="1106"/>
      <c r="S70" s="1106"/>
      <c r="T70" s="186">
        <f t="shared" ca="1" si="10"/>
        <v>0</v>
      </c>
      <c r="U70" s="662">
        <f t="shared" ca="1" si="11"/>
        <v>0</v>
      </c>
      <c r="V70" s="662">
        <f ca="1">-IF('Param treso'!$H$20="Non",T70*Données!$L$24,IF(T70&lt;=Données!$L$26,T70*Données!$L$25,(Données!$L$26*Données!$L$25)+((T70-Données!$L$26)*Données!$L$24)))</f>
        <v>0</v>
      </c>
      <c r="W70" s="662">
        <f t="shared" ca="1" si="12"/>
        <v>0</v>
      </c>
      <c r="X70" s="186">
        <f ca="1">IF($AM$16="Oui",-IFERROR(VLOOKUP(E70,'Crédit (IS)'!$O$8:$Q$145,3,FALSE),0),0)</f>
        <v>0</v>
      </c>
      <c r="Y70" s="186">
        <f t="shared" ca="1" si="17"/>
        <v>0</v>
      </c>
      <c r="Z70" s="186">
        <f t="shared" ca="1" si="20"/>
        <v>0</v>
      </c>
      <c r="AA70" s="186">
        <f t="shared" ca="1" si="13"/>
        <v>0</v>
      </c>
      <c r="AB70" s="186">
        <f t="shared" ca="1" si="14"/>
        <v>0</v>
      </c>
      <c r="AC70" s="186">
        <f>IF(C70&lt;='Crédit (IR)'!$G$16/12,-(('Crédit (IR)'!$K$17)/(1-'Param treso'!$H$18)),0)</f>
        <v>0</v>
      </c>
      <c r="AD70" s="186">
        <f>IF($AM$14="Non",0,IF(C70&lt;='Crédit (IR)'!$G$16/12,-('Crédit (IR)'!$K$17),0))</f>
        <v>0</v>
      </c>
      <c r="AE70" s="186">
        <f ca="1">-IF(AND(E70&gt;=$AO$10,E70&lt;$AO$12),$AM$10/(1-'Param treso'!$H$18),IF(E70&gt;=$AO$12,$AM$12/(1-'Param treso'!$H$18),0))</f>
        <v>-207782.77014285719</v>
      </c>
      <c r="AF70" s="186">
        <f t="shared" ca="1" si="18"/>
        <v>-145447.93910000002</v>
      </c>
      <c r="AG70" s="186">
        <f>IF(C70=1,IF($K$12="Oui",-(Z70+AI70+AJ70),0),IF(AND($K$12="Oui",$K$16="Oui",A70='Param treso'!$H$32,B70='Param treso'!$H$41),-(Z70+AI70+AJ70+AH70),IF(AND($K$12="Oui",B70='Param treso'!$H$41),-(Z70+AI70+AJ70+AH70),IF(AND(A70='Param treso'!$H$32,$K$16="Oui"),-$F$19,IF($K$12="Oui",-(Z70+AI70+AJ70+AH70),0)))))</f>
        <v>0</v>
      </c>
      <c r="AH70" s="186">
        <f>IF(C70=1,0,IF(AND($K$16="Oui",B70='Param treso'!$H$41),-$K$19,0))</f>
        <v>0</v>
      </c>
      <c r="AI70" s="186">
        <f t="shared" si="19"/>
        <v>0</v>
      </c>
      <c r="AJ70" s="704">
        <f ca="1">IF(AI70=AF70+AD70,0,IF(AD70+AF70&lt;0,IF((Z70+AI70)&gt;=-(AC70+AE70),(AD70+AF70-AI70)/(1-'Param treso'!$H$18),-(Z70+AI70)),0))</f>
        <v>0</v>
      </c>
      <c r="AK70" s="1106">
        <f t="shared" ca="1" si="15"/>
        <v>0</v>
      </c>
      <c r="AL70" s="1106"/>
      <c r="AM70" s="1106"/>
      <c r="AN70" s="660">
        <f t="shared" ca="1" si="16"/>
        <v>0</v>
      </c>
      <c r="AO70" s="696">
        <f ca="1">-AJ70*(1-'Param treso'!$H$18)</f>
        <v>0</v>
      </c>
      <c r="AP70" s="709">
        <f t="shared" ca="1" si="3"/>
        <v>-145447.93910000002</v>
      </c>
    </row>
    <row r="71" spans="1:42">
      <c r="A71" s="708">
        <f>IF(C71&lt;='Param treso'!$H$32,C71,IF(A70&lt;'Param treso'!$H$32,A70+1,1))</f>
        <v>21</v>
      </c>
      <c r="B71" s="708">
        <f>IF(C71&lt;='Param treso'!$H$41,C71,IF(B70&lt;'Param treso'!$H$41,B70+1,1))</f>
        <v>1</v>
      </c>
      <c r="C71" s="639">
        <f t="shared" si="4"/>
        <v>51</v>
      </c>
      <c r="D71" s="639">
        <f t="shared" ca="1" si="5"/>
        <v>111</v>
      </c>
      <c r="E71" s="649">
        <f t="shared" ca="1" si="6"/>
        <v>2077</v>
      </c>
      <c r="F71" s="186">
        <f>IF(C71=1,$F$19,IF(AND(A71=1,$K$16="Oui"),-AG70,IF(AND(A71&lt;='Param treso'!$H$32,$K$12="Oui"),IF(A71=1,-AG70,-AG70+G70),IF(AND(A71&lt;='Param treso'!$H$32,C71&lt;='Param treso'!$H$32),G70,IF($K$16="Oui",G70,0)))))</f>
        <v>0</v>
      </c>
      <c r="G71" s="186">
        <f t="shared" si="7"/>
        <v>0</v>
      </c>
      <c r="H71" s="1106">
        <f>F71*'Param treso'!$H$30</f>
        <v>0</v>
      </c>
      <c r="I71" s="1106"/>
      <c r="J71" s="1107"/>
      <c r="K71" s="659">
        <f t="shared" si="8"/>
        <v>0</v>
      </c>
      <c r="L71" s="186">
        <f>IF(K71=0,0,IF(B71=1,K71*(1+'Param treso'!$H$39),PRODUCT(L70,(POWER('Param treso'!$H$39,1)))+L70))</f>
        <v>0</v>
      </c>
      <c r="M71" s="660">
        <f>IFERROR(IF(B71='Param treso'!$H$41,L71-K71,0),0)</f>
        <v>0</v>
      </c>
      <c r="N71" s="186">
        <f>M71+H71+IF(A71='Param treso'!$H$32,G71,0)+IF(B71='Param treso'!$H$41,K71,0)</f>
        <v>0</v>
      </c>
      <c r="O71" s="186">
        <f ca="1">IF($AM$16="Oui",-IFERROR(VLOOKUP(E71,'Crédit (IS)'!$O$8:$P$145,2,FALSE),0),0)-(AN70*$T$14)</f>
        <v>0</v>
      </c>
      <c r="P71" s="186">
        <f ca="1">H71+M71+O71+IF(A71='Param treso'!$H$32,G71-F71,0)</f>
        <v>0</v>
      </c>
      <c r="Q71" s="1106">
        <f t="shared" ca="1" si="9"/>
        <v>0</v>
      </c>
      <c r="R71" s="1106"/>
      <c r="S71" s="1106"/>
      <c r="T71" s="186">
        <f t="shared" ca="1" si="10"/>
        <v>0</v>
      </c>
      <c r="U71" s="662">
        <f t="shared" ca="1" si="11"/>
        <v>0</v>
      </c>
      <c r="V71" s="662">
        <f ca="1">-IF('Param treso'!$H$20="Non",T71*Données!$L$24,IF(T71&lt;=Données!$L$26,T71*Données!$L$25,(Données!$L$26*Données!$L$25)+((T71-Données!$L$26)*Données!$L$24)))</f>
        <v>0</v>
      </c>
      <c r="W71" s="662">
        <f t="shared" ca="1" si="12"/>
        <v>0</v>
      </c>
      <c r="X71" s="186">
        <f ca="1">IF($AM$16="Oui",-IFERROR(VLOOKUP(E71,'Crédit (IS)'!$O$8:$Q$145,3,FALSE),0),0)</f>
        <v>0</v>
      </c>
      <c r="Y71" s="186">
        <f t="shared" ca="1" si="17"/>
        <v>0</v>
      </c>
      <c r="Z71" s="186">
        <f t="shared" ca="1" si="20"/>
        <v>0</v>
      </c>
      <c r="AA71" s="186">
        <f t="shared" ca="1" si="13"/>
        <v>0</v>
      </c>
      <c r="AB71" s="186">
        <f t="shared" ca="1" si="14"/>
        <v>0</v>
      </c>
      <c r="AC71" s="186">
        <f>IF(C71&lt;='Crédit (IR)'!$G$16/12,-(('Crédit (IR)'!$K$17)/(1-'Param treso'!$H$18)),0)</f>
        <v>0</v>
      </c>
      <c r="AD71" s="186">
        <f>IF($AM$14="Non",0,IF(C71&lt;='Crédit (IR)'!$G$16/12,-('Crédit (IR)'!$K$17),0))</f>
        <v>0</v>
      </c>
      <c r="AE71" s="186">
        <f ca="1">-IF(AND(E71&gt;=$AO$10,E71&lt;$AO$12),$AM$10/(1-'Param treso'!$H$18),IF(E71&gt;=$AO$12,$AM$12/(1-'Param treso'!$H$18),0))</f>
        <v>-207782.77014285719</v>
      </c>
      <c r="AF71" s="186">
        <f t="shared" ca="1" si="18"/>
        <v>-145447.93910000002</v>
      </c>
      <c r="AG71" s="186">
        <f>IF(C71=1,IF($K$12="Oui",-(Z71+AI71+AJ71),0),IF(AND($K$12="Oui",$K$16="Oui",A71='Param treso'!$H$32,B71='Param treso'!$H$41),-(Z71+AI71+AJ71+AH71),IF(AND($K$12="Oui",B71='Param treso'!$H$41),-(Z71+AI71+AJ71+AH71),IF(AND(A71='Param treso'!$H$32,$K$16="Oui"),-$F$19,IF($K$12="Oui",-(Z71+AI71+AJ71+AH71),0)))))</f>
        <v>0</v>
      </c>
      <c r="AH71" s="186">
        <f>IF(C71=1,0,IF(AND($K$16="Oui",B71='Param treso'!$H$41),-$K$19,0))</f>
        <v>0</v>
      </c>
      <c r="AI71" s="186">
        <f t="shared" si="19"/>
        <v>0</v>
      </c>
      <c r="AJ71" s="704">
        <f ca="1">IF(AI71=AF71+AD71,0,IF(AD71+AF71&lt;0,IF((Z71+AI71)&gt;=-(AC71+AE71),(AD71+AF71-AI71)/(1-'Param treso'!$H$18),-(Z71+AI71)),0))</f>
        <v>0</v>
      </c>
      <c r="AK71" s="1106">
        <f t="shared" ca="1" si="15"/>
        <v>0</v>
      </c>
      <c r="AL71" s="1106"/>
      <c r="AM71" s="1106"/>
      <c r="AN71" s="660">
        <f t="shared" ca="1" si="16"/>
        <v>0</v>
      </c>
      <c r="AO71" s="696">
        <f ca="1">-AJ71*(1-'Param treso'!$H$18)</f>
        <v>0</v>
      </c>
      <c r="AP71" s="709">
        <f t="shared" ca="1" si="3"/>
        <v>-145447.93910000002</v>
      </c>
    </row>
    <row r="72" spans="1:42">
      <c r="A72" s="708">
        <f>IF(C72&lt;='Param treso'!$H$32,C72,IF(A71&lt;'Param treso'!$H$32,A71+1,1))</f>
        <v>22</v>
      </c>
      <c r="B72" s="708">
        <f>IF(C72&lt;='Param treso'!$H$41,C72,IF(B71&lt;'Param treso'!$H$41,B71+1,1))</f>
        <v>2</v>
      </c>
      <c r="C72" s="639">
        <f t="shared" si="4"/>
        <v>52</v>
      </c>
      <c r="D72" s="639">
        <f t="shared" ca="1" si="5"/>
        <v>112</v>
      </c>
      <c r="E72" s="649">
        <f t="shared" ca="1" si="6"/>
        <v>2078</v>
      </c>
      <c r="F72" s="186">
        <f>IF(C72=1,$F$19,IF(AND(A72=1,$K$16="Oui"),-AG71,IF(AND(A72&lt;='Param treso'!$H$32,$K$12="Oui"),IF(A72=1,-AG71,-AG71+G71),IF(AND(A72&lt;='Param treso'!$H$32,C72&lt;='Param treso'!$H$32),G71,IF($K$16="Oui",G71,0)))))</f>
        <v>0</v>
      </c>
      <c r="G72" s="186">
        <f t="shared" si="7"/>
        <v>0</v>
      </c>
      <c r="H72" s="1106">
        <f>F72*'Param treso'!$H$30</f>
        <v>0</v>
      </c>
      <c r="I72" s="1106"/>
      <c r="J72" s="1107"/>
      <c r="K72" s="659">
        <f t="shared" si="8"/>
        <v>0</v>
      </c>
      <c r="L72" s="186">
        <f>IF(K72=0,0,IF(B72=1,K72*(1+'Param treso'!$H$39),PRODUCT(L71,(POWER('Param treso'!$H$39,1)))+L71))</f>
        <v>0</v>
      </c>
      <c r="M72" s="660">
        <f>IFERROR(IF(B72='Param treso'!$H$41,L72-K72,0),0)</f>
        <v>0</v>
      </c>
      <c r="N72" s="186">
        <f>M72+H72+IF(A72='Param treso'!$H$32,G72,0)+IF(B72='Param treso'!$H$41,K72,0)</f>
        <v>0</v>
      </c>
      <c r="O72" s="186">
        <f ca="1">IF($AM$16="Oui",-IFERROR(VLOOKUP(E72,'Crédit (IS)'!$O$8:$P$145,2,FALSE),0),0)-(AN71*$T$14)</f>
        <v>0</v>
      </c>
      <c r="P72" s="186">
        <f ca="1">H72+M72+O72+IF(A72='Param treso'!$H$32,G72-F72,0)</f>
        <v>0</v>
      </c>
      <c r="Q72" s="1106">
        <f t="shared" ca="1" si="9"/>
        <v>0</v>
      </c>
      <c r="R72" s="1106"/>
      <c r="S72" s="1106"/>
      <c r="T72" s="186">
        <f t="shared" ca="1" si="10"/>
        <v>0</v>
      </c>
      <c r="U72" s="662">
        <f t="shared" ca="1" si="11"/>
        <v>0</v>
      </c>
      <c r="V72" s="662">
        <f ca="1">-IF('Param treso'!$H$20="Non",T72*Données!$L$24,IF(T72&lt;=Données!$L$26,T72*Données!$L$25,(Données!$L$26*Données!$L$25)+((T72-Données!$L$26)*Données!$L$24)))</f>
        <v>0</v>
      </c>
      <c r="W72" s="662">
        <f t="shared" ca="1" si="12"/>
        <v>0</v>
      </c>
      <c r="X72" s="186">
        <f ca="1">IF($AM$16="Oui",-IFERROR(VLOOKUP(E72,'Crédit (IS)'!$O$8:$Q$145,3,FALSE),0),0)</f>
        <v>0</v>
      </c>
      <c r="Y72" s="186">
        <f t="shared" ca="1" si="17"/>
        <v>0</v>
      </c>
      <c r="Z72" s="186">
        <f t="shared" ca="1" si="20"/>
        <v>0</v>
      </c>
      <c r="AA72" s="186">
        <f t="shared" ca="1" si="13"/>
        <v>0</v>
      </c>
      <c r="AB72" s="186">
        <f t="shared" ca="1" si="14"/>
        <v>0</v>
      </c>
      <c r="AC72" s="186">
        <f>IF(C72&lt;='Crédit (IR)'!$G$16/12,-(('Crédit (IR)'!$K$17)/(1-'Param treso'!$H$18)),0)</f>
        <v>0</v>
      </c>
      <c r="AD72" s="186">
        <f>IF($AM$14="Non",0,IF(C72&lt;='Crédit (IR)'!$G$16/12,-('Crédit (IR)'!$K$17),0))</f>
        <v>0</v>
      </c>
      <c r="AE72" s="186">
        <f ca="1">-IF(AND(E72&gt;=$AO$10,E72&lt;$AO$12),$AM$10/(1-'Param treso'!$H$18),IF(E72&gt;=$AO$12,$AM$12/(1-'Param treso'!$H$18),0))</f>
        <v>-207782.77014285719</v>
      </c>
      <c r="AF72" s="186">
        <f t="shared" ca="1" si="18"/>
        <v>-145447.93910000002</v>
      </c>
      <c r="AG72" s="186">
        <f>IF(C72=1,IF($K$12="Oui",-(Z72+AI72+AJ72),0),IF(AND($K$12="Oui",$K$16="Oui",A72='Param treso'!$H$32,B72='Param treso'!$H$41),-(Z72+AI72+AJ72+AH72),IF(AND($K$12="Oui",B72='Param treso'!$H$41),-(Z72+AI72+AJ72+AH72),IF(AND(A72='Param treso'!$H$32,$K$16="Oui"),-$F$19,IF($K$12="Oui",-(Z72+AI72+AJ72+AH72),0)))))</f>
        <v>0</v>
      </c>
      <c r="AH72" s="186">
        <f>IF(C72=1,0,IF(AND($K$16="Oui",B72='Param treso'!$H$41),-$K$19,0))</f>
        <v>0</v>
      </c>
      <c r="AI72" s="186">
        <f t="shared" si="19"/>
        <v>0</v>
      </c>
      <c r="AJ72" s="704">
        <f ca="1">IF(AI72=AF72+AD72,0,IF(AD72+AF72&lt;0,IF((Z72+AI72)&gt;=-(AC72+AE72),(AD72+AF72-AI72)/(1-'Param treso'!$H$18),-(Z72+AI72)),0))</f>
        <v>0</v>
      </c>
      <c r="AK72" s="1106">
        <f t="shared" ca="1" si="15"/>
        <v>0</v>
      </c>
      <c r="AL72" s="1106"/>
      <c r="AM72" s="1106"/>
      <c r="AN72" s="660">
        <f t="shared" ca="1" si="16"/>
        <v>0</v>
      </c>
      <c r="AO72" s="696">
        <f ca="1">-AJ72*(1-'Param treso'!$H$18)</f>
        <v>0</v>
      </c>
      <c r="AP72" s="709">
        <f t="shared" ca="1" si="3"/>
        <v>-145447.93910000002</v>
      </c>
    </row>
    <row r="73" spans="1:42">
      <c r="A73" s="708">
        <f>IF(C73&lt;='Param treso'!$H$32,C73,IF(A72&lt;'Param treso'!$H$32,A72+1,1))</f>
        <v>23</v>
      </c>
      <c r="B73" s="708">
        <f>IF(C73&lt;='Param treso'!$H$41,C73,IF(B72&lt;'Param treso'!$H$41,B72+1,1))</f>
        <v>3</v>
      </c>
      <c r="C73" s="639">
        <f t="shared" si="4"/>
        <v>53</v>
      </c>
      <c r="D73" s="639">
        <f t="shared" ca="1" si="5"/>
        <v>113</v>
      </c>
      <c r="E73" s="649">
        <f t="shared" ca="1" si="6"/>
        <v>2079</v>
      </c>
      <c r="F73" s="186">
        <f>IF(C73=1,$F$19,IF(AND(A73=1,$K$16="Oui"),-AG72,IF(AND(A73&lt;='Param treso'!$H$32,$K$12="Oui"),IF(A73=1,-AG72,-AG72+G72),IF(AND(A73&lt;='Param treso'!$H$32,C73&lt;='Param treso'!$H$32),G72,IF($K$16="Oui",G72,0)))))</f>
        <v>0</v>
      </c>
      <c r="G73" s="186">
        <f t="shared" si="7"/>
        <v>0</v>
      </c>
      <c r="H73" s="1106">
        <f>F73*'Param treso'!$H$30</f>
        <v>0</v>
      </c>
      <c r="I73" s="1106"/>
      <c r="J73" s="1107"/>
      <c r="K73" s="659">
        <f t="shared" si="8"/>
        <v>0</v>
      </c>
      <c r="L73" s="186">
        <f>IF(K73=0,0,IF(B73=1,K73*(1+'Param treso'!$H$39),PRODUCT(L72,(POWER('Param treso'!$H$39,1)))+L72))</f>
        <v>0</v>
      </c>
      <c r="M73" s="660">
        <f>IFERROR(IF(B73='Param treso'!$H$41,L73-K73,0),0)</f>
        <v>0</v>
      </c>
      <c r="N73" s="186">
        <f>M73+H73+IF(A73='Param treso'!$H$32,G73,0)+IF(B73='Param treso'!$H$41,K73,0)</f>
        <v>0</v>
      </c>
      <c r="O73" s="186">
        <f ca="1">IF($AM$16="Oui",-IFERROR(VLOOKUP(E73,'Crédit (IS)'!$O$8:$P$145,2,FALSE),0),0)-(AN72*$T$14)</f>
        <v>0</v>
      </c>
      <c r="P73" s="186">
        <f ca="1">H73+M73+O73+IF(A73='Param treso'!$H$32,G73-F73,0)</f>
        <v>0</v>
      </c>
      <c r="Q73" s="1106">
        <f t="shared" ca="1" si="9"/>
        <v>0</v>
      </c>
      <c r="R73" s="1106"/>
      <c r="S73" s="1106"/>
      <c r="T73" s="186">
        <f t="shared" ca="1" si="10"/>
        <v>0</v>
      </c>
      <c r="U73" s="662">
        <f t="shared" ca="1" si="11"/>
        <v>0</v>
      </c>
      <c r="V73" s="662">
        <f ca="1">-IF('Param treso'!$H$20="Non",T73*Données!$L$24,IF(T73&lt;=Données!$L$26,T73*Données!$L$25,(Données!$L$26*Données!$L$25)+((T73-Données!$L$26)*Données!$L$24)))</f>
        <v>0</v>
      </c>
      <c r="W73" s="662">
        <f t="shared" ca="1" si="12"/>
        <v>0</v>
      </c>
      <c r="X73" s="186">
        <f ca="1">IF($AM$16="Oui",-IFERROR(VLOOKUP(E73,'Crédit (IS)'!$O$8:$Q$145,3,FALSE),0),0)</f>
        <v>0</v>
      </c>
      <c r="Y73" s="186">
        <f t="shared" ca="1" si="17"/>
        <v>0</v>
      </c>
      <c r="Z73" s="186">
        <f t="shared" ca="1" si="20"/>
        <v>0</v>
      </c>
      <c r="AA73" s="186">
        <f t="shared" ca="1" si="13"/>
        <v>0</v>
      </c>
      <c r="AB73" s="186">
        <f t="shared" ca="1" si="14"/>
        <v>0</v>
      </c>
      <c r="AC73" s="186">
        <f>IF(C73&lt;='Crédit (IR)'!$G$16/12,-(('Crédit (IR)'!$K$17)/(1-'Param treso'!$H$18)),0)</f>
        <v>0</v>
      </c>
      <c r="AD73" s="186">
        <f>IF($AM$14="Non",0,IF(C73&lt;='Crédit (IR)'!$G$16/12,-('Crédit (IR)'!$K$17),0))</f>
        <v>0</v>
      </c>
      <c r="AE73" s="186">
        <f ca="1">-IF(AND(E73&gt;=$AO$10,E73&lt;$AO$12),$AM$10/(1-'Param treso'!$H$18),IF(E73&gt;=$AO$12,$AM$12/(1-'Param treso'!$H$18),0))</f>
        <v>-207782.77014285719</v>
      </c>
      <c r="AF73" s="186">
        <f t="shared" ca="1" si="18"/>
        <v>-145447.93910000002</v>
      </c>
      <c r="AG73" s="186">
        <f>IF(C73=1,IF($K$12="Oui",-(Z73+AI73+AJ73),0),IF(AND($K$12="Oui",$K$16="Oui",A73='Param treso'!$H$32,B73='Param treso'!$H$41),-(Z73+AI73+AJ73+AH73),IF(AND($K$12="Oui",B73='Param treso'!$H$41),-(Z73+AI73+AJ73+AH73),IF(AND(A73='Param treso'!$H$32,$K$16="Oui"),-$F$19,IF($K$12="Oui",-(Z73+AI73+AJ73+AH73),0)))))</f>
        <v>0</v>
      </c>
      <c r="AH73" s="186">
        <f>IF(C73=1,0,IF(AND($K$16="Oui",B73='Param treso'!$H$41),-$K$19,0))</f>
        <v>0</v>
      </c>
      <c r="AI73" s="186">
        <f t="shared" si="19"/>
        <v>0</v>
      </c>
      <c r="AJ73" s="704">
        <f ca="1">IF(AI73=AF73+AD73,0,IF(AD73+AF73&lt;0,IF((Z73+AI73)&gt;=-(AC73+AE73),(AD73+AF73-AI73)/(1-'Param treso'!$H$18),-(Z73+AI73)),0))</f>
        <v>0</v>
      </c>
      <c r="AK73" s="1106">
        <f t="shared" ca="1" si="15"/>
        <v>0</v>
      </c>
      <c r="AL73" s="1106"/>
      <c r="AM73" s="1106"/>
      <c r="AN73" s="660">
        <f t="shared" ca="1" si="16"/>
        <v>0</v>
      </c>
      <c r="AO73" s="696">
        <f ca="1">-AJ73*(1-'Param treso'!$H$18)</f>
        <v>0</v>
      </c>
      <c r="AP73" s="709">
        <f t="shared" ca="1" si="3"/>
        <v>-145447.93910000002</v>
      </c>
    </row>
    <row r="74" spans="1:42">
      <c r="A74" s="708">
        <f>IF(C74&lt;='Param treso'!$H$32,C74,IF(A73&lt;'Param treso'!$H$32,A73+1,1))</f>
        <v>24</v>
      </c>
      <c r="B74" s="708">
        <f>IF(C74&lt;='Param treso'!$H$41,C74,IF(B73&lt;'Param treso'!$H$41,B73+1,1))</f>
        <v>4</v>
      </c>
      <c r="C74" s="639">
        <f t="shared" si="4"/>
        <v>54</v>
      </c>
      <c r="D74" s="639">
        <f t="shared" ca="1" si="5"/>
        <v>114</v>
      </c>
      <c r="E74" s="649">
        <f t="shared" ca="1" si="6"/>
        <v>2080</v>
      </c>
      <c r="F74" s="186">
        <f>IF(C74=1,$F$19,IF(AND(A74=1,$K$16="Oui"),-AG73,IF(AND(A74&lt;='Param treso'!$H$32,$K$12="Oui"),IF(A74=1,-AG73,-AG73+G73),IF(AND(A74&lt;='Param treso'!$H$32,C74&lt;='Param treso'!$H$32),G73,IF($K$16="Oui",G73,0)))))</f>
        <v>0</v>
      </c>
      <c r="G74" s="186">
        <f t="shared" si="7"/>
        <v>0</v>
      </c>
      <c r="H74" s="1106">
        <f>F74*'Param treso'!$H$30</f>
        <v>0</v>
      </c>
      <c r="I74" s="1106"/>
      <c r="J74" s="1107"/>
      <c r="K74" s="659">
        <f t="shared" si="8"/>
        <v>0</v>
      </c>
      <c r="L74" s="186">
        <f>IF(K74=0,0,IF(B74=1,K74*(1+'Param treso'!$H$39),PRODUCT(L73,(POWER('Param treso'!$H$39,1)))+L73))</f>
        <v>0</v>
      </c>
      <c r="M74" s="660">
        <f>IFERROR(IF(B74='Param treso'!$H$41,L74-K74,0),0)</f>
        <v>0</v>
      </c>
      <c r="N74" s="186">
        <f>M74+H74+IF(A74='Param treso'!$H$32,G74,0)+IF(B74='Param treso'!$H$41,K74,0)</f>
        <v>0</v>
      </c>
      <c r="O74" s="186">
        <f ca="1">IF($AM$16="Oui",-IFERROR(VLOOKUP(E74,'Crédit (IS)'!$O$8:$P$145,2,FALSE),0),0)-(AN73*$T$14)</f>
        <v>0</v>
      </c>
      <c r="P74" s="186">
        <f ca="1">H74+M74+O74+IF(A74='Param treso'!$H$32,G74-F74,0)</f>
        <v>0</v>
      </c>
      <c r="Q74" s="1106">
        <f t="shared" ca="1" si="9"/>
        <v>0</v>
      </c>
      <c r="R74" s="1106"/>
      <c r="S74" s="1106"/>
      <c r="T74" s="186">
        <f t="shared" ca="1" si="10"/>
        <v>0</v>
      </c>
      <c r="U74" s="662">
        <f t="shared" ca="1" si="11"/>
        <v>0</v>
      </c>
      <c r="V74" s="662">
        <f ca="1">-IF('Param treso'!$H$20="Non",T74*Données!$L$24,IF(T74&lt;=Données!$L$26,T74*Données!$L$25,(Données!$L$26*Données!$L$25)+((T74-Données!$L$26)*Données!$L$24)))</f>
        <v>0</v>
      </c>
      <c r="W74" s="662">
        <f t="shared" ca="1" si="12"/>
        <v>0</v>
      </c>
      <c r="X74" s="186">
        <f ca="1">IF($AM$16="Oui",-IFERROR(VLOOKUP(E74,'Crédit (IS)'!$O$8:$Q$145,3,FALSE),0),0)</f>
        <v>0</v>
      </c>
      <c r="Y74" s="186">
        <f t="shared" ca="1" si="17"/>
        <v>0</v>
      </c>
      <c r="Z74" s="186">
        <f t="shared" ca="1" si="20"/>
        <v>0</v>
      </c>
      <c r="AA74" s="186">
        <f t="shared" ca="1" si="13"/>
        <v>0</v>
      </c>
      <c r="AB74" s="186">
        <f t="shared" ca="1" si="14"/>
        <v>0</v>
      </c>
      <c r="AC74" s="186">
        <f>IF(C74&lt;='Crédit (IR)'!$G$16/12,-(('Crédit (IR)'!$K$17)/(1-'Param treso'!$H$18)),0)</f>
        <v>0</v>
      </c>
      <c r="AD74" s="186">
        <f>IF($AM$14="Non",0,IF(C74&lt;='Crédit (IR)'!$G$16/12,-('Crédit (IR)'!$K$17),0))</f>
        <v>0</v>
      </c>
      <c r="AE74" s="186">
        <f ca="1">-IF(AND(E74&gt;=$AO$10,E74&lt;$AO$12),$AM$10/(1-'Param treso'!$H$18),IF(E74&gt;=$AO$12,$AM$12/(1-'Param treso'!$H$18),0))</f>
        <v>-207782.77014285719</v>
      </c>
      <c r="AF74" s="186">
        <f t="shared" ca="1" si="18"/>
        <v>-145447.93910000002</v>
      </c>
      <c r="AG74" s="186">
        <f>IF(C74=1,IF($K$12="Oui",-(Z74+AI74+AJ74),0),IF(AND($K$12="Oui",$K$16="Oui",A74='Param treso'!$H$32,B74='Param treso'!$H$41),-(Z74+AI74+AJ74+AH74),IF(AND($K$12="Oui",B74='Param treso'!$H$41),-(Z74+AI74+AJ74+AH74),IF(AND(A74='Param treso'!$H$32,$K$16="Oui"),-$F$19,IF($K$12="Oui",-(Z74+AI74+AJ74+AH74),0)))))</f>
        <v>0</v>
      </c>
      <c r="AH74" s="186">
        <f>IF(C74=1,0,IF(AND($K$16="Oui",B74='Param treso'!$H$41),-$K$19,0))</f>
        <v>0</v>
      </c>
      <c r="AI74" s="186">
        <f t="shared" si="19"/>
        <v>0</v>
      </c>
      <c r="AJ74" s="704">
        <f ca="1">IF(AI74=AF74+AD74,0,IF(AD74+AF74&lt;0,IF((Z74+AI74)&gt;=-(AC74+AE74),(AD74+AF74-AI74)/(1-'Param treso'!$H$18),-(Z74+AI74)),0))</f>
        <v>0</v>
      </c>
      <c r="AK74" s="1106">
        <f t="shared" ca="1" si="15"/>
        <v>0</v>
      </c>
      <c r="AL74" s="1106"/>
      <c r="AM74" s="1106"/>
      <c r="AN74" s="660">
        <f t="shared" ca="1" si="16"/>
        <v>0</v>
      </c>
      <c r="AO74" s="696">
        <f ca="1">-AJ74*(1-'Param treso'!$H$18)</f>
        <v>0</v>
      </c>
      <c r="AP74" s="709">
        <f t="shared" ca="1" si="3"/>
        <v>-145447.93910000002</v>
      </c>
    </row>
    <row r="75" spans="1:42">
      <c r="A75" s="708">
        <f>IF(C75&lt;='Param treso'!$H$32,C75,IF(A74&lt;'Param treso'!$H$32,A74+1,1))</f>
        <v>25</v>
      </c>
      <c r="B75" s="708">
        <f>IF(C75&lt;='Param treso'!$H$41,C75,IF(B74&lt;'Param treso'!$H$41,B74+1,1))</f>
        <v>5</v>
      </c>
      <c r="C75" s="639">
        <f t="shared" si="4"/>
        <v>55</v>
      </c>
      <c r="D75" s="639">
        <f t="shared" ca="1" si="5"/>
        <v>115</v>
      </c>
      <c r="E75" s="649">
        <f t="shared" ca="1" si="6"/>
        <v>2081</v>
      </c>
      <c r="F75" s="186">
        <f>IF(C75=1,$F$19,IF(AND(A75=1,$K$16="Oui"),-AG74,IF(AND(A75&lt;='Param treso'!$H$32,$K$12="Oui"),IF(A75=1,-AG74,-AG74+G74),IF(AND(A75&lt;='Param treso'!$H$32,C75&lt;='Param treso'!$H$32),G74,IF($K$16="Oui",G74,0)))))</f>
        <v>0</v>
      </c>
      <c r="G75" s="186">
        <f t="shared" si="7"/>
        <v>0</v>
      </c>
      <c r="H75" s="1106">
        <f>F75*'Param treso'!$H$30</f>
        <v>0</v>
      </c>
      <c r="I75" s="1106"/>
      <c r="J75" s="1107"/>
      <c r="K75" s="659">
        <f t="shared" si="8"/>
        <v>0</v>
      </c>
      <c r="L75" s="186">
        <f>IF(K75=0,0,IF(B75=1,K75*(1+'Param treso'!$H$39),PRODUCT(L74,(POWER('Param treso'!$H$39,1)))+L74))</f>
        <v>0</v>
      </c>
      <c r="M75" s="660">
        <f>IFERROR(IF(B75='Param treso'!$H$41,L75-K75,0),0)</f>
        <v>0</v>
      </c>
      <c r="N75" s="186">
        <f>M75+H75+IF(A75='Param treso'!$H$32,G75,0)+IF(B75='Param treso'!$H$41,K75,0)</f>
        <v>0</v>
      </c>
      <c r="O75" s="186">
        <f ca="1">IF($AM$16="Oui",-IFERROR(VLOOKUP(E75,'Crédit (IS)'!$O$8:$P$145,2,FALSE),0),0)-(AN74*$T$14)</f>
        <v>0</v>
      </c>
      <c r="P75" s="186">
        <f ca="1">H75+M75+O75+IF(A75='Param treso'!$H$32,G75-F75,0)</f>
        <v>0</v>
      </c>
      <c r="Q75" s="1106">
        <f t="shared" ca="1" si="9"/>
        <v>0</v>
      </c>
      <c r="R75" s="1106"/>
      <c r="S75" s="1106"/>
      <c r="T75" s="186">
        <f t="shared" ca="1" si="10"/>
        <v>0</v>
      </c>
      <c r="U75" s="662">
        <f t="shared" ca="1" si="11"/>
        <v>0</v>
      </c>
      <c r="V75" s="662">
        <f ca="1">-IF('Param treso'!$H$20="Non",T75*Données!$L$24,IF(T75&lt;=Données!$L$26,T75*Données!$L$25,(Données!$L$26*Données!$L$25)+((T75-Données!$L$26)*Données!$L$24)))</f>
        <v>0</v>
      </c>
      <c r="W75" s="662">
        <f t="shared" ca="1" si="12"/>
        <v>0</v>
      </c>
      <c r="X75" s="186">
        <f ca="1">IF($AM$16="Oui",-IFERROR(VLOOKUP(E75,'Crédit (IS)'!$O$8:$Q$145,3,FALSE),0),0)</f>
        <v>0</v>
      </c>
      <c r="Y75" s="186">
        <f t="shared" ca="1" si="17"/>
        <v>0</v>
      </c>
      <c r="Z75" s="186">
        <f t="shared" ca="1" si="20"/>
        <v>0</v>
      </c>
      <c r="AA75" s="186">
        <f t="shared" ca="1" si="13"/>
        <v>0</v>
      </c>
      <c r="AB75" s="186">
        <f t="shared" ca="1" si="14"/>
        <v>0</v>
      </c>
      <c r="AC75" s="186">
        <f>IF(C75&lt;='Crédit (IR)'!$G$16/12,-(('Crédit (IR)'!$K$17)/(1-'Param treso'!$H$18)),0)</f>
        <v>0</v>
      </c>
      <c r="AD75" s="186">
        <f>IF($AM$14="Non",0,IF(C75&lt;='Crédit (IR)'!$G$16/12,-('Crédit (IR)'!$K$17),0))</f>
        <v>0</v>
      </c>
      <c r="AE75" s="186">
        <f ca="1">-IF(AND(E75&gt;=$AO$10,E75&lt;$AO$12),$AM$10/(1-'Param treso'!$H$18),IF(E75&gt;=$AO$12,$AM$12/(1-'Param treso'!$H$18),0))</f>
        <v>-207782.77014285719</v>
      </c>
      <c r="AF75" s="186">
        <f t="shared" ca="1" si="18"/>
        <v>-145447.93910000002</v>
      </c>
      <c r="AG75" s="186">
        <f>IF(C75=1,IF($K$12="Oui",-(Z75+AI75+AJ75),0),IF(AND($K$12="Oui",$K$16="Oui",A75='Param treso'!$H$32,B75='Param treso'!$H$41),-(Z75+AI75+AJ75+AH75),IF(AND($K$12="Oui",B75='Param treso'!$H$41),-(Z75+AI75+AJ75+AH75),IF(AND(A75='Param treso'!$H$32,$K$16="Oui"),-$F$19,IF($K$12="Oui",-(Z75+AI75+AJ75+AH75),0)))))</f>
        <v>0</v>
      </c>
      <c r="AH75" s="186">
        <f>IF(C75=1,0,IF(AND($K$16="Oui",B75='Param treso'!$H$41),-$K$19,0))</f>
        <v>0</v>
      </c>
      <c r="AI75" s="186">
        <f t="shared" si="19"/>
        <v>0</v>
      </c>
      <c r="AJ75" s="704">
        <f ca="1">IF(AI75=AF75+AD75,0,IF(AD75+AF75&lt;0,IF((Z75+AI75)&gt;=-(AC75+AE75),(AD75+AF75-AI75)/(1-'Param treso'!$H$18),-(Z75+AI75)),0))</f>
        <v>0</v>
      </c>
      <c r="AK75" s="1106">
        <f t="shared" ca="1" si="15"/>
        <v>0</v>
      </c>
      <c r="AL75" s="1106"/>
      <c r="AM75" s="1106"/>
      <c r="AN75" s="660">
        <f t="shared" ca="1" si="16"/>
        <v>0</v>
      </c>
      <c r="AO75" s="696">
        <f ca="1">-AJ75*(1-'Param treso'!$H$18)</f>
        <v>0</v>
      </c>
      <c r="AP75" s="709">
        <f t="shared" ca="1" si="3"/>
        <v>-145447.93910000002</v>
      </c>
    </row>
    <row r="76" spans="1:42">
      <c r="A76" s="708">
        <f>IF(C76&lt;='Param treso'!$H$32,C76,IF(A75&lt;'Param treso'!$H$32,A75+1,1))</f>
        <v>26</v>
      </c>
      <c r="B76" s="708">
        <f>IF(C76&lt;='Param treso'!$H$41,C76,IF(B75&lt;'Param treso'!$H$41,B75+1,1))</f>
        <v>1</v>
      </c>
      <c r="C76" s="639">
        <f t="shared" si="4"/>
        <v>56</v>
      </c>
      <c r="D76" s="639">
        <f t="shared" ca="1" si="5"/>
        <v>116</v>
      </c>
      <c r="E76" s="649">
        <f t="shared" ca="1" si="6"/>
        <v>2082</v>
      </c>
      <c r="F76" s="186">
        <f>IF(C76=1,$F$19,IF(AND(A76=1,$K$16="Oui"),-AG75,IF(AND(A76&lt;='Param treso'!$H$32,$K$12="Oui"),IF(A76=1,-AG75,-AG75+G75),IF(AND(A76&lt;='Param treso'!$H$32,C76&lt;='Param treso'!$H$32),G75,IF($K$16="Oui",G75,0)))))</f>
        <v>0</v>
      </c>
      <c r="G76" s="186">
        <f t="shared" si="7"/>
        <v>0</v>
      </c>
      <c r="H76" s="1106">
        <f>F76*'Param treso'!$H$30</f>
        <v>0</v>
      </c>
      <c r="I76" s="1106"/>
      <c r="J76" s="1107"/>
      <c r="K76" s="659">
        <f t="shared" si="8"/>
        <v>0</v>
      </c>
      <c r="L76" s="186">
        <f>IF(K76=0,0,IF(B76=1,K76*(1+'Param treso'!$H$39),PRODUCT(L75,(POWER('Param treso'!$H$39,1)))+L75))</f>
        <v>0</v>
      </c>
      <c r="M76" s="660">
        <f>IFERROR(IF(B76='Param treso'!$H$41,L76-K76,0),0)</f>
        <v>0</v>
      </c>
      <c r="N76" s="186">
        <f>M76+H76+IF(A76='Param treso'!$H$32,G76,0)+IF(B76='Param treso'!$H$41,K76,0)</f>
        <v>0</v>
      </c>
      <c r="O76" s="186">
        <f ca="1">IF($AM$16="Oui",-IFERROR(VLOOKUP(E76,'Crédit (IS)'!$O$8:$P$145,2,FALSE),0),0)-(AN75*$T$14)</f>
        <v>0</v>
      </c>
      <c r="P76" s="186">
        <f ca="1">H76+M76+O76+IF(A76='Param treso'!$H$32,G76-F76,0)</f>
        <v>0</v>
      </c>
      <c r="Q76" s="1106">
        <f t="shared" ca="1" si="9"/>
        <v>0</v>
      </c>
      <c r="R76" s="1106"/>
      <c r="S76" s="1106"/>
      <c r="T76" s="186">
        <f t="shared" ca="1" si="10"/>
        <v>0</v>
      </c>
      <c r="U76" s="662">
        <f t="shared" ca="1" si="11"/>
        <v>0</v>
      </c>
      <c r="V76" s="662">
        <f ca="1">-IF('Param treso'!$H$20="Non",T76*Données!$L$24,IF(T76&lt;=Données!$L$26,T76*Données!$L$25,(Données!$L$26*Données!$L$25)+((T76-Données!$L$26)*Données!$L$24)))</f>
        <v>0</v>
      </c>
      <c r="W76" s="662">
        <f t="shared" ca="1" si="12"/>
        <v>0</v>
      </c>
      <c r="X76" s="186">
        <f ca="1">IF($AM$16="Oui",-IFERROR(VLOOKUP(E76,'Crédit (IS)'!$O$8:$Q$145,3,FALSE),0),0)</f>
        <v>0</v>
      </c>
      <c r="Y76" s="186">
        <f t="shared" ca="1" si="17"/>
        <v>0</v>
      </c>
      <c r="Z76" s="186">
        <f t="shared" ca="1" si="20"/>
        <v>0</v>
      </c>
      <c r="AA76" s="186">
        <f t="shared" ca="1" si="13"/>
        <v>0</v>
      </c>
      <c r="AB76" s="186">
        <f t="shared" ca="1" si="14"/>
        <v>0</v>
      </c>
      <c r="AC76" s="186">
        <f>IF(C76&lt;='Crédit (IR)'!$G$16/12,-(('Crédit (IR)'!$K$17)/(1-'Param treso'!$H$18)),0)</f>
        <v>0</v>
      </c>
      <c r="AD76" s="186">
        <f>IF($AM$14="Non",0,IF(C76&lt;='Crédit (IR)'!$G$16/12,-('Crédit (IR)'!$K$17),0))</f>
        <v>0</v>
      </c>
      <c r="AE76" s="186">
        <f ca="1">-IF(AND(E76&gt;=$AO$10,E76&lt;$AO$12),$AM$10/(1-'Param treso'!$H$18),IF(E76&gt;=$AO$12,$AM$12/(1-'Param treso'!$H$18),0))</f>
        <v>-207782.77014285719</v>
      </c>
      <c r="AF76" s="186">
        <f t="shared" ca="1" si="18"/>
        <v>-145447.93910000002</v>
      </c>
      <c r="AG76" s="186">
        <f>IF(C76=1,IF($K$12="Oui",-(Z76+AI76+AJ76),0),IF(AND($K$12="Oui",$K$16="Oui",A76='Param treso'!$H$32,B76='Param treso'!$H$41),-(Z76+AI76+AJ76+AH76),IF(AND($K$12="Oui",B76='Param treso'!$H$41),-(Z76+AI76+AJ76+AH76),IF(AND(A76='Param treso'!$H$32,$K$16="Oui"),-$F$19,IF($K$12="Oui",-(Z76+AI76+AJ76+AH76),0)))))</f>
        <v>0</v>
      </c>
      <c r="AH76" s="186">
        <f>IF(C76=1,0,IF(AND($K$16="Oui",B76='Param treso'!$H$41),-$K$19,0))</f>
        <v>0</v>
      </c>
      <c r="AI76" s="186">
        <f t="shared" si="19"/>
        <v>0</v>
      </c>
      <c r="AJ76" s="704">
        <f ca="1">IF(AI76=AF76+AD76,0,IF(AD76+AF76&lt;0,IF((Z76+AI76)&gt;=-(AC76+AE76),(AD76+AF76-AI76)/(1-'Param treso'!$H$18),-(Z76+AI76)),0))</f>
        <v>0</v>
      </c>
      <c r="AK76" s="1106">
        <f t="shared" ca="1" si="15"/>
        <v>0</v>
      </c>
      <c r="AL76" s="1106"/>
      <c r="AM76" s="1106"/>
      <c r="AN76" s="660">
        <f t="shared" ca="1" si="16"/>
        <v>0</v>
      </c>
      <c r="AO76" s="696">
        <f ca="1">-AJ76*(1-'Param treso'!$H$18)</f>
        <v>0</v>
      </c>
      <c r="AP76" s="709">
        <f t="shared" ca="1" si="3"/>
        <v>-145447.93910000002</v>
      </c>
    </row>
    <row r="77" spans="1:42">
      <c r="A77" s="708">
        <f>IF(C77&lt;='Param treso'!$H$32,C77,IF(A76&lt;'Param treso'!$H$32,A76+1,1))</f>
        <v>27</v>
      </c>
      <c r="B77" s="708">
        <f>IF(C77&lt;='Param treso'!$H$41,C77,IF(B76&lt;'Param treso'!$H$41,B76+1,1))</f>
        <v>2</v>
      </c>
      <c r="C77" s="639">
        <f t="shared" si="4"/>
        <v>57</v>
      </c>
      <c r="D77" s="639">
        <f t="shared" ca="1" si="5"/>
        <v>117</v>
      </c>
      <c r="E77" s="649">
        <f t="shared" ca="1" si="6"/>
        <v>2083</v>
      </c>
      <c r="F77" s="186">
        <f>IF(C77=1,$F$19,IF(AND(A77=1,$K$16="Oui"),-AG76,IF(AND(A77&lt;='Param treso'!$H$32,$K$12="Oui"),IF(A77=1,-AG76,-AG76+G76),IF(AND(A77&lt;='Param treso'!$H$32,C77&lt;='Param treso'!$H$32),G76,IF($K$16="Oui",G76,0)))))</f>
        <v>0</v>
      </c>
      <c r="G77" s="186">
        <f t="shared" si="7"/>
        <v>0</v>
      </c>
      <c r="H77" s="1106">
        <f>F77*'Param treso'!$H$30</f>
        <v>0</v>
      </c>
      <c r="I77" s="1106"/>
      <c r="J77" s="1107"/>
      <c r="K77" s="659">
        <f t="shared" si="8"/>
        <v>0</v>
      </c>
      <c r="L77" s="186">
        <f>IF(K77=0,0,IF(B77=1,K77*(1+'Param treso'!$H$39),PRODUCT(L76,(POWER('Param treso'!$H$39,1)))+L76))</f>
        <v>0</v>
      </c>
      <c r="M77" s="660">
        <f>IFERROR(IF(B77='Param treso'!$H$41,L77-K77,0),0)</f>
        <v>0</v>
      </c>
      <c r="N77" s="186">
        <f>M77+H77+IF(A77='Param treso'!$H$32,G77,0)+IF(B77='Param treso'!$H$41,K77,0)</f>
        <v>0</v>
      </c>
      <c r="O77" s="186">
        <f ca="1">IF($AM$16="Oui",-IFERROR(VLOOKUP(E77,'Crédit (IS)'!$O$8:$P$145,2,FALSE),0),0)-(AN76*$T$14)</f>
        <v>0</v>
      </c>
      <c r="P77" s="186">
        <f ca="1">H77+M77+O77+IF(A77='Param treso'!$H$32,G77-F77,0)</f>
        <v>0</v>
      </c>
      <c r="Q77" s="1106">
        <f t="shared" ca="1" si="9"/>
        <v>0</v>
      </c>
      <c r="R77" s="1106"/>
      <c r="S77" s="1106"/>
      <c r="T77" s="186">
        <f t="shared" ca="1" si="10"/>
        <v>0</v>
      </c>
      <c r="U77" s="662">
        <f t="shared" ca="1" si="11"/>
        <v>0</v>
      </c>
      <c r="V77" s="662">
        <f ca="1">-IF('Param treso'!$H$20="Non",T77*Données!$L$24,IF(T77&lt;=Données!$L$26,T77*Données!$L$25,(Données!$L$26*Données!$L$25)+((T77-Données!$L$26)*Données!$L$24)))</f>
        <v>0</v>
      </c>
      <c r="W77" s="662">
        <f t="shared" ca="1" si="12"/>
        <v>0</v>
      </c>
      <c r="X77" s="186">
        <f ca="1">IF($AM$16="Oui",-IFERROR(VLOOKUP(E77,'Crédit (IS)'!$O$8:$Q$145,3,FALSE),0),0)</f>
        <v>0</v>
      </c>
      <c r="Y77" s="186">
        <f t="shared" ca="1" si="17"/>
        <v>0</v>
      </c>
      <c r="Z77" s="186">
        <f t="shared" ca="1" si="20"/>
        <v>0</v>
      </c>
      <c r="AA77" s="186">
        <f t="shared" ca="1" si="13"/>
        <v>0</v>
      </c>
      <c r="AB77" s="186">
        <f t="shared" ca="1" si="14"/>
        <v>0</v>
      </c>
      <c r="AC77" s="186">
        <f>IF(C77&lt;='Crédit (IR)'!$G$16/12,-(('Crédit (IR)'!$K$17)/(1-'Param treso'!$H$18)),0)</f>
        <v>0</v>
      </c>
      <c r="AD77" s="186">
        <f>IF($AM$14="Non",0,IF(C77&lt;='Crédit (IR)'!$G$16/12,-('Crédit (IR)'!$K$17),0))</f>
        <v>0</v>
      </c>
      <c r="AE77" s="186">
        <f ca="1">-IF(AND(E77&gt;=$AO$10,E77&lt;$AO$12),$AM$10/(1-'Param treso'!$H$18),IF(E77&gt;=$AO$12,$AM$12/(1-'Param treso'!$H$18),0))</f>
        <v>-207782.77014285719</v>
      </c>
      <c r="AF77" s="186">
        <f t="shared" ca="1" si="18"/>
        <v>-145447.93910000002</v>
      </c>
      <c r="AG77" s="186">
        <f>IF(C77=1,IF($K$12="Oui",-(Z77+AI77+AJ77),0),IF(AND($K$12="Oui",$K$16="Oui",A77='Param treso'!$H$32,B77='Param treso'!$H$41),-(Z77+AI77+AJ77+AH77),IF(AND($K$12="Oui",B77='Param treso'!$H$41),-(Z77+AI77+AJ77+AH77),IF(AND(A77='Param treso'!$H$32,$K$16="Oui"),-$F$19,IF($K$12="Oui",-(Z77+AI77+AJ77+AH77),0)))))</f>
        <v>0</v>
      </c>
      <c r="AH77" s="186">
        <f>IF(C77=1,0,IF(AND($K$16="Oui",B77='Param treso'!$H$41),-$K$19,0))</f>
        <v>0</v>
      </c>
      <c r="AI77" s="186">
        <f t="shared" si="19"/>
        <v>0</v>
      </c>
      <c r="AJ77" s="704">
        <f ca="1">IF(AI77=AF77+AD77,0,IF(AD77+AF77&lt;0,IF((Z77+AI77)&gt;=-(AC77+AE77),(AD77+AF77-AI77)/(1-'Param treso'!$H$18),-(Z77+AI77)),0))</f>
        <v>0</v>
      </c>
      <c r="AK77" s="1106">
        <f t="shared" ca="1" si="15"/>
        <v>0</v>
      </c>
      <c r="AL77" s="1106"/>
      <c r="AM77" s="1106"/>
      <c r="AN77" s="660">
        <f t="shared" ca="1" si="16"/>
        <v>0</v>
      </c>
      <c r="AO77" s="696">
        <f ca="1">-AJ77*(1-'Param treso'!$H$18)</f>
        <v>0</v>
      </c>
      <c r="AP77" s="709">
        <f t="shared" ca="1" si="3"/>
        <v>-145447.93910000002</v>
      </c>
    </row>
    <row r="78" spans="1:42">
      <c r="A78" s="708">
        <f>IF(C78&lt;='Param treso'!$H$32,C78,IF(A77&lt;'Param treso'!$H$32,A77+1,1))</f>
        <v>28</v>
      </c>
      <c r="B78" s="708">
        <f>IF(C78&lt;='Param treso'!$H$41,C78,IF(B77&lt;'Param treso'!$H$41,B77+1,1))</f>
        <v>3</v>
      </c>
      <c r="C78" s="639">
        <f t="shared" si="4"/>
        <v>58</v>
      </c>
      <c r="D78" s="639">
        <f t="shared" ca="1" si="5"/>
        <v>118</v>
      </c>
      <c r="E78" s="649">
        <f t="shared" ca="1" si="6"/>
        <v>2084</v>
      </c>
      <c r="F78" s="186">
        <f>IF(C78=1,$F$19,IF(AND(A78=1,$K$16="Oui"),-AG77,IF(AND(A78&lt;='Param treso'!$H$32,$K$12="Oui"),IF(A78=1,-AG77,-AG77+G77),IF(AND(A78&lt;='Param treso'!$H$32,C78&lt;='Param treso'!$H$32),G77,IF($K$16="Oui",G77,0)))))</f>
        <v>0</v>
      </c>
      <c r="G78" s="186">
        <f t="shared" si="7"/>
        <v>0</v>
      </c>
      <c r="H78" s="1106">
        <f>F78*'Param treso'!$H$30</f>
        <v>0</v>
      </c>
      <c r="I78" s="1106"/>
      <c r="J78" s="1107"/>
      <c r="K78" s="659">
        <f t="shared" si="8"/>
        <v>0</v>
      </c>
      <c r="L78" s="186">
        <f>IF(K78=0,0,IF(B78=1,K78*(1+'Param treso'!$H$39),PRODUCT(L77,(POWER('Param treso'!$H$39,1)))+L77))</f>
        <v>0</v>
      </c>
      <c r="M78" s="660">
        <f>IFERROR(IF(B78='Param treso'!$H$41,L78-K78,0),0)</f>
        <v>0</v>
      </c>
      <c r="N78" s="186">
        <f>M78+H78+IF(A78='Param treso'!$H$32,G78,0)+IF(B78='Param treso'!$H$41,K78,0)</f>
        <v>0</v>
      </c>
      <c r="O78" s="186">
        <f ca="1">IF($AM$16="Oui",-IFERROR(VLOOKUP(E78,'Crédit (IS)'!$O$8:$P$145,2,FALSE),0),0)-(AN77*$T$14)</f>
        <v>0</v>
      </c>
      <c r="P78" s="186">
        <f ca="1">H78+M78+O78+IF(A78='Param treso'!$H$32,G78-F78,0)</f>
        <v>0</v>
      </c>
      <c r="Q78" s="1106">
        <f t="shared" ca="1" si="9"/>
        <v>0</v>
      </c>
      <c r="R78" s="1106"/>
      <c r="S78" s="1106"/>
      <c r="T78" s="186">
        <f t="shared" ca="1" si="10"/>
        <v>0</v>
      </c>
      <c r="U78" s="662">
        <f t="shared" ca="1" si="11"/>
        <v>0</v>
      </c>
      <c r="V78" s="662">
        <f ca="1">-IF('Param treso'!$H$20="Non",T78*Données!$L$24,IF(T78&lt;=Données!$L$26,T78*Données!$L$25,(Données!$L$26*Données!$L$25)+((T78-Données!$L$26)*Données!$L$24)))</f>
        <v>0</v>
      </c>
      <c r="W78" s="662">
        <f t="shared" ca="1" si="12"/>
        <v>0</v>
      </c>
      <c r="X78" s="186">
        <f ca="1">IF($AM$16="Oui",-IFERROR(VLOOKUP(E78,'Crédit (IS)'!$O$8:$Q$145,3,FALSE),0),0)</f>
        <v>0</v>
      </c>
      <c r="Y78" s="186">
        <f t="shared" ca="1" si="17"/>
        <v>0</v>
      </c>
      <c r="Z78" s="186">
        <f t="shared" ca="1" si="20"/>
        <v>0</v>
      </c>
      <c r="AA78" s="186">
        <f t="shared" ca="1" si="13"/>
        <v>0</v>
      </c>
      <c r="AB78" s="186">
        <f t="shared" ca="1" si="14"/>
        <v>0</v>
      </c>
      <c r="AC78" s="186">
        <f>IF(C78&lt;='Crédit (IR)'!$G$16/12,-(('Crédit (IR)'!$K$17)/(1-'Param treso'!$H$18)),0)</f>
        <v>0</v>
      </c>
      <c r="AD78" s="186">
        <f>IF($AM$14="Non",0,IF(C78&lt;='Crédit (IR)'!$G$16/12,-('Crédit (IR)'!$K$17),0))</f>
        <v>0</v>
      </c>
      <c r="AE78" s="186">
        <f ca="1">-IF(AND(E78&gt;=$AO$10,E78&lt;$AO$12),$AM$10/(1-'Param treso'!$H$18),IF(E78&gt;=$AO$12,$AM$12/(1-'Param treso'!$H$18),0))</f>
        <v>-207782.77014285719</v>
      </c>
      <c r="AF78" s="186">
        <f t="shared" ca="1" si="18"/>
        <v>-145447.93910000002</v>
      </c>
      <c r="AG78" s="186">
        <f>IF(C78=1,IF($K$12="Oui",-(Z78+AI78+AJ78),0),IF(AND($K$12="Oui",$K$16="Oui",A78='Param treso'!$H$32,B78='Param treso'!$H$41),-(Z78+AI78+AJ78+AH78),IF(AND($K$12="Oui",B78='Param treso'!$H$41),-(Z78+AI78+AJ78+AH78),IF(AND(A78='Param treso'!$H$32,$K$16="Oui"),-$F$19,IF($K$12="Oui",-(Z78+AI78+AJ78+AH78),0)))))</f>
        <v>0</v>
      </c>
      <c r="AH78" s="186">
        <f>IF(C78=1,0,IF(AND($K$16="Oui",B78='Param treso'!$H$41),-$K$19,0))</f>
        <v>0</v>
      </c>
      <c r="AI78" s="186">
        <f t="shared" si="19"/>
        <v>0</v>
      </c>
      <c r="AJ78" s="704">
        <f ca="1">IF(AI78=AF78+AD78,0,IF(AD78+AF78&lt;0,IF((Z78+AI78)&gt;=-(AC78+AE78),(AD78+AF78-AI78)/(1-'Param treso'!$H$18),-(Z78+AI78)),0))</f>
        <v>0</v>
      </c>
      <c r="AK78" s="1106">
        <f t="shared" ca="1" si="15"/>
        <v>0</v>
      </c>
      <c r="AL78" s="1106"/>
      <c r="AM78" s="1106"/>
      <c r="AN78" s="660">
        <f t="shared" ca="1" si="16"/>
        <v>0</v>
      </c>
      <c r="AO78" s="696">
        <f ca="1">-AJ78*(1-'Param treso'!$H$18)</f>
        <v>0</v>
      </c>
      <c r="AP78" s="709">
        <f t="shared" ca="1" si="3"/>
        <v>-145447.93910000002</v>
      </c>
    </row>
    <row r="79" spans="1:42">
      <c r="A79" s="708">
        <f>IF(C79&lt;='Param treso'!$H$32,C79,IF(A78&lt;'Param treso'!$H$32,A78+1,1))</f>
        <v>29</v>
      </c>
      <c r="B79" s="708">
        <f>IF(C79&lt;='Param treso'!$H$41,C79,IF(B78&lt;'Param treso'!$H$41,B78+1,1))</f>
        <v>4</v>
      </c>
      <c r="C79" s="639">
        <f t="shared" si="4"/>
        <v>59</v>
      </c>
      <c r="D79" s="639">
        <f t="shared" ca="1" si="5"/>
        <v>119</v>
      </c>
      <c r="E79" s="649">
        <f t="shared" ca="1" si="6"/>
        <v>2085</v>
      </c>
      <c r="F79" s="186">
        <f>IF(C79=1,$F$19,IF(AND(A79=1,$K$16="Oui"),-AG78,IF(AND(A79&lt;='Param treso'!$H$32,$K$12="Oui"),IF(A79=1,-AG78,-AG78+G78),IF(AND(A79&lt;='Param treso'!$H$32,C79&lt;='Param treso'!$H$32),G78,IF($K$16="Oui",G78,0)))))</f>
        <v>0</v>
      </c>
      <c r="G79" s="186">
        <f t="shared" si="7"/>
        <v>0</v>
      </c>
      <c r="H79" s="1106">
        <f>F79*'Param treso'!$H$30</f>
        <v>0</v>
      </c>
      <c r="I79" s="1106"/>
      <c r="J79" s="1107"/>
      <c r="K79" s="659">
        <f t="shared" si="8"/>
        <v>0</v>
      </c>
      <c r="L79" s="186">
        <f>IF(K79=0,0,IF(B79=1,K79*(1+'Param treso'!$H$39),PRODUCT(L78,(POWER('Param treso'!$H$39,1)))+L78))</f>
        <v>0</v>
      </c>
      <c r="M79" s="660">
        <f>IFERROR(IF(B79='Param treso'!$H$41,L79-K79,0),0)</f>
        <v>0</v>
      </c>
      <c r="N79" s="186">
        <f>M79+H79+IF(A79='Param treso'!$H$32,G79,0)+IF(B79='Param treso'!$H$41,K79,0)</f>
        <v>0</v>
      </c>
      <c r="O79" s="186">
        <f ca="1">IF($AM$16="Oui",-IFERROR(VLOOKUP(E79,'Crédit (IS)'!$O$8:$P$145,2,FALSE),0),0)-(AN78*$T$14)</f>
        <v>0</v>
      </c>
      <c r="P79" s="186">
        <f ca="1">H79+M79+O79+IF(A79='Param treso'!$H$32,G79-F79,0)</f>
        <v>0</v>
      </c>
      <c r="Q79" s="1106">
        <f t="shared" ca="1" si="9"/>
        <v>0</v>
      </c>
      <c r="R79" s="1106"/>
      <c r="S79" s="1106"/>
      <c r="T79" s="186">
        <f t="shared" ca="1" si="10"/>
        <v>0</v>
      </c>
      <c r="U79" s="662">
        <f t="shared" ca="1" si="11"/>
        <v>0</v>
      </c>
      <c r="V79" s="662">
        <f ca="1">-IF('Param treso'!$H$20="Non",T79*Données!$L$24,IF(T79&lt;=Données!$L$26,T79*Données!$L$25,(Données!$L$26*Données!$L$25)+((T79-Données!$L$26)*Données!$L$24)))</f>
        <v>0</v>
      </c>
      <c r="W79" s="662">
        <f t="shared" ca="1" si="12"/>
        <v>0</v>
      </c>
      <c r="X79" s="186">
        <f ca="1">IF($AM$16="Oui",-IFERROR(VLOOKUP(E79,'Crédit (IS)'!$O$8:$Q$145,3,FALSE),0),0)</f>
        <v>0</v>
      </c>
      <c r="Y79" s="186">
        <f t="shared" ca="1" si="17"/>
        <v>0</v>
      </c>
      <c r="Z79" s="186">
        <f t="shared" ca="1" si="20"/>
        <v>0</v>
      </c>
      <c r="AA79" s="186">
        <f t="shared" ca="1" si="13"/>
        <v>0</v>
      </c>
      <c r="AB79" s="186">
        <f t="shared" ca="1" si="14"/>
        <v>0</v>
      </c>
      <c r="AC79" s="186">
        <f>IF(C79&lt;='Crédit (IR)'!$G$16/12,-(('Crédit (IR)'!$K$17)/(1-'Param treso'!$H$18)),0)</f>
        <v>0</v>
      </c>
      <c r="AD79" s="186">
        <f>IF($AM$14="Non",0,IF(C79&lt;='Crédit (IR)'!$G$16/12,-('Crédit (IR)'!$K$17),0))</f>
        <v>0</v>
      </c>
      <c r="AE79" s="186">
        <f ca="1">-IF(AND(E79&gt;=$AO$10,E79&lt;$AO$12),$AM$10/(1-'Param treso'!$H$18),IF(E79&gt;=$AO$12,$AM$12/(1-'Param treso'!$H$18),0))</f>
        <v>-207782.77014285719</v>
      </c>
      <c r="AF79" s="186">
        <f t="shared" ca="1" si="18"/>
        <v>-145447.93910000002</v>
      </c>
      <c r="AG79" s="186">
        <f>IF(C79=1,IF($K$12="Oui",-(Z79+AI79+AJ79),0),IF(AND($K$12="Oui",$K$16="Oui",A79='Param treso'!$H$32,B79='Param treso'!$H$41),-(Z79+AI79+AJ79+AH79),IF(AND($K$12="Oui",B79='Param treso'!$H$41),-(Z79+AI79+AJ79+AH79),IF(AND(A79='Param treso'!$H$32,$K$16="Oui"),-$F$19,IF($K$12="Oui",-(Z79+AI79+AJ79+AH79),0)))))</f>
        <v>0</v>
      </c>
      <c r="AH79" s="186">
        <f>IF(C79=1,0,IF(AND($K$16="Oui",B79='Param treso'!$H$41),-$K$19,0))</f>
        <v>0</v>
      </c>
      <c r="AI79" s="186">
        <f t="shared" si="19"/>
        <v>0</v>
      </c>
      <c r="AJ79" s="704">
        <f ca="1">IF(AI79=AF79+AD79,0,IF(AD79+AF79&lt;0,IF((Z79+AI79)&gt;=-(AC79+AE79),(AD79+AF79-AI79)/(1-'Param treso'!$H$18),-(Z79+AI79)),0))</f>
        <v>0</v>
      </c>
      <c r="AK79" s="1106">
        <f t="shared" ca="1" si="15"/>
        <v>0</v>
      </c>
      <c r="AL79" s="1106"/>
      <c r="AM79" s="1106"/>
      <c r="AN79" s="660">
        <f t="shared" ca="1" si="16"/>
        <v>0</v>
      </c>
      <c r="AO79" s="696">
        <f ca="1">-AJ79*(1-'Param treso'!$H$18)</f>
        <v>0</v>
      </c>
      <c r="AP79" s="709">
        <f t="shared" ca="1" si="3"/>
        <v>-145447.93910000002</v>
      </c>
    </row>
    <row r="80" spans="1:42">
      <c r="A80" s="708">
        <f>IF(C80&lt;='Param treso'!$H$32,C80,IF(A79&lt;'Param treso'!$H$32,A79+1,1))</f>
        <v>30</v>
      </c>
      <c r="B80" s="708">
        <f>IF(C80&lt;='Param treso'!$H$41,C80,IF(B79&lt;'Param treso'!$H$41,B79+1,1))</f>
        <v>5</v>
      </c>
      <c r="C80" s="639">
        <f t="shared" si="4"/>
        <v>60</v>
      </c>
      <c r="D80" s="639">
        <f t="shared" ca="1" si="5"/>
        <v>120</v>
      </c>
      <c r="E80" s="649">
        <f t="shared" ca="1" si="6"/>
        <v>2086</v>
      </c>
      <c r="F80" s="186">
        <f>IF(C80=1,$F$19,IF(AND(A80=1,$K$16="Oui"),-AG79,IF(AND(A80&lt;='Param treso'!$H$32,$K$12="Oui"),IF(A80=1,-AG79,-AG79+G79),IF(AND(A80&lt;='Param treso'!$H$32,C80&lt;='Param treso'!$H$32),G79,IF($K$16="Oui",G79,0)))))</f>
        <v>0</v>
      </c>
      <c r="G80" s="186">
        <f t="shared" si="7"/>
        <v>0</v>
      </c>
      <c r="H80" s="1106">
        <f>F80*'Param treso'!$H$30</f>
        <v>0</v>
      </c>
      <c r="I80" s="1106"/>
      <c r="J80" s="1107"/>
      <c r="K80" s="659">
        <f t="shared" si="8"/>
        <v>0</v>
      </c>
      <c r="L80" s="186">
        <f>IF(K80=0,0,IF(B80=1,K80*(1+'Param treso'!$H$39),PRODUCT(L79,(POWER('Param treso'!$H$39,1)))+L79))</f>
        <v>0</v>
      </c>
      <c r="M80" s="660">
        <f>IFERROR(IF(B80='Param treso'!$H$41,L80-K80,0),0)</f>
        <v>0</v>
      </c>
      <c r="N80" s="186">
        <f>M80+H80+IF(A80='Param treso'!$H$32,G80,0)+IF(B80='Param treso'!$H$41,K80,0)</f>
        <v>0</v>
      </c>
      <c r="O80" s="186">
        <f ca="1">IF($AM$16="Oui",-IFERROR(VLOOKUP(E80,'Crédit (IS)'!$O$8:$P$145,2,FALSE),0),0)-(AN79*$T$14)</f>
        <v>0</v>
      </c>
      <c r="P80" s="186">
        <f ca="1">H80+M80+O80+IF(A80='Param treso'!$H$32,G80-F80,0)</f>
        <v>0</v>
      </c>
      <c r="Q80" s="1106">
        <f t="shared" ca="1" si="9"/>
        <v>0</v>
      </c>
      <c r="R80" s="1106"/>
      <c r="S80" s="1106"/>
      <c r="T80" s="186">
        <f t="shared" ca="1" si="10"/>
        <v>0</v>
      </c>
      <c r="U80" s="662">
        <f t="shared" ca="1" si="11"/>
        <v>0</v>
      </c>
      <c r="V80" s="662">
        <f ca="1">-IF('Param treso'!$H$20="Non",T80*Données!$L$24,IF(T80&lt;=Données!$L$26,T80*Données!$L$25,(Données!$L$26*Données!$L$25)+((T80-Données!$L$26)*Données!$L$24)))</f>
        <v>0</v>
      </c>
      <c r="W80" s="662">
        <f t="shared" ca="1" si="12"/>
        <v>0</v>
      </c>
      <c r="X80" s="186">
        <f ca="1">IF($AM$16="Oui",-IFERROR(VLOOKUP(E80,'Crédit (IS)'!$O$8:$Q$145,3,FALSE),0),0)</f>
        <v>0</v>
      </c>
      <c r="Y80" s="186">
        <f t="shared" ca="1" si="17"/>
        <v>0</v>
      </c>
      <c r="Z80" s="186">
        <f t="shared" ca="1" si="20"/>
        <v>0</v>
      </c>
      <c r="AA80" s="186">
        <f t="shared" ca="1" si="13"/>
        <v>0</v>
      </c>
      <c r="AB80" s="186">
        <f t="shared" ca="1" si="14"/>
        <v>0</v>
      </c>
      <c r="AC80" s="186">
        <f>IF(C80&lt;='Crédit (IR)'!$G$16/12,-(('Crédit (IR)'!$K$17)/(1-'Param treso'!$H$18)),0)</f>
        <v>0</v>
      </c>
      <c r="AD80" s="186">
        <f>IF($AM$14="Non",0,IF(C80&lt;='Crédit (IR)'!$G$16/12,-('Crédit (IR)'!$K$17),0))</f>
        <v>0</v>
      </c>
      <c r="AE80" s="186">
        <f ca="1">-IF(AND(E80&gt;=$AO$10,E80&lt;$AO$12),$AM$10/(1-'Param treso'!$H$18),IF(E80&gt;=$AO$12,$AM$12/(1-'Param treso'!$H$18),0))</f>
        <v>-207782.77014285719</v>
      </c>
      <c r="AF80" s="186">
        <f t="shared" ca="1" si="18"/>
        <v>-145447.93910000002</v>
      </c>
      <c r="AG80" s="186">
        <f>IF(C80=1,IF($K$12="Oui",-(Z80+AI80+AJ80),0),IF(AND($K$12="Oui",$K$16="Oui",A80='Param treso'!$H$32,B80='Param treso'!$H$41),-(Z80+AI80+AJ80+AH80),IF(AND($K$12="Oui",B80='Param treso'!$H$41),-(Z80+AI80+AJ80+AH80),IF(AND(A80='Param treso'!$H$32,$K$16="Oui"),-$F$19,IF($K$12="Oui",-(Z80+AI80+AJ80+AH80),0)))))</f>
        <v>0</v>
      </c>
      <c r="AH80" s="186">
        <f>IF(C80=1,0,IF(AND($K$16="Oui",B80='Param treso'!$H$41),-$K$19,0))</f>
        <v>0</v>
      </c>
      <c r="AI80" s="186">
        <f t="shared" si="19"/>
        <v>0</v>
      </c>
      <c r="AJ80" s="704">
        <f ca="1">IF(AI80=AF80+AD80,0,IF(AD80+AF80&lt;0,IF((Z80+AI80)&gt;=-(AC80+AE80),(AD80+AF80-AI80)/(1-'Param treso'!$H$18),-(Z80+AI80)),0))</f>
        <v>0</v>
      </c>
      <c r="AK80" s="1106">
        <f t="shared" ca="1" si="15"/>
        <v>0</v>
      </c>
      <c r="AL80" s="1106"/>
      <c r="AM80" s="1106"/>
      <c r="AN80" s="660">
        <f t="shared" ca="1" si="16"/>
        <v>0</v>
      </c>
      <c r="AO80" s="696">
        <f ca="1">-AJ80*(1-'Param treso'!$H$18)</f>
        <v>0</v>
      </c>
      <c r="AP80" s="709">
        <f t="shared" ca="1" si="3"/>
        <v>-145447.93910000002</v>
      </c>
    </row>
    <row r="81" spans="1:42">
      <c r="A81" s="708">
        <f>IF(C81&lt;='Param treso'!$H$32,C81,IF(A80&lt;'Param treso'!$H$32,A80+1,1))</f>
        <v>1</v>
      </c>
      <c r="B81" s="708">
        <f>IF(C81&lt;='Param treso'!$H$41,C81,IF(B80&lt;'Param treso'!$H$41,B80+1,1))</f>
        <v>1</v>
      </c>
      <c r="C81" s="639">
        <f t="shared" si="4"/>
        <v>61</v>
      </c>
      <c r="D81" s="639">
        <f t="shared" ca="1" si="5"/>
        <v>121</v>
      </c>
      <c r="E81" s="649">
        <f t="shared" ca="1" si="6"/>
        <v>2087</v>
      </c>
      <c r="F81" s="186">
        <f>IF(C81=1,$F$19,IF(AND(A81=1,$K$16="Oui"),-AG80,IF(AND(A81&lt;='Param treso'!$H$32,$K$12="Oui"),IF(A81=1,-AG80,-AG80+G80),IF(AND(A81&lt;='Param treso'!$H$32,C81&lt;='Param treso'!$H$32),G80,IF($K$16="Oui",G80,0)))))</f>
        <v>0</v>
      </c>
      <c r="G81" s="186">
        <f t="shared" si="7"/>
        <v>0</v>
      </c>
      <c r="H81" s="1106">
        <f>F81*'Param treso'!$H$30</f>
        <v>0</v>
      </c>
      <c r="I81" s="1106"/>
      <c r="J81" s="1107"/>
      <c r="K81" s="659">
        <f t="shared" si="8"/>
        <v>0</v>
      </c>
      <c r="L81" s="186">
        <f>IF(K81=0,0,IF(B81=1,K81*(1+'Param treso'!$H$39),PRODUCT(L80,(POWER('Param treso'!$H$39,1)))+L80))</f>
        <v>0</v>
      </c>
      <c r="M81" s="660">
        <f>IFERROR(IF(B81='Param treso'!$H$41,L81-K81,0),0)</f>
        <v>0</v>
      </c>
      <c r="N81" s="186">
        <f>M81+H81+IF(A81='Param treso'!$H$32,G81,0)+IF(B81='Param treso'!$H$41,K81,0)</f>
        <v>0</v>
      </c>
      <c r="O81" s="186">
        <f ca="1">IF($AM$16="Oui",-IFERROR(VLOOKUP(E81,'Crédit (IS)'!$O$8:$P$145,2,FALSE),0),0)-(AN80*$T$14)</f>
        <v>0</v>
      </c>
      <c r="P81" s="186">
        <f ca="1">H81+M81+O81+IF(A81='Param treso'!$H$32,G81-F81,0)</f>
        <v>0</v>
      </c>
      <c r="Q81" s="1106">
        <f t="shared" ca="1" si="9"/>
        <v>0</v>
      </c>
      <c r="R81" s="1106"/>
      <c r="S81" s="1106"/>
      <c r="T81" s="186">
        <f t="shared" ca="1" si="10"/>
        <v>0</v>
      </c>
      <c r="U81" s="662">
        <f t="shared" ca="1" si="11"/>
        <v>0</v>
      </c>
      <c r="V81" s="662">
        <f ca="1">-IF('Param treso'!$H$20="Non",T81*Données!$L$24,IF(T81&lt;=Données!$L$26,T81*Données!$L$25,(Données!$L$26*Données!$L$25)+((T81-Données!$L$26)*Données!$L$24)))</f>
        <v>0</v>
      </c>
      <c r="W81" s="662">
        <f t="shared" ca="1" si="12"/>
        <v>0</v>
      </c>
      <c r="X81" s="186">
        <f ca="1">IF($AM$16="Oui",-IFERROR(VLOOKUP(E81,'Crédit (IS)'!$O$8:$Q$145,3,FALSE),0),0)</f>
        <v>0</v>
      </c>
      <c r="Y81" s="186">
        <f t="shared" ca="1" si="17"/>
        <v>0</v>
      </c>
      <c r="Z81" s="186">
        <f t="shared" ca="1" si="20"/>
        <v>0</v>
      </c>
      <c r="AA81" s="186">
        <f t="shared" ca="1" si="13"/>
        <v>0</v>
      </c>
      <c r="AB81" s="186">
        <f t="shared" ca="1" si="14"/>
        <v>0</v>
      </c>
      <c r="AC81" s="186">
        <f>IF(C81&lt;='Crédit (IR)'!$G$16/12,-(('Crédit (IR)'!$K$17)/(1-'Param treso'!$H$18)),0)</f>
        <v>0</v>
      </c>
      <c r="AD81" s="186">
        <f>IF($AM$14="Non",0,IF(C81&lt;='Crédit (IR)'!$G$16/12,-('Crédit (IR)'!$K$17),0))</f>
        <v>0</v>
      </c>
      <c r="AE81" s="186">
        <f ca="1">-IF(AND(E81&gt;=$AO$10,E81&lt;$AO$12),$AM$10/(1-'Param treso'!$H$18),IF(E81&gt;=$AO$12,$AM$12/(1-'Param treso'!$H$18),0))</f>
        <v>-207782.77014285719</v>
      </c>
      <c r="AF81" s="186">
        <f t="shared" ca="1" si="18"/>
        <v>-145447.93910000002</v>
      </c>
      <c r="AG81" s="186">
        <f>IF(C81=1,IF($K$12="Oui",-(Z81+AI81+AJ81),0),IF(AND($K$12="Oui",$K$16="Oui",A81='Param treso'!$H$32,B81='Param treso'!$H$41),-(Z81+AI81+AJ81+AH81),IF(AND($K$12="Oui",B81='Param treso'!$H$41),-(Z81+AI81+AJ81+AH81),IF(AND(A81='Param treso'!$H$32,$K$16="Oui"),-$F$19,IF($K$12="Oui",-(Z81+AI81+AJ81+AH81),0)))))</f>
        <v>0</v>
      </c>
      <c r="AH81" s="186">
        <f>IF(C81=1,0,IF(AND($K$16="Oui",B81='Param treso'!$H$41),-$K$19,0))</f>
        <v>0</v>
      </c>
      <c r="AI81" s="186">
        <f t="shared" si="19"/>
        <v>0</v>
      </c>
      <c r="AJ81" s="704">
        <f ca="1">IF(AI81=AF81+AD81,0,IF(AD81+AF81&lt;0,IF((Z81+AI81)&gt;=-(AC81+AE81),(AD81+AF81-AI81)/(1-'Param treso'!$H$18),-(Z81+AI81)),0))</f>
        <v>0</v>
      </c>
      <c r="AK81" s="1106">
        <f t="shared" ca="1" si="15"/>
        <v>0</v>
      </c>
      <c r="AL81" s="1106"/>
      <c r="AM81" s="1106"/>
      <c r="AN81" s="660">
        <f t="shared" ca="1" si="16"/>
        <v>0</v>
      </c>
      <c r="AO81" s="696">
        <f ca="1">-AJ81*(1-'Param treso'!$H$18)</f>
        <v>0</v>
      </c>
      <c r="AP81" s="709">
        <f t="shared" ca="1" si="3"/>
        <v>-145447.93910000002</v>
      </c>
    </row>
    <row r="82" spans="1:42">
      <c r="A82" s="708">
        <f>IF(C82&lt;='Param treso'!$H$32,C82,IF(A81&lt;'Param treso'!$H$32,A81+1,1))</f>
        <v>2</v>
      </c>
      <c r="B82" s="708">
        <f>IF(C82&lt;='Param treso'!$H$41,C82,IF(B81&lt;'Param treso'!$H$41,B81+1,1))</f>
        <v>2</v>
      </c>
      <c r="C82" s="639">
        <f t="shared" si="4"/>
        <v>62</v>
      </c>
      <c r="D82" s="639">
        <f t="shared" ca="1" si="5"/>
        <v>122</v>
      </c>
      <c r="E82" s="649">
        <f t="shared" ca="1" si="6"/>
        <v>2088</v>
      </c>
      <c r="F82" s="186">
        <f>IF(C82=1,$F$19,IF(AND(A82=1,$K$16="Oui"),-AG81,IF(AND(A82&lt;='Param treso'!$H$32,$K$12="Oui"),IF(A82=1,-AG81,-AG81+G81),IF(AND(A82&lt;='Param treso'!$H$32,C82&lt;='Param treso'!$H$32),G81,IF($K$16="Oui",G81,0)))))</f>
        <v>0</v>
      </c>
      <c r="G82" s="186">
        <f t="shared" si="7"/>
        <v>0</v>
      </c>
      <c r="H82" s="1106">
        <f>F82*'Param treso'!$H$30</f>
        <v>0</v>
      </c>
      <c r="I82" s="1106"/>
      <c r="J82" s="1107"/>
      <c r="K82" s="659">
        <f t="shared" si="8"/>
        <v>0</v>
      </c>
      <c r="L82" s="186">
        <f>IF(K82=0,0,IF(B82=1,K82*(1+'Param treso'!$H$39),PRODUCT(L81,(POWER('Param treso'!$H$39,1)))+L81))</f>
        <v>0</v>
      </c>
      <c r="M82" s="660">
        <f>IFERROR(IF(B82='Param treso'!$H$41,L82-K82,0),0)</f>
        <v>0</v>
      </c>
      <c r="N82" s="186">
        <f>M82+H82+IF(A82='Param treso'!$H$32,G82,0)+IF(B82='Param treso'!$H$41,K82,0)</f>
        <v>0</v>
      </c>
      <c r="O82" s="186">
        <f ca="1">IF($AM$16="Oui",-IFERROR(VLOOKUP(E82,'Crédit (IS)'!$O$8:$P$145,2,FALSE),0),0)-(AN81*$T$14)</f>
        <v>0</v>
      </c>
      <c r="P82" s="186">
        <f ca="1">H82+M82+O82+IF(A82='Param treso'!$H$32,G82-F82,0)</f>
        <v>0</v>
      </c>
      <c r="Q82" s="1106">
        <f t="shared" ca="1" si="9"/>
        <v>0</v>
      </c>
      <c r="R82" s="1106"/>
      <c r="S82" s="1106"/>
      <c r="T82" s="186">
        <f t="shared" ca="1" si="10"/>
        <v>0</v>
      </c>
      <c r="U82" s="662">
        <f t="shared" ca="1" si="11"/>
        <v>0</v>
      </c>
      <c r="V82" s="662">
        <f ca="1">-IF('Param treso'!$H$20="Non",T82*Données!$L$24,IF(T82&lt;=Données!$L$26,T82*Données!$L$25,(Données!$L$26*Données!$L$25)+((T82-Données!$L$26)*Données!$L$24)))</f>
        <v>0</v>
      </c>
      <c r="W82" s="662">
        <f t="shared" ca="1" si="12"/>
        <v>0</v>
      </c>
      <c r="X82" s="186">
        <f ca="1">IF($AM$16="Oui",-IFERROR(VLOOKUP(E82,'Crédit (IS)'!$O$8:$Q$145,3,FALSE),0),0)</f>
        <v>0</v>
      </c>
      <c r="Y82" s="186">
        <f t="shared" ca="1" si="17"/>
        <v>0</v>
      </c>
      <c r="Z82" s="186">
        <f t="shared" ca="1" si="20"/>
        <v>0</v>
      </c>
      <c r="AA82" s="186">
        <f t="shared" ca="1" si="13"/>
        <v>0</v>
      </c>
      <c r="AB82" s="186">
        <f t="shared" ca="1" si="14"/>
        <v>0</v>
      </c>
      <c r="AC82" s="186">
        <f>IF(C82&lt;='Crédit (IR)'!$G$16/12,-(('Crédit (IR)'!$K$17)/(1-'Param treso'!$H$18)),0)</f>
        <v>0</v>
      </c>
      <c r="AD82" s="186">
        <f>IF($AM$14="Non",0,IF(C82&lt;='Crédit (IR)'!$G$16/12,-('Crédit (IR)'!$K$17),0))</f>
        <v>0</v>
      </c>
      <c r="AE82" s="186">
        <f ca="1">-IF(AND(E82&gt;=$AO$10,E82&lt;$AO$12),$AM$10/(1-'Param treso'!$H$18),IF(E82&gt;=$AO$12,$AM$12/(1-'Param treso'!$H$18),0))</f>
        <v>-207782.77014285719</v>
      </c>
      <c r="AF82" s="186">
        <f t="shared" ca="1" si="18"/>
        <v>-145447.93910000002</v>
      </c>
      <c r="AG82" s="186">
        <f>IF(C82=1,IF($K$12="Oui",-(Z82+AI82+AJ82),0),IF(AND($K$12="Oui",$K$16="Oui",A82='Param treso'!$H$32,B82='Param treso'!$H$41),-(Z82+AI82+AJ82+AH82),IF(AND($K$12="Oui",B82='Param treso'!$H$41),-(Z82+AI82+AJ82+AH82),IF(AND(A82='Param treso'!$H$32,$K$16="Oui"),-$F$19,IF($K$12="Oui",-(Z82+AI82+AJ82+AH82),0)))))</f>
        <v>0</v>
      </c>
      <c r="AH82" s="186">
        <f>IF(C82=1,0,IF(AND($K$16="Oui",B82='Param treso'!$H$41),-$K$19,0))</f>
        <v>0</v>
      </c>
      <c r="AI82" s="186">
        <f t="shared" si="19"/>
        <v>0</v>
      </c>
      <c r="AJ82" s="704">
        <f ca="1">IF(AI82=AF82+AD82,0,IF(AD82+AF82&lt;0,IF((Z82+AI82)&gt;=-(AC82+AE82),(AD82+AF82-AI82)/(1-'Param treso'!$H$18),-(Z82+AI82)),0))</f>
        <v>0</v>
      </c>
      <c r="AK82" s="1106">
        <f t="shared" ca="1" si="15"/>
        <v>0</v>
      </c>
      <c r="AL82" s="1106"/>
      <c r="AM82" s="1106"/>
      <c r="AN82" s="660">
        <f t="shared" ca="1" si="16"/>
        <v>0</v>
      </c>
      <c r="AO82" s="696">
        <f ca="1">-AJ82*(1-'Param treso'!$H$18)</f>
        <v>0</v>
      </c>
      <c r="AP82" s="709">
        <f t="shared" ca="1" si="3"/>
        <v>-145447.93910000002</v>
      </c>
    </row>
    <row r="83" spans="1:42">
      <c r="A83" s="708">
        <f>IF(C83&lt;='Param treso'!$H$32,C83,IF(A82&lt;'Param treso'!$H$32,A82+1,1))</f>
        <v>3</v>
      </c>
      <c r="B83" s="708">
        <f>IF(C83&lt;='Param treso'!$H$41,C83,IF(B82&lt;'Param treso'!$H$41,B82+1,1))</f>
        <v>3</v>
      </c>
      <c r="C83" s="639">
        <f t="shared" si="4"/>
        <v>63</v>
      </c>
      <c r="D83" s="639">
        <f t="shared" ca="1" si="5"/>
        <v>123</v>
      </c>
      <c r="E83" s="649">
        <f t="shared" ca="1" si="6"/>
        <v>2089</v>
      </c>
      <c r="F83" s="186">
        <f>IF(C83=1,$F$19,IF(AND(A83=1,$K$16="Oui"),-AG82,IF(AND(A83&lt;='Param treso'!$H$32,$K$12="Oui"),IF(A83=1,-AG82,-AG82+G82),IF(AND(A83&lt;='Param treso'!$H$32,C83&lt;='Param treso'!$H$32),G82,IF($K$16="Oui",G82,0)))))</f>
        <v>0</v>
      </c>
      <c r="G83" s="186">
        <f t="shared" si="7"/>
        <v>0</v>
      </c>
      <c r="H83" s="1106">
        <f>F83*'Param treso'!$H$30</f>
        <v>0</v>
      </c>
      <c r="I83" s="1106"/>
      <c r="J83" s="1107"/>
      <c r="K83" s="659">
        <f t="shared" si="8"/>
        <v>0</v>
      </c>
      <c r="L83" s="186">
        <f>IF(K83=0,0,IF(B83=1,K83*(1+'Param treso'!$H$39),PRODUCT(L82,(POWER('Param treso'!$H$39,1)))+L82))</f>
        <v>0</v>
      </c>
      <c r="M83" s="660">
        <f>IFERROR(IF(B83='Param treso'!$H$41,L83-K83,0),0)</f>
        <v>0</v>
      </c>
      <c r="N83" s="186">
        <f>M83+H83+IF(A83='Param treso'!$H$32,G83,0)+IF(B83='Param treso'!$H$41,K83,0)</f>
        <v>0</v>
      </c>
      <c r="O83" s="186">
        <f ca="1">IF($AM$16="Oui",-IFERROR(VLOOKUP(E83,'Crédit (IS)'!$O$8:$P$145,2,FALSE),0),0)-(AN82*$T$14)</f>
        <v>0</v>
      </c>
      <c r="P83" s="186">
        <f ca="1">H83+M83+O83+IF(A83='Param treso'!$H$32,G83-F83,0)</f>
        <v>0</v>
      </c>
      <c r="Q83" s="1106">
        <f t="shared" ca="1" si="9"/>
        <v>0</v>
      </c>
      <c r="R83" s="1106"/>
      <c r="S83" s="1106"/>
      <c r="T83" s="186">
        <f t="shared" ca="1" si="10"/>
        <v>0</v>
      </c>
      <c r="U83" s="662">
        <f t="shared" ca="1" si="11"/>
        <v>0</v>
      </c>
      <c r="V83" s="662">
        <f ca="1">-IF('Param treso'!$H$20="Non",T83*Données!$L$24,IF(T83&lt;=Données!$L$26,T83*Données!$L$25,(Données!$L$26*Données!$L$25)+((T83-Données!$L$26)*Données!$L$24)))</f>
        <v>0</v>
      </c>
      <c r="W83" s="662">
        <f t="shared" ca="1" si="12"/>
        <v>0</v>
      </c>
      <c r="X83" s="186">
        <f ca="1">IF($AM$16="Oui",-IFERROR(VLOOKUP(E83,'Crédit (IS)'!$O$8:$Q$145,3,FALSE),0),0)</f>
        <v>0</v>
      </c>
      <c r="Y83" s="186">
        <f t="shared" ca="1" si="17"/>
        <v>0</v>
      </c>
      <c r="Z83" s="186">
        <f t="shared" ca="1" si="20"/>
        <v>0</v>
      </c>
      <c r="AA83" s="186">
        <f t="shared" ca="1" si="13"/>
        <v>0</v>
      </c>
      <c r="AB83" s="186">
        <f t="shared" ca="1" si="14"/>
        <v>0</v>
      </c>
      <c r="AC83" s="186">
        <f>IF(C83&lt;='Crédit (IR)'!$G$16/12,-(('Crédit (IR)'!$K$17)/(1-'Param treso'!$H$18)),0)</f>
        <v>0</v>
      </c>
      <c r="AD83" s="186">
        <f>IF($AM$14="Non",0,IF(C83&lt;='Crédit (IR)'!$G$16/12,-('Crédit (IR)'!$K$17),0))</f>
        <v>0</v>
      </c>
      <c r="AE83" s="186">
        <f ca="1">-IF(AND(E83&gt;=$AO$10,E83&lt;$AO$12),$AM$10/(1-'Param treso'!$H$18),IF(E83&gt;=$AO$12,$AM$12/(1-'Param treso'!$H$18),0))</f>
        <v>-207782.77014285719</v>
      </c>
      <c r="AF83" s="186">
        <f t="shared" ca="1" si="18"/>
        <v>-145447.93910000002</v>
      </c>
      <c r="AG83" s="186">
        <f>IF(C83=1,IF($K$12="Oui",-(Z83+AI83+AJ83),0),IF(AND($K$12="Oui",$K$16="Oui",A83='Param treso'!$H$32,B83='Param treso'!$H$41),-(Z83+AI83+AJ83+AH83),IF(AND($K$12="Oui",B83='Param treso'!$H$41),-(Z83+AI83+AJ83+AH83),IF(AND(A83='Param treso'!$H$32,$K$16="Oui"),-$F$19,IF($K$12="Oui",-(Z83+AI83+AJ83+AH83),0)))))</f>
        <v>0</v>
      </c>
      <c r="AH83" s="186">
        <f>IF(C83=1,0,IF(AND($K$16="Oui",B83='Param treso'!$H$41),-$K$19,0))</f>
        <v>0</v>
      </c>
      <c r="AI83" s="186">
        <f t="shared" si="19"/>
        <v>0</v>
      </c>
      <c r="AJ83" s="704">
        <f ca="1">IF(AI83=AF83+AD83,0,IF(AD83+AF83&lt;0,IF((Z83+AI83)&gt;=-(AC83+AE83),(AD83+AF83-AI83)/(1-'Param treso'!$H$18),-(Z83+AI83)),0))</f>
        <v>0</v>
      </c>
      <c r="AK83" s="1106">
        <f t="shared" ca="1" si="15"/>
        <v>0</v>
      </c>
      <c r="AL83" s="1106"/>
      <c r="AM83" s="1106"/>
      <c r="AN83" s="660">
        <f t="shared" ca="1" si="16"/>
        <v>0</v>
      </c>
      <c r="AO83" s="696">
        <f ca="1">-AJ83*(1-'Param treso'!$H$18)</f>
        <v>0</v>
      </c>
      <c r="AP83" s="709">
        <f t="shared" ca="1" si="3"/>
        <v>-145447.93910000002</v>
      </c>
    </row>
    <row r="84" spans="1:42">
      <c r="A84" s="708">
        <f>IF(C84&lt;='Param treso'!$H$32,C84,IF(A83&lt;'Param treso'!$H$32,A83+1,1))</f>
        <v>4</v>
      </c>
      <c r="B84" s="708">
        <f>IF(C84&lt;='Param treso'!$H$41,C84,IF(B83&lt;'Param treso'!$H$41,B83+1,1))</f>
        <v>4</v>
      </c>
      <c r="C84" s="639">
        <f t="shared" si="4"/>
        <v>64</v>
      </c>
      <c r="D84" s="639">
        <f t="shared" ca="1" si="5"/>
        <v>124</v>
      </c>
      <c r="E84" s="649">
        <f t="shared" ca="1" si="6"/>
        <v>2090</v>
      </c>
      <c r="F84" s="186">
        <f>IF(C84=1,$F$19,IF(AND(A84=1,$K$16="Oui"),-AG83,IF(AND(A84&lt;='Param treso'!$H$32,$K$12="Oui"),IF(A84=1,-AG83,-AG83+G83),IF(AND(A84&lt;='Param treso'!$H$32,C84&lt;='Param treso'!$H$32),G83,IF($K$16="Oui",G83,0)))))</f>
        <v>0</v>
      </c>
      <c r="G84" s="186">
        <f t="shared" si="7"/>
        <v>0</v>
      </c>
      <c r="H84" s="1106">
        <f>F84*'Param treso'!$H$30</f>
        <v>0</v>
      </c>
      <c r="I84" s="1106"/>
      <c r="J84" s="1107"/>
      <c r="K84" s="659">
        <f t="shared" si="8"/>
        <v>0</v>
      </c>
      <c r="L84" s="186">
        <f>IF(K84=0,0,IF(B84=1,K84*(1+'Param treso'!$H$39),PRODUCT(L83,(POWER('Param treso'!$H$39,1)))+L83))</f>
        <v>0</v>
      </c>
      <c r="M84" s="660">
        <f>IFERROR(IF(B84='Param treso'!$H$41,L84-K84,0),0)</f>
        <v>0</v>
      </c>
      <c r="N84" s="186">
        <f>M84+H84+IF(A84='Param treso'!$H$32,G84,0)+IF(B84='Param treso'!$H$41,K84,0)</f>
        <v>0</v>
      </c>
      <c r="O84" s="186">
        <f ca="1">IF($AM$16="Oui",-IFERROR(VLOOKUP(E84,'Crédit (IS)'!$O$8:$P$145,2,FALSE),0),0)-(AN83*$T$14)</f>
        <v>0</v>
      </c>
      <c r="P84" s="186">
        <f ca="1">H84+M84+O84+IF(A84='Param treso'!$H$32,G84-F84,0)</f>
        <v>0</v>
      </c>
      <c r="Q84" s="1106">
        <f t="shared" ca="1" si="9"/>
        <v>0</v>
      </c>
      <c r="R84" s="1106"/>
      <c r="S84" s="1106"/>
      <c r="T84" s="186">
        <f t="shared" ca="1" si="10"/>
        <v>0</v>
      </c>
      <c r="U84" s="662">
        <f t="shared" ca="1" si="11"/>
        <v>0</v>
      </c>
      <c r="V84" s="662">
        <f ca="1">-IF('Param treso'!$H$20="Non",T84*Données!$L$24,IF(T84&lt;=Données!$L$26,T84*Données!$L$25,(Données!$L$26*Données!$L$25)+((T84-Données!$L$26)*Données!$L$24)))</f>
        <v>0</v>
      </c>
      <c r="W84" s="662">
        <f t="shared" ca="1" si="12"/>
        <v>0</v>
      </c>
      <c r="X84" s="186">
        <f ca="1">IF($AM$16="Oui",-IFERROR(VLOOKUP(E84,'Crédit (IS)'!$O$8:$Q$145,3,FALSE),0),0)</f>
        <v>0</v>
      </c>
      <c r="Y84" s="186">
        <f t="shared" ca="1" si="17"/>
        <v>0</v>
      </c>
      <c r="Z84" s="186">
        <f t="shared" ca="1" si="20"/>
        <v>0</v>
      </c>
      <c r="AA84" s="186">
        <f t="shared" ca="1" si="13"/>
        <v>0</v>
      </c>
      <c r="AB84" s="186">
        <f t="shared" ca="1" si="14"/>
        <v>0</v>
      </c>
      <c r="AC84" s="186">
        <f>IF(C84&lt;='Crédit (IR)'!$G$16/12,-(('Crédit (IR)'!$K$17)/(1-'Param treso'!$H$18)),0)</f>
        <v>0</v>
      </c>
      <c r="AD84" s="186">
        <f>IF($AM$14="Non",0,IF(C84&lt;='Crédit (IR)'!$G$16/12,-('Crédit (IR)'!$K$17),0))</f>
        <v>0</v>
      </c>
      <c r="AE84" s="186">
        <f ca="1">-IF(AND(E84&gt;=$AO$10,E84&lt;$AO$12),$AM$10/(1-'Param treso'!$H$18),IF(E84&gt;=$AO$12,$AM$12/(1-'Param treso'!$H$18),0))</f>
        <v>-207782.77014285719</v>
      </c>
      <c r="AF84" s="186">
        <f t="shared" ca="1" si="18"/>
        <v>-145447.93910000002</v>
      </c>
      <c r="AG84" s="186">
        <f>IF(C84=1,IF($K$12="Oui",-(Z84+AI84+AJ84),0),IF(AND($K$12="Oui",$K$16="Oui",A84='Param treso'!$H$32,B84='Param treso'!$H$41),-(Z84+AI84+AJ84+AH84),IF(AND($K$12="Oui",B84='Param treso'!$H$41),-(Z84+AI84+AJ84+AH84),IF(AND(A84='Param treso'!$H$32,$K$16="Oui"),-$F$19,IF($K$12="Oui",-(Z84+AI84+AJ84+AH84),0)))))</f>
        <v>0</v>
      </c>
      <c r="AH84" s="186">
        <f>IF(C84=1,0,IF(AND($K$16="Oui",B84='Param treso'!$H$41),-$K$19,0))</f>
        <v>0</v>
      </c>
      <c r="AI84" s="186">
        <f t="shared" si="19"/>
        <v>0</v>
      </c>
      <c r="AJ84" s="704">
        <f ca="1">IF(AI84=AF84+AD84,0,IF(AD84+AF84&lt;0,IF((Z84+AI84)&gt;=-(AC84+AE84),(AD84+AF84-AI84)/(1-'Param treso'!$H$18),-(Z84+AI84)),0))</f>
        <v>0</v>
      </c>
      <c r="AK84" s="1106">
        <f t="shared" ca="1" si="15"/>
        <v>0</v>
      </c>
      <c r="AL84" s="1106"/>
      <c r="AM84" s="1106"/>
      <c r="AN84" s="660">
        <f t="shared" ca="1" si="16"/>
        <v>0</v>
      </c>
      <c r="AO84" s="696">
        <f ca="1">-AJ84*(1-'Param treso'!$H$18)</f>
        <v>0</v>
      </c>
      <c r="AP84" s="709">
        <f t="shared" ca="1" si="3"/>
        <v>-145447.93910000002</v>
      </c>
    </row>
    <row r="85" spans="1:42">
      <c r="A85" s="708">
        <f>IF(C85&lt;='Param treso'!$H$32,C85,IF(A84&lt;'Param treso'!$H$32,A84+1,1))</f>
        <v>5</v>
      </c>
      <c r="B85" s="708">
        <f>IF(C85&lt;='Param treso'!$H$41,C85,IF(B84&lt;'Param treso'!$H$41,B84+1,1))</f>
        <v>5</v>
      </c>
      <c r="C85" s="639">
        <f t="shared" si="4"/>
        <v>65</v>
      </c>
      <c r="D85" s="639">
        <f t="shared" ca="1" si="5"/>
        <v>125</v>
      </c>
      <c r="E85" s="649">
        <f t="shared" ca="1" si="6"/>
        <v>2091</v>
      </c>
      <c r="F85" s="186">
        <f>IF(C85=1,$F$19,IF(AND(A85=1,$K$16="Oui"),-AG84,IF(AND(A85&lt;='Param treso'!$H$32,$K$12="Oui"),IF(A85=1,-AG84,-AG84+G84),IF(AND(A85&lt;='Param treso'!$H$32,C85&lt;='Param treso'!$H$32),G84,IF($K$16="Oui",G84,0)))))</f>
        <v>0</v>
      </c>
      <c r="G85" s="186">
        <f t="shared" si="7"/>
        <v>0</v>
      </c>
      <c r="H85" s="1106">
        <f>F85*'Param treso'!$H$30</f>
        <v>0</v>
      </c>
      <c r="I85" s="1106"/>
      <c r="J85" s="1107"/>
      <c r="K85" s="659">
        <f t="shared" si="8"/>
        <v>0</v>
      </c>
      <c r="L85" s="186">
        <f>IF(K85=0,0,IF(B85=1,K85*(1+'Param treso'!$H$39),PRODUCT(L84,(POWER('Param treso'!$H$39,1)))+L84))</f>
        <v>0</v>
      </c>
      <c r="M85" s="660">
        <f>IFERROR(IF(B85='Param treso'!$H$41,L85-K85,0),0)</f>
        <v>0</v>
      </c>
      <c r="N85" s="186">
        <f>M85+H85+IF(A85='Param treso'!$H$32,G85,0)+IF(B85='Param treso'!$H$41,K85,0)</f>
        <v>0</v>
      </c>
      <c r="O85" s="186">
        <f ca="1">IF($AM$16="Oui",-IFERROR(VLOOKUP(E85,'Crédit (IS)'!$O$8:$P$145,2,FALSE),0),0)-(AN84*$T$14)</f>
        <v>0</v>
      </c>
      <c r="P85" s="186">
        <f ca="1">H85+M85+O85+IF(A85='Param treso'!$H$32,G85-F85,0)</f>
        <v>0</v>
      </c>
      <c r="Q85" s="1106">
        <f t="shared" ca="1" si="9"/>
        <v>0</v>
      </c>
      <c r="R85" s="1106"/>
      <c r="S85" s="1106"/>
      <c r="T85" s="186">
        <f t="shared" ca="1" si="10"/>
        <v>0</v>
      </c>
      <c r="U85" s="662">
        <f t="shared" ca="1" si="11"/>
        <v>0</v>
      </c>
      <c r="V85" s="662">
        <f ca="1">-IF('Param treso'!$H$20="Non",T85*Données!$L$24,IF(T85&lt;=Données!$L$26,T85*Données!$L$25,(Données!$L$26*Données!$L$25)+((T85-Données!$L$26)*Données!$L$24)))</f>
        <v>0</v>
      </c>
      <c r="W85" s="662">
        <f t="shared" ca="1" si="12"/>
        <v>0</v>
      </c>
      <c r="X85" s="186">
        <f ca="1">IF($AM$16="Oui",-IFERROR(VLOOKUP(E85,'Crédit (IS)'!$O$8:$Q$145,3,FALSE),0),0)</f>
        <v>0</v>
      </c>
      <c r="Y85" s="186">
        <f t="shared" ca="1" si="17"/>
        <v>0</v>
      </c>
      <c r="Z85" s="186">
        <f t="shared" ca="1" si="20"/>
        <v>0</v>
      </c>
      <c r="AA85" s="186">
        <f t="shared" ca="1" si="13"/>
        <v>0</v>
      </c>
      <c r="AB85" s="186">
        <f t="shared" ca="1" si="14"/>
        <v>0</v>
      </c>
      <c r="AC85" s="186">
        <f>IF(C85&lt;='Crédit (IR)'!$G$16/12,-(('Crédit (IR)'!$K$17)/(1-'Param treso'!$H$18)),0)</f>
        <v>0</v>
      </c>
      <c r="AD85" s="186">
        <f>IF($AM$14="Non",0,IF(C85&lt;='Crédit (IR)'!$G$16/12,-('Crédit (IR)'!$K$17),0))</f>
        <v>0</v>
      </c>
      <c r="AE85" s="186">
        <f ca="1">-IF(AND(E85&gt;=$AO$10,E85&lt;$AO$12),$AM$10/(1-'Param treso'!$H$18),IF(E85&gt;=$AO$12,$AM$12/(1-'Param treso'!$H$18),0))</f>
        <v>-207782.77014285719</v>
      </c>
      <c r="AF85" s="186">
        <f t="shared" ref="AF85:AF116" ca="1" si="21">-IF(AND(E85&gt;=$AO$10,E85&lt;$AO$12),$AM$10,IF(E85&gt;=$AO$12,$AM$12,0))</f>
        <v>-145447.93910000002</v>
      </c>
      <c r="AG85" s="186">
        <f>IF(C85=1,IF($K$12="Oui",-(Z85+AI85+AJ85),0),IF(AND($K$12="Oui",$K$16="Oui",A85='Param treso'!$H$32,B85='Param treso'!$H$41),-(Z85+AI85+AJ85+AH85),IF(AND($K$12="Oui",B85='Param treso'!$H$41),-(Z85+AI85+AJ85+AH85),IF(AND(A85='Param treso'!$H$32,$K$16="Oui"),-$F$19,IF($K$12="Oui",-(Z85+AI85+AJ85+AH85),0)))))</f>
        <v>0</v>
      </c>
      <c r="AH85" s="186">
        <f>IF(C85=1,0,IF(AND($K$16="Oui",B85='Param treso'!$H$41),-$K$19,0))</f>
        <v>0</v>
      </c>
      <c r="AI85" s="186">
        <f t="shared" ref="AI85:AI116" si="22">IF($T$16="",0,IF($T$16&lt;=E85,IF(AB85&gt;0,-MIN(Z85,-(AD85+AF85),AB85),0),0))</f>
        <v>0</v>
      </c>
      <c r="AJ85" s="704">
        <f ca="1">IF(AI85=AF85+AD85,0,IF(AD85+AF85&lt;0,IF((Z85+AI85)&gt;=-(AC85+AE85),(AD85+AF85-AI85)/(1-'Param treso'!$H$18),-(Z85+AI85)),0))</f>
        <v>0</v>
      </c>
      <c r="AK85" s="1106">
        <f t="shared" ca="1" si="15"/>
        <v>0</v>
      </c>
      <c r="AL85" s="1106"/>
      <c r="AM85" s="1106"/>
      <c r="AN85" s="660">
        <f t="shared" ca="1" si="16"/>
        <v>0</v>
      </c>
      <c r="AO85" s="696">
        <f ca="1">-AJ85*(1-'Param treso'!$H$18)</f>
        <v>0</v>
      </c>
      <c r="AP85" s="709">
        <f t="shared" ca="1" si="3"/>
        <v>-145447.93910000002</v>
      </c>
    </row>
    <row r="86" spans="1:42">
      <c r="A86" s="708">
        <f>IF(C86&lt;='Param treso'!$H$32,C86,IF(A85&lt;'Param treso'!$H$32,A85+1,1))</f>
        <v>6</v>
      </c>
      <c r="B86" s="708">
        <f>IF(C86&lt;='Param treso'!$H$41,C86,IF(B85&lt;'Param treso'!$H$41,B85+1,1))</f>
        <v>1</v>
      </c>
      <c r="C86" s="639">
        <f t="shared" si="4"/>
        <v>66</v>
      </c>
      <c r="D86" s="639">
        <f t="shared" ca="1" si="5"/>
        <v>126</v>
      </c>
      <c r="E86" s="649">
        <f t="shared" ca="1" si="6"/>
        <v>2092</v>
      </c>
      <c r="F86" s="186">
        <f>IF(C86=1,$F$19,IF(AND(A86=1,$K$16="Oui"),-AG85,IF(AND(A86&lt;='Param treso'!$H$32,$K$12="Oui"),IF(A86=1,-AG85,-AG85+G85),IF(AND(A86&lt;='Param treso'!$H$32,C86&lt;='Param treso'!$H$32),G85,IF($K$16="Oui",G85,0)))))</f>
        <v>0</v>
      </c>
      <c r="G86" s="186">
        <f t="shared" si="7"/>
        <v>0</v>
      </c>
      <c r="H86" s="1106">
        <f>F86*'Param treso'!$H$30</f>
        <v>0</v>
      </c>
      <c r="I86" s="1106"/>
      <c r="J86" s="1107"/>
      <c r="K86" s="659">
        <f t="shared" si="8"/>
        <v>0</v>
      </c>
      <c r="L86" s="186">
        <f>IF(K86=0,0,IF(B86=1,K86*(1+'Param treso'!$H$39),PRODUCT(L85,(POWER('Param treso'!$H$39,1)))+L85))</f>
        <v>0</v>
      </c>
      <c r="M86" s="660">
        <f>IFERROR(IF(B86='Param treso'!$H$41,L86-K86,0),0)</f>
        <v>0</v>
      </c>
      <c r="N86" s="186">
        <f>M86+H86+IF(A86='Param treso'!$H$32,G86,0)+IF(B86='Param treso'!$H$41,K86,0)</f>
        <v>0</v>
      </c>
      <c r="O86" s="186">
        <f ca="1">IF($AM$16="Oui",-IFERROR(VLOOKUP(E86,'Crédit (IS)'!$O$8:$P$145,2,FALSE),0),0)-(AN85*$T$14)</f>
        <v>0</v>
      </c>
      <c r="P86" s="186">
        <f ca="1">H86+M86+O86+IF(A86='Param treso'!$H$32,G86-F86,0)</f>
        <v>0</v>
      </c>
      <c r="Q86" s="1106">
        <f t="shared" ca="1" si="9"/>
        <v>0</v>
      </c>
      <c r="R86" s="1106"/>
      <c r="S86" s="1106"/>
      <c r="T86" s="186">
        <f t="shared" ca="1" si="10"/>
        <v>0</v>
      </c>
      <c r="U86" s="662">
        <f t="shared" ca="1" si="11"/>
        <v>0</v>
      </c>
      <c r="V86" s="662">
        <f ca="1">-IF('Param treso'!$H$20="Non",T86*Données!$L$24,IF(T86&lt;=Données!$L$26,T86*Données!$L$25,(Données!$L$26*Données!$L$25)+((T86-Données!$L$26)*Données!$L$24)))</f>
        <v>0</v>
      </c>
      <c r="W86" s="662">
        <f t="shared" ca="1" si="12"/>
        <v>0</v>
      </c>
      <c r="X86" s="186">
        <f ca="1">IF($AM$16="Oui",-IFERROR(VLOOKUP(E86,'Crédit (IS)'!$O$8:$Q$145,3,FALSE),0),0)</f>
        <v>0</v>
      </c>
      <c r="Y86" s="186">
        <f t="shared" ca="1" si="17"/>
        <v>0</v>
      </c>
      <c r="Z86" s="186">
        <f t="shared" ref="Z86:Z117" ca="1" si="23">Y86+AK85</f>
        <v>0</v>
      </c>
      <c r="AA86" s="186">
        <f t="shared" ca="1" si="13"/>
        <v>0</v>
      </c>
      <c r="AB86" s="186">
        <f t="shared" ca="1" si="14"/>
        <v>0</v>
      </c>
      <c r="AC86" s="186">
        <f>IF(C86&lt;='Crédit (IR)'!$G$16/12,-(('Crédit (IR)'!$K$17)/(1-'Param treso'!$H$18)),0)</f>
        <v>0</v>
      </c>
      <c r="AD86" s="186">
        <f>IF($AM$14="Non",0,IF(C86&lt;='Crédit (IR)'!$G$16/12,-('Crédit (IR)'!$K$17),0))</f>
        <v>0</v>
      </c>
      <c r="AE86" s="186">
        <f ca="1">-IF(AND(E86&gt;=$AO$10,E86&lt;$AO$12),$AM$10/(1-'Param treso'!$H$18),IF(E86&gt;=$AO$12,$AM$12/(1-'Param treso'!$H$18),0))</f>
        <v>-207782.77014285719</v>
      </c>
      <c r="AF86" s="186">
        <f t="shared" ca="1" si="21"/>
        <v>-145447.93910000002</v>
      </c>
      <c r="AG86" s="186">
        <f>IF(C86=1,IF($K$12="Oui",-(Z86+AI86+AJ86),0),IF(AND($K$12="Oui",$K$16="Oui",A86='Param treso'!$H$32,B86='Param treso'!$H$41),-(Z86+AI86+AJ86+AH86),IF(AND($K$12="Oui",B86='Param treso'!$H$41),-(Z86+AI86+AJ86+AH86),IF(AND(A86='Param treso'!$H$32,$K$16="Oui"),-$F$19,IF($K$12="Oui",-(Z86+AI86+AJ86+AH86),0)))))</f>
        <v>0</v>
      </c>
      <c r="AH86" s="186">
        <f>IF(C86=1,0,IF(AND($K$16="Oui",B86='Param treso'!$H$41),-$K$19,0))</f>
        <v>0</v>
      </c>
      <c r="AI86" s="186">
        <f t="shared" si="22"/>
        <v>0</v>
      </c>
      <c r="AJ86" s="704">
        <f ca="1">IF(AI86=AF86+AD86,0,IF(AD86+AF86&lt;0,IF((Z86+AI86)&gt;=-(AC86+AE86),(AD86+AF86-AI86)/(1-'Param treso'!$H$18),-(Z86+AI86)),0))</f>
        <v>0</v>
      </c>
      <c r="AK86" s="1106">
        <f t="shared" ca="1" si="15"/>
        <v>0</v>
      </c>
      <c r="AL86" s="1106"/>
      <c r="AM86" s="1106"/>
      <c r="AN86" s="660">
        <f t="shared" ca="1" si="16"/>
        <v>0</v>
      </c>
      <c r="AO86" s="696">
        <f ca="1">-AJ86*(1-'Param treso'!$H$18)</f>
        <v>0</v>
      </c>
      <c r="AP86" s="709">
        <f t="shared" ref="AP86:AP149" ca="1" si="24">IF((AF86+AD86)=(AI86-AO86),"Ok",(AF86+AD86)-(AI86-AO86))</f>
        <v>-145447.93910000002</v>
      </c>
    </row>
    <row r="87" spans="1:42">
      <c r="A87" s="708">
        <f>IF(C87&lt;='Param treso'!$H$32,C87,IF(A86&lt;'Param treso'!$H$32,A86+1,1))</f>
        <v>7</v>
      </c>
      <c r="B87" s="708">
        <f>IF(C87&lt;='Param treso'!$H$41,C87,IF(B86&lt;'Param treso'!$H$41,B86+1,1))</f>
        <v>2</v>
      </c>
      <c r="C87" s="639">
        <f t="shared" ref="C87:C150" si="25">C86+1</f>
        <v>67</v>
      </c>
      <c r="D87" s="639">
        <f t="shared" ref="D87:D150" ca="1" si="26">D86+1</f>
        <v>127</v>
      </c>
      <c r="E87" s="649">
        <f t="shared" ref="E87:E150" ca="1" si="27">E86+1</f>
        <v>2093</v>
      </c>
      <c r="F87" s="186">
        <f>IF(C87=1,$F$19,IF(AND(A87=1,$K$16="Oui"),-AG86,IF(AND(A87&lt;='Param treso'!$H$32,$K$12="Oui"),IF(A87=1,-AG86,-AG86+G86),IF(AND(A87&lt;='Param treso'!$H$32,C87&lt;='Param treso'!$H$32),G86,IF($K$16="Oui",G86,0)))))</f>
        <v>0</v>
      </c>
      <c r="G87" s="186">
        <f t="shared" ref="G87:G150" si="28">IF(F87=0,0,F87*(1+$K$14))</f>
        <v>0</v>
      </c>
      <c r="H87" s="1106">
        <f>F87*'Param treso'!$H$30</f>
        <v>0</v>
      </c>
      <c r="I87" s="1106"/>
      <c r="J87" s="1107"/>
      <c r="K87" s="659">
        <f t="shared" ref="K87:K150" si="29">IF(B87&gt;1,K86,IF($K$16="Oui",K86,0))</f>
        <v>0</v>
      </c>
      <c r="L87" s="186">
        <f>IF(K87=0,0,IF(B87=1,K87*(1+'Param treso'!$H$39),PRODUCT(L86,(POWER('Param treso'!$H$39,1)))+L86))</f>
        <v>0</v>
      </c>
      <c r="M87" s="660">
        <f>IFERROR(IF(B87='Param treso'!$H$41,L87-K87,0),0)</f>
        <v>0</v>
      </c>
      <c r="N87" s="186">
        <f>M87+H87+IF(A87='Param treso'!$H$32,G87,0)+IF(B87='Param treso'!$H$41,K87,0)</f>
        <v>0</v>
      </c>
      <c r="O87" s="186">
        <f ca="1">IF($AM$16="Oui",-IFERROR(VLOOKUP(E87,'Crédit (IS)'!$O$8:$P$145,2,FALSE),0),0)-(AN86*$T$14)</f>
        <v>0</v>
      </c>
      <c r="P87" s="186">
        <f ca="1">H87+M87+O87+IF(A87='Param treso'!$H$32,G87-F87,0)</f>
        <v>0</v>
      </c>
      <c r="Q87" s="1106">
        <f t="shared" ref="Q87:Q150" ca="1" si="30">IF(Q86&gt;P87,Q86-P87,0)</f>
        <v>0</v>
      </c>
      <c r="R87" s="1106"/>
      <c r="S87" s="1106"/>
      <c r="T87" s="186">
        <f t="shared" ref="T87:T150" ca="1" si="31">IF(P87&lt;0,0,P87-Q86)</f>
        <v>0</v>
      </c>
      <c r="U87" s="662">
        <f t="shared" ref="U87:U150" ca="1" si="32">N87+O87</f>
        <v>0</v>
      </c>
      <c r="V87" s="662">
        <f ca="1">-IF('Param treso'!$H$20="Non",T87*Données!$L$24,IF(T87&lt;=Données!$L$26,T87*Données!$L$25,(Données!$L$26*Données!$L$25)+((T87-Données!$L$26)*Données!$L$24)))</f>
        <v>0</v>
      </c>
      <c r="W87" s="662">
        <f t="shared" ref="W87:W150" ca="1" si="33">U87+V87</f>
        <v>0</v>
      </c>
      <c r="X87" s="186">
        <f ca="1">IF($AM$16="Oui",-IFERROR(VLOOKUP(E87,'Crédit (IS)'!$O$8:$Q$145,3,FALSE),0),0)</f>
        <v>0</v>
      </c>
      <c r="Y87" s="186">
        <f t="shared" ref="Y87:Y150" ca="1" si="34">W87+X87</f>
        <v>0</v>
      </c>
      <c r="Z87" s="186">
        <f t="shared" ca="1" si="23"/>
        <v>0</v>
      </c>
      <c r="AA87" s="186">
        <f t="shared" ref="AA87:AA150" ca="1" si="35">IF(Z87&lt;0,-Z87,0)</f>
        <v>0</v>
      </c>
      <c r="AB87" s="186">
        <f t="shared" ref="AB87:AB150" ca="1" si="36">AN86*(1+$T$14)+AA87</f>
        <v>0</v>
      </c>
      <c r="AC87" s="186">
        <f>IF(C87&lt;='Crédit (IR)'!$G$16/12,-(('Crédit (IR)'!$K$17)/(1-'Param treso'!$H$18)),0)</f>
        <v>0</v>
      </c>
      <c r="AD87" s="186">
        <f>IF($AM$14="Non",0,IF(C87&lt;='Crédit (IR)'!$G$16/12,-('Crédit (IR)'!$K$17),0))</f>
        <v>0</v>
      </c>
      <c r="AE87" s="186">
        <f ca="1">-IF(AND(E87&gt;=$AO$10,E87&lt;$AO$12),$AM$10/(1-'Param treso'!$H$18),IF(E87&gt;=$AO$12,$AM$12/(1-'Param treso'!$H$18),0))</f>
        <v>-207782.77014285719</v>
      </c>
      <c r="AF87" s="186">
        <f t="shared" ca="1" si="21"/>
        <v>-145447.93910000002</v>
      </c>
      <c r="AG87" s="186">
        <f>IF(C87=1,IF($K$12="Oui",-(Z87+AI87+AJ87),0),IF(AND($K$12="Oui",$K$16="Oui",A87='Param treso'!$H$32,B87='Param treso'!$H$41),-(Z87+AI87+AJ87+AH87),IF(AND($K$12="Oui",B87='Param treso'!$H$41),-(Z87+AI87+AJ87+AH87),IF(AND(A87='Param treso'!$H$32,$K$16="Oui"),-$F$19,IF($K$12="Oui",-(Z87+AI87+AJ87+AH87),0)))))</f>
        <v>0</v>
      </c>
      <c r="AH87" s="186">
        <f>IF(C87=1,0,IF(AND($K$16="Oui",B87='Param treso'!$H$41),-$K$19,0))</f>
        <v>0</v>
      </c>
      <c r="AI87" s="186">
        <f t="shared" si="22"/>
        <v>0</v>
      </c>
      <c r="AJ87" s="704">
        <f ca="1">IF(AI87=AF87+AD87,0,IF(AD87+AF87&lt;0,IF((Z87+AI87)&gt;=-(AC87+AE87),(AD87+AF87-AI87)/(1-'Param treso'!$H$18),-(Z87+AI87)),0))</f>
        <v>0</v>
      </c>
      <c r="AK87" s="1106">
        <f t="shared" ref="AK87:AK150" ca="1" si="37">Z87+AI87+AJ87+AG87+AH87+AA87</f>
        <v>0</v>
      </c>
      <c r="AL87" s="1106"/>
      <c r="AM87" s="1106"/>
      <c r="AN87" s="660">
        <f t="shared" ref="AN87:AN150" ca="1" si="38">IF(AN86=AI87,0+AB87,(AB87+AI87))</f>
        <v>0</v>
      </c>
      <c r="AO87" s="696">
        <f ca="1">-AJ87*(1-'Param treso'!$H$18)</f>
        <v>0</v>
      </c>
      <c r="AP87" s="709">
        <f t="shared" ca="1" si="24"/>
        <v>-145447.93910000002</v>
      </c>
    </row>
    <row r="88" spans="1:42">
      <c r="A88" s="708">
        <f>IF(C88&lt;='Param treso'!$H$32,C88,IF(A87&lt;'Param treso'!$H$32,A87+1,1))</f>
        <v>8</v>
      </c>
      <c r="B88" s="708">
        <f>IF(C88&lt;='Param treso'!$H$41,C88,IF(B87&lt;'Param treso'!$H$41,B87+1,1))</f>
        <v>3</v>
      </c>
      <c r="C88" s="639">
        <f t="shared" si="25"/>
        <v>68</v>
      </c>
      <c r="D88" s="639">
        <f t="shared" ca="1" si="26"/>
        <v>128</v>
      </c>
      <c r="E88" s="649">
        <f t="shared" ca="1" si="27"/>
        <v>2094</v>
      </c>
      <c r="F88" s="186">
        <f>IF(C88=1,$F$19,IF(AND(A88=1,$K$16="Oui"),-AG87,IF(AND(A88&lt;='Param treso'!$H$32,$K$12="Oui"),IF(A88=1,-AG87,-AG87+G87),IF(AND(A88&lt;='Param treso'!$H$32,C88&lt;='Param treso'!$H$32),G87,IF($K$16="Oui",G87,0)))))</f>
        <v>0</v>
      </c>
      <c r="G88" s="186">
        <f t="shared" si="28"/>
        <v>0</v>
      </c>
      <c r="H88" s="1106">
        <f>F88*'Param treso'!$H$30</f>
        <v>0</v>
      </c>
      <c r="I88" s="1106"/>
      <c r="J88" s="1107"/>
      <c r="K88" s="659">
        <f t="shared" si="29"/>
        <v>0</v>
      </c>
      <c r="L88" s="186">
        <f>IF(K88=0,0,IF(B88=1,K88*(1+'Param treso'!$H$39),PRODUCT(L87,(POWER('Param treso'!$H$39,1)))+L87))</f>
        <v>0</v>
      </c>
      <c r="M88" s="660">
        <f>IFERROR(IF(B88='Param treso'!$H$41,L88-K88,0),0)</f>
        <v>0</v>
      </c>
      <c r="N88" s="186">
        <f>M88+H88+IF(A88='Param treso'!$H$32,G88,0)+IF(B88='Param treso'!$H$41,K88,0)</f>
        <v>0</v>
      </c>
      <c r="O88" s="186">
        <f ca="1">IF($AM$16="Oui",-IFERROR(VLOOKUP(E88,'Crédit (IS)'!$O$8:$P$145,2,FALSE),0),0)-(AN87*$T$14)</f>
        <v>0</v>
      </c>
      <c r="P88" s="186">
        <f ca="1">H88+M88+O88+IF(A88='Param treso'!$H$32,G88-F88,0)</f>
        <v>0</v>
      </c>
      <c r="Q88" s="1106">
        <f t="shared" ca="1" si="30"/>
        <v>0</v>
      </c>
      <c r="R88" s="1106"/>
      <c r="S88" s="1106"/>
      <c r="T88" s="186">
        <f t="shared" ca="1" si="31"/>
        <v>0</v>
      </c>
      <c r="U88" s="662">
        <f t="shared" ca="1" si="32"/>
        <v>0</v>
      </c>
      <c r="V88" s="662">
        <f ca="1">-IF('Param treso'!$H$20="Non",T88*Données!$L$24,IF(T88&lt;=Données!$L$26,T88*Données!$L$25,(Données!$L$26*Données!$L$25)+((T88-Données!$L$26)*Données!$L$24)))</f>
        <v>0</v>
      </c>
      <c r="W88" s="662">
        <f t="shared" ca="1" si="33"/>
        <v>0</v>
      </c>
      <c r="X88" s="186">
        <f ca="1">IF($AM$16="Oui",-IFERROR(VLOOKUP(E88,'Crédit (IS)'!$O$8:$Q$145,3,FALSE),0),0)</f>
        <v>0</v>
      </c>
      <c r="Y88" s="186">
        <f t="shared" ca="1" si="34"/>
        <v>0</v>
      </c>
      <c r="Z88" s="186">
        <f t="shared" ca="1" si="23"/>
        <v>0</v>
      </c>
      <c r="AA88" s="186">
        <f t="shared" ca="1" si="35"/>
        <v>0</v>
      </c>
      <c r="AB88" s="186">
        <f t="shared" ca="1" si="36"/>
        <v>0</v>
      </c>
      <c r="AC88" s="186">
        <f>IF(C88&lt;='Crédit (IR)'!$G$16/12,-(('Crédit (IR)'!$K$17)/(1-'Param treso'!$H$18)),0)</f>
        <v>0</v>
      </c>
      <c r="AD88" s="186">
        <f>IF($AM$14="Non",0,IF(C88&lt;='Crédit (IR)'!$G$16/12,-('Crédit (IR)'!$K$17),0))</f>
        <v>0</v>
      </c>
      <c r="AE88" s="186">
        <f ca="1">-IF(AND(E88&gt;=$AO$10,E88&lt;$AO$12),$AM$10/(1-'Param treso'!$H$18),IF(E88&gt;=$AO$12,$AM$12/(1-'Param treso'!$H$18),0))</f>
        <v>-207782.77014285719</v>
      </c>
      <c r="AF88" s="186">
        <f t="shared" ca="1" si="21"/>
        <v>-145447.93910000002</v>
      </c>
      <c r="AG88" s="186">
        <f>IF(C88=1,IF($K$12="Oui",-(Z88+AI88+AJ88),0),IF(AND($K$12="Oui",$K$16="Oui",A88='Param treso'!$H$32,B88='Param treso'!$H$41),-(Z88+AI88+AJ88+AH88),IF(AND($K$12="Oui",B88='Param treso'!$H$41),-(Z88+AI88+AJ88+AH88),IF(AND(A88='Param treso'!$H$32,$K$16="Oui"),-$F$19,IF($K$12="Oui",-(Z88+AI88+AJ88+AH88),0)))))</f>
        <v>0</v>
      </c>
      <c r="AH88" s="186">
        <f>IF(C88=1,0,IF(AND($K$16="Oui",B88='Param treso'!$H$41),-$K$19,0))</f>
        <v>0</v>
      </c>
      <c r="AI88" s="186">
        <f t="shared" si="22"/>
        <v>0</v>
      </c>
      <c r="AJ88" s="704">
        <f ca="1">IF(AI88=AF88+AD88,0,IF(AD88+AF88&lt;0,IF((Z88+AI88)&gt;=-(AC88+AE88),(AD88+AF88-AI88)/(1-'Param treso'!$H$18),-(Z88+AI88)),0))</f>
        <v>0</v>
      </c>
      <c r="AK88" s="1106">
        <f t="shared" ca="1" si="37"/>
        <v>0</v>
      </c>
      <c r="AL88" s="1106"/>
      <c r="AM88" s="1106"/>
      <c r="AN88" s="660">
        <f t="shared" ca="1" si="38"/>
        <v>0</v>
      </c>
      <c r="AO88" s="696">
        <f ca="1">-AJ88*(1-'Param treso'!$H$18)</f>
        <v>0</v>
      </c>
      <c r="AP88" s="709">
        <f t="shared" ca="1" si="24"/>
        <v>-145447.93910000002</v>
      </c>
    </row>
    <row r="89" spans="1:42">
      <c r="A89" s="708">
        <f>IF(C89&lt;='Param treso'!$H$32,C89,IF(A88&lt;'Param treso'!$H$32,A88+1,1))</f>
        <v>9</v>
      </c>
      <c r="B89" s="708">
        <f>IF(C89&lt;='Param treso'!$H$41,C89,IF(B88&lt;'Param treso'!$H$41,B88+1,1))</f>
        <v>4</v>
      </c>
      <c r="C89" s="639">
        <f t="shared" si="25"/>
        <v>69</v>
      </c>
      <c r="D89" s="639">
        <f t="shared" ca="1" si="26"/>
        <v>129</v>
      </c>
      <c r="E89" s="649">
        <f t="shared" ca="1" si="27"/>
        <v>2095</v>
      </c>
      <c r="F89" s="186">
        <f>IF(C89=1,$F$19,IF(AND(A89=1,$K$16="Oui"),-AG88,IF(AND(A89&lt;='Param treso'!$H$32,$K$12="Oui"),IF(A89=1,-AG88,-AG88+G88),IF(AND(A89&lt;='Param treso'!$H$32,C89&lt;='Param treso'!$H$32),G88,IF($K$16="Oui",G88,0)))))</f>
        <v>0</v>
      </c>
      <c r="G89" s="186">
        <f t="shared" si="28"/>
        <v>0</v>
      </c>
      <c r="H89" s="1106">
        <f>F89*'Param treso'!$H$30</f>
        <v>0</v>
      </c>
      <c r="I89" s="1106"/>
      <c r="J89" s="1107"/>
      <c r="K89" s="659">
        <f t="shared" si="29"/>
        <v>0</v>
      </c>
      <c r="L89" s="186">
        <f>IF(K89=0,0,IF(B89=1,K89*(1+'Param treso'!$H$39),PRODUCT(L88,(POWER('Param treso'!$H$39,1)))+L88))</f>
        <v>0</v>
      </c>
      <c r="M89" s="660">
        <f>IFERROR(IF(B89='Param treso'!$H$41,L89-K89,0),0)</f>
        <v>0</v>
      </c>
      <c r="N89" s="186">
        <f>M89+H89+IF(A89='Param treso'!$H$32,G89,0)+IF(B89='Param treso'!$H$41,K89,0)</f>
        <v>0</v>
      </c>
      <c r="O89" s="186">
        <f ca="1">IF($AM$16="Oui",-IFERROR(VLOOKUP(E89,'Crédit (IS)'!$O$8:$P$145,2,FALSE),0),0)-(AN88*$T$14)</f>
        <v>0</v>
      </c>
      <c r="P89" s="186">
        <f ca="1">H89+M89+O89+IF(A89='Param treso'!$H$32,G89-F89,0)</f>
        <v>0</v>
      </c>
      <c r="Q89" s="1106">
        <f t="shared" ca="1" si="30"/>
        <v>0</v>
      </c>
      <c r="R89" s="1106"/>
      <c r="S89" s="1106"/>
      <c r="T89" s="186">
        <f t="shared" ca="1" si="31"/>
        <v>0</v>
      </c>
      <c r="U89" s="662">
        <f t="shared" ca="1" si="32"/>
        <v>0</v>
      </c>
      <c r="V89" s="662">
        <f ca="1">-IF('Param treso'!$H$20="Non",T89*Données!$L$24,IF(T89&lt;=Données!$L$26,T89*Données!$L$25,(Données!$L$26*Données!$L$25)+((T89-Données!$L$26)*Données!$L$24)))</f>
        <v>0</v>
      </c>
      <c r="W89" s="662">
        <f t="shared" ca="1" si="33"/>
        <v>0</v>
      </c>
      <c r="X89" s="186">
        <f ca="1">IF($AM$16="Oui",-IFERROR(VLOOKUP(E89,'Crédit (IS)'!$O$8:$Q$145,3,FALSE),0),0)</f>
        <v>0</v>
      </c>
      <c r="Y89" s="186">
        <f t="shared" ca="1" si="34"/>
        <v>0</v>
      </c>
      <c r="Z89" s="186">
        <f t="shared" ca="1" si="23"/>
        <v>0</v>
      </c>
      <c r="AA89" s="186">
        <f t="shared" ca="1" si="35"/>
        <v>0</v>
      </c>
      <c r="AB89" s="186">
        <f t="shared" ca="1" si="36"/>
        <v>0</v>
      </c>
      <c r="AC89" s="186">
        <f>IF(C89&lt;='Crédit (IR)'!$G$16/12,-(('Crédit (IR)'!$K$17)/(1-'Param treso'!$H$18)),0)</f>
        <v>0</v>
      </c>
      <c r="AD89" s="186">
        <f>IF($AM$14="Non",0,IF(C89&lt;='Crédit (IR)'!$G$16/12,-('Crédit (IR)'!$K$17),0))</f>
        <v>0</v>
      </c>
      <c r="AE89" s="186">
        <f ca="1">-IF(AND(E89&gt;=$AO$10,E89&lt;$AO$12),$AM$10/(1-'Param treso'!$H$18),IF(E89&gt;=$AO$12,$AM$12/(1-'Param treso'!$H$18),0))</f>
        <v>-207782.77014285719</v>
      </c>
      <c r="AF89" s="186">
        <f t="shared" ca="1" si="21"/>
        <v>-145447.93910000002</v>
      </c>
      <c r="AG89" s="186">
        <f>IF(C89=1,IF($K$12="Oui",-(Z89+AI89+AJ89),0),IF(AND($K$12="Oui",$K$16="Oui",A89='Param treso'!$H$32,B89='Param treso'!$H$41),-(Z89+AI89+AJ89+AH89),IF(AND($K$12="Oui",B89='Param treso'!$H$41),-(Z89+AI89+AJ89+AH89),IF(AND(A89='Param treso'!$H$32,$K$16="Oui"),-$F$19,IF($K$12="Oui",-(Z89+AI89+AJ89+AH89),0)))))</f>
        <v>0</v>
      </c>
      <c r="AH89" s="186">
        <f>IF(C89=1,0,IF(AND($K$16="Oui",B89='Param treso'!$H$41),-$K$19,0))</f>
        <v>0</v>
      </c>
      <c r="AI89" s="186">
        <f t="shared" si="22"/>
        <v>0</v>
      </c>
      <c r="AJ89" s="704">
        <f ca="1">IF(AI89=AF89+AD89,0,IF(AD89+AF89&lt;0,IF((Z89+AI89)&gt;=-(AC89+AE89),(AD89+AF89-AI89)/(1-'Param treso'!$H$18),-(Z89+AI89)),0))</f>
        <v>0</v>
      </c>
      <c r="AK89" s="1106">
        <f t="shared" ca="1" si="37"/>
        <v>0</v>
      </c>
      <c r="AL89" s="1106"/>
      <c r="AM89" s="1106"/>
      <c r="AN89" s="660">
        <f t="shared" ca="1" si="38"/>
        <v>0</v>
      </c>
      <c r="AO89" s="696">
        <f ca="1">-AJ89*(1-'Param treso'!$H$18)</f>
        <v>0</v>
      </c>
      <c r="AP89" s="709">
        <f t="shared" ca="1" si="24"/>
        <v>-145447.93910000002</v>
      </c>
    </row>
    <row r="90" spans="1:42">
      <c r="A90" s="708">
        <f>IF(C90&lt;='Param treso'!$H$32,C90,IF(A89&lt;'Param treso'!$H$32,A89+1,1))</f>
        <v>10</v>
      </c>
      <c r="B90" s="708">
        <f>IF(C90&lt;='Param treso'!$H$41,C90,IF(B89&lt;'Param treso'!$H$41,B89+1,1))</f>
        <v>5</v>
      </c>
      <c r="C90" s="639">
        <f t="shared" si="25"/>
        <v>70</v>
      </c>
      <c r="D90" s="639">
        <f t="shared" ca="1" si="26"/>
        <v>130</v>
      </c>
      <c r="E90" s="649">
        <f t="shared" ca="1" si="27"/>
        <v>2096</v>
      </c>
      <c r="F90" s="186">
        <f>IF(C90=1,$F$19,IF(AND(A90=1,$K$16="Oui"),-AG89,IF(AND(A90&lt;='Param treso'!$H$32,$K$12="Oui"),IF(A90=1,-AG89,-AG89+G89),IF(AND(A90&lt;='Param treso'!$H$32,C90&lt;='Param treso'!$H$32),G89,IF($K$16="Oui",G89,0)))))</f>
        <v>0</v>
      </c>
      <c r="G90" s="186">
        <f t="shared" si="28"/>
        <v>0</v>
      </c>
      <c r="H90" s="1106">
        <f>F90*'Param treso'!$H$30</f>
        <v>0</v>
      </c>
      <c r="I90" s="1106"/>
      <c r="J90" s="1107"/>
      <c r="K90" s="659">
        <f t="shared" si="29"/>
        <v>0</v>
      </c>
      <c r="L90" s="186">
        <f>IF(K90=0,0,IF(B90=1,K90*(1+'Param treso'!$H$39),PRODUCT(L89,(POWER('Param treso'!$H$39,1)))+L89))</f>
        <v>0</v>
      </c>
      <c r="M90" s="660">
        <f>IFERROR(IF(B90='Param treso'!$H$41,L90-K90,0),0)</f>
        <v>0</v>
      </c>
      <c r="N90" s="186">
        <f>M90+H90+IF(A90='Param treso'!$H$32,G90,0)+IF(B90='Param treso'!$H$41,K90,0)</f>
        <v>0</v>
      </c>
      <c r="O90" s="186">
        <f ca="1">IF($AM$16="Oui",-IFERROR(VLOOKUP(E90,'Crédit (IS)'!$O$8:$P$145,2,FALSE),0),0)-(AN89*$T$14)</f>
        <v>0</v>
      </c>
      <c r="P90" s="186">
        <f ca="1">H90+M90+O90+IF(A90='Param treso'!$H$32,G90-F90,0)</f>
        <v>0</v>
      </c>
      <c r="Q90" s="1106">
        <f t="shared" ca="1" si="30"/>
        <v>0</v>
      </c>
      <c r="R90" s="1106"/>
      <c r="S90" s="1106"/>
      <c r="T90" s="186">
        <f t="shared" ca="1" si="31"/>
        <v>0</v>
      </c>
      <c r="U90" s="662">
        <f t="shared" ca="1" si="32"/>
        <v>0</v>
      </c>
      <c r="V90" s="662">
        <f ca="1">-IF('Param treso'!$H$20="Non",T90*Données!$L$24,IF(T90&lt;=Données!$L$26,T90*Données!$L$25,(Données!$L$26*Données!$L$25)+((T90-Données!$L$26)*Données!$L$24)))</f>
        <v>0</v>
      </c>
      <c r="W90" s="662">
        <f t="shared" ca="1" si="33"/>
        <v>0</v>
      </c>
      <c r="X90" s="186">
        <f ca="1">IF($AM$16="Oui",-IFERROR(VLOOKUP(E90,'Crédit (IS)'!$O$8:$Q$145,3,FALSE),0),0)</f>
        <v>0</v>
      </c>
      <c r="Y90" s="186">
        <f t="shared" ca="1" si="34"/>
        <v>0</v>
      </c>
      <c r="Z90" s="186">
        <f t="shared" ca="1" si="23"/>
        <v>0</v>
      </c>
      <c r="AA90" s="186">
        <f t="shared" ca="1" si="35"/>
        <v>0</v>
      </c>
      <c r="AB90" s="186">
        <f t="shared" ca="1" si="36"/>
        <v>0</v>
      </c>
      <c r="AC90" s="186">
        <f>IF(C90&lt;='Crédit (IR)'!$G$16/12,-(('Crédit (IR)'!$K$17)/(1-'Param treso'!$H$18)),0)</f>
        <v>0</v>
      </c>
      <c r="AD90" s="186">
        <f>IF($AM$14="Non",0,IF(C90&lt;='Crédit (IR)'!$G$16/12,-('Crédit (IR)'!$K$17),0))</f>
        <v>0</v>
      </c>
      <c r="AE90" s="186">
        <f ca="1">-IF(AND(E90&gt;=$AO$10,E90&lt;$AO$12),$AM$10/(1-'Param treso'!$H$18),IF(E90&gt;=$AO$12,$AM$12/(1-'Param treso'!$H$18),0))</f>
        <v>-207782.77014285719</v>
      </c>
      <c r="AF90" s="186">
        <f t="shared" ca="1" si="21"/>
        <v>-145447.93910000002</v>
      </c>
      <c r="AG90" s="186">
        <f>IF(C90=1,IF($K$12="Oui",-(Z90+AI90+AJ90),0),IF(AND($K$12="Oui",$K$16="Oui",A90='Param treso'!$H$32,B90='Param treso'!$H$41),-(Z90+AI90+AJ90+AH90),IF(AND($K$12="Oui",B90='Param treso'!$H$41),-(Z90+AI90+AJ90+AH90),IF(AND(A90='Param treso'!$H$32,$K$16="Oui"),-$F$19,IF($K$12="Oui",-(Z90+AI90+AJ90+AH90),0)))))</f>
        <v>0</v>
      </c>
      <c r="AH90" s="186">
        <f>IF(C90=1,0,IF(AND($K$16="Oui",B90='Param treso'!$H$41),-$K$19,0))</f>
        <v>0</v>
      </c>
      <c r="AI90" s="186">
        <f t="shared" si="22"/>
        <v>0</v>
      </c>
      <c r="AJ90" s="704">
        <f ca="1">IF(AI90=AF90+AD90,0,IF(AD90+AF90&lt;0,IF((Z90+AI90)&gt;=-(AC90+AE90),(AD90+AF90-AI90)/(1-'Param treso'!$H$18),-(Z90+AI90)),0))</f>
        <v>0</v>
      </c>
      <c r="AK90" s="1106">
        <f t="shared" ca="1" si="37"/>
        <v>0</v>
      </c>
      <c r="AL90" s="1106"/>
      <c r="AM90" s="1106"/>
      <c r="AN90" s="660">
        <f t="shared" ca="1" si="38"/>
        <v>0</v>
      </c>
      <c r="AO90" s="696">
        <f ca="1">-AJ90*(1-'Param treso'!$H$18)</f>
        <v>0</v>
      </c>
      <c r="AP90" s="709">
        <f t="shared" ca="1" si="24"/>
        <v>-145447.93910000002</v>
      </c>
    </row>
    <row r="91" spans="1:42">
      <c r="A91" s="708">
        <f>IF(C91&lt;='Param treso'!$H$32,C91,IF(A90&lt;'Param treso'!$H$32,A90+1,1))</f>
        <v>11</v>
      </c>
      <c r="B91" s="708">
        <f>IF(C91&lt;='Param treso'!$H$41,C91,IF(B90&lt;'Param treso'!$H$41,B90+1,1))</f>
        <v>1</v>
      </c>
      <c r="C91" s="639">
        <f t="shared" si="25"/>
        <v>71</v>
      </c>
      <c r="D91" s="639">
        <f t="shared" ca="1" si="26"/>
        <v>131</v>
      </c>
      <c r="E91" s="649">
        <f t="shared" ca="1" si="27"/>
        <v>2097</v>
      </c>
      <c r="F91" s="186">
        <f>IF(C91=1,$F$19,IF(AND(A91=1,$K$16="Oui"),-AG90,IF(AND(A91&lt;='Param treso'!$H$32,$K$12="Oui"),IF(A91=1,-AG90,-AG90+G90),IF(AND(A91&lt;='Param treso'!$H$32,C91&lt;='Param treso'!$H$32),G90,IF($K$16="Oui",G90,0)))))</f>
        <v>0</v>
      </c>
      <c r="G91" s="186">
        <f t="shared" si="28"/>
        <v>0</v>
      </c>
      <c r="H91" s="1106">
        <f>F91*'Param treso'!$H$30</f>
        <v>0</v>
      </c>
      <c r="I91" s="1106"/>
      <c r="J91" s="1107"/>
      <c r="K91" s="659">
        <f t="shared" si="29"/>
        <v>0</v>
      </c>
      <c r="L91" s="186">
        <f>IF(K91=0,0,IF(B91=1,K91*(1+'Param treso'!$H$39),PRODUCT(L90,(POWER('Param treso'!$H$39,1)))+L90))</f>
        <v>0</v>
      </c>
      <c r="M91" s="660">
        <f>IFERROR(IF(B91='Param treso'!$H$41,L91-K91,0),0)</f>
        <v>0</v>
      </c>
      <c r="N91" s="186">
        <f>M91+H91+IF(A91='Param treso'!$H$32,G91,0)+IF(B91='Param treso'!$H$41,K91,0)</f>
        <v>0</v>
      </c>
      <c r="O91" s="186">
        <f ca="1">IF($AM$16="Oui",-IFERROR(VLOOKUP(E91,'Crédit (IS)'!$O$8:$P$145,2,FALSE),0),0)-(AN90*$T$14)</f>
        <v>0</v>
      </c>
      <c r="P91" s="186">
        <f ca="1">H91+M91+O91+IF(A91='Param treso'!$H$32,G91-F91,0)</f>
        <v>0</v>
      </c>
      <c r="Q91" s="1106">
        <f t="shared" ca="1" si="30"/>
        <v>0</v>
      </c>
      <c r="R91" s="1106"/>
      <c r="S91" s="1106"/>
      <c r="T91" s="186">
        <f t="shared" ca="1" si="31"/>
        <v>0</v>
      </c>
      <c r="U91" s="662">
        <f t="shared" ca="1" si="32"/>
        <v>0</v>
      </c>
      <c r="V91" s="662">
        <f ca="1">-IF('Param treso'!$H$20="Non",T91*Données!$L$24,IF(T91&lt;=Données!$L$26,T91*Données!$L$25,(Données!$L$26*Données!$L$25)+((T91-Données!$L$26)*Données!$L$24)))</f>
        <v>0</v>
      </c>
      <c r="W91" s="662">
        <f t="shared" ca="1" si="33"/>
        <v>0</v>
      </c>
      <c r="X91" s="186">
        <f ca="1">IF($AM$16="Oui",-IFERROR(VLOOKUP(E91,'Crédit (IS)'!$O$8:$Q$145,3,FALSE),0),0)</f>
        <v>0</v>
      </c>
      <c r="Y91" s="186">
        <f t="shared" ca="1" si="34"/>
        <v>0</v>
      </c>
      <c r="Z91" s="186">
        <f t="shared" ca="1" si="23"/>
        <v>0</v>
      </c>
      <c r="AA91" s="186">
        <f t="shared" ca="1" si="35"/>
        <v>0</v>
      </c>
      <c r="AB91" s="186">
        <f t="shared" ca="1" si="36"/>
        <v>0</v>
      </c>
      <c r="AC91" s="186">
        <f>IF(C91&lt;='Crédit (IR)'!$G$16/12,-(('Crédit (IR)'!$K$17)/(1-'Param treso'!$H$18)),0)</f>
        <v>0</v>
      </c>
      <c r="AD91" s="186">
        <f>IF($AM$14="Non",0,IF(C91&lt;='Crédit (IR)'!$G$16/12,-('Crédit (IR)'!$K$17),0))</f>
        <v>0</v>
      </c>
      <c r="AE91" s="186">
        <f ca="1">-IF(AND(E91&gt;=$AO$10,E91&lt;$AO$12),$AM$10/(1-'Param treso'!$H$18),IF(E91&gt;=$AO$12,$AM$12/(1-'Param treso'!$H$18),0))</f>
        <v>-207782.77014285719</v>
      </c>
      <c r="AF91" s="186">
        <f t="shared" ca="1" si="21"/>
        <v>-145447.93910000002</v>
      </c>
      <c r="AG91" s="186">
        <f>IF(C91=1,IF($K$12="Oui",-(Z91+AI91+AJ91),0),IF(AND($K$12="Oui",$K$16="Oui",A91='Param treso'!$H$32,B91='Param treso'!$H$41),-(Z91+AI91+AJ91+AH91),IF(AND($K$12="Oui",B91='Param treso'!$H$41),-(Z91+AI91+AJ91+AH91),IF(AND(A91='Param treso'!$H$32,$K$16="Oui"),-$F$19,IF($K$12="Oui",-(Z91+AI91+AJ91+AH91),0)))))</f>
        <v>0</v>
      </c>
      <c r="AH91" s="186">
        <f>IF(C91=1,0,IF(AND($K$16="Oui",B91='Param treso'!$H$41),-$K$19,0))</f>
        <v>0</v>
      </c>
      <c r="AI91" s="186">
        <f t="shared" si="22"/>
        <v>0</v>
      </c>
      <c r="AJ91" s="704">
        <f ca="1">IF(AI91=AF91+AD91,0,IF(AD91+AF91&lt;0,IF((Z91+AI91)&gt;=-(AC91+AE91),(AD91+AF91-AI91)/(1-'Param treso'!$H$18),-(Z91+AI91)),0))</f>
        <v>0</v>
      </c>
      <c r="AK91" s="1106">
        <f t="shared" ca="1" si="37"/>
        <v>0</v>
      </c>
      <c r="AL91" s="1106"/>
      <c r="AM91" s="1106"/>
      <c r="AN91" s="660">
        <f t="shared" ca="1" si="38"/>
        <v>0</v>
      </c>
      <c r="AO91" s="696">
        <f ca="1">-AJ91*(1-'Param treso'!$H$18)</f>
        <v>0</v>
      </c>
      <c r="AP91" s="709">
        <f t="shared" ca="1" si="24"/>
        <v>-145447.93910000002</v>
      </c>
    </row>
    <row r="92" spans="1:42">
      <c r="A92" s="708">
        <f>IF(C92&lt;='Param treso'!$H$32,C92,IF(A91&lt;'Param treso'!$H$32,A91+1,1))</f>
        <v>12</v>
      </c>
      <c r="B92" s="708">
        <f>IF(C92&lt;='Param treso'!$H$41,C92,IF(B91&lt;'Param treso'!$H$41,B91+1,1))</f>
        <v>2</v>
      </c>
      <c r="C92" s="639">
        <f t="shared" si="25"/>
        <v>72</v>
      </c>
      <c r="D92" s="639">
        <f t="shared" ca="1" si="26"/>
        <v>132</v>
      </c>
      <c r="E92" s="649">
        <f t="shared" ca="1" si="27"/>
        <v>2098</v>
      </c>
      <c r="F92" s="186">
        <f>IF(C92=1,$F$19,IF(AND(A92=1,$K$16="Oui"),-AG91,IF(AND(A92&lt;='Param treso'!$H$32,$K$12="Oui"),IF(A92=1,-AG91,-AG91+G91),IF(AND(A92&lt;='Param treso'!$H$32,C92&lt;='Param treso'!$H$32),G91,IF($K$16="Oui",G91,0)))))</f>
        <v>0</v>
      </c>
      <c r="G92" s="186">
        <f t="shared" si="28"/>
        <v>0</v>
      </c>
      <c r="H92" s="1106">
        <f>F92*'Param treso'!$H$30</f>
        <v>0</v>
      </c>
      <c r="I92" s="1106"/>
      <c r="J92" s="1107"/>
      <c r="K92" s="659">
        <f t="shared" si="29"/>
        <v>0</v>
      </c>
      <c r="L92" s="186">
        <f>IF(K92=0,0,IF(B92=1,K92*(1+'Param treso'!$H$39),PRODUCT(L91,(POWER('Param treso'!$H$39,1)))+L91))</f>
        <v>0</v>
      </c>
      <c r="M92" s="660">
        <f>IFERROR(IF(B92='Param treso'!$H$41,L92-K92,0),0)</f>
        <v>0</v>
      </c>
      <c r="N92" s="186">
        <f>M92+H92+IF(A92='Param treso'!$H$32,G92,0)+IF(B92='Param treso'!$H$41,K92,0)</f>
        <v>0</v>
      </c>
      <c r="O92" s="186">
        <f ca="1">IF($AM$16="Oui",-IFERROR(VLOOKUP(E92,'Crédit (IS)'!$O$8:$P$145,2,FALSE),0),0)-(AN91*$T$14)</f>
        <v>0</v>
      </c>
      <c r="P92" s="186">
        <f ca="1">H92+M92+O92+IF(A92='Param treso'!$H$32,G92-F92,0)</f>
        <v>0</v>
      </c>
      <c r="Q92" s="1106">
        <f t="shared" ca="1" si="30"/>
        <v>0</v>
      </c>
      <c r="R92" s="1106"/>
      <c r="S92" s="1106"/>
      <c r="T92" s="186">
        <f t="shared" ca="1" si="31"/>
        <v>0</v>
      </c>
      <c r="U92" s="662">
        <f t="shared" ca="1" si="32"/>
        <v>0</v>
      </c>
      <c r="V92" s="662">
        <f ca="1">-IF('Param treso'!$H$20="Non",T92*Données!$L$24,IF(T92&lt;=Données!$L$26,T92*Données!$L$25,(Données!$L$26*Données!$L$25)+((T92-Données!$L$26)*Données!$L$24)))</f>
        <v>0</v>
      </c>
      <c r="W92" s="662">
        <f t="shared" ca="1" si="33"/>
        <v>0</v>
      </c>
      <c r="X92" s="186">
        <f ca="1">IF($AM$16="Oui",-IFERROR(VLOOKUP(E92,'Crédit (IS)'!$O$8:$Q$145,3,FALSE),0),0)</f>
        <v>0</v>
      </c>
      <c r="Y92" s="186">
        <f t="shared" ca="1" si="34"/>
        <v>0</v>
      </c>
      <c r="Z92" s="186">
        <f t="shared" ca="1" si="23"/>
        <v>0</v>
      </c>
      <c r="AA92" s="186">
        <f t="shared" ca="1" si="35"/>
        <v>0</v>
      </c>
      <c r="AB92" s="186">
        <f t="shared" ca="1" si="36"/>
        <v>0</v>
      </c>
      <c r="AC92" s="186">
        <f>IF(C92&lt;='Crédit (IR)'!$G$16/12,-(('Crédit (IR)'!$K$17)/(1-'Param treso'!$H$18)),0)</f>
        <v>0</v>
      </c>
      <c r="AD92" s="186">
        <f>IF($AM$14="Non",0,IF(C92&lt;='Crédit (IR)'!$G$16/12,-('Crédit (IR)'!$K$17),0))</f>
        <v>0</v>
      </c>
      <c r="AE92" s="186">
        <f ca="1">-IF(AND(E92&gt;=$AO$10,E92&lt;$AO$12),$AM$10/(1-'Param treso'!$H$18),IF(E92&gt;=$AO$12,$AM$12/(1-'Param treso'!$H$18),0))</f>
        <v>-207782.77014285719</v>
      </c>
      <c r="AF92" s="186">
        <f t="shared" ca="1" si="21"/>
        <v>-145447.93910000002</v>
      </c>
      <c r="AG92" s="186">
        <f>IF(C92=1,IF($K$12="Oui",-(Z92+AI92+AJ92),0),IF(AND($K$12="Oui",$K$16="Oui",A92='Param treso'!$H$32,B92='Param treso'!$H$41),-(Z92+AI92+AJ92+AH92),IF(AND($K$12="Oui",B92='Param treso'!$H$41),-(Z92+AI92+AJ92+AH92),IF(AND(A92='Param treso'!$H$32,$K$16="Oui"),-$F$19,IF($K$12="Oui",-(Z92+AI92+AJ92+AH92),0)))))</f>
        <v>0</v>
      </c>
      <c r="AH92" s="186">
        <f>IF(C92=1,0,IF(AND($K$16="Oui",B92='Param treso'!$H$41),-$K$19,0))</f>
        <v>0</v>
      </c>
      <c r="AI92" s="186">
        <f t="shared" si="22"/>
        <v>0</v>
      </c>
      <c r="AJ92" s="704">
        <f ca="1">IF(AI92=AF92+AD92,0,IF(AD92+AF92&lt;0,IF((Z92+AI92)&gt;=-(AC92+AE92),(AD92+AF92-AI92)/(1-'Param treso'!$H$18),-(Z92+AI92)),0))</f>
        <v>0</v>
      </c>
      <c r="AK92" s="1106">
        <f t="shared" ca="1" si="37"/>
        <v>0</v>
      </c>
      <c r="AL92" s="1106"/>
      <c r="AM92" s="1106"/>
      <c r="AN92" s="660">
        <f t="shared" ca="1" si="38"/>
        <v>0</v>
      </c>
      <c r="AO92" s="696">
        <f ca="1">-AJ92*(1-'Param treso'!$H$18)</f>
        <v>0</v>
      </c>
      <c r="AP92" s="709">
        <f t="shared" ca="1" si="24"/>
        <v>-145447.93910000002</v>
      </c>
    </row>
    <row r="93" spans="1:42">
      <c r="A93" s="708">
        <f>IF(C93&lt;='Param treso'!$H$32,C93,IF(A92&lt;'Param treso'!$H$32,A92+1,1))</f>
        <v>13</v>
      </c>
      <c r="B93" s="708">
        <f>IF(C93&lt;='Param treso'!$H$41,C93,IF(B92&lt;'Param treso'!$H$41,B92+1,1))</f>
        <v>3</v>
      </c>
      <c r="C93" s="639">
        <f t="shared" si="25"/>
        <v>73</v>
      </c>
      <c r="D93" s="639">
        <f t="shared" ca="1" si="26"/>
        <v>133</v>
      </c>
      <c r="E93" s="649">
        <f t="shared" ca="1" si="27"/>
        <v>2099</v>
      </c>
      <c r="F93" s="186">
        <f>IF(C93=1,$F$19,IF(AND(A93=1,$K$16="Oui"),-AG92,IF(AND(A93&lt;='Param treso'!$H$32,$K$12="Oui"),IF(A93=1,-AG92,-AG92+G92),IF(AND(A93&lt;='Param treso'!$H$32,C93&lt;='Param treso'!$H$32),G92,IF($K$16="Oui",G92,0)))))</f>
        <v>0</v>
      </c>
      <c r="G93" s="186">
        <f t="shared" si="28"/>
        <v>0</v>
      </c>
      <c r="H93" s="1106">
        <f>F93*'Param treso'!$H$30</f>
        <v>0</v>
      </c>
      <c r="I93" s="1106"/>
      <c r="J93" s="1107"/>
      <c r="K93" s="659">
        <f t="shared" si="29"/>
        <v>0</v>
      </c>
      <c r="L93" s="186">
        <f>IF(K93=0,0,IF(B93=1,K93*(1+'Param treso'!$H$39),PRODUCT(L92,(POWER('Param treso'!$H$39,1)))+L92))</f>
        <v>0</v>
      </c>
      <c r="M93" s="660">
        <f>IFERROR(IF(B93='Param treso'!$H$41,L93-K93,0),0)</f>
        <v>0</v>
      </c>
      <c r="N93" s="186">
        <f>M93+H93+IF(A93='Param treso'!$H$32,G93,0)+IF(B93='Param treso'!$H$41,K93,0)</f>
        <v>0</v>
      </c>
      <c r="O93" s="186">
        <f ca="1">IF($AM$16="Oui",-IFERROR(VLOOKUP(E93,'Crédit (IS)'!$O$8:$P$145,2,FALSE),0),0)-(AN92*$T$14)</f>
        <v>0</v>
      </c>
      <c r="P93" s="186">
        <f ca="1">H93+M93+O93+IF(A93='Param treso'!$H$32,G93-F93,0)</f>
        <v>0</v>
      </c>
      <c r="Q93" s="1106">
        <f t="shared" ca="1" si="30"/>
        <v>0</v>
      </c>
      <c r="R93" s="1106"/>
      <c r="S93" s="1106"/>
      <c r="T93" s="186">
        <f t="shared" ca="1" si="31"/>
        <v>0</v>
      </c>
      <c r="U93" s="662">
        <f t="shared" ca="1" si="32"/>
        <v>0</v>
      </c>
      <c r="V93" s="662">
        <f ca="1">-IF('Param treso'!$H$20="Non",T93*Données!$L$24,IF(T93&lt;=Données!$L$26,T93*Données!$L$25,(Données!$L$26*Données!$L$25)+((T93-Données!$L$26)*Données!$L$24)))</f>
        <v>0</v>
      </c>
      <c r="W93" s="662">
        <f t="shared" ca="1" si="33"/>
        <v>0</v>
      </c>
      <c r="X93" s="186">
        <f ca="1">IF($AM$16="Oui",-IFERROR(VLOOKUP(E93,'Crédit (IS)'!$O$8:$Q$145,3,FALSE),0),0)</f>
        <v>0</v>
      </c>
      <c r="Y93" s="186">
        <f t="shared" ca="1" si="34"/>
        <v>0</v>
      </c>
      <c r="Z93" s="186">
        <f t="shared" ca="1" si="23"/>
        <v>0</v>
      </c>
      <c r="AA93" s="186">
        <f t="shared" ca="1" si="35"/>
        <v>0</v>
      </c>
      <c r="AB93" s="186">
        <f t="shared" ca="1" si="36"/>
        <v>0</v>
      </c>
      <c r="AC93" s="186">
        <f>IF(C93&lt;='Crédit (IR)'!$G$16/12,-(('Crédit (IR)'!$K$17)/(1-'Param treso'!$H$18)),0)</f>
        <v>0</v>
      </c>
      <c r="AD93" s="186">
        <f>IF($AM$14="Non",0,IF(C93&lt;='Crédit (IR)'!$G$16/12,-('Crédit (IR)'!$K$17),0))</f>
        <v>0</v>
      </c>
      <c r="AE93" s="186">
        <f ca="1">-IF(AND(E93&gt;=$AO$10,E93&lt;$AO$12),$AM$10/(1-'Param treso'!$H$18),IF(E93&gt;=$AO$12,$AM$12/(1-'Param treso'!$H$18),0))</f>
        <v>-207782.77014285719</v>
      </c>
      <c r="AF93" s="186">
        <f t="shared" ca="1" si="21"/>
        <v>-145447.93910000002</v>
      </c>
      <c r="AG93" s="186">
        <f>IF(C93=1,IF($K$12="Oui",-(Z93+AI93+AJ93),0),IF(AND($K$12="Oui",$K$16="Oui",A93='Param treso'!$H$32,B93='Param treso'!$H$41),-(Z93+AI93+AJ93+AH93),IF(AND($K$12="Oui",B93='Param treso'!$H$41),-(Z93+AI93+AJ93+AH93),IF(AND(A93='Param treso'!$H$32,$K$16="Oui"),-$F$19,IF($K$12="Oui",-(Z93+AI93+AJ93+AH93),0)))))</f>
        <v>0</v>
      </c>
      <c r="AH93" s="186">
        <f>IF(C93=1,0,IF(AND($K$16="Oui",B93='Param treso'!$H$41),-$K$19,0))</f>
        <v>0</v>
      </c>
      <c r="AI93" s="186">
        <f t="shared" si="22"/>
        <v>0</v>
      </c>
      <c r="AJ93" s="704">
        <f ca="1">IF(AI93=AF93+AD93,0,IF(AD93+AF93&lt;0,IF((Z93+AI93)&gt;=-(AC93+AE93),(AD93+AF93-AI93)/(1-'Param treso'!$H$18),-(Z93+AI93)),0))</f>
        <v>0</v>
      </c>
      <c r="AK93" s="1106">
        <f t="shared" ca="1" si="37"/>
        <v>0</v>
      </c>
      <c r="AL93" s="1106"/>
      <c r="AM93" s="1106"/>
      <c r="AN93" s="660">
        <f t="shared" ca="1" si="38"/>
        <v>0</v>
      </c>
      <c r="AO93" s="696">
        <f ca="1">-AJ93*(1-'Param treso'!$H$18)</f>
        <v>0</v>
      </c>
      <c r="AP93" s="709">
        <f t="shared" ca="1" si="24"/>
        <v>-145447.93910000002</v>
      </c>
    </row>
    <row r="94" spans="1:42">
      <c r="A94" s="708">
        <f>IF(C94&lt;='Param treso'!$H$32,C94,IF(A93&lt;'Param treso'!$H$32,A93+1,1))</f>
        <v>14</v>
      </c>
      <c r="B94" s="708">
        <f>IF(C94&lt;='Param treso'!$H$41,C94,IF(B93&lt;'Param treso'!$H$41,B93+1,1))</f>
        <v>4</v>
      </c>
      <c r="C94" s="639">
        <f t="shared" si="25"/>
        <v>74</v>
      </c>
      <c r="D94" s="639">
        <f t="shared" ca="1" si="26"/>
        <v>134</v>
      </c>
      <c r="E94" s="649">
        <f t="shared" ca="1" si="27"/>
        <v>2100</v>
      </c>
      <c r="F94" s="186">
        <f>IF(C94=1,$F$19,IF(AND(A94=1,$K$16="Oui"),-AG93,IF(AND(A94&lt;='Param treso'!$H$32,$K$12="Oui"),IF(A94=1,-AG93,-AG93+G93),IF(AND(A94&lt;='Param treso'!$H$32,C94&lt;='Param treso'!$H$32),G93,IF($K$16="Oui",G93,0)))))</f>
        <v>0</v>
      </c>
      <c r="G94" s="186">
        <f t="shared" si="28"/>
        <v>0</v>
      </c>
      <c r="H94" s="1106">
        <f>F94*'Param treso'!$H$30</f>
        <v>0</v>
      </c>
      <c r="I94" s="1106"/>
      <c r="J94" s="1107"/>
      <c r="K94" s="659">
        <f t="shared" si="29"/>
        <v>0</v>
      </c>
      <c r="L94" s="186">
        <f>IF(K94=0,0,IF(B94=1,K94*(1+'Param treso'!$H$39),PRODUCT(L93,(POWER('Param treso'!$H$39,1)))+L93))</f>
        <v>0</v>
      </c>
      <c r="M94" s="660">
        <f>IFERROR(IF(B94='Param treso'!$H$41,L94-K94,0),0)</f>
        <v>0</v>
      </c>
      <c r="N94" s="186">
        <f>M94+H94+IF(A94='Param treso'!$H$32,G94,0)+IF(B94='Param treso'!$H$41,K94,0)</f>
        <v>0</v>
      </c>
      <c r="O94" s="186">
        <f ca="1">IF($AM$16="Oui",-IFERROR(VLOOKUP(E94,'Crédit (IS)'!$O$8:$P$145,2,FALSE),0),0)-(AN93*$T$14)</f>
        <v>0</v>
      </c>
      <c r="P94" s="186">
        <f ca="1">H94+M94+O94+IF(A94='Param treso'!$H$32,G94-F94,0)</f>
        <v>0</v>
      </c>
      <c r="Q94" s="1106">
        <f t="shared" ca="1" si="30"/>
        <v>0</v>
      </c>
      <c r="R94" s="1106"/>
      <c r="S94" s="1106"/>
      <c r="T94" s="186">
        <f t="shared" ca="1" si="31"/>
        <v>0</v>
      </c>
      <c r="U94" s="662">
        <f t="shared" ca="1" si="32"/>
        <v>0</v>
      </c>
      <c r="V94" s="662">
        <f ca="1">-IF('Param treso'!$H$20="Non",T94*Données!$L$24,IF(T94&lt;=Données!$L$26,T94*Données!$L$25,(Données!$L$26*Données!$L$25)+((T94-Données!$L$26)*Données!$L$24)))</f>
        <v>0</v>
      </c>
      <c r="W94" s="662">
        <f t="shared" ca="1" si="33"/>
        <v>0</v>
      </c>
      <c r="X94" s="186">
        <f ca="1">IF($AM$16="Oui",-IFERROR(VLOOKUP(E94,'Crédit (IS)'!$O$8:$Q$145,3,FALSE),0),0)</f>
        <v>0</v>
      </c>
      <c r="Y94" s="186">
        <f t="shared" ca="1" si="34"/>
        <v>0</v>
      </c>
      <c r="Z94" s="186">
        <f t="shared" ca="1" si="23"/>
        <v>0</v>
      </c>
      <c r="AA94" s="186">
        <f t="shared" ca="1" si="35"/>
        <v>0</v>
      </c>
      <c r="AB94" s="186">
        <f t="shared" ca="1" si="36"/>
        <v>0</v>
      </c>
      <c r="AC94" s="186">
        <f>IF(C94&lt;='Crédit (IR)'!$G$16/12,-(('Crédit (IR)'!$K$17)/(1-'Param treso'!$H$18)),0)</f>
        <v>0</v>
      </c>
      <c r="AD94" s="186">
        <f>IF($AM$14="Non",0,IF(C94&lt;='Crédit (IR)'!$G$16/12,-('Crédit (IR)'!$K$17),0))</f>
        <v>0</v>
      </c>
      <c r="AE94" s="186">
        <f ca="1">-IF(AND(E94&gt;=$AO$10,E94&lt;$AO$12),$AM$10/(1-'Param treso'!$H$18),IF(E94&gt;=$AO$12,$AM$12/(1-'Param treso'!$H$18),0))</f>
        <v>-207782.77014285719</v>
      </c>
      <c r="AF94" s="186">
        <f t="shared" ca="1" si="21"/>
        <v>-145447.93910000002</v>
      </c>
      <c r="AG94" s="186">
        <f>IF(C94=1,IF($K$12="Oui",-(Z94+AI94+AJ94),0),IF(AND($K$12="Oui",$K$16="Oui",A94='Param treso'!$H$32,B94='Param treso'!$H$41),-(Z94+AI94+AJ94+AH94),IF(AND($K$12="Oui",B94='Param treso'!$H$41),-(Z94+AI94+AJ94+AH94),IF(AND(A94='Param treso'!$H$32,$K$16="Oui"),-$F$19,IF($K$12="Oui",-(Z94+AI94+AJ94+AH94),0)))))</f>
        <v>0</v>
      </c>
      <c r="AH94" s="186">
        <f>IF(C94=1,0,IF(AND($K$16="Oui",B94='Param treso'!$H$41),-$K$19,0))</f>
        <v>0</v>
      </c>
      <c r="AI94" s="186">
        <f t="shared" si="22"/>
        <v>0</v>
      </c>
      <c r="AJ94" s="704">
        <f ca="1">IF(AI94=AF94+AD94,0,IF(AD94+AF94&lt;0,IF((Z94+AI94)&gt;=-(AC94+AE94),(AD94+AF94-AI94)/(1-'Param treso'!$H$18),-(Z94+AI94)),0))</f>
        <v>0</v>
      </c>
      <c r="AK94" s="1106">
        <f t="shared" ca="1" si="37"/>
        <v>0</v>
      </c>
      <c r="AL94" s="1106"/>
      <c r="AM94" s="1106"/>
      <c r="AN94" s="660">
        <f t="shared" ca="1" si="38"/>
        <v>0</v>
      </c>
      <c r="AO94" s="696">
        <f ca="1">-AJ94*(1-'Param treso'!$H$18)</f>
        <v>0</v>
      </c>
      <c r="AP94" s="709">
        <f t="shared" ca="1" si="24"/>
        <v>-145447.93910000002</v>
      </c>
    </row>
    <row r="95" spans="1:42">
      <c r="A95" s="708">
        <f>IF(C95&lt;='Param treso'!$H$32,C95,IF(A94&lt;'Param treso'!$H$32,A94+1,1))</f>
        <v>15</v>
      </c>
      <c r="B95" s="708">
        <f>IF(C95&lt;='Param treso'!$H$41,C95,IF(B94&lt;'Param treso'!$H$41,B94+1,1))</f>
        <v>5</v>
      </c>
      <c r="C95" s="639">
        <f t="shared" si="25"/>
        <v>75</v>
      </c>
      <c r="D95" s="639">
        <f t="shared" ca="1" si="26"/>
        <v>135</v>
      </c>
      <c r="E95" s="649">
        <f t="shared" ca="1" si="27"/>
        <v>2101</v>
      </c>
      <c r="F95" s="186">
        <f>IF(C95=1,$F$19,IF(AND(A95=1,$K$16="Oui"),-AG94,IF(AND(A95&lt;='Param treso'!$H$32,$K$12="Oui"),IF(A95=1,-AG94,-AG94+G94),IF(AND(A95&lt;='Param treso'!$H$32,C95&lt;='Param treso'!$H$32),G94,IF($K$16="Oui",G94,0)))))</f>
        <v>0</v>
      </c>
      <c r="G95" s="186">
        <f t="shared" si="28"/>
        <v>0</v>
      </c>
      <c r="H95" s="1106">
        <f>F95*'Param treso'!$H$30</f>
        <v>0</v>
      </c>
      <c r="I95" s="1106"/>
      <c r="J95" s="1107"/>
      <c r="K95" s="659">
        <f t="shared" si="29"/>
        <v>0</v>
      </c>
      <c r="L95" s="186">
        <f>IF(K95=0,0,IF(B95=1,K95*(1+'Param treso'!$H$39),PRODUCT(L94,(POWER('Param treso'!$H$39,1)))+L94))</f>
        <v>0</v>
      </c>
      <c r="M95" s="660">
        <f>IFERROR(IF(B95='Param treso'!$H$41,L95-K95,0),0)</f>
        <v>0</v>
      </c>
      <c r="N95" s="186">
        <f>M95+H95+IF(A95='Param treso'!$H$32,G95,0)+IF(B95='Param treso'!$H$41,K95,0)</f>
        <v>0</v>
      </c>
      <c r="O95" s="186">
        <f ca="1">IF($AM$16="Oui",-IFERROR(VLOOKUP(E95,'Crédit (IS)'!$O$8:$P$145,2,FALSE),0),0)-(AN94*$T$14)</f>
        <v>0</v>
      </c>
      <c r="P95" s="186">
        <f ca="1">H95+M95+O95+IF(A95='Param treso'!$H$32,G95-F95,0)</f>
        <v>0</v>
      </c>
      <c r="Q95" s="1106">
        <f t="shared" ca="1" si="30"/>
        <v>0</v>
      </c>
      <c r="R95" s="1106"/>
      <c r="S95" s="1106"/>
      <c r="T95" s="186">
        <f t="shared" ca="1" si="31"/>
        <v>0</v>
      </c>
      <c r="U95" s="662">
        <f t="shared" ca="1" si="32"/>
        <v>0</v>
      </c>
      <c r="V95" s="662">
        <f ca="1">-IF('Param treso'!$H$20="Non",T95*Données!$L$24,IF(T95&lt;=Données!$L$26,T95*Données!$L$25,(Données!$L$26*Données!$L$25)+((T95-Données!$L$26)*Données!$L$24)))</f>
        <v>0</v>
      </c>
      <c r="W95" s="662">
        <f t="shared" ca="1" si="33"/>
        <v>0</v>
      </c>
      <c r="X95" s="186">
        <f ca="1">IF($AM$16="Oui",-IFERROR(VLOOKUP(E95,'Crédit (IS)'!$O$8:$Q$145,3,FALSE),0),0)</f>
        <v>0</v>
      </c>
      <c r="Y95" s="186">
        <f t="shared" ca="1" si="34"/>
        <v>0</v>
      </c>
      <c r="Z95" s="186">
        <f t="shared" ca="1" si="23"/>
        <v>0</v>
      </c>
      <c r="AA95" s="186">
        <f t="shared" ca="1" si="35"/>
        <v>0</v>
      </c>
      <c r="AB95" s="186">
        <f t="shared" ca="1" si="36"/>
        <v>0</v>
      </c>
      <c r="AC95" s="186">
        <f>IF(C95&lt;='Crédit (IR)'!$G$16/12,-(('Crédit (IR)'!$K$17)/(1-'Param treso'!$H$18)),0)</f>
        <v>0</v>
      </c>
      <c r="AD95" s="186">
        <f>IF($AM$14="Non",0,IF(C95&lt;='Crédit (IR)'!$G$16/12,-('Crédit (IR)'!$K$17),0))</f>
        <v>0</v>
      </c>
      <c r="AE95" s="186">
        <f ca="1">-IF(AND(E95&gt;=$AO$10,E95&lt;$AO$12),$AM$10/(1-'Param treso'!$H$18),IF(E95&gt;=$AO$12,$AM$12/(1-'Param treso'!$H$18),0))</f>
        <v>-207782.77014285719</v>
      </c>
      <c r="AF95" s="186">
        <f t="shared" ca="1" si="21"/>
        <v>-145447.93910000002</v>
      </c>
      <c r="AG95" s="186">
        <f>IF(C95=1,IF($K$12="Oui",-(Z95+AI95+AJ95),0),IF(AND($K$12="Oui",$K$16="Oui",A95='Param treso'!$H$32,B95='Param treso'!$H$41),-(Z95+AI95+AJ95+AH95),IF(AND($K$12="Oui",B95='Param treso'!$H$41),-(Z95+AI95+AJ95+AH95),IF(AND(A95='Param treso'!$H$32,$K$16="Oui"),-$F$19,IF($K$12="Oui",-(Z95+AI95+AJ95+AH95),0)))))</f>
        <v>0</v>
      </c>
      <c r="AH95" s="186">
        <f>IF(C95=1,0,IF(AND($K$16="Oui",B95='Param treso'!$H$41),-$K$19,0))</f>
        <v>0</v>
      </c>
      <c r="AI95" s="186">
        <f t="shared" si="22"/>
        <v>0</v>
      </c>
      <c r="AJ95" s="704">
        <f ca="1">IF(AI95=AF95+AD95,0,IF(AD95+AF95&lt;0,IF((Z95+AI95)&gt;=-(AC95+AE95),(AD95+AF95-AI95)/(1-'Param treso'!$H$18),-(Z95+AI95)),0))</f>
        <v>0</v>
      </c>
      <c r="AK95" s="1106">
        <f t="shared" ca="1" si="37"/>
        <v>0</v>
      </c>
      <c r="AL95" s="1106"/>
      <c r="AM95" s="1106"/>
      <c r="AN95" s="660">
        <f t="shared" ca="1" si="38"/>
        <v>0</v>
      </c>
      <c r="AO95" s="696">
        <f ca="1">-AJ95*(1-'Param treso'!$H$18)</f>
        <v>0</v>
      </c>
      <c r="AP95" s="709">
        <f t="shared" ca="1" si="24"/>
        <v>-145447.93910000002</v>
      </c>
    </row>
    <row r="96" spans="1:42">
      <c r="A96" s="708">
        <f>IF(C96&lt;='Param treso'!$H$32,C96,IF(A95&lt;'Param treso'!$H$32,A95+1,1))</f>
        <v>16</v>
      </c>
      <c r="B96" s="708">
        <f>IF(C96&lt;='Param treso'!$H$41,C96,IF(B95&lt;'Param treso'!$H$41,B95+1,1))</f>
        <v>1</v>
      </c>
      <c r="C96" s="639">
        <f t="shared" si="25"/>
        <v>76</v>
      </c>
      <c r="D96" s="639">
        <f t="shared" ca="1" si="26"/>
        <v>136</v>
      </c>
      <c r="E96" s="649">
        <f t="shared" ca="1" si="27"/>
        <v>2102</v>
      </c>
      <c r="F96" s="186">
        <f>IF(C96=1,$F$19,IF(AND(A96=1,$K$16="Oui"),-AG95,IF(AND(A96&lt;='Param treso'!$H$32,$K$12="Oui"),IF(A96=1,-AG95,-AG95+G95),IF(AND(A96&lt;='Param treso'!$H$32,C96&lt;='Param treso'!$H$32),G95,IF($K$16="Oui",G95,0)))))</f>
        <v>0</v>
      </c>
      <c r="G96" s="186">
        <f t="shared" si="28"/>
        <v>0</v>
      </c>
      <c r="H96" s="1106">
        <f>F96*'Param treso'!$H$30</f>
        <v>0</v>
      </c>
      <c r="I96" s="1106"/>
      <c r="J96" s="1107"/>
      <c r="K96" s="659">
        <f t="shared" si="29"/>
        <v>0</v>
      </c>
      <c r="L96" s="186">
        <f>IF(K96=0,0,IF(B96=1,K96*(1+'Param treso'!$H$39),PRODUCT(L95,(POWER('Param treso'!$H$39,1)))+L95))</f>
        <v>0</v>
      </c>
      <c r="M96" s="660">
        <f>IFERROR(IF(B96='Param treso'!$H$41,L96-K96,0),0)</f>
        <v>0</v>
      </c>
      <c r="N96" s="186">
        <f>M96+H96+IF(A96='Param treso'!$H$32,G96,0)+IF(B96='Param treso'!$H$41,K96,0)</f>
        <v>0</v>
      </c>
      <c r="O96" s="186">
        <f ca="1">IF($AM$16="Oui",-IFERROR(VLOOKUP(E96,'Crédit (IS)'!$O$8:$P$145,2,FALSE),0),0)-(AN95*$T$14)</f>
        <v>0</v>
      </c>
      <c r="P96" s="186">
        <f ca="1">H96+M96+O96+IF(A96='Param treso'!$H$32,G96-F96,0)</f>
        <v>0</v>
      </c>
      <c r="Q96" s="1106">
        <f t="shared" ca="1" si="30"/>
        <v>0</v>
      </c>
      <c r="R96" s="1106"/>
      <c r="S96" s="1106"/>
      <c r="T96" s="186">
        <f t="shared" ca="1" si="31"/>
        <v>0</v>
      </c>
      <c r="U96" s="662">
        <f t="shared" ca="1" si="32"/>
        <v>0</v>
      </c>
      <c r="V96" s="662">
        <f ca="1">-IF('Param treso'!$H$20="Non",T96*Données!$L$24,IF(T96&lt;=Données!$L$26,T96*Données!$L$25,(Données!$L$26*Données!$L$25)+((T96-Données!$L$26)*Données!$L$24)))</f>
        <v>0</v>
      </c>
      <c r="W96" s="662">
        <f t="shared" ca="1" si="33"/>
        <v>0</v>
      </c>
      <c r="X96" s="186">
        <f ca="1">IF($AM$16="Oui",-IFERROR(VLOOKUP(E96,'Crédit (IS)'!$O$8:$Q$145,3,FALSE),0),0)</f>
        <v>0</v>
      </c>
      <c r="Y96" s="186">
        <f t="shared" ca="1" si="34"/>
        <v>0</v>
      </c>
      <c r="Z96" s="186">
        <f t="shared" ca="1" si="23"/>
        <v>0</v>
      </c>
      <c r="AA96" s="186">
        <f t="shared" ca="1" si="35"/>
        <v>0</v>
      </c>
      <c r="AB96" s="186">
        <f t="shared" ca="1" si="36"/>
        <v>0</v>
      </c>
      <c r="AC96" s="186">
        <f>IF(C96&lt;='Crédit (IR)'!$G$16/12,-(('Crédit (IR)'!$K$17)/(1-'Param treso'!$H$18)),0)</f>
        <v>0</v>
      </c>
      <c r="AD96" s="186">
        <f>IF($AM$14="Non",0,IF(C96&lt;='Crédit (IR)'!$G$16/12,-('Crédit (IR)'!$K$17),0))</f>
        <v>0</v>
      </c>
      <c r="AE96" s="186">
        <f ca="1">-IF(AND(E96&gt;=$AO$10,E96&lt;$AO$12),$AM$10/(1-'Param treso'!$H$18),IF(E96&gt;=$AO$12,$AM$12/(1-'Param treso'!$H$18),0))</f>
        <v>-207782.77014285719</v>
      </c>
      <c r="AF96" s="186">
        <f t="shared" ca="1" si="21"/>
        <v>-145447.93910000002</v>
      </c>
      <c r="AG96" s="186">
        <f>IF(C96=1,IF($K$12="Oui",-(Z96+AI96+AJ96),0),IF(AND($K$12="Oui",$K$16="Oui",A96='Param treso'!$H$32,B96='Param treso'!$H$41),-(Z96+AI96+AJ96+AH96),IF(AND($K$12="Oui",B96='Param treso'!$H$41),-(Z96+AI96+AJ96+AH96),IF(AND(A96='Param treso'!$H$32,$K$16="Oui"),-$F$19,IF($K$12="Oui",-(Z96+AI96+AJ96+AH96),0)))))</f>
        <v>0</v>
      </c>
      <c r="AH96" s="186">
        <f>IF(C96=1,0,IF(AND($K$16="Oui",B96='Param treso'!$H$41),-$K$19,0))</f>
        <v>0</v>
      </c>
      <c r="AI96" s="186">
        <f t="shared" si="22"/>
        <v>0</v>
      </c>
      <c r="AJ96" s="704">
        <f ca="1">IF(AI96=AF96+AD96,0,IF(AD96+AF96&lt;0,IF((Z96+AI96)&gt;=-(AC96+AE96),(AD96+AF96-AI96)/(1-'Param treso'!$H$18),-(Z96+AI96)),0))</f>
        <v>0</v>
      </c>
      <c r="AK96" s="1106">
        <f t="shared" ca="1" si="37"/>
        <v>0</v>
      </c>
      <c r="AL96" s="1106"/>
      <c r="AM96" s="1106"/>
      <c r="AN96" s="660">
        <f t="shared" ca="1" si="38"/>
        <v>0</v>
      </c>
      <c r="AO96" s="696">
        <f ca="1">-AJ96*(1-'Param treso'!$H$18)</f>
        <v>0</v>
      </c>
      <c r="AP96" s="709">
        <f t="shared" ca="1" si="24"/>
        <v>-145447.93910000002</v>
      </c>
    </row>
    <row r="97" spans="1:42">
      <c r="A97" s="708">
        <f>IF(C97&lt;='Param treso'!$H$32,C97,IF(A96&lt;'Param treso'!$H$32,A96+1,1))</f>
        <v>17</v>
      </c>
      <c r="B97" s="708">
        <f>IF(C97&lt;='Param treso'!$H$41,C97,IF(B96&lt;'Param treso'!$H$41,B96+1,1))</f>
        <v>2</v>
      </c>
      <c r="C97" s="639">
        <f t="shared" si="25"/>
        <v>77</v>
      </c>
      <c r="D97" s="639">
        <f t="shared" ca="1" si="26"/>
        <v>137</v>
      </c>
      <c r="E97" s="649">
        <f t="shared" ca="1" si="27"/>
        <v>2103</v>
      </c>
      <c r="F97" s="186">
        <f>IF(C97=1,$F$19,IF(AND(A97=1,$K$16="Oui"),-AG96,IF(AND(A97&lt;='Param treso'!$H$32,$K$12="Oui"),IF(A97=1,-AG96,-AG96+G96),IF(AND(A97&lt;='Param treso'!$H$32,C97&lt;='Param treso'!$H$32),G96,IF($K$16="Oui",G96,0)))))</f>
        <v>0</v>
      </c>
      <c r="G97" s="186">
        <f t="shared" si="28"/>
        <v>0</v>
      </c>
      <c r="H97" s="1106">
        <f>F97*'Param treso'!$H$30</f>
        <v>0</v>
      </c>
      <c r="I97" s="1106"/>
      <c r="J97" s="1107"/>
      <c r="K97" s="659">
        <f t="shared" si="29"/>
        <v>0</v>
      </c>
      <c r="L97" s="186">
        <f>IF(K97=0,0,IF(B97=1,K97*(1+'Param treso'!$H$39),PRODUCT(L96,(POWER('Param treso'!$H$39,1)))+L96))</f>
        <v>0</v>
      </c>
      <c r="M97" s="660">
        <f>IFERROR(IF(B97='Param treso'!$H$41,L97-K97,0),0)</f>
        <v>0</v>
      </c>
      <c r="N97" s="186">
        <f>M97+H97+IF(A97='Param treso'!$H$32,G97,0)+IF(B97='Param treso'!$H$41,K97,0)</f>
        <v>0</v>
      </c>
      <c r="O97" s="186">
        <f ca="1">IF($AM$16="Oui",-IFERROR(VLOOKUP(E97,'Crédit (IS)'!$O$8:$P$145,2,FALSE),0),0)-(AN96*$T$14)</f>
        <v>0</v>
      </c>
      <c r="P97" s="186">
        <f ca="1">H97+M97+O97+IF(A97='Param treso'!$H$32,G97-F97,0)</f>
        <v>0</v>
      </c>
      <c r="Q97" s="1106">
        <f t="shared" ca="1" si="30"/>
        <v>0</v>
      </c>
      <c r="R97" s="1106"/>
      <c r="S97" s="1106"/>
      <c r="T97" s="186">
        <f t="shared" ca="1" si="31"/>
        <v>0</v>
      </c>
      <c r="U97" s="662">
        <f t="shared" ca="1" si="32"/>
        <v>0</v>
      </c>
      <c r="V97" s="662">
        <f ca="1">-IF('Param treso'!$H$20="Non",T97*Données!$L$24,IF(T97&lt;=Données!$L$26,T97*Données!$L$25,(Données!$L$26*Données!$L$25)+((T97-Données!$L$26)*Données!$L$24)))</f>
        <v>0</v>
      </c>
      <c r="W97" s="662">
        <f t="shared" ca="1" si="33"/>
        <v>0</v>
      </c>
      <c r="X97" s="186">
        <f ca="1">IF($AM$16="Oui",-IFERROR(VLOOKUP(E97,'Crédit (IS)'!$O$8:$Q$145,3,FALSE),0),0)</f>
        <v>0</v>
      </c>
      <c r="Y97" s="186">
        <f t="shared" ca="1" si="34"/>
        <v>0</v>
      </c>
      <c r="Z97" s="186">
        <f t="shared" ca="1" si="23"/>
        <v>0</v>
      </c>
      <c r="AA97" s="186">
        <f t="shared" ca="1" si="35"/>
        <v>0</v>
      </c>
      <c r="AB97" s="186">
        <f t="shared" ca="1" si="36"/>
        <v>0</v>
      </c>
      <c r="AC97" s="186">
        <f>IF(C97&lt;='Crédit (IR)'!$G$16/12,-(('Crédit (IR)'!$K$17)/(1-'Param treso'!$H$18)),0)</f>
        <v>0</v>
      </c>
      <c r="AD97" s="186">
        <f>IF($AM$14="Non",0,IF(C97&lt;='Crédit (IR)'!$G$16/12,-('Crédit (IR)'!$K$17),0))</f>
        <v>0</v>
      </c>
      <c r="AE97" s="186">
        <f ca="1">-IF(AND(E97&gt;=$AO$10,E97&lt;$AO$12),$AM$10/(1-'Param treso'!$H$18),IF(E97&gt;=$AO$12,$AM$12/(1-'Param treso'!$H$18),0))</f>
        <v>-207782.77014285719</v>
      </c>
      <c r="AF97" s="186">
        <f t="shared" ca="1" si="21"/>
        <v>-145447.93910000002</v>
      </c>
      <c r="AG97" s="186">
        <f>IF(C97=1,IF($K$12="Oui",-(Z97+AI97+AJ97),0),IF(AND($K$12="Oui",$K$16="Oui",A97='Param treso'!$H$32,B97='Param treso'!$H$41),-(Z97+AI97+AJ97+AH97),IF(AND($K$12="Oui",B97='Param treso'!$H$41),-(Z97+AI97+AJ97+AH97),IF(AND(A97='Param treso'!$H$32,$K$16="Oui"),-$F$19,IF($K$12="Oui",-(Z97+AI97+AJ97+AH97),0)))))</f>
        <v>0</v>
      </c>
      <c r="AH97" s="186">
        <f>IF(C97=1,0,IF(AND($K$16="Oui",B97='Param treso'!$H$41),-$K$19,0))</f>
        <v>0</v>
      </c>
      <c r="AI97" s="186">
        <f t="shared" si="22"/>
        <v>0</v>
      </c>
      <c r="AJ97" s="704">
        <f ca="1">IF(AI97=AF97+AD97,0,IF(AD97+AF97&lt;0,IF((Z97+AI97)&gt;=-(AC97+AE97),(AD97+AF97-AI97)/(1-'Param treso'!$H$18),-(Z97+AI97)),0))</f>
        <v>0</v>
      </c>
      <c r="AK97" s="1106">
        <f t="shared" ca="1" si="37"/>
        <v>0</v>
      </c>
      <c r="AL97" s="1106"/>
      <c r="AM97" s="1106"/>
      <c r="AN97" s="660">
        <f t="shared" ca="1" si="38"/>
        <v>0</v>
      </c>
      <c r="AO97" s="696">
        <f ca="1">-AJ97*(1-'Param treso'!$H$18)</f>
        <v>0</v>
      </c>
      <c r="AP97" s="709">
        <f t="shared" ca="1" si="24"/>
        <v>-145447.93910000002</v>
      </c>
    </row>
    <row r="98" spans="1:42">
      <c r="A98" s="708">
        <f>IF(C98&lt;='Param treso'!$H$32,C98,IF(A97&lt;'Param treso'!$H$32,A97+1,1))</f>
        <v>18</v>
      </c>
      <c r="B98" s="708">
        <f>IF(C98&lt;='Param treso'!$H$41,C98,IF(B97&lt;'Param treso'!$H$41,B97+1,1))</f>
        <v>3</v>
      </c>
      <c r="C98" s="639">
        <f t="shared" si="25"/>
        <v>78</v>
      </c>
      <c r="D98" s="639">
        <f t="shared" ca="1" si="26"/>
        <v>138</v>
      </c>
      <c r="E98" s="649">
        <f t="shared" ca="1" si="27"/>
        <v>2104</v>
      </c>
      <c r="F98" s="186">
        <f>IF(C98=1,$F$19,IF(AND(A98=1,$K$16="Oui"),-AG97,IF(AND(A98&lt;='Param treso'!$H$32,$K$12="Oui"),IF(A98=1,-AG97,-AG97+G97),IF(AND(A98&lt;='Param treso'!$H$32,C98&lt;='Param treso'!$H$32),G97,IF($K$16="Oui",G97,0)))))</f>
        <v>0</v>
      </c>
      <c r="G98" s="186">
        <f t="shared" si="28"/>
        <v>0</v>
      </c>
      <c r="H98" s="1106">
        <f>F98*'Param treso'!$H$30</f>
        <v>0</v>
      </c>
      <c r="I98" s="1106"/>
      <c r="J98" s="1107"/>
      <c r="K98" s="659">
        <f t="shared" si="29"/>
        <v>0</v>
      </c>
      <c r="L98" s="186">
        <f>IF(K98=0,0,IF(B98=1,K98*(1+'Param treso'!$H$39),PRODUCT(L97,(POWER('Param treso'!$H$39,1)))+L97))</f>
        <v>0</v>
      </c>
      <c r="M98" s="660">
        <f>IFERROR(IF(B98='Param treso'!$H$41,L98-K98,0),0)</f>
        <v>0</v>
      </c>
      <c r="N98" s="186">
        <f>M98+H98+IF(A98='Param treso'!$H$32,G98,0)+IF(B98='Param treso'!$H$41,K98,0)</f>
        <v>0</v>
      </c>
      <c r="O98" s="186">
        <f ca="1">IF($AM$16="Oui",-IFERROR(VLOOKUP(E98,'Crédit (IS)'!$O$8:$P$145,2,FALSE),0),0)-(AN97*$T$14)</f>
        <v>0</v>
      </c>
      <c r="P98" s="186">
        <f ca="1">H98+M98+O98+IF(A98='Param treso'!$H$32,G98-F98,0)</f>
        <v>0</v>
      </c>
      <c r="Q98" s="1106">
        <f t="shared" ca="1" si="30"/>
        <v>0</v>
      </c>
      <c r="R98" s="1106"/>
      <c r="S98" s="1106"/>
      <c r="T98" s="186">
        <f t="shared" ca="1" si="31"/>
        <v>0</v>
      </c>
      <c r="U98" s="662">
        <f t="shared" ca="1" si="32"/>
        <v>0</v>
      </c>
      <c r="V98" s="662">
        <f ca="1">-IF('Param treso'!$H$20="Non",T98*Données!$L$24,IF(T98&lt;=Données!$L$26,T98*Données!$L$25,(Données!$L$26*Données!$L$25)+((T98-Données!$L$26)*Données!$L$24)))</f>
        <v>0</v>
      </c>
      <c r="W98" s="662">
        <f t="shared" ca="1" si="33"/>
        <v>0</v>
      </c>
      <c r="X98" s="186">
        <f ca="1">IF($AM$16="Oui",-IFERROR(VLOOKUP(E98,'Crédit (IS)'!$O$8:$Q$145,3,FALSE),0),0)</f>
        <v>0</v>
      </c>
      <c r="Y98" s="186">
        <f t="shared" ca="1" si="34"/>
        <v>0</v>
      </c>
      <c r="Z98" s="186">
        <f t="shared" ca="1" si="23"/>
        <v>0</v>
      </c>
      <c r="AA98" s="186">
        <f t="shared" ca="1" si="35"/>
        <v>0</v>
      </c>
      <c r="AB98" s="186">
        <f t="shared" ca="1" si="36"/>
        <v>0</v>
      </c>
      <c r="AC98" s="186">
        <f>IF(C98&lt;='Crédit (IR)'!$G$16/12,-(('Crédit (IR)'!$K$17)/(1-'Param treso'!$H$18)),0)</f>
        <v>0</v>
      </c>
      <c r="AD98" s="186">
        <f>IF($AM$14="Non",0,IF(C98&lt;='Crédit (IR)'!$G$16/12,-('Crédit (IR)'!$K$17),0))</f>
        <v>0</v>
      </c>
      <c r="AE98" s="186">
        <f ca="1">-IF(AND(E98&gt;=$AO$10,E98&lt;$AO$12),$AM$10/(1-'Param treso'!$H$18),IF(E98&gt;=$AO$12,$AM$12/(1-'Param treso'!$H$18),0))</f>
        <v>-207782.77014285719</v>
      </c>
      <c r="AF98" s="186">
        <f t="shared" ca="1" si="21"/>
        <v>-145447.93910000002</v>
      </c>
      <c r="AG98" s="186">
        <f>IF(C98=1,IF($K$12="Oui",-(Z98+AI98+AJ98),0),IF(AND($K$12="Oui",$K$16="Oui",A98='Param treso'!$H$32,B98='Param treso'!$H$41),-(Z98+AI98+AJ98+AH98),IF(AND($K$12="Oui",B98='Param treso'!$H$41),-(Z98+AI98+AJ98+AH98),IF(AND(A98='Param treso'!$H$32,$K$16="Oui"),-$F$19,IF($K$12="Oui",-(Z98+AI98+AJ98+AH98),0)))))</f>
        <v>0</v>
      </c>
      <c r="AH98" s="186">
        <f>IF(C98=1,0,IF(AND($K$16="Oui",B98='Param treso'!$H$41),-$K$19,0))</f>
        <v>0</v>
      </c>
      <c r="AI98" s="186">
        <f t="shared" si="22"/>
        <v>0</v>
      </c>
      <c r="AJ98" s="704">
        <f ca="1">IF(AI98=AF98+AD98,0,IF(AD98+AF98&lt;0,IF((Z98+AI98)&gt;=-(AC98+AE98),(AD98+AF98-AI98)/(1-'Param treso'!$H$18),-(Z98+AI98)),0))</f>
        <v>0</v>
      </c>
      <c r="AK98" s="1106">
        <f t="shared" ca="1" si="37"/>
        <v>0</v>
      </c>
      <c r="AL98" s="1106"/>
      <c r="AM98" s="1106"/>
      <c r="AN98" s="660">
        <f t="shared" ca="1" si="38"/>
        <v>0</v>
      </c>
      <c r="AO98" s="696">
        <f ca="1">-AJ98*(1-'Param treso'!$H$18)</f>
        <v>0</v>
      </c>
      <c r="AP98" s="709">
        <f t="shared" ca="1" si="24"/>
        <v>-145447.93910000002</v>
      </c>
    </row>
    <row r="99" spans="1:42">
      <c r="A99" s="708">
        <f>IF(C99&lt;='Param treso'!$H$32,C99,IF(A98&lt;'Param treso'!$H$32,A98+1,1))</f>
        <v>19</v>
      </c>
      <c r="B99" s="708">
        <f>IF(C99&lt;='Param treso'!$H$41,C99,IF(B98&lt;'Param treso'!$H$41,B98+1,1))</f>
        <v>4</v>
      </c>
      <c r="C99" s="639">
        <f t="shared" si="25"/>
        <v>79</v>
      </c>
      <c r="D99" s="639">
        <f t="shared" ca="1" si="26"/>
        <v>139</v>
      </c>
      <c r="E99" s="649">
        <f t="shared" ca="1" si="27"/>
        <v>2105</v>
      </c>
      <c r="F99" s="186">
        <f>IF(C99=1,$F$19,IF(AND(A99=1,$K$16="Oui"),-AG98,IF(AND(A99&lt;='Param treso'!$H$32,$K$12="Oui"),IF(A99=1,-AG98,-AG98+G98),IF(AND(A99&lt;='Param treso'!$H$32,C99&lt;='Param treso'!$H$32),G98,IF($K$16="Oui",G98,0)))))</f>
        <v>0</v>
      </c>
      <c r="G99" s="186">
        <f t="shared" si="28"/>
        <v>0</v>
      </c>
      <c r="H99" s="1106">
        <f>F99*'Param treso'!$H$30</f>
        <v>0</v>
      </c>
      <c r="I99" s="1106"/>
      <c r="J99" s="1107"/>
      <c r="K99" s="659">
        <f t="shared" si="29"/>
        <v>0</v>
      </c>
      <c r="L99" s="186">
        <f>IF(K99=0,0,IF(B99=1,K99*(1+'Param treso'!$H$39),PRODUCT(L98,(POWER('Param treso'!$H$39,1)))+L98))</f>
        <v>0</v>
      </c>
      <c r="M99" s="660">
        <f>IFERROR(IF(B99='Param treso'!$H$41,L99-K99,0),0)</f>
        <v>0</v>
      </c>
      <c r="N99" s="186">
        <f>M99+H99+IF(A99='Param treso'!$H$32,G99,0)+IF(B99='Param treso'!$H$41,K99,0)</f>
        <v>0</v>
      </c>
      <c r="O99" s="186">
        <f ca="1">IF($AM$16="Oui",-IFERROR(VLOOKUP(E99,'Crédit (IS)'!$O$8:$P$145,2,FALSE),0),0)-(AN98*$T$14)</f>
        <v>0</v>
      </c>
      <c r="P99" s="186">
        <f ca="1">H99+M99+O99+IF(A99='Param treso'!$H$32,G99-F99,0)</f>
        <v>0</v>
      </c>
      <c r="Q99" s="1106">
        <f t="shared" ca="1" si="30"/>
        <v>0</v>
      </c>
      <c r="R99" s="1106"/>
      <c r="S99" s="1106"/>
      <c r="T99" s="186">
        <f t="shared" ca="1" si="31"/>
        <v>0</v>
      </c>
      <c r="U99" s="662">
        <f t="shared" ca="1" si="32"/>
        <v>0</v>
      </c>
      <c r="V99" s="662">
        <f ca="1">-IF('Param treso'!$H$20="Non",T99*Données!$L$24,IF(T99&lt;=Données!$L$26,T99*Données!$L$25,(Données!$L$26*Données!$L$25)+((T99-Données!$L$26)*Données!$L$24)))</f>
        <v>0</v>
      </c>
      <c r="W99" s="662">
        <f t="shared" ca="1" si="33"/>
        <v>0</v>
      </c>
      <c r="X99" s="186">
        <f ca="1">IF($AM$16="Oui",-IFERROR(VLOOKUP(E99,'Crédit (IS)'!$O$8:$Q$145,3,FALSE),0),0)</f>
        <v>0</v>
      </c>
      <c r="Y99" s="186">
        <f t="shared" ca="1" si="34"/>
        <v>0</v>
      </c>
      <c r="Z99" s="186">
        <f t="shared" ca="1" si="23"/>
        <v>0</v>
      </c>
      <c r="AA99" s="186">
        <f t="shared" ca="1" si="35"/>
        <v>0</v>
      </c>
      <c r="AB99" s="186">
        <f t="shared" ca="1" si="36"/>
        <v>0</v>
      </c>
      <c r="AC99" s="186">
        <f>IF(C99&lt;='Crédit (IR)'!$G$16/12,-(('Crédit (IR)'!$K$17)/(1-'Param treso'!$H$18)),0)</f>
        <v>0</v>
      </c>
      <c r="AD99" s="186">
        <f>IF($AM$14="Non",0,IF(C99&lt;='Crédit (IR)'!$G$16/12,-('Crédit (IR)'!$K$17),0))</f>
        <v>0</v>
      </c>
      <c r="AE99" s="186">
        <f ca="1">-IF(AND(E99&gt;=$AO$10,E99&lt;$AO$12),$AM$10/(1-'Param treso'!$H$18),IF(E99&gt;=$AO$12,$AM$12/(1-'Param treso'!$H$18),0))</f>
        <v>-207782.77014285719</v>
      </c>
      <c r="AF99" s="186">
        <f t="shared" ca="1" si="21"/>
        <v>-145447.93910000002</v>
      </c>
      <c r="AG99" s="186">
        <f>IF(C99=1,IF($K$12="Oui",-(Z99+AI99+AJ99),0),IF(AND($K$12="Oui",$K$16="Oui",A99='Param treso'!$H$32,B99='Param treso'!$H$41),-(Z99+AI99+AJ99+AH99),IF(AND($K$12="Oui",B99='Param treso'!$H$41),-(Z99+AI99+AJ99+AH99),IF(AND(A99='Param treso'!$H$32,$K$16="Oui"),-$F$19,IF($K$12="Oui",-(Z99+AI99+AJ99+AH99),0)))))</f>
        <v>0</v>
      </c>
      <c r="AH99" s="186">
        <f>IF(C99=1,0,IF(AND($K$16="Oui",B99='Param treso'!$H$41),-$K$19,0))</f>
        <v>0</v>
      </c>
      <c r="AI99" s="186">
        <f t="shared" si="22"/>
        <v>0</v>
      </c>
      <c r="AJ99" s="704">
        <f ca="1">IF(AI99=AF99+AD99,0,IF(AD99+AF99&lt;0,IF((Z99+AI99)&gt;=-(AC99+AE99),(AD99+AF99-AI99)/(1-'Param treso'!$H$18),-(Z99+AI99)),0))</f>
        <v>0</v>
      </c>
      <c r="AK99" s="1106">
        <f t="shared" ca="1" si="37"/>
        <v>0</v>
      </c>
      <c r="AL99" s="1106"/>
      <c r="AM99" s="1106"/>
      <c r="AN99" s="660">
        <f t="shared" ca="1" si="38"/>
        <v>0</v>
      </c>
      <c r="AO99" s="696">
        <f ca="1">-AJ99*(1-'Param treso'!$H$18)</f>
        <v>0</v>
      </c>
      <c r="AP99" s="709">
        <f t="shared" ca="1" si="24"/>
        <v>-145447.93910000002</v>
      </c>
    </row>
    <row r="100" spans="1:42">
      <c r="A100" s="708">
        <f>IF(C100&lt;='Param treso'!$H$32,C100,IF(A99&lt;'Param treso'!$H$32,A99+1,1))</f>
        <v>20</v>
      </c>
      <c r="B100" s="708">
        <f>IF(C100&lt;='Param treso'!$H$41,C100,IF(B99&lt;'Param treso'!$H$41,B99+1,1))</f>
        <v>5</v>
      </c>
      <c r="C100" s="639">
        <f t="shared" si="25"/>
        <v>80</v>
      </c>
      <c r="D100" s="639">
        <f t="shared" ca="1" si="26"/>
        <v>140</v>
      </c>
      <c r="E100" s="649">
        <f t="shared" ca="1" si="27"/>
        <v>2106</v>
      </c>
      <c r="F100" s="186">
        <f>IF(C100=1,$F$19,IF(AND(A100=1,$K$16="Oui"),-AG99,IF(AND(A100&lt;='Param treso'!$H$32,$K$12="Oui"),IF(A100=1,-AG99,-AG99+G99),IF(AND(A100&lt;='Param treso'!$H$32,C100&lt;='Param treso'!$H$32),G99,IF($K$16="Oui",G99,0)))))</f>
        <v>0</v>
      </c>
      <c r="G100" s="186">
        <f t="shared" si="28"/>
        <v>0</v>
      </c>
      <c r="H100" s="1106">
        <f>F100*'Param treso'!$H$30</f>
        <v>0</v>
      </c>
      <c r="I100" s="1106"/>
      <c r="J100" s="1107"/>
      <c r="K100" s="659">
        <f t="shared" si="29"/>
        <v>0</v>
      </c>
      <c r="L100" s="186">
        <f>IF(K100=0,0,IF(B100=1,K100*(1+'Param treso'!$H$39),PRODUCT(L99,(POWER('Param treso'!$H$39,1)))+L99))</f>
        <v>0</v>
      </c>
      <c r="M100" s="660">
        <f>IFERROR(IF(B100='Param treso'!$H$41,L100-K100,0),0)</f>
        <v>0</v>
      </c>
      <c r="N100" s="186">
        <f>M100+H100+IF(A100='Param treso'!$H$32,G100,0)+IF(B100='Param treso'!$H$41,K100,0)</f>
        <v>0</v>
      </c>
      <c r="O100" s="186">
        <f ca="1">IF($AM$16="Oui",-IFERROR(VLOOKUP(E100,'Crédit (IS)'!$O$8:$P$145,2,FALSE),0),0)-(AN99*$T$14)</f>
        <v>0</v>
      </c>
      <c r="P100" s="186">
        <f ca="1">H100+M100+O100+IF(A100='Param treso'!$H$32,G100-F100,0)</f>
        <v>0</v>
      </c>
      <c r="Q100" s="1106">
        <f t="shared" ca="1" si="30"/>
        <v>0</v>
      </c>
      <c r="R100" s="1106"/>
      <c r="S100" s="1106"/>
      <c r="T100" s="186">
        <f t="shared" ca="1" si="31"/>
        <v>0</v>
      </c>
      <c r="U100" s="662">
        <f t="shared" ca="1" si="32"/>
        <v>0</v>
      </c>
      <c r="V100" s="662">
        <f ca="1">-IF('Param treso'!$H$20="Non",T100*Données!$L$24,IF(T100&lt;=Données!$L$26,T100*Données!$L$25,(Données!$L$26*Données!$L$25)+((T100-Données!$L$26)*Données!$L$24)))</f>
        <v>0</v>
      </c>
      <c r="W100" s="662">
        <f t="shared" ca="1" si="33"/>
        <v>0</v>
      </c>
      <c r="X100" s="186">
        <f ca="1">IF($AM$16="Oui",-IFERROR(VLOOKUP(E100,'Crédit (IS)'!$O$8:$Q$145,3,FALSE),0),0)</f>
        <v>0</v>
      </c>
      <c r="Y100" s="186">
        <f t="shared" ca="1" si="34"/>
        <v>0</v>
      </c>
      <c r="Z100" s="186">
        <f t="shared" ca="1" si="23"/>
        <v>0</v>
      </c>
      <c r="AA100" s="186">
        <f t="shared" ca="1" si="35"/>
        <v>0</v>
      </c>
      <c r="AB100" s="186">
        <f t="shared" ca="1" si="36"/>
        <v>0</v>
      </c>
      <c r="AC100" s="186">
        <f>IF(C100&lt;='Crédit (IR)'!$G$16/12,-(('Crédit (IR)'!$K$17)/(1-'Param treso'!$H$18)),0)</f>
        <v>0</v>
      </c>
      <c r="AD100" s="186">
        <f>IF($AM$14="Non",0,IF(C100&lt;='Crédit (IR)'!$G$16/12,-('Crédit (IR)'!$K$17),0))</f>
        <v>0</v>
      </c>
      <c r="AE100" s="186">
        <f ca="1">-IF(AND(E100&gt;=$AO$10,E100&lt;$AO$12),$AM$10/(1-'Param treso'!$H$18),IF(E100&gt;=$AO$12,$AM$12/(1-'Param treso'!$H$18),0))</f>
        <v>-207782.77014285719</v>
      </c>
      <c r="AF100" s="186">
        <f t="shared" ca="1" si="21"/>
        <v>-145447.93910000002</v>
      </c>
      <c r="AG100" s="186">
        <f>IF(C100=1,IF($K$12="Oui",-(Z100+AI100+AJ100),0),IF(AND($K$12="Oui",$K$16="Oui",A100='Param treso'!$H$32,B100='Param treso'!$H$41),-(Z100+AI100+AJ100+AH100),IF(AND($K$12="Oui",B100='Param treso'!$H$41),-(Z100+AI100+AJ100+AH100),IF(AND(A100='Param treso'!$H$32,$K$16="Oui"),-$F$19,IF($K$12="Oui",-(Z100+AI100+AJ100+AH100),0)))))</f>
        <v>0</v>
      </c>
      <c r="AH100" s="186">
        <f>IF(C100=1,0,IF(AND($K$16="Oui",B100='Param treso'!$H$41),-$K$19,0))</f>
        <v>0</v>
      </c>
      <c r="AI100" s="186">
        <f t="shared" si="22"/>
        <v>0</v>
      </c>
      <c r="AJ100" s="704">
        <f ca="1">IF(AI100=AF100+AD100,0,IF(AD100+AF100&lt;0,IF((Z100+AI100)&gt;=-(AC100+AE100),(AD100+AF100-AI100)/(1-'Param treso'!$H$18),-(Z100+AI100)),0))</f>
        <v>0</v>
      </c>
      <c r="AK100" s="1106">
        <f t="shared" ca="1" si="37"/>
        <v>0</v>
      </c>
      <c r="AL100" s="1106"/>
      <c r="AM100" s="1106"/>
      <c r="AN100" s="660">
        <f t="shared" ca="1" si="38"/>
        <v>0</v>
      </c>
      <c r="AO100" s="696">
        <f ca="1">-AJ100*(1-'Param treso'!$H$18)</f>
        <v>0</v>
      </c>
      <c r="AP100" s="709">
        <f t="shared" ca="1" si="24"/>
        <v>-145447.93910000002</v>
      </c>
    </row>
    <row r="101" spans="1:42">
      <c r="A101" s="708">
        <f>IF(C101&lt;='Param treso'!$H$32,C101,IF(A100&lt;'Param treso'!$H$32,A100+1,1))</f>
        <v>21</v>
      </c>
      <c r="B101" s="708">
        <f>IF(C101&lt;='Param treso'!$H$41,C101,IF(B100&lt;'Param treso'!$H$41,B100+1,1))</f>
        <v>1</v>
      </c>
      <c r="C101" s="639">
        <f t="shared" si="25"/>
        <v>81</v>
      </c>
      <c r="D101" s="639">
        <f t="shared" ca="1" si="26"/>
        <v>141</v>
      </c>
      <c r="E101" s="649">
        <f t="shared" ca="1" si="27"/>
        <v>2107</v>
      </c>
      <c r="F101" s="186">
        <f>IF(C101=1,$F$19,IF(AND(A101=1,$K$16="Oui"),-AG100,IF(AND(A101&lt;='Param treso'!$H$32,$K$12="Oui"),IF(A101=1,-AG100,-AG100+G100),IF(AND(A101&lt;='Param treso'!$H$32,C101&lt;='Param treso'!$H$32),G100,IF($K$16="Oui",G100,0)))))</f>
        <v>0</v>
      </c>
      <c r="G101" s="186">
        <f t="shared" si="28"/>
        <v>0</v>
      </c>
      <c r="H101" s="1106">
        <f>F101*'Param treso'!$H$30</f>
        <v>0</v>
      </c>
      <c r="I101" s="1106"/>
      <c r="J101" s="1107"/>
      <c r="K101" s="659">
        <f t="shared" si="29"/>
        <v>0</v>
      </c>
      <c r="L101" s="186">
        <f>IF(K101=0,0,IF(B101=1,K101*(1+'Param treso'!$H$39),PRODUCT(L100,(POWER('Param treso'!$H$39,1)))+L100))</f>
        <v>0</v>
      </c>
      <c r="M101" s="660">
        <f>IFERROR(IF(B101='Param treso'!$H$41,L101-K101,0),0)</f>
        <v>0</v>
      </c>
      <c r="N101" s="186">
        <f>M101+H101+IF(A101='Param treso'!$H$32,G101,0)+IF(B101='Param treso'!$H$41,K101,0)</f>
        <v>0</v>
      </c>
      <c r="O101" s="186">
        <f ca="1">IF($AM$16="Oui",-IFERROR(VLOOKUP(E101,'Crédit (IS)'!$O$8:$P$145,2,FALSE),0),0)-(AN100*$T$14)</f>
        <v>0</v>
      </c>
      <c r="P101" s="186">
        <f ca="1">H101+M101+O101+IF(A101='Param treso'!$H$32,G101-F101,0)</f>
        <v>0</v>
      </c>
      <c r="Q101" s="1106">
        <f t="shared" ca="1" si="30"/>
        <v>0</v>
      </c>
      <c r="R101" s="1106"/>
      <c r="S101" s="1106"/>
      <c r="T101" s="186">
        <f t="shared" ca="1" si="31"/>
        <v>0</v>
      </c>
      <c r="U101" s="662">
        <f t="shared" ca="1" si="32"/>
        <v>0</v>
      </c>
      <c r="V101" s="662">
        <f ca="1">-IF('Param treso'!$H$20="Non",T101*Données!$L$24,IF(T101&lt;=Données!$L$26,T101*Données!$L$25,(Données!$L$26*Données!$L$25)+((T101-Données!$L$26)*Données!$L$24)))</f>
        <v>0</v>
      </c>
      <c r="W101" s="662">
        <f t="shared" ca="1" si="33"/>
        <v>0</v>
      </c>
      <c r="X101" s="186">
        <f ca="1">IF($AM$16="Oui",-IFERROR(VLOOKUP(E101,'Crédit (IS)'!$O$8:$Q$145,3,FALSE),0),0)</f>
        <v>0</v>
      </c>
      <c r="Y101" s="186">
        <f t="shared" ca="1" si="34"/>
        <v>0</v>
      </c>
      <c r="Z101" s="186">
        <f t="shared" ca="1" si="23"/>
        <v>0</v>
      </c>
      <c r="AA101" s="186">
        <f t="shared" ca="1" si="35"/>
        <v>0</v>
      </c>
      <c r="AB101" s="186">
        <f t="shared" ca="1" si="36"/>
        <v>0</v>
      </c>
      <c r="AC101" s="186">
        <f>IF(C101&lt;='Crédit (IR)'!$G$16/12,-(('Crédit (IR)'!$K$17)/(1-'Param treso'!$H$18)),0)</f>
        <v>0</v>
      </c>
      <c r="AD101" s="186">
        <f>IF($AM$14="Non",0,IF(C101&lt;='Crédit (IR)'!$G$16/12,-('Crédit (IR)'!$K$17),0))</f>
        <v>0</v>
      </c>
      <c r="AE101" s="186">
        <f ca="1">-IF(AND(E101&gt;=$AO$10,E101&lt;$AO$12),$AM$10/(1-'Param treso'!$H$18),IF(E101&gt;=$AO$12,$AM$12/(1-'Param treso'!$H$18),0))</f>
        <v>-207782.77014285719</v>
      </c>
      <c r="AF101" s="186">
        <f t="shared" ca="1" si="21"/>
        <v>-145447.93910000002</v>
      </c>
      <c r="AG101" s="186">
        <f>IF(C101=1,IF($K$12="Oui",-(Z101+AI101+AJ101),0),IF(AND($K$12="Oui",$K$16="Oui",A101='Param treso'!$H$32,B101='Param treso'!$H$41),-(Z101+AI101+AJ101+AH101),IF(AND($K$12="Oui",B101='Param treso'!$H$41),-(Z101+AI101+AJ101+AH101),IF(AND(A101='Param treso'!$H$32,$K$16="Oui"),-$F$19,IF($K$12="Oui",-(Z101+AI101+AJ101+AH101),0)))))</f>
        <v>0</v>
      </c>
      <c r="AH101" s="186">
        <f>IF(C101=1,0,IF(AND($K$16="Oui",B101='Param treso'!$H$41),-$K$19,0))</f>
        <v>0</v>
      </c>
      <c r="AI101" s="186">
        <f t="shared" si="22"/>
        <v>0</v>
      </c>
      <c r="AJ101" s="704">
        <f ca="1">IF(AI101=AF101+AD101,0,IF(AD101+AF101&lt;0,IF((Z101+AI101)&gt;=-(AC101+AE101),(AD101+AF101-AI101)/(1-'Param treso'!$H$18),-(Z101+AI101)),0))</f>
        <v>0</v>
      </c>
      <c r="AK101" s="1106">
        <f t="shared" ca="1" si="37"/>
        <v>0</v>
      </c>
      <c r="AL101" s="1106"/>
      <c r="AM101" s="1106"/>
      <c r="AN101" s="660">
        <f t="shared" ca="1" si="38"/>
        <v>0</v>
      </c>
      <c r="AO101" s="696">
        <f ca="1">-AJ101*(1-'Param treso'!$H$18)</f>
        <v>0</v>
      </c>
      <c r="AP101" s="709">
        <f t="shared" ca="1" si="24"/>
        <v>-145447.93910000002</v>
      </c>
    </row>
    <row r="102" spans="1:42">
      <c r="A102" s="708">
        <f>IF(C102&lt;='Param treso'!$H$32,C102,IF(A101&lt;'Param treso'!$H$32,A101+1,1))</f>
        <v>22</v>
      </c>
      <c r="B102" s="708">
        <f>IF(C102&lt;='Param treso'!$H$41,C102,IF(B101&lt;'Param treso'!$H$41,B101+1,1))</f>
        <v>2</v>
      </c>
      <c r="C102" s="639">
        <f t="shared" si="25"/>
        <v>82</v>
      </c>
      <c r="D102" s="639">
        <f t="shared" ca="1" si="26"/>
        <v>142</v>
      </c>
      <c r="E102" s="649">
        <f t="shared" ca="1" si="27"/>
        <v>2108</v>
      </c>
      <c r="F102" s="186">
        <f>IF(C102=1,$F$19,IF(AND(A102=1,$K$16="Oui"),-AG101,IF(AND(A102&lt;='Param treso'!$H$32,$K$12="Oui"),IF(A102=1,-AG101,-AG101+G101),IF(AND(A102&lt;='Param treso'!$H$32,C102&lt;='Param treso'!$H$32),G101,IF($K$16="Oui",G101,0)))))</f>
        <v>0</v>
      </c>
      <c r="G102" s="186">
        <f t="shared" si="28"/>
        <v>0</v>
      </c>
      <c r="H102" s="1106">
        <f>F102*'Param treso'!$H$30</f>
        <v>0</v>
      </c>
      <c r="I102" s="1106"/>
      <c r="J102" s="1107"/>
      <c r="K102" s="659">
        <f t="shared" si="29"/>
        <v>0</v>
      </c>
      <c r="L102" s="186">
        <f>IF(K102=0,0,IF(B102=1,K102*(1+'Param treso'!$H$39),PRODUCT(L101,(POWER('Param treso'!$H$39,1)))+L101))</f>
        <v>0</v>
      </c>
      <c r="M102" s="660">
        <f>IFERROR(IF(B102='Param treso'!$H$41,L102-K102,0),0)</f>
        <v>0</v>
      </c>
      <c r="N102" s="186">
        <f>M102+H102+IF(A102='Param treso'!$H$32,G102,0)+IF(B102='Param treso'!$H$41,K102,0)</f>
        <v>0</v>
      </c>
      <c r="O102" s="186">
        <f ca="1">IF($AM$16="Oui",-IFERROR(VLOOKUP(E102,'Crédit (IS)'!$O$8:$P$145,2,FALSE),0),0)-(AN101*$T$14)</f>
        <v>0</v>
      </c>
      <c r="P102" s="186">
        <f ca="1">H102+M102+O102+IF(A102='Param treso'!$H$32,G102-F102,0)</f>
        <v>0</v>
      </c>
      <c r="Q102" s="1106">
        <f t="shared" ca="1" si="30"/>
        <v>0</v>
      </c>
      <c r="R102" s="1106"/>
      <c r="S102" s="1106"/>
      <c r="T102" s="186">
        <f t="shared" ca="1" si="31"/>
        <v>0</v>
      </c>
      <c r="U102" s="662">
        <f t="shared" ca="1" si="32"/>
        <v>0</v>
      </c>
      <c r="V102" s="662">
        <f ca="1">-IF('Param treso'!$H$20="Non",T102*Données!$L$24,IF(T102&lt;=Données!$L$26,T102*Données!$L$25,(Données!$L$26*Données!$L$25)+((T102-Données!$L$26)*Données!$L$24)))</f>
        <v>0</v>
      </c>
      <c r="W102" s="662">
        <f t="shared" ca="1" si="33"/>
        <v>0</v>
      </c>
      <c r="X102" s="186">
        <f ca="1">IF($AM$16="Oui",-IFERROR(VLOOKUP(E102,'Crédit (IS)'!$O$8:$Q$145,3,FALSE),0),0)</f>
        <v>0</v>
      </c>
      <c r="Y102" s="186">
        <f t="shared" ca="1" si="34"/>
        <v>0</v>
      </c>
      <c r="Z102" s="186">
        <f t="shared" ca="1" si="23"/>
        <v>0</v>
      </c>
      <c r="AA102" s="186">
        <f t="shared" ca="1" si="35"/>
        <v>0</v>
      </c>
      <c r="AB102" s="186">
        <f t="shared" ca="1" si="36"/>
        <v>0</v>
      </c>
      <c r="AC102" s="186">
        <f>IF(C102&lt;='Crédit (IR)'!$G$16/12,-(('Crédit (IR)'!$K$17)/(1-'Param treso'!$H$18)),0)</f>
        <v>0</v>
      </c>
      <c r="AD102" s="186">
        <f>IF($AM$14="Non",0,IF(C102&lt;='Crédit (IR)'!$G$16/12,-('Crédit (IR)'!$K$17),0))</f>
        <v>0</v>
      </c>
      <c r="AE102" s="186">
        <f ca="1">-IF(AND(E102&gt;=$AO$10,E102&lt;$AO$12),$AM$10/(1-'Param treso'!$H$18),IF(E102&gt;=$AO$12,$AM$12/(1-'Param treso'!$H$18),0))</f>
        <v>-207782.77014285719</v>
      </c>
      <c r="AF102" s="186">
        <f t="shared" ca="1" si="21"/>
        <v>-145447.93910000002</v>
      </c>
      <c r="AG102" s="186">
        <f>IF(C102=1,IF($K$12="Oui",-(Z102+AI102+AJ102),0),IF(AND($K$12="Oui",$K$16="Oui",A102='Param treso'!$H$32,B102='Param treso'!$H$41),-(Z102+AI102+AJ102+AH102),IF(AND($K$12="Oui",B102='Param treso'!$H$41),-(Z102+AI102+AJ102+AH102),IF(AND(A102='Param treso'!$H$32,$K$16="Oui"),-$F$19,IF($K$12="Oui",-(Z102+AI102+AJ102+AH102),0)))))</f>
        <v>0</v>
      </c>
      <c r="AH102" s="186">
        <f>IF(C102=1,0,IF(AND($K$16="Oui",B102='Param treso'!$H$41),-$K$19,0))</f>
        <v>0</v>
      </c>
      <c r="AI102" s="186">
        <f t="shared" si="22"/>
        <v>0</v>
      </c>
      <c r="AJ102" s="704">
        <f ca="1">IF(AI102=AF102+AD102,0,IF(AD102+AF102&lt;0,IF((Z102+AI102)&gt;=-(AC102+AE102),(AD102+AF102-AI102)/(1-'Param treso'!$H$18),-(Z102+AI102)),0))</f>
        <v>0</v>
      </c>
      <c r="AK102" s="1106">
        <f t="shared" ca="1" si="37"/>
        <v>0</v>
      </c>
      <c r="AL102" s="1106"/>
      <c r="AM102" s="1106"/>
      <c r="AN102" s="660">
        <f t="shared" ca="1" si="38"/>
        <v>0</v>
      </c>
      <c r="AO102" s="696">
        <f ca="1">-AJ102*(1-'Param treso'!$H$18)</f>
        <v>0</v>
      </c>
      <c r="AP102" s="709">
        <f t="shared" ca="1" si="24"/>
        <v>-145447.93910000002</v>
      </c>
    </row>
    <row r="103" spans="1:42">
      <c r="A103" s="708">
        <f>IF(C103&lt;='Param treso'!$H$32,C103,IF(A102&lt;'Param treso'!$H$32,A102+1,1))</f>
        <v>23</v>
      </c>
      <c r="B103" s="708">
        <f>IF(C103&lt;='Param treso'!$H$41,C103,IF(B102&lt;'Param treso'!$H$41,B102+1,1))</f>
        <v>3</v>
      </c>
      <c r="C103" s="639">
        <f t="shared" si="25"/>
        <v>83</v>
      </c>
      <c r="D103" s="639">
        <f t="shared" ca="1" si="26"/>
        <v>143</v>
      </c>
      <c r="E103" s="649">
        <f t="shared" ca="1" si="27"/>
        <v>2109</v>
      </c>
      <c r="F103" s="186">
        <f>IF(C103=1,$F$19,IF(AND(A103=1,$K$16="Oui"),-AG102,IF(AND(A103&lt;='Param treso'!$H$32,$K$12="Oui"),IF(A103=1,-AG102,-AG102+G102),IF(AND(A103&lt;='Param treso'!$H$32,C103&lt;='Param treso'!$H$32),G102,IF($K$16="Oui",G102,0)))))</f>
        <v>0</v>
      </c>
      <c r="G103" s="186">
        <f t="shared" si="28"/>
        <v>0</v>
      </c>
      <c r="H103" s="1106">
        <f>F103*'Param treso'!$H$30</f>
        <v>0</v>
      </c>
      <c r="I103" s="1106"/>
      <c r="J103" s="1107"/>
      <c r="K103" s="659">
        <f t="shared" si="29"/>
        <v>0</v>
      </c>
      <c r="L103" s="186">
        <f>IF(K103=0,0,IF(B103=1,K103*(1+'Param treso'!$H$39),PRODUCT(L102,(POWER('Param treso'!$H$39,1)))+L102))</f>
        <v>0</v>
      </c>
      <c r="M103" s="660">
        <f>IFERROR(IF(B103='Param treso'!$H$41,L103-K103,0),0)</f>
        <v>0</v>
      </c>
      <c r="N103" s="186">
        <f>M103+H103+IF(A103='Param treso'!$H$32,G103,0)+IF(B103='Param treso'!$H$41,K103,0)</f>
        <v>0</v>
      </c>
      <c r="O103" s="186">
        <f ca="1">IF($AM$16="Oui",-IFERROR(VLOOKUP(E103,'Crédit (IS)'!$O$8:$P$145,2,FALSE),0),0)-(AN102*$T$14)</f>
        <v>0</v>
      </c>
      <c r="P103" s="186">
        <f ca="1">H103+M103+O103+IF(A103='Param treso'!$H$32,G103-F103,0)</f>
        <v>0</v>
      </c>
      <c r="Q103" s="1106">
        <f t="shared" ca="1" si="30"/>
        <v>0</v>
      </c>
      <c r="R103" s="1106"/>
      <c r="S103" s="1106"/>
      <c r="T103" s="186">
        <f t="shared" ca="1" si="31"/>
        <v>0</v>
      </c>
      <c r="U103" s="662">
        <f t="shared" ca="1" si="32"/>
        <v>0</v>
      </c>
      <c r="V103" s="662">
        <f ca="1">-IF('Param treso'!$H$20="Non",T103*Données!$L$24,IF(T103&lt;=Données!$L$26,T103*Données!$L$25,(Données!$L$26*Données!$L$25)+((T103-Données!$L$26)*Données!$L$24)))</f>
        <v>0</v>
      </c>
      <c r="W103" s="662">
        <f t="shared" ca="1" si="33"/>
        <v>0</v>
      </c>
      <c r="X103" s="186">
        <f ca="1">IF($AM$16="Oui",-IFERROR(VLOOKUP(E103,'Crédit (IS)'!$O$8:$Q$145,3,FALSE),0),0)</f>
        <v>0</v>
      </c>
      <c r="Y103" s="186">
        <f t="shared" ca="1" si="34"/>
        <v>0</v>
      </c>
      <c r="Z103" s="186">
        <f t="shared" ca="1" si="23"/>
        <v>0</v>
      </c>
      <c r="AA103" s="186">
        <f t="shared" ca="1" si="35"/>
        <v>0</v>
      </c>
      <c r="AB103" s="186">
        <f t="shared" ca="1" si="36"/>
        <v>0</v>
      </c>
      <c r="AC103" s="186">
        <f>IF(C103&lt;='Crédit (IR)'!$G$16/12,-(('Crédit (IR)'!$K$17)/(1-'Param treso'!$H$18)),0)</f>
        <v>0</v>
      </c>
      <c r="AD103" s="186">
        <f>IF($AM$14="Non",0,IF(C103&lt;='Crédit (IR)'!$G$16/12,-('Crédit (IR)'!$K$17),0))</f>
        <v>0</v>
      </c>
      <c r="AE103" s="186">
        <f ca="1">-IF(AND(E103&gt;=$AO$10,E103&lt;$AO$12),$AM$10/(1-'Param treso'!$H$18),IF(E103&gt;=$AO$12,$AM$12/(1-'Param treso'!$H$18),0))</f>
        <v>-207782.77014285719</v>
      </c>
      <c r="AF103" s="186">
        <f t="shared" ca="1" si="21"/>
        <v>-145447.93910000002</v>
      </c>
      <c r="AG103" s="186">
        <f>IF(C103=1,IF($K$12="Oui",-(Z103+AI103+AJ103),0),IF(AND($K$12="Oui",$K$16="Oui",A103='Param treso'!$H$32,B103='Param treso'!$H$41),-(Z103+AI103+AJ103+AH103),IF(AND($K$12="Oui",B103='Param treso'!$H$41),-(Z103+AI103+AJ103+AH103),IF(AND(A103='Param treso'!$H$32,$K$16="Oui"),-$F$19,IF($K$12="Oui",-(Z103+AI103+AJ103+AH103),0)))))</f>
        <v>0</v>
      </c>
      <c r="AH103" s="186">
        <f>IF(C103=1,0,IF(AND($K$16="Oui",B103='Param treso'!$H$41),-$K$19,0))</f>
        <v>0</v>
      </c>
      <c r="AI103" s="186">
        <f t="shared" si="22"/>
        <v>0</v>
      </c>
      <c r="AJ103" s="704">
        <f ca="1">IF(AI103=AF103+AD103,0,IF(AD103+AF103&lt;0,IF((Z103+AI103)&gt;=-(AC103+AE103),(AD103+AF103-AI103)/(1-'Param treso'!$H$18),-(Z103+AI103)),0))</f>
        <v>0</v>
      </c>
      <c r="AK103" s="1106">
        <f t="shared" ca="1" si="37"/>
        <v>0</v>
      </c>
      <c r="AL103" s="1106"/>
      <c r="AM103" s="1106"/>
      <c r="AN103" s="660">
        <f t="shared" ca="1" si="38"/>
        <v>0</v>
      </c>
      <c r="AO103" s="696">
        <f ca="1">-AJ103*(1-'Param treso'!$H$18)</f>
        <v>0</v>
      </c>
      <c r="AP103" s="709">
        <f t="shared" ca="1" si="24"/>
        <v>-145447.93910000002</v>
      </c>
    </row>
    <row r="104" spans="1:42">
      <c r="A104" s="708">
        <f>IF(C104&lt;='Param treso'!$H$32,C104,IF(A103&lt;'Param treso'!$H$32,A103+1,1))</f>
        <v>24</v>
      </c>
      <c r="B104" s="708">
        <f>IF(C104&lt;='Param treso'!$H$41,C104,IF(B103&lt;'Param treso'!$H$41,B103+1,1))</f>
        <v>4</v>
      </c>
      <c r="C104" s="639">
        <f t="shared" si="25"/>
        <v>84</v>
      </c>
      <c r="D104" s="639">
        <f t="shared" ca="1" si="26"/>
        <v>144</v>
      </c>
      <c r="E104" s="649">
        <f t="shared" ca="1" si="27"/>
        <v>2110</v>
      </c>
      <c r="F104" s="186">
        <f>IF(C104=1,$F$19,IF(AND(A104=1,$K$16="Oui"),-AG103,IF(AND(A104&lt;='Param treso'!$H$32,$K$12="Oui"),IF(A104=1,-AG103,-AG103+G103),IF(AND(A104&lt;='Param treso'!$H$32,C104&lt;='Param treso'!$H$32),G103,IF($K$16="Oui",G103,0)))))</f>
        <v>0</v>
      </c>
      <c r="G104" s="186">
        <f t="shared" si="28"/>
        <v>0</v>
      </c>
      <c r="H104" s="1106">
        <f>F104*'Param treso'!$H$30</f>
        <v>0</v>
      </c>
      <c r="I104" s="1106"/>
      <c r="J104" s="1107"/>
      <c r="K104" s="659">
        <f t="shared" si="29"/>
        <v>0</v>
      </c>
      <c r="L104" s="186">
        <f>IF(K104=0,0,IF(B104=1,K104*(1+'Param treso'!$H$39),PRODUCT(L103,(POWER('Param treso'!$H$39,1)))+L103))</f>
        <v>0</v>
      </c>
      <c r="M104" s="660">
        <f>IFERROR(IF(B104='Param treso'!$H$41,L104-K104,0),0)</f>
        <v>0</v>
      </c>
      <c r="N104" s="186">
        <f>M104+H104+IF(A104='Param treso'!$H$32,G104,0)+IF(B104='Param treso'!$H$41,K104,0)</f>
        <v>0</v>
      </c>
      <c r="O104" s="186">
        <f ca="1">IF($AM$16="Oui",-IFERROR(VLOOKUP(E104,'Crédit (IS)'!$O$8:$P$145,2,FALSE),0),0)-(AN103*$T$14)</f>
        <v>0</v>
      </c>
      <c r="P104" s="186">
        <f ca="1">H104+M104+O104+IF(A104='Param treso'!$H$32,G104-F104,0)</f>
        <v>0</v>
      </c>
      <c r="Q104" s="1106">
        <f t="shared" ca="1" si="30"/>
        <v>0</v>
      </c>
      <c r="R104" s="1106"/>
      <c r="S104" s="1106"/>
      <c r="T104" s="186">
        <f t="shared" ca="1" si="31"/>
        <v>0</v>
      </c>
      <c r="U104" s="662">
        <f t="shared" ca="1" si="32"/>
        <v>0</v>
      </c>
      <c r="V104" s="662">
        <f ca="1">-IF('Param treso'!$H$20="Non",T104*Données!$L$24,IF(T104&lt;=Données!$L$26,T104*Données!$L$25,(Données!$L$26*Données!$L$25)+((T104-Données!$L$26)*Données!$L$24)))</f>
        <v>0</v>
      </c>
      <c r="W104" s="662">
        <f t="shared" ca="1" si="33"/>
        <v>0</v>
      </c>
      <c r="X104" s="186">
        <f ca="1">IF($AM$16="Oui",-IFERROR(VLOOKUP(E104,'Crédit (IS)'!$O$8:$Q$145,3,FALSE),0),0)</f>
        <v>0</v>
      </c>
      <c r="Y104" s="186">
        <f t="shared" ca="1" si="34"/>
        <v>0</v>
      </c>
      <c r="Z104" s="186">
        <f t="shared" ca="1" si="23"/>
        <v>0</v>
      </c>
      <c r="AA104" s="186">
        <f t="shared" ca="1" si="35"/>
        <v>0</v>
      </c>
      <c r="AB104" s="186">
        <f t="shared" ca="1" si="36"/>
        <v>0</v>
      </c>
      <c r="AC104" s="186">
        <f>IF(C104&lt;='Crédit (IR)'!$G$16/12,-(('Crédit (IR)'!$K$17)/(1-'Param treso'!$H$18)),0)</f>
        <v>0</v>
      </c>
      <c r="AD104" s="186">
        <f>IF($AM$14="Non",0,IF(C104&lt;='Crédit (IR)'!$G$16/12,-('Crédit (IR)'!$K$17),0))</f>
        <v>0</v>
      </c>
      <c r="AE104" s="186">
        <f ca="1">-IF(AND(E104&gt;=$AO$10,E104&lt;$AO$12),$AM$10/(1-'Param treso'!$H$18),IF(E104&gt;=$AO$12,$AM$12/(1-'Param treso'!$H$18),0))</f>
        <v>-207782.77014285719</v>
      </c>
      <c r="AF104" s="186">
        <f t="shared" ca="1" si="21"/>
        <v>-145447.93910000002</v>
      </c>
      <c r="AG104" s="186">
        <f>IF(C104=1,IF($K$12="Oui",-(Z104+AI104+AJ104),0),IF(AND($K$12="Oui",$K$16="Oui",A104='Param treso'!$H$32,B104='Param treso'!$H$41),-(Z104+AI104+AJ104+AH104),IF(AND($K$12="Oui",B104='Param treso'!$H$41),-(Z104+AI104+AJ104+AH104),IF(AND(A104='Param treso'!$H$32,$K$16="Oui"),-$F$19,IF($K$12="Oui",-(Z104+AI104+AJ104+AH104),0)))))</f>
        <v>0</v>
      </c>
      <c r="AH104" s="186">
        <f>IF(C104=1,0,IF(AND($K$16="Oui",B104='Param treso'!$H$41),-$K$19,0))</f>
        <v>0</v>
      </c>
      <c r="AI104" s="186">
        <f t="shared" si="22"/>
        <v>0</v>
      </c>
      <c r="AJ104" s="704">
        <f ca="1">IF(AI104=AF104+AD104,0,IF(AD104+AF104&lt;0,IF((Z104+AI104)&gt;=-(AC104+AE104),(AD104+AF104-AI104)/(1-'Param treso'!$H$18),-(Z104+AI104)),0))</f>
        <v>0</v>
      </c>
      <c r="AK104" s="1106">
        <f t="shared" ca="1" si="37"/>
        <v>0</v>
      </c>
      <c r="AL104" s="1106"/>
      <c r="AM104" s="1106"/>
      <c r="AN104" s="660">
        <f t="shared" ca="1" si="38"/>
        <v>0</v>
      </c>
      <c r="AO104" s="696">
        <f ca="1">-AJ104*(1-'Param treso'!$H$18)</f>
        <v>0</v>
      </c>
      <c r="AP104" s="709">
        <f t="shared" ca="1" si="24"/>
        <v>-145447.93910000002</v>
      </c>
    </row>
    <row r="105" spans="1:42">
      <c r="A105" s="708">
        <f>IF(C105&lt;='Param treso'!$H$32,C105,IF(A104&lt;'Param treso'!$H$32,A104+1,1))</f>
        <v>25</v>
      </c>
      <c r="B105" s="708">
        <f>IF(C105&lt;='Param treso'!$H$41,C105,IF(B104&lt;'Param treso'!$H$41,B104+1,1))</f>
        <v>5</v>
      </c>
      <c r="C105" s="639">
        <f t="shared" si="25"/>
        <v>85</v>
      </c>
      <c r="D105" s="639">
        <f t="shared" ca="1" si="26"/>
        <v>145</v>
      </c>
      <c r="E105" s="649">
        <f t="shared" ca="1" si="27"/>
        <v>2111</v>
      </c>
      <c r="F105" s="186">
        <f>IF(C105=1,$F$19,IF(AND(A105=1,$K$16="Oui"),-AG104,IF(AND(A105&lt;='Param treso'!$H$32,$K$12="Oui"),IF(A105=1,-AG104,-AG104+G104),IF(AND(A105&lt;='Param treso'!$H$32,C105&lt;='Param treso'!$H$32),G104,IF($K$16="Oui",G104,0)))))</f>
        <v>0</v>
      </c>
      <c r="G105" s="186">
        <f t="shared" si="28"/>
        <v>0</v>
      </c>
      <c r="H105" s="1106">
        <f>F105*'Param treso'!$H$30</f>
        <v>0</v>
      </c>
      <c r="I105" s="1106"/>
      <c r="J105" s="1107"/>
      <c r="K105" s="659">
        <f t="shared" si="29"/>
        <v>0</v>
      </c>
      <c r="L105" s="186">
        <f>IF(K105=0,0,IF(B105=1,K105*(1+'Param treso'!$H$39),PRODUCT(L104,(POWER('Param treso'!$H$39,1)))+L104))</f>
        <v>0</v>
      </c>
      <c r="M105" s="660">
        <f>IFERROR(IF(B105='Param treso'!$H$41,L105-K105,0),0)</f>
        <v>0</v>
      </c>
      <c r="N105" s="186">
        <f>M105+H105+IF(A105='Param treso'!$H$32,G105,0)+IF(B105='Param treso'!$H$41,K105,0)</f>
        <v>0</v>
      </c>
      <c r="O105" s="186">
        <f ca="1">IF($AM$16="Oui",-IFERROR(VLOOKUP(E105,'Crédit (IS)'!$O$8:$P$145,2,FALSE),0),0)-(AN104*$T$14)</f>
        <v>0</v>
      </c>
      <c r="P105" s="186">
        <f ca="1">H105+M105+O105+IF(A105='Param treso'!$H$32,G105-F105,0)</f>
        <v>0</v>
      </c>
      <c r="Q105" s="1106">
        <f t="shared" ca="1" si="30"/>
        <v>0</v>
      </c>
      <c r="R105" s="1106"/>
      <c r="S105" s="1106"/>
      <c r="T105" s="186">
        <f t="shared" ca="1" si="31"/>
        <v>0</v>
      </c>
      <c r="U105" s="662">
        <f t="shared" ca="1" si="32"/>
        <v>0</v>
      </c>
      <c r="V105" s="662">
        <f ca="1">-IF('Param treso'!$H$20="Non",T105*Données!$L$24,IF(T105&lt;=Données!$L$26,T105*Données!$L$25,(Données!$L$26*Données!$L$25)+((T105-Données!$L$26)*Données!$L$24)))</f>
        <v>0</v>
      </c>
      <c r="W105" s="662">
        <f t="shared" ca="1" si="33"/>
        <v>0</v>
      </c>
      <c r="X105" s="186">
        <f ca="1">IF($AM$16="Oui",-IFERROR(VLOOKUP(E105,'Crédit (IS)'!$O$8:$Q$145,3,FALSE),0),0)</f>
        <v>0</v>
      </c>
      <c r="Y105" s="186">
        <f t="shared" ca="1" si="34"/>
        <v>0</v>
      </c>
      <c r="Z105" s="186">
        <f t="shared" ca="1" si="23"/>
        <v>0</v>
      </c>
      <c r="AA105" s="186">
        <f t="shared" ca="1" si="35"/>
        <v>0</v>
      </c>
      <c r="AB105" s="186">
        <f t="shared" ca="1" si="36"/>
        <v>0</v>
      </c>
      <c r="AC105" s="186">
        <f>IF(C105&lt;='Crédit (IR)'!$G$16/12,-(('Crédit (IR)'!$K$17)/(1-'Param treso'!$H$18)),0)</f>
        <v>0</v>
      </c>
      <c r="AD105" s="186">
        <f>IF($AM$14="Non",0,IF(C105&lt;='Crédit (IR)'!$G$16/12,-('Crédit (IR)'!$K$17),0))</f>
        <v>0</v>
      </c>
      <c r="AE105" s="186">
        <f ca="1">-IF(AND(E105&gt;=$AO$10,E105&lt;$AO$12),$AM$10/(1-'Param treso'!$H$18),IF(E105&gt;=$AO$12,$AM$12/(1-'Param treso'!$H$18),0))</f>
        <v>-207782.77014285719</v>
      </c>
      <c r="AF105" s="186">
        <f t="shared" ca="1" si="21"/>
        <v>-145447.93910000002</v>
      </c>
      <c r="AG105" s="186">
        <f>IF(C105=1,IF($K$12="Oui",-(Z105+AI105+AJ105),0),IF(AND($K$12="Oui",$K$16="Oui",A105='Param treso'!$H$32,B105='Param treso'!$H$41),-(Z105+AI105+AJ105+AH105),IF(AND($K$12="Oui",B105='Param treso'!$H$41),-(Z105+AI105+AJ105+AH105),IF(AND(A105='Param treso'!$H$32,$K$16="Oui"),-$F$19,IF($K$12="Oui",-(Z105+AI105+AJ105+AH105),0)))))</f>
        <v>0</v>
      </c>
      <c r="AH105" s="186">
        <f>IF(C105=1,0,IF(AND($K$16="Oui",B105='Param treso'!$H$41),-$K$19,0))</f>
        <v>0</v>
      </c>
      <c r="AI105" s="186">
        <f t="shared" si="22"/>
        <v>0</v>
      </c>
      <c r="AJ105" s="704">
        <f ca="1">IF(AI105=AF105+AD105,0,IF(AD105+AF105&lt;0,IF((Z105+AI105)&gt;=-(AC105+AE105),(AD105+AF105-AI105)/(1-'Param treso'!$H$18),-(Z105+AI105)),0))</f>
        <v>0</v>
      </c>
      <c r="AK105" s="1106">
        <f t="shared" ca="1" si="37"/>
        <v>0</v>
      </c>
      <c r="AL105" s="1106"/>
      <c r="AM105" s="1106"/>
      <c r="AN105" s="660">
        <f t="shared" ca="1" si="38"/>
        <v>0</v>
      </c>
      <c r="AO105" s="696">
        <f ca="1">-AJ105*(1-'Param treso'!$H$18)</f>
        <v>0</v>
      </c>
      <c r="AP105" s="709">
        <f t="shared" ca="1" si="24"/>
        <v>-145447.93910000002</v>
      </c>
    </row>
    <row r="106" spans="1:42">
      <c r="A106" s="708">
        <f>IF(C106&lt;='Param treso'!$H$32,C106,IF(A105&lt;'Param treso'!$H$32,A105+1,1))</f>
        <v>26</v>
      </c>
      <c r="B106" s="708">
        <f>IF(C106&lt;='Param treso'!$H$41,C106,IF(B105&lt;'Param treso'!$H$41,B105+1,1))</f>
        <v>1</v>
      </c>
      <c r="C106" s="639">
        <f t="shared" si="25"/>
        <v>86</v>
      </c>
      <c r="D106" s="639">
        <f t="shared" ca="1" si="26"/>
        <v>146</v>
      </c>
      <c r="E106" s="649">
        <f t="shared" ca="1" si="27"/>
        <v>2112</v>
      </c>
      <c r="F106" s="186">
        <f>IF(C106=1,$F$19,IF(AND(A106=1,$K$16="Oui"),-AG105,IF(AND(A106&lt;='Param treso'!$H$32,$K$12="Oui"),IF(A106=1,-AG105,-AG105+G105),IF(AND(A106&lt;='Param treso'!$H$32,C106&lt;='Param treso'!$H$32),G105,IF($K$16="Oui",G105,0)))))</f>
        <v>0</v>
      </c>
      <c r="G106" s="186">
        <f t="shared" si="28"/>
        <v>0</v>
      </c>
      <c r="H106" s="1106">
        <f>F106*'Param treso'!$H$30</f>
        <v>0</v>
      </c>
      <c r="I106" s="1106"/>
      <c r="J106" s="1107"/>
      <c r="K106" s="659">
        <f t="shared" si="29"/>
        <v>0</v>
      </c>
      <c r="L106" s="186">
        <f>IF(K106=0,0,IF(B106=1,K106*(1+'Param treso'!$H$39),PRODUCT(L105,(POWER('Param treso'!$H$39,1)))+L105))</f>
        <v>0</v>
      </c>
      <c r="M106" s="660">
        <f>IFERROR(IF(B106='Param treso'!$H$41,L106-K106,0),0)</f>
        <v>0</v>
      </c>
      <c r="N106" s="186">
        <f>M106+H106+IF(A106='Param treso'!$H$32,G106,0)+IF(B106='Param treso'!$H$41,K106,0)</f>
        <v>0</v>
      </c>
      <c r="O106" s="186">
        <f ca="1">IF($AM$16="Oui",-IFERROR(VLOOKUP(E106,'Crédit (IS)'!$O$8:$P$145,2,FALSE),0),0)-(AN105*$T$14)</f>
        <v>0</v>
      </c>
      <c r="P106" s="186">
        <f ca="1">H106+M106+O106+IF(A106='Param treso'!$H$32,G106-F106,0)</f>
        <v>0</v>
      </c>
      <c r="Q106" s="1106">
        <f t="shared" ca="1" si="30"/>
        <v>0</v>
      </c>
      <c r="R106" s="1106"/>
      <c r="S106" s="1106"/>
      <c r="T106" s="186">
        <f t="shared" ca="1" si="31"/>
        <v>0</v>
      </c>
      <c r="U106" s="662">
        <f t="shared" ca="1" si="32"/>
        <v>0</v>
      </c>
      <c r="V106" s="662">
        <f ca="1">-IF('Param treso'!$H$20="Non",T106*Données!$L$24,IF(T106&lt;=Données!$L$26,T106*Données!$L$25,(Données!$L$26*Données!$L$25)+((T106-Données!$L$26)*Données!$L$24)))</f>
        <v>0</v>
      </c>
      <c r="W106" s="662">
        <f t="shared" ca="1" si="33"/>
        <v>0</v>
      </c>
      <c r="X106" s="186">
        <f ca="1">IF($AM$16="Oui",-IFERROR(VLOOKUP(E106,'Crédit (IS)'!$O$8:$Q$145,3,FALSE),0),0)</f>
        <v>0</v>
      </c>
      <c r="Y106" s="186">
        <f t="shared" ca="1" si="34"/>
        <v>0</v>
      </c>
      <c r="Z106" s="186">
        <f t="shared" ca="1" si="23"/>
        <v>0</v>
      </c>
      <c r="AA106" s="186">
        <f t="shared" ca="1" si="35"/>
        <v>0</v>
      </c>
      <c r="AB106" s="186">
        <f t="shared" ca="1" si="36"/>
        <v>0</v>
      </c>
      <c r="AC106" s="186">
        <f>IF(C106&lt;='Crédit (IR)'!$G$16/12,-(('Crédit (IR)'!$K$17)/(1-'Param treso'!$H$18)),0)</f>
        <v>0</v>
      </c>
      <c r="AD106" s="186">
        <f>IF($AM$14="Non",0,IF(C106&lt;='Crédit (IR)'!$G$16/12,-('Crédit (IR)'!$K$17),0))</f>
        <v>0</v>
      </c>
      <c r="AE106" s="186">
        <f ca="1">-IF(AND(E106&gt;=$AO$10,E106&lt;$AO$12),$AM$10/(1-'Param treso'!$H$18),IF(E106&gt;=$AO$12,$AM$12/(1-'Param treso'!$H$18),0))</f>
        <v>-207782.77014285719</v>
      </c>
      <c r="AF106" s="186">
        <f t="shared" ca="1" si="21"/>
        <v>-145447.93910000002</v>
      </c>
      <c r="AG106" s="186">
        <f>IF(C106=1,IF($K$12="Oui",-(Z106+AI106+AJ106),0),IF(AND($K$12="Oui",$K$16="Oui",A106='Param treso'!$H$32,B106='Param treso'!$H$41),-(Z106+AI106+AJ106+AH106),IF(AND($K$12="Oui",B106='Param treso'!$H$41),-(Z106+AI106+AJ106+AH106),IF(AND(A106='Param treso'!$H$32,$K$16="Oui"),-$F$19,IF($K$12="Oui",-(Z106+AI106+AJ106+AH106),0)))))</f>
        <v>0</v>
      </c>
      <c r="AH106" s="186">
        <f>IF(C106=1,0,IF(AND($K$16="Oui",B106='Param treso'!$H$41),-$K$19,0))</f>
        <v>0</v>
      </c>
      <c r="AI106" s="186">
        <f t="shared" si="22"/>
        <v>0</v>
      </c>
      <c r="AJ106" s="704">
        <f ca="1">IF(AI106=AF106+AD106,0,IF(AD106+AF106&lt;0,IF((Z106+AI106)&gt;=-(AC106+AE106),(AD106+AF106-AI106)/(1-'Param treso'!$H$18),-(Z106+AI106)),0))</f>
        <v>0</v>
      </c>
      <c r="AK106" s="1106">
        <f t="shared" ca="1" si="37"/>
        <v>0</v>
      </c>
      <c r="AL106" s="1106"/>
      <c r="AM106" s="1106"/>
      <c r="AN106" s="660">
        <f t="shared" ca="1" si="38"/>
        <v>0</v>
      </c>
      <c r="AO106" s="696">
        <f ca="1">-AJ106*(1-'Param treso'!$H$18)</f>
        <v>0</v>
      </c>
      <c r="AP106" s="709">
        <f t="shared" ca="1" si="24"/>
        <v>-145447.93910000002</v>
      </c>
    </row>
    <row r="107" spans="1:42">
      <c r="A107" s="708">
        <f>IF(C107&lt;='Param treso'!$H$32,C107,IF(A106&lt;'Param treso'!$H$32,A106+1,1))</f>
        <v>27</v>
      </c>
      <c r="B107" s="708">
        <f>IF(C107&lt;='Param treso'!$H$41,C107,IF(B106&lt;'Param treso'!$H$41,B106+1,1))</f>
        <v>2</v>
      </c>
      <c r="C107" s="639">
        <f t="shared" si="25"/>
        <v>87</v>
      </c>
      <c r="D107" s="639">
        <f t="shared" ca="1" si="26"/>
        <v>147</v>
      </c>
      <c r="E107" s="649">
        <f t="shared" ca="1" si="27"/>
        <v>2113</v>
      </c>
      <c r="F107" s="186">
        <f>IF(C107=1,$F$19,IF(AND(A107=1,$K$16="Oui"),-AG106,IF(AND(A107&lt;='Param treso'!$H$32,$K$12="Oui"),IF(A107=1,-AG106,-AG106+G106),IF(AND(A107&lt;='Param treso'!$H$32,C107&lt;='Param treso'!$H$32),G106,IF($K$16="Oui",G106,0)))))</f>
        <v>0</v>
      </c>
      <c r="G107" s="186">
        <f t="shared" si="28"/>
        <v>0</v>
      </c>
      <c r="H107" s="1106">
        <f>F107*'Param treso'!$H$30</f>
        <v>0</v>
      </c>
      <c r="I107" s="1106"/>
      <c r="J107" s="1107"/>
      <c r="K107" s="659">
        <f t="shared" si="29"/>
        <v>0</v>
      </c>
      <c r="L107" s="186">
        <f>IF(K107=0,0,IF(B107=1,K107*(1+'Param treso'!$H$39),PRODUCT(L106,(POWER('Param treso'!$H$39,1)))+L106))</f>
        <v>0</v>
      </c>
      <c r="M107" s="660">
        <f>IFERROR(IF(B107='Param treso'!$H$41,L107-K107,0),0)</f>
        <v>0</v>
      </c>
      <c r="N107" s="186">
        <f>M107+H107+IF(A107='Param treso'!$H$32,G107,0)+IF(B107='Param treso'!$H$41,K107,0)</f>
        <v>0</v>
      </c>
      <c r="O107" s="186">
        <f ca="1">IF($AM$16="Oui",-IFERROR(VLOOKUP(E107,'Crédit (IS)'!$O$8:$P$145,2,FALSE),0),0)-(AN106*$T$14)</f>
        <v>0</v>
      </c>
      <c r="P107" s="186">
        <f ca="1">H107+M107+O107+IF(A107='Param treso'!$H$32,G107-F107,0)</f>
        <v>0</v>
      </c>
      <c r="Q107" s="1106">
        <f t="shared" ca="1" si="30"/>
        <v>0</v>
      </c>
      <c r="R107" s="1106"/>
      <c r="S107" s="1106"/>
      <c r="T107" s="186">
        <f t="shared" ca="1" si="31"/>
        <v>0</v>
      </c>
      <c r="U107" s="662">
        <f t="shared" ca="1" si="32"/>
        <v>0</v>
      </c>
      <c r="V107" s="662">
        <f ca="1">-IF('Param treso'!$H$20="Non",T107*Données!$L$24,IF(T107&lt;=Données!$L$26,T107*Données!$L$25,(Données!$L$26*Données!$L$25)+((T107-Données!$L$26)*Données!$L$24)))</f>
        <v>0</v>
      </c>
      <c r="W107" s="662">
        <f t="shared" ca="1" si="33"/>
        <v>0</v>
      </c>
      <c r="X107" s="186">
        <f ca="1">IF($AM$16="Oui",-IFERROR(VLOOKUP(E107,'Crédit (IS)'!$O$8:$Q$145,3,FALSE),0),0)</f>
        <v>0</v>
      </c>
      <c r="Y107" s="186">
        <f t="shared" ca="1" si="34"/>
        <v>0</v>
      </c>
      <c r="Z107" s="186">
        <f t="shared" ca="1" si="23"/>
        <v>0</v>
      </c>
      <c r="AA107" s="186">
        <f t="shared" ca="1" si="35"/>
        <v>0</v>
      </c>
      <c r="AB107" s="186">
        <f t="shared" ca="1" si="36"/>
        <v>0</v>
      </c>
      <c r="AC107" s="186">
        <f>IF(C107&lt;='Crédit (IR)'!$G$16/12,-(('Crédit (IR)'!$K$17)/(1-'Param treso'!$H$18)),0)</f>
        <v>0</v>
      </c>
      <c r="AD107" s="186">
        <f>IF($AM$14="Non",0,IF(C107&lt;='Crédit (IR)'!$G$16/12,-('Crédit (IR)'!$K$17),0))</f>
        <v>0</v>
      </c>
      <c r="AE107" s="186">
        <f ca="1">-IF(AND(E107&gt;=$AO$10,E107&lt;$AO$12),$AM$10/(1-'Param treso'!$H$18),IF(E107&gt;=$AO$12,$AM$12/(1-'Param treso'!$H$18),0))</f>
        <v>-207782.77014285719</v>
      </c>
      <c r="AF107" s="186">
        <f t="shared" ca="1" si="21"/>
        <v>-145447.93910000002</v>
      </c>
      <c r="AG107" s="186">
        <f>IF(C107=1,IF($K$12="Oui",-(Z107+AI107+AJ107),0),IF(AND($K$12="Oui",$K$16="Oui",A107='Param treso'!$H$32,B107='Param treso'!$H$41),-(Z107+AI107+AJ107+AH107),IF(AND($K$12="Oui",B107='Param treso'!$H$41),-(Z107+AI107+AJ107+AH107),IF(AND(A107='Param treso'!$H$32,$K$16="Oui"),-$F$19,IF($K$12="Oui",-(Z107+AI107+AJ107+AH107),0)))))</f>
        <v>0</v>
      </c>
      <c r="AH107" s="186">
        <f>IF(C107=1,0,IF(AND($K$16="Oui",B107='Param treso'!$H$41),-$K$19,0))</f>
        <v>0</v>
      </c>
      <c r="AI107" s="186">
        <f t="shared" si="22"/>
        <v>0</v>
      </c>
      <c r="AJ107" s="704">
        <f ca="1">IF(AI107=AF107+AD107,0,IF(AD107+AF107&lt;0,IF((Z107+AI107)&gt;=-(AC107+AE107),(AD107+AF107-AI107)/(1-'Param treso'!$H$18),-(Z107+AI107)),0))</f>
        <v>0</v>
      </c>
      <c r="AK107" s="1106">
        <f t="shared" ca="1" si="37"/>
        <v>0</v>
      </c>
      <c r="AL107" s="1106"/>
      <c r="AM107" s="1106"/>
      <c r="AN107" s="660">
        <f t="shared" ca="1" si="38"/>
        <v>0</v>
      </c>
      <c r="AO107" s="696">
        <f ca="1">-AJ107*(1-'Param treso'!$H$18)</f>
        <v>0</v>
      </c>
      <c r="AP107" s="709">
        <f t="shared" ca="1" si="24"/>
        <v>-145447.93910000002</v>
      </c>
    </row>
    <row r="108" spans="1:42">
      <c r="A108" s="708">
        <f>IF(C108&lt;='Param treso'!$H$32,C108,IF(A107&lt;'Param treso'!$H$32,A107+1,1))</f>
        <v>28</v>
      </c>
      <c r="B108" s="708">
        <f>IF(C108&lt;='Param treso'!$H$41,C108,IF(B107&lt;'Param treso'!$H$41,B107+1,1))</f>
        <v>3</v>
      </c>
      <c r="C108" s="639">
        <f t="shared" si="25"/>
        <v>88</v>
      </c>
      <c r="D108" s="639">
        <f t="shared" ca="1" si="26"/>
        <v>148</v>
      </c>
      <c r="E108" s="649">
        <f t="shared" ca="1" si="27"/>
        <v>2114</v>
      </c>
      <c r="F108" s="186">
        <f>IF(C108=1,$F$19,IF(AND(A108=1,$K$16="Oui"),-AG107,IF(AND(A108&lt;='Param treso'!$H$32,$K$12="Oui"),IF(A108=1,-AG107,-AG107+G107),IF(AND(A108&lt;='Param treso'!$H$32,C108&lt;='Param treso'!$H$32),G107,IF($K$16="Oui",G107,0)))))</f>
        <v>0</v>
      </c>
      <c r="G108" s="186">
        <f t="shared" si="28"/>
        <v>0</v>
      </c>
      <c r="H108" s="1106">
        <f>F108*'Param treso'!$H$30</f>
        <v>0</v>
      </c>
      <c r="I108" s="1106"/>
      <c r="J108" s="1107"/>
      <c r="K108" s="659">
        <f t="shared" si="29"/>
        <v>0</v>
      </c>
      <c r="L108" s="186">
        <f>IF(K108=0,0,IF(B108=1,K108*(1+'Param treso'!$H$39),PRODUCT(L107,(POWER('Param treso'!$H$39,1)))+L107))</f>
        <v>0</v>
      </c>
      <c r="M108" s="660">
        <f>IFERROR(IF(B108='Param treso'!$H$41,L108-K108,0),0)</f>
        <v>0</v>
      </c>
      <c r="N108" s="186">
        <f>M108+H108+IF(A108='Param treso'!$H$32,G108,0)+IF(B108='Param treso'!$H$41,K108,0)</f>
        <v>0</v>
      </c>
      <c r="O108" s="186">
        <f ca="1">IF($AM$16="Oui",-IFERROR(VLOOKUP(E108,'Crédit (IS)'!$O$8:$P$145,2,FALSE),0),0)-(AN107*$T$14)</f>
        <v>0</v>
      </c>
      <c r="P108" s="186">
        <f ca="1">H108+M108+O108+IF(A108='Param treso'!$H$32,G108-F108,0)</f>
        <v>0</v>
      </c>
      <c r="Q108" s="1106">
        <f t="shared" ca="1" si="30"/>
        <v>0</v>
      </c>
      <c r="R108" s="1106"/>
      <c r="S108" s="1106"/>
      <c r="T108" s="186">
        <f t="shared" ca="1" si="31"/>
        <v>0</v>
      </c>
      <c r="U108" s="662">
        <f t="shared" ca="1" si="32"/>
        <v>0</v>
      </c>
      <c r="V108" s="662">
        <f ca="1">-IF('Param treso'!$H$20="Non",T108*Données!$L$24,IF(T108&lt;=Données!$L$26,T108*Données!$L$25,(Données!$L$26*Données!$L$25)+((T108-Données!$L$26)*Données!$L$24)))</f>
        <v>0</v>
      </c>
      <c r="W108" s="662">
        <f t="shared" ca="1" si="33"/>
        <v>0</v>
      </c>
      <c r="X108" s="186">
        <f ca="1">IF($AM$16="Oui",-IFERROR(VLOOKUP(E108,'Crédit (IS)'!$O$8:$Q$145,3,FALSE),0),0)</f>
        <v>0</v>
      </c>
      <c r="Y108" s="186">
        <f t="shared" ca="1" si="34"/>
        <v>0</v>
      </c>
      <c r="Z108" s="186">
        <f t="shared" ca="1" si="23"/>
        <v>0</v>
      </c>
      <c r="AA108" s="186">
        <f t="shared" ca="1" si="35"/>
        <v>0</v>
      </c>
      <c r="AB108" s="186">
        <f t="shared" ca="1" si="36"/>
        <v>0</v>
      </c>
      <c r="AC108" s="186">
        <f>IF(C108&lt;='Crédit (IR)'!$G$16/12,-(('Crédit (IR)'!$K$17)/(1-'Param treso'!$H$18)),0)</f>
        <v>0</v>
      </c>
      <c r="AD108" s="186">
        <f>IF($AM$14="Non",0,IF(C108&lt;='Crédit (IR)'!$G$16/12,-('Crédit (IR)'!$K$17),0))</f>
        <v>0</v>
      </c>
      <c r="AE108" s="186">
        <f ca="1">-IF(AND(E108&gt;=$AO$10,E108&lt;$AO$12),$AM$10/(1-'Param treso'!$H$18),IF(E108&gt;=$AO$12,$AM$12/(1-'Param treso'!$H$18),0))</f>
        <v>-207782.77014285719</v>
      </c>
      <c r="AF108" s="186">
        <f t="shared" ca="1" si="21"/>
        <v>-145447.93910000002</v>
      </c>
      <c r="AG108" s="186">
        <f>IF(C108=1,IF($K$12="Oui",-(Z108+AI108+AJ108),0),IF(AND($K$12="Oui",$K$16="Oui",A108='Param treso'!$H$32,B108='Param treso'!$H$41),-(Z108+AI108+AJ108+AH108),IF(AND($K$12="Oui",B108='Param treso'!$H$41),-(Z108+AI108+AJ108+AH108),IF(AND(A108='Param treso'!$H$32,$K$16="Oui"),-$F$19,IF($K$12="Oui",-(Z108+AI108+AJ108+AH108),0)))))</f>
        <v>0</v>
      </c>
      <c r="AH108" s="186">
        <f>IF(C108=1,0,IF(AND($K$16="Oui",B108='Param treso'!$H$41),-$K$19,0))</f>
        <v>0</v>
      </c>
      <c r="AI108" s="186">
        <f t="shared" si="22"/>
        <v>0</v>
      </c>
      <c r="AJ108" s="704">
        <f ca="1">IF(AI108=AF108+AD108,0,IF(AD108+AF108&lt;0,IF((Z108+AI108)&gt;=-(AC108+AE108),(AD108+AF108-AI108)/(1-'Param treso'!$H$18),-(Z108+AI108)),0))</f>
        <v>0</v>
      </c>
      <c r="AK108" s="1106">
        <f t="shared" ca="1" si="37"/>
        <v>0</v>
      </c>
      <c r="AL108" s="1106"/>
      <c r="AM108" s="1106"/>
      <c r="AN108" s="660">
        <f t="shared" ca="1" si="38"/>
        <v>0</v>
      </c>
      <c r="AO108" s="696">
        <f ca="1">-AJ108*(1-'Param treso'!$H$18)</f>
        <v>0</v>
      </c>
      <c r="AP108" s="709">
        <f t="shared" ca="1" si="24"/>
        <v>-145447.93910000002</v>
      </c>
    </row>
    <row r="109" spans="1:42">
      <c r="A109" s="708">
        <f>IF(C109&lt;='Param treso'!$H$32,C109,IF(A108&lt;'Param treso'!$H$32,A108+1,1))</f>
        <v>29</v>
      </c>
      <c r="B109" s="708">
        <f>IF(C109&lt;='Param treso'!$H$41,C109,IF(B108&lt;'Param treso'!$H$41,B108+1,1))</f>
        <v>4</v>
      </c>
      <c r="C109" s="639">
        <f t="shared" si="25"/>
        <v>89</v>
      </c>
      <c r="D109" s="639">
        <f t="shared" ca="1" si="26"/>
        <v>149</v>
      </c>
      <c r="E109" s="649">
        <f t="shared" ca="1" si="27"/>
        <v>2115</v>
      </c>
      <c r="F109" s="186">
        <f>IF(C109=1,$F$19,IF(AND(A109=1,$K$16="Oui"),-AG108,IF(AND(A109&lt;='Param treso'!$H$32,$K$12="Oui"),IF(A109=1,-AG108,-AG108+G108),IF(AND(A109&lt;='Param treso'!$H$32,C109&lt;='Param treso'!$H$32),G108,IF($K$16="Oui",G108,0)))))</f>
        <v>0</v>
      </c>
      <c r="G109" s="186">
        <f t="shared" si="28"/>
        <v>0</v>
      </c>
      <c r="H109" s="1106">
        <f>F109*'Param treso'!$H$30</f>
        <v>0</v>
      </c>
      <c r="I109" s="1106"/>
      <c r="J109" s="1107"/>
      <c r="K109" s="659">
        <f t="shared" si="29"/>
        <v>0</v>
      </c>
      <c r="L109" s="186">
        <f>IF(K109=0,0,IF(B109=1,K109*(1+'Param treso'!$H$39),PRODUCT(L108,(POWER('Param treso'!$H$39,1)))+L108))</f>
        <v>0</v>
      </c>
      <c r="M109" s="660">
        <f>IFERROR(IF(B109='Param treso'!$H$41,L109-K109,0),0)</f>
        <v>0</v>
      </c>
      <c r="N109" s="186">
        <f>M109+H109+IF(A109='Param treso'!$H$32,G109,0)+IF(B109='Param treso'!$H$41,K109,0)</f>
        <v>0</v>
      </c>
      <c r="O109" s="186">
        <f ca="1">IF($AM$16="Oui",-IFERROR(VLOOKUP(E109,'Crédit (IS)'!$O$8:$P$145,2,FALSE),0),0)-(AN108*$T$14)</f>
        <v>0</v>
      </c>
      <c r="P109" s="186">
        <f ca="1">H109+M109+O109+IF(A109='Param treso'!$H$32,G109-F109,0)</f>
        <v>0</v>
      </c>
      <c r="Q109" s="1106">
        <f t="shared" ca="1" si="30"/>
        <v>0</v>
      </c>
      <c r="R109" s="1106"/>
      <c r="S109" s="1106"/>
      <c r="T109" s="186">
        <f t="shared" ca="1" si="31"/>
        <v>0</v>
      </c>
      <c r="U109" s="662">
        <f t="shared" ca="1" si="32"/>
        <v>0</v>
      </c>
      <c r="V109" s="662">
        <f ca="1">-IF('Param treso'!$H$20="Non",T109*Données!$L$24,IF(T109&lt;=Données!$L$26,T109*Données!$L$25,(Données!$L$26*Données!$L$25)+((T109-Données!$L$26)*Données!$L$24)))</f>
        <v>0</v>
      </c>
      <c r="W109" s="662">
        <f t="shared" ca="1" si="33"/>
        <v>0</v>
      </c>
      <c r="X109" s="186">
        <f ca="1">IF($AM$16="Oui",-IFERROR(VLOOKUP(E109,'Crédit (IS)'!$O$8:$Q$145,3,FALSE),0),0)</f>
        <v>0</v>
      </c>
      <c r="Y109" s="186">
        <f t="shared" ca="1" si="34"/>
        <v>0</v>
      </c>
      <c r="Z109" s="186">
        <f t="shared" ca="1" si="23"/>
        <v>0</v>
      </c>
      <c r="AA109" s="186">
        <f t="shared" ca="1" si="35"/>
        <v>0</v>
      </c>
      <c r="AB109" s="186">
        <f t="shared" ca="1" si="36"/>
        <v>0</v>
      </c>
      <c r="AC109" s="186">
        <f>IF(C109&lt;='Crédit (IR)'!$G$16/12,-(('Crédit (IR)'!$K$17)/(1-'Param treso'!$H$18)),0)</f>
        <v>0</v>
      </c>
      <c r="AD109" s="186">
        <f>IF($AM$14="Non",0,IF(C109&lt;='Crédit (IR)'!$G$16/12,-('Crédit (IR)'!$K$17),0))</f>
        <v>0</v>
      </c>
      <c r="AE109" s="186">
        <f ca="1">-IF(AND(E109&gt;=$AO$10,E109&lt;$AO$12),$AM$10/(1-'Param treso'!$H$18),IF(E109&gt;=$AO$12,$AM$12/(1-'Param treso'!$H$18),0))</f>
        <v>-207782.77014285719</v>
      </c>
      <c r="AF109" s="186">
        <f t="shared" ca="1" si="21"/>
        <v>-145447.93910000002</v>
      </c>
      <c r="AG109" s="186">
        <f>IF(C109=1,IF($K$12="Oui",-(Z109+AI109+AJ109),0),IF(AND($K$12="Oui",$K$16="Oui",A109='Param treso'!$H$32,B109='Param treso'!$H$41),-(Z109+AI109+AJ109+AH109),IF(AND($K$12="Oui",B109='Param treso'!$H$41),-(Z109+AI109+AJ109+AH109),IF(AND(A109='Param treso'!$H$32,$K$16="Oui"),-$F$19,IF($K$12="Oui",-(Z109+AI109+AJ109+AH109),0)))))</f>
        <v>0</v>
      </c>
      <c r="AH109" s="186">
        <f>IF(C109=1,0,IF(AND($K$16="Oui",B109='Param treso'!$H$41),-$K$19,0))</f>
        <v>0</v>
      </c>
      <c r="AI109" s="186">
        <f t="shared" si="22"/>
        <v>0</v>
      </c>
      <c r="AJ109" s="704">
        <f ca="1">IF(AI109=AF109+AD109,0,IF(AD109+AF109&lt;0,IF((Z109+AI109)&gt;=-(AC109+AE109),(AD109+AF109-AI109)/(1-'Param treso'!$H$18),-(Z109+AI109)),0))</f>
        <v>0</v>
      </c>
      <c r="AK109" s="1106">
        <f t="shared" ca="1" si="37"/>
        <v>0</v>
      </c>
      <c r="AL109" s="1106"/>
      <c r="AM109" s="1106"/>
      <c r="AN109" s="660">
        <f t="shared" ca="1" si="38"/>
        <v>0</v>
      </c>
      <c r="AO109" s="696">
        <f ca="1">-AJ109*(1-'Param treso'!$H$18)</f>
        <v>0</v>
      </c>
      <c r="AP109" s="709">
        <f t="shared" ca="1" si="24"/>
        <v>-145447.93910000002</v>
      </c>
    </row>
    <row r="110" spans="1:42">
      <c r="A110" s="708">
        <f>IF(C110&lt;='Param treso'!$H$32,C110,IF(A109&lt;'Param treso'!$H$32,A109+1,1))</f>
        <v>30</v>
      </c>
      <c r="B110" s="708">
        <f>IF(C110&lt;='Param treso'!$H$41,C110,IF(B109&lt;'Param treso'!$H$41,B109+1,1))</f>
        <v>5</v>
      </c>
      <c r="C110" s="639">
        <f t="shared" si="25"/>
        <v>90</v>
      </c>
      <c r="D110" s="639">
        <f t="shared" ca="1" si="26"/>
        <v>150</v>
      </c>
      <c r="E110" s="649">
        <f t="shared" ca="1" si="27"/>
        <v>2116</v>
      </c>
      <c r="F110" s="186">
        <f>IF(C110=1,$F$19,IF(AND(A110=1,$K$16="Oui"),-AG109,IF(AND(A110&lt;='Param treso'!$H$32,$K$12="Oui"),IF(A110=1,-AG109,-AG109+G109),IF(AND(A110&lt;='Param treso'!$H$32,C110&lt;='Param treso'!$H$32),G109,IF($K$16="Oui",G109,0)))))</f>
        <v>0</v>
      </c>
      <c r="G110" s="186">
        <f t="shared" si="28"/>
        <v>0</v>
      </c>
      <c r="H110" s="1106">
        <f>F110*'Param treso'!$H$30</f>
        <v>0</v>
      </c>
      <c r="I110" s="1106"/>
      <c r="J110" s="1107"/>
      <c r="K110" s="659">
        <f t="shared" si="29"/>
        <v>0</v>
      </c>
      <c r="L110" s="186">
        <f>IF(K110=0,0,IF(B110=1,K110*(1+'Param treso'!$H$39),PRODUCT(L109,(POWER('Param treso'!$H$39,1)))+L109))</f>
        <v>0</v>
      </c>
      <c r="M110" s="660">
        <f>IFERROR(IF(B110='Param treso'!$H$41,L110-K110,0),0)</f>
        <v>0</v>
      </c>
      <c r="N110" s="186">
        <f>M110+H110+IF(A110='Param treso'!$H$32,G110,0)+IF(B110='Param treso'!$H$41,K110,0)</f>
        <v>0</v>
      </c>
      <c r="O110" s="186">
        <f ca="1">IF($AM$16="Oui",-IFERROR(VLOOKUP(E110,'Crédit (IS)'!$O$8:$P$145,2,FALSE),0),0)-(AN109*$T$14)</f>
        <v>0</v>
      </c>
      <c r="P110" s="186">
        <f ca="1">H110+M110+O110+IF(A110='Param treso'!$H$32,G110-F110,0)</f>
        <v>0</v>
      </c>
      <c r="Q110" s="1106">
        <f t="shared" ca="1" si="30"/>
        <v>0</v>
      </c>
      <c r="R110" s="1106"/>
      <c r="S110" s="1106"/>
      <c r="T110" s="186">
        <f t="shared" ca="1" si="31"/>
        <v>0</v>
      </c>
      <c r="U110" s="662">
        <f t="shared" ca="1" si="32"/>
        <v>0</v>
      </c>
      <c r="V110" s="662">
        <f ca="1">-IF('Param treso'!$H$20="Non",T110*Données!$L$24,IF(T110&lt;=Données!$L$26,T110*Données!$L$25,(Données!$L$26*Données!$L$25)+((T110-Données!$L$26)*Données!$L$24)))</f>
        <v>0</v>
      </c>
      <c r="W110" s="662">
        <f t="shared" ca="1" si="33"/>
        <v>0</v>
      </c>
      <c r="X110" s="186">
        <f ca="1">IF($AM$16="Oui",-IFERROR(VLOOKUP(E110,'Crédit (IS)'!$O$8:$Q$145,3,FALSE),0),0)</f>
        <v>0</v>
      </c>
      <c r="Y110" s="186">
        <f t="shared" ca="1" si="34"/>
        <v>0</v>
      </c>
      <c r="Z110" s="186">
        <f t="shared" ca="1" si="23"/>
        <v>0</v>
      </c>
      <c r="AA110" s="186">
        <f t="shared" ca="1" si="35"/>
        <v>0</v>
      </c>
      <c r="AB110" s="186">
        <f t="shared" ca="1" si="36"/>
        <v>0</v>
      </c>
      <c r="AC110" s="186">
        <f>IF(C110&lt;='Crédit (IR)'!$G$16/12,-(('Crédit (IR)'!$K$17)/(1-'Param treso'!$H$18)),0)</f>
        <v>0</v>
      </c>
      <c r="AD110" s="186">
        <f>IF($AM$14="Non",0,IF(C110&lt;='Crédit (IR)'!$G$16/12,-('Crédit (IR)'!$K$17),0))</f>
        <v>0</v>
      </c>
      <c r="AE110" s="186">
        <f ca="1">-IF(AND(E110&gt;=$AO$10,E110&lt;$AO$12),$AM$10/(1-'Param treso'!$H$18),IF(E110&gt;=$AO$12,$AM$12/(1-'Param treso'!$H$18),0))</f>
        <v>-207782.77014285719</v>
      </c>
      <c r="AF110" s="186">
        <f t="shared" ca="1" si="21"/>
        <v>-145447.93910000002</v>
      </c>
      <c r="AG110" s="186">
        <f>IF(C110=1,IF($K$12="Oui",-(Z110+AI110+AJ110),0),IF(AND($K$12="Oui",$K$16="Oui",A110='Param treso'!$H$32,B110='Param treso'!$H$41),-(Z110+AI110+AJ110+AH110),IF(AND($K$12="Oui",B110='Param treso'!$H$41),-(Z110+AI110+AJ110+AH110),IF(AND(A110='Param treso'!$H$32,$K$16="Oui"),-$F$19,IF($K$12="Oui",-(Z110+AI110+AJ110+AH110),0)))))</f>
        <v>0</v>
      </c>
      <c r="AH110" s="186">
        <f>IF(C110=1,0,IF(AND($K$16="Oui",B110='Param treso'!$H$41),-$K$19,0))</f>
        <v>0</v>
      </c>
      <c r="AI110" s="186">
        <f t="shared" si="22"/>
        <v>0</v>
      </c>
      <c r="AJ110" s="704">
        <f ca="1">IF(AI110=AF110+AD110,0,IF(AD110+AF110&lt;0,IF((Z110+AI110)&gt;=-(AC110+AE110),(AD110+AF110-AI110)/(1-'Param treso'!$H$18),-(Z110+AI110)),0))</f>
        <v>0</v>
      </c>
      <c r="AK110" s="1106">
        <f t="shared" ca="1" si="37"/>
        <v>0</v>
      </c>
      <c r="AL110" s="1106"/>
      <c r="AM110" s="1106"/>
      <c r="AN110" s="660">
        <f t="shared" ca="1" si="38"/>
        <v>0</v>
      </c>
      <c r="AO110" s="696">
        <f ca="1">-AJ110*(1-'Param treso'!$H$18)</f>
        <v>0</v>
      </c>
      <c r="AP110" s="709">
        <f t="shared" ca="1" si="24"/>
        <v>-145447.93910000002</v>
      </c>
    </row>
    <row r="111" spans="1:42">
      <c r="A111" s="708">
        <f>IF(C111&lt;='Param treso'!$H$32,C111,IF(A110&lt;'Param treso'!$H$32,A110+1,1))</f>
        <v>1</v>
      </c>
      <c r="B111" s="708">
        <f>IF(C111&lt;='Param treso'!$H$41,C111,IF(B110&lt;'Param treso'!$H$41,B110+1,1))</f>
        <v>1</v>
      </c>
      <c r="C111" s="639">
        <f t="shared" si="25"/>
        <v>91</v>
      </c>
      <c r="D111" s="639">
        <f t="shared" ca="1" si="26"/>
        <v>151</v>
      </c>
      <c r="E111" s="649">
        <f t="shared" ca="1" si="27"/>
        <v>2117</v>
      </c>
      <c r="F111" s="186">
        <f>IF(C111=1,$F$19,IF(AND(A111=1,$K$16="Oui"),-AG110,IF(AND(A111&lt;='Param treso'!$H$32,$K$12="Oui"),IF(A111=1,-AG110,-AG110+G110),IF(AND(A111&lt;='Param treso'!$H$32,C111&lt;='Param treso'!$H$32),G110,IF($K$16="Oui",G110,0)))))</f>
        <v>0</v>
      </c>
      <c r="G111" s="186">
        <f t="shared" si="28"/>
        <v>0</v>
      </c>
      <c r="H111" s="1106">
        <f>F111*'Param treso'!$H$30</f>
        <v>0</v>
      </c>
      <c r="I111" s="1106"/>
      <c r="J111" s="1107"/>
      <c r="K111" s="659">
        <f t="shared" si="29"/>
        <v>0</v>
      </c>
      <c r="L111" s="186">
        <f>IF(K111=0,0,IF(B111=1,K111*(1+'Param treso'!$H$39),PRODUCT(L110,(POWER('Param treso'!$H$39,1)))+L110))</f>
        <v>0</v>
      </c>
      <c r="M111" s="660">
        <f>IFERROR(IF(B111='Param treso'!$H$41,L111-K111,0),0)</f>
        <v>0</v>
      </c>
      <c r="N111" s="186">
        <f>M111+H111+IF(A111='Param treso'!$H$32,G111,0)+IF(B111='Param treso'!$H$41,K111,0)</f>
        <v>0</v>
      </c>
      <c r="O111" s="186">
        <f ca="1">IF($AM$16="Oui",-IFERROR(VLOOKUP(E111,'Crédit (IS)'!$O$8:$P$145,2,FALSE),0),0)-(AN110*$T$14)</f>
        <v>0</v>
      </c>
      <c r="P111" s="186">
        <f ca="1">H111+M111+O111+IF(A111='Param treso'!$H$32,G111-F111,0)</f>
        <v>0</v>
      </c>
      <c r="Q111" s="1106">
        <f t="shared" ca="1" si="30"/>
        <v>0</v>
      </c>
      <c r="R111" s="1106"/>
      <c r="S111" s="1106"/>
      <c r="T111" s="186">
        <f t="shared" ca="1" si="31"/>
        <v>0</v>
      </c>
      <c r="U111" s="662">
        <f t="shared" ca="1" si="32"/>
        <v>0</v>
      </c>
      <c r="V111" s="662">
        <f ca="1">-IF('Param treso'!$H$20="Non",T111*Données!$L$24,IF(T111&lt;=Données!$L$26,T111*Données!$L$25,(Données!$L$26*Données!$L$25)+((T111-Données!$L$26)*Données!$L$24)))</f>
        <v>0</v>
      </c>
      <c r="W111" s="662">
        <f t="shared" ca="1" si="33"/>
        <v>0</v>
      </c>
      <c r="X111" s="186">
        <f ca="1">IF($AM$16="Oui",-IFERROR(VLOOKUP(E111,'Crédit (IS)'!$O$8:$Q$145,3,FALSE),0),0)</f>
        <v>0</v>
      </c>
      <c r="Y111" s="186">
        <f t="shared" ca="1" si="34"/>
        <v>0</v>
      </c>
      <c r="Z111" s="186">
        <f t="shared" ca="1" si="23"/>
        <v>0</v>
      </c>
      <c r="AA111" s="186">
        <f t="shared" ca="1" si="35"/>
        <v>0</v>
      </c>
      <c r="AB111" s="186">
        <f t="shared" ca="1" si="36"/>
        <v>0</v>
      </c>
      <c r="AC111" s="186">
        <f>IF(C111&lt;='Crédit (IR)'!$G$16/12,-(('Crédit (IR)'!$K$17)/(1-'Param treso'!$H$18)),0)</f>
        <v>0</v>
      </c>
      <c r="AD111" s="186">
        <f>IF($AM$14="Non",0,IF(C111&lt;='Crédit (IR)'!$G$16/12,-('Crédit (IR)'!$K$17),0))</f>
        <v>0</v>
      </c>
      <c r="AE111" s="186">
        <f ca="1">-IF(AND(E111&gt;=$AO$10,E111&lt;$AO$12),$AM$10/(1-'Param treso'!$H$18),IF(E111&gt;=$AO$12,$AM$12/(1-'Param treso'!$H$18),0))</f>
        <v>-207782.77014285719</v>
      </c>
      <c r="AF111" s="186">
        <f t="shared" ca="1" si="21"/>
        <v>-145447.93910000002</v>
      </c>
      <c r="AG111" s="186">
        <f>IF(C111=1,IF($K$12="Oui",-(Z111+AI111+AJ111),0),IF(AND($K$12="Oui",$K$16="Oui",A111='Param treso'!$H$32,B111='Param treso'!$H$41),-(Z111+AI111+AJ111+AH111),IF(AND($K$12="Oui",B111='Param treso'!$H$41),-(Z111+AI111+AJ111+AH111),IF(AND(A111='Param treso'!$H$32,$K$16="Oui"),-$F$19,IF($K$12="Oui",-(Z111+AI111+AJ111+AH111),0)))))</f>
        <v>0</v>
      </c>
      <c r="AH111" s="186">
        <f>IF(C111=1,0,IF(AND($K$16="Oui",B111='Param treso'!$H$41),-$K$19,0))</f>
        <v>0</v>
      </c>
      <c r="AI111" s="186">
        <f t="shared" si="22"/>
        <v>0</v>
      </c>
      <c r="AJ111" s="704">
        <f ca="1">IF(AI111=AF111+AD111,0,IF(AD111+AF111&lt;0,IF((Z111+AI111)&gt;=-(AC111+AE111),(AD111+AF111-AI111)/(1-'Param treso'!$H$18),-(Z111+AI111)),0))</f>
        <v>0</v>
      </c>
      <c r="AK111" s="1106">
        <f t="shared" ca="1" si="37"/>
        <v>0</v>
      </c>
      <c r="AL111" s="1106"/>
      <c r="AM111" s="1106"/>
      <c r="AN111" s="660">
        <f t="shared" ca="1" si="38"/>
        <v>0</v>
      </c>
      <c r="AO111" s="696">
        <f ca="1">-AJ111*(1-'Param treso'!$H$18)</f>
        <v>0</v>
      </c>
      <c r="AP111" s="709">
        <f t="shared" ca="1" si="24"/>
        <v>-145447.93910000002</v>
      </c>
    </row>
    <row r="112" spans="1:42">
      <c r="A112" s="708">
        <f>IF(C112&lt;='Param treso'!$H$32,C112,IF(A111&lt;'Param treso'!$H$32,A111+1,1))</f>
        <v>2</v>
      </c>
      <c r="B112" s="708">
        <f>IF(C112&lt;='Param treso'!$H$41,C112,IF(B111&lt;'Param treso'!$H$41,B111+1,1))</f>
        <v>2</v>
      </c>
      <c r="C112" s="639">
        <f t="shared" si="25"/>
        <v>92</v>
      </c>
      <c r="D112" s="639">
        <f t="shared" ca="1" si="26"/>
        <v>152</v>
      </c>
      <c r="E112" s="649">
        <f t="shared" ca="1" si="27"/>
        <v>2118</v>
      </c>
      <c r="F112" s="186">
        <f>IF(C112=1,$F$19,IF(AND(A112=1,$K$16="Oui"),-AG111,IF(AND(A112&lt;='Param treso'!$H$32,$K$12="Oui"),IF(A112=1,-AG111,-AG111+G111),IF(AND(A112&lt;='Param treso'!$H$32,C112&lt;='Param treso'!$H$32),G111,IF($K$16="Oui",G111,0)))))</f>
        <v>0</v>
      </c>
      <c r="G112" s="186">
        <f t="shared" si="28"/>
        <v>0</v>
      </c>
      <c r="H112" s="1106">
        <f>F112*'Param treso'!$H$30</f>
        <v>0</v>
      </c>
      <c r="I112" s="1106"/>
      <c r="J112" s="1107"/>
      <c r="K112" s="659">
        <f t="shared" si="29"/>
        <v>0</v>
      </c>
      <c r="L112" s="186">
        <f>IF(K112=0,0,IF(B112=1,K112*(1+'Param treso'!$H$39),PRODUCT(L111,(POWER('Param treso'!$H$39,1)))+L111))</f>
        <v>0</v>
      </c>
      <c r="M112" s="660">
        <f>IFERROR(IF(B112='Param treso'!$H$41,L112-K112,0),0)</f>
        <v>0</v>
      </c>
      <c r="N112" s="186">
        <f>M112+H112+IF(A112='Param treso'!$H$32,G112,0)+IF(B112='Param treso'!$H$41,K112,0)</f>
        <v>0</v>
      </c>
      <c r="O112" s="186">
        <f ca="1">IF($AM$16="Oui",-IFERROR(VLOOKUP(E112,'Crédit (IS)'!$O$8:$P$145,2,FALSE),0),0)-(AN111*$T$14)</f>
        <v>0</v>
      </c>
      <c r="P112" s="186">
        <f ca="1">H112+M112+O112+IF(A112='Param treso'!$H$32,G112-F112,0)</f>
        <v>0</v>
      </c>
      <c r="Q112" s="1106">
        <f t="shared" ca="1" si="30"/>
        <v>0</v>
      </c>
      <c r="R112" s="1106"/>
      <c r="S112" s="1106"/>
      <c r="T112" s="186">
        <f t="shared" ca="1" si="31"/>
        <v>0</v>
      </c>
      <c r="U112" s="662">
        <f t="shared" ca="1" si="32"/>
        <v>0</v>
      </c>
      <c r="V112" s="662">
        <f ca="1">-IF('Param treso'!$H$20="Non",T112*Données!$L$24,IF(T112&lt;=Données!$L$26,T112*Données!$L$25,(Données!$L$26*Données!$L$25)+((T112-Données!$L$26)*Données!$L$24)))</f>
        <v>0</v>
      </c>
      <c r="W112" s="662">
        <f t="shared" ca="1" si="33"/>
        <v>0</v>
      </c>
      <c r="X112" s="186">
        <f ca="1">IF($AM$16="Oui",-IFERROR(VLOOKUP(E112,'Crédit (IS)'!$O$8:$Q$145,3,FALSE),0),0)</f>
        <v>0</v>
      </c>
      <c r="Y112" s="186">
        <f t="shared" ca="1" si="34"/>
        <v>0</v>
      </c>
      <c r="Z112" s="186">
        <f t="shared" ca="1" si="23"/>
        <v>0</v>
      </c>
      <c r="AA112" s="186">
        <f t="shared" ca="1" si="35"/>
        <v>0</v>
      </c>
      <c r="AB112" s="186">
        <f t="shared" ca="1" si="36"/>
        <v>0</v>
      </c>
      <c r="AC112" s="186">
        <f>IF(C112&lt;='Crédit (IR)'!$G$16/12,-(('Crédit (IR)'!$K$17)/(1-'Param treso'!$H$18)),0)</f>
        <v>0</v>
      </c>
      <c r="AD112" s="186">
        <f>IF($AM$14="Non",0,IF(C112&lt;='Crédit (IR)'!$G$16/12,-('Crédit (IR)'!$K$17),0))</f>
        <v>0</v>
      </c>
      <c r="AE112" s="186">
        <f ca="1">-IF(AND(E112&gt;=$AO$10,E112&lt;$AO$12),$AM$10/(1-'Param treso'!$H$18),IF(E112&gt;=$AO$12,$AM$12/(1-'Param treso'!$H$18),0))</f>
        <v>-207782.77014285719</v>
      </c>
      <c r="AF112" s="186">
        <f t="shared" ca="1" si="21"/>
        <v>-145447.93910000002</v>
      </c>
      <c r="AG112" s="186">
        <f>IF(C112=1,IF($K$12="Oui",-(Z112+AI112+AJ112),0),IF(AND($K$12="Oui",$K$16="Oui",A112='Param treso'!$H$32,B112='Param treso'!$H$41),-(Z112+AI112+AJ112+AH112),IF(AND($K$12="Oui",B112='Param treso'!$H$41),-(Z112+AI112+AJ112+AH112),IF(AND(A112='Param treso'!$H$32,$K$16="Oui"),-$F$19,IF($K$12="Oui",-(Z112+AI112+AJ112+AH112),0)))))</f>
        <v>0</v>
      </c>
      <c r="AH112" s="186">
        <f>IF(C112=1,0,IF(AND($K$16="Oui",B112='Param treso'!$H$41),-$K$19,0))</f>
        <v>0</v>
      </c>
      <c r="AI112" s="186">
        <f t="shared" si="22"/>
        <v>0</v>
      </c>
      <c r="AJ112" s="704">
        <f ca="1">IF(AI112=AF112+AD112,0,IF(AD112+AF112&lt;0,IF((Z112+AI112)&gt;=-(AC112+AE112),(AD112+AF112-AI112)/(1-'Param treso'!$H$18),-(Z112+AI112)),0))</f>
        <v>0</v>
      </c>
      <c r="AK112" s="1106">
        <f t="shared" ca="1" si="37"/>
        <v>0</v>
      </c>
      <c r="AL112" s="1106"/>
      <c r="AM112" s="1106"/>
      <c r="AN112" s="660">
        <f t="shared" ca="1" si="38"/>
        <v>0</v>
      </c>
      <c r="AO112" s="696">
        <f ca="1">-AJ112*(1-'Param treso'!$H$18)</f>
        <v>0</v>
      </c>
      <c r="AP112" s="709">
        <f t="shared" ca="1" si="24"/>
        <v>-145447.93910000002</v>
      </c>
    </row>
    <row r="113" spans="1:42">
      <c r="A113" s="708">
        <f>IF(C113&lt;='Param treso'!$H$32,C113,IF(A112&lt;'Param treso'!$H$32,A112+1,1))</f>
        <v>3</v>
      </c>
      <c r="B113" s="708">
        <f>IF(C113&lt;='Param treso'!$H$41,C113,IF(B112&lt;'Param treso'!$H$41,B112+1,1))</f>
        <v>3</v>
      </c>
      <c r="C113" s="639">
        <f t="shared" si="25"/>
        <v>93</v>
      </c>
      <c r="D113" s="639">
        <f t="shared" ca="1" si="26"/>
        <v>153</v>
      </c>
      <c r="E113" s="649">
        <f t="shared" ca="1" si="27"/>
        <v>2119</v>
      </c>
      <c r="F113" s="186">
        <f>IF(C113=1,$F$19,IF(AND(A113=1,$K$16="Oui"),-AG112,IF(AND(A113&lt;='Param treso'!$H$32,$K$12="Oui"),IF(A113=1,-AG112,-AG112+G112),IF(AND(A113&lt;='Param treso'!$H$32,C113&lt;='Param treso'!$H$32),G112,IF($K$16="Oui",G112,0)))))</f>
        <v>0</v>
      </c>
      <c r="G113" s="186">
        <f t="shared" si="28"/>
        <v>0</v>
      </c>
      <c r="H113" s="1106">
        <f>F113*'Param treso'!$H$30</f>
        <v>0</v>
      </c>
      <c r="I113" s="1106"/>
      <c r="J113" s="1107"/>
      <c r="K113" s="659">
        <f t="shared" si="29"/>
        <v>0</v>
      </c>
      <c r="L113" s="186">
        <f>IF(K113=0,0,IF(B113=1,K113*(1+'Param treso'!$H$39),PRODUCT(L112,(POWER('Param treso'!$H$39,1)))+L112))</f>
        <v>0</v>
      </c>
      <c r="M113" s="660">
        <f>IFERROR(IF(B113='Param treso'!$H$41,L113-K113,0),0)</f>
        <v>0</v>
      </c>
      <c r="N113" s="186">
        <f>M113+H113+IF(A113='Param treso'!$H$32,G113,0)+IF(B113='Param treso'!$H$41,K113,0)</f>
        <v>0</v>
      </c>
      <c r="O113" s="186">
        <f ca="1">IF($AM$16="Oui",-IFERROR(VLOOKUP(E113,'Crédit (IS)'!$O$8:$P$145,2,FALSE),0),0)-(AN112*$T$14)</f>
        <v>0</v>
      </c>
      <c r="P113" s="186">
        <f ca="1">H113+M113+O113+IF(A113='Param treso'!$H$32,G113-F113,0)</f>
        <v>0</v>
      </c>
      <c r="Q113" s="1106">
        <f t="shared" ca="1" si="30"/>
        <v>0</v>
      </c>
      <c r="R113" s="1106"/>
      <c r="S113" s="1106"/>
      <c r="T113" s="186">
        <f t="shared" ca="1" si="31"/>
        <v>0</v>
      </c>
      <c r="U113" s="662">
        <f t="shared" ca="1" si="32"/>
        <v>0</v>
      </c>
      <c r="V113" s="662">
        <f ca="1">-IF('Param treso'!$H$20="Non",T113*Données!$L$24,IF(T113&lt;=Données!$L$26,T113*Données!$L$25,(Données!$L$26*Données!$L$25)+((T113-Données!$L$26)*Données!$L$24)))</f>
        <v>0</v>
      </c>
      <c r="W113" s="662">
        <f t="shared" ca="1" si="33"/>
        <v>0</v>
      </c>
      <c r="X113" s="186">
        <f ca="1">IF($AM$16="Oui",-IFERROR(VLOOKUP(E113,'Crédit (IS)'!$O$8:$Q$145,3,FALSE),0),0)</f>
        <v>0</v>
      </c>
      <c r="Y113" s="186">
        <f t="shared" ca="1" si="34"/>
        <v>0</v>
      </c>
      <c r="Z113" s="186">
        <f t="shared" ca="1" si="23"/>
        <v>0</v>
      </c>
      <c r="AA113" s="186">
        <f t="shared" ca="1" si="35"/>
        <v>0</v>
      </c>
      <c r="AB113" s="186">
        <f t="shared" ca="1" si="36"/>
        <v>0</v>
      </c>
      <c r="AC113" s="186">
        <f>IF(C113&lt;='Crédit (IR)'!$G$16/12,-(('Crédit (IR)'!$K$17)/(1-'Param treso'!$H$18)),0)</f>
        <v>0</v>
      </c>
      <c r="AD113" s="186">
        <f>IF($AM$14="Non",0,IF(C113&lt;='Crédit (IR)'!$G$16/12,-('Crédit (IR)'!$K$17),0))</f>
        <v>0</v>
      </c>
      <c r="AE113" s="186">
        <f ca="1">-IF(AND(E113&gt;=$AO$10,E113&lt;$AO$12),$AM$10/(1-'Param treso'!$H$18),IF(E113&gt;=$AO$12,$AM$12/(1-'Param treso'!$H$18),0))</f>
        <v>-207782.77014285719</v>
      </c>
      <c r="AF113" s="186">
        <f t="shared" ca="1" si="21"/>
        <v>-145447.93910000002</v>
      </c>
      <c r="AG113" s="186">
        <f>IF(C113=1,IF($K$12="Oui",-(Z113+AI113+AJ113),0),IF(AND($K$12="Oui",$K$16="Oui",A113='Param treso'!$H$32,B113='Param treso'!$H$41),-(Z113+AI113+AJ113+AH113),IF(AND($K$12="Oui",B113='Param treso'!$H$41),-(Z113+AI113+AJ113+AH113),IF(AND(A113='Param treso'!$H$32,$K$16="Oui"),-$F$19,IF($K$12="Oui",-(Z113+AI113+AJ113+AH113),0)))))</f>
        <v>0</v>
      </c>
      <c r="AH113" s="186">
        <f>IF(C113=1,0,IF(AND($K$16="Oui",B113='Param treso'!$H$41),-$K$19,0))</f>
        <v>0</v>
      </c>
      <c r="AI113" s="186">
        <f t="shared" si="22"/>
        <v>0</v>
      </c>
      <c r="AJ113" s="704">
        <f ca="1">IF(AI113=AF113+AD113,0,IF(AD113+AF113&lt;0,IF((Z113+AI113)&gt;=-(AC113+AE113),(AD113+AF113-AI113)/(1-'Param treso'!$H$18),-(Z113+AI113)),0))</f>
        <v>0</v>
      </c>
      <c r="AK113" s="1106">
        <f t="shared" ca="1" si="37"/>
        <v>0</v>
      </c>
      <c r="AL113" s="1106"/>
      <c r="AM113" s="1106"/>
      <c r="AN113" s="660">
        <f t="shared" ca="1" si="38"/>
        <v>0</v>
      </c>
      <c r="AO113" s="696">
        <f ca="1">-AJ113*(1-'Param treso'!$H$18)</f>
        <v>0</v>
      </c>
      <c r="AP113" s="709">
        <f t="shared" ca="1" si="24"/>
        <v>-145447.93910000002</v>
      </c>
    </row>
    <row r="114" spans="1:42">
      <c r="A114" s="708">
        <f>IF(C114&lt;='Param treso'!$H$32,C114,IF(A113&lt;'Param treso'!$H$32,A113+1,1))</f>
        <v>4</v>
      </c>
      <c r="B114" s="708">
        <f>IF(C114&lt;='Param treso'!$H$41,C114,IF(B113&lt;'Param treso'!$H$41,B113+1,1))</f>
        <v>4</v>
      </c>
      <c r="C114" s="639">
        <f t="shared" si="25"/>
        <v>94</v>
      </c>
      <c r="D114" s="639">
        <f t="shared" ca="1" si="26"/>
        <v>154</v>
      </c>
      <c r="E114" s="649">
        <f t="shared" ca="1" si="27"/>
        <v>2120</v>
      </c>
      <c r="F114" s="186">
        <f>IF(C114=1,$F$19,IF(AND(A114=1,$K$16="Oui"),-AG113,IF(AND(A114&lt;='Param treso'!$H$32,$K$12="Oui"),IF(A114=1,-AG113,-AG113+G113),IF(AND(A114&lt;='Param treso'!$H$32,C114&lt;='Param treso'!$H$32),G113,IF($K$16="Oui",G113,0)))))</f>
        <v>0</v>
      </c>
      <c r="G114" s="186">
        <f t="shared" si="28"/>
        <v>0</v>
      </c>
      <c r="H114" s="1106">
        <f>F114*'Param treso'!$H$30</f>
        <v>0</v>
      </c>
      <c r="I114" s="1106"/>
      <c r="J114" s="1107"/>
      <c r="K114" s="659">
        <f t="shared" si="29"/>
        <v>0</v>
      </c>
      <c r="L114" s="186">
        <f>IF(K114=0,0,IF(B114=1,K114*(1+'Param treso'!$H$39),PRODUCT(L113,(POWER('Param treso'!$H$39,1)))+L113))</f>
        <v>0</v>
      </c>
      <c r="M114" s="660">
        <f>IFERROR(IF(B114='Param treso'!$H$41,L114-K114,0),0)</f>
        <v>0</v>
      </c>
      <c r="N114" s="186">
        <f>M114+H114+IF(A114='Param treso'!$H$32,G114,0)+IF(B114='Param treso'!$H$41,K114,0)</f>
        <v>0</v>
      </c>
      <c r="O114" s="186">
        <f ca="1">IF($AM$16="Oui",-IFERROR(VLOOKUP(E114,'Crédit (IS)'!$O$8:$P$145,2,FALSE),0),0)-(AN113*$T$14)</f>
        <v>0</v>
      </c>
      <c r="P114" s="186">
        <f ca="1">H114+M114+O114+IF(A114='Param treso'!$H$32,G114-F114,0)</f>
        <v>0</v>
      </c>
      <c r="Q114" s="1106">
        <f t="shared" ca="1" si="30"/>
        <v>0</v>
      </c>
      <c r="R114" s="1106"/>
      <c r="S114" s="1106"/>
      <c r="T114" s="186">
        <f t="shared" ca="1" si="31"/>
        <v>0</v>
      </c>
      <c r="U114" s="662">
        <f t="shared" ca="1" si="32"/>
        <v>0</v>
      </c>
      <c r="V114" s="662">
        <f ca="1">-IF('Param treso'!$H$20="Non",T114*Données!$L$24,IF(T114&lt;=Données!$L$26,T114*Données!$L$25,(Données!$L$26*Données!$L$25)+((T114-Données!$L$26)*Données!$L$24)))</f>
        <v>0</v>
      </c>
      <c r="W114" s="662">
        <f t="shared" ca="1" si="33"/>
        <v>0</v>
      </c>
      <c r="X114" s="186">
        <f ca="1">IF($AM$16="Oui",-IFERROR(VLOOKUP(E114,'Crédit (IS)'!$O$8:$Q$145,3,FALSE),0),0)</f>
        <v>0</v>
      </c>
      <c r="Y114" s="186">
        <f t="shared" ca="1" si="34"/>
        <v>0</v>
      </c>
      <c r="Z114" s="186">
        <f t="shared" ca="1" si="23"/>
        <v>0</v>
      </c>
      <c r="AA114" s="186">
        <f t="shared" ca="1" si="35"/>
        <v>0</v>
      </c>
      <c r="AB114" s="186">
        <f t="shared" ca="1" si="36"/>
        <v>0</v>
      </c>
      <c r="AC114" s="186">
        <f>IF(C114&lt;='Crédit (IR)'!$G$16/12,-(('Crédit (IR)'!$K$17)/(1-'Param treso'!$H$18)),0)</f>
        <v>0</v>
      </c>
      <c r="AD114" s="186">
        <f>IF($AM$14="Non",0,IF(C114&lt;='Crédit (IR)'!$G$16/12,-('Crédit (IR)'!$K$17),0))</f>
        <v>0</v>
      </c>
      <c r="AE114" s="186">
        <f ca="1">-IF(AND(E114&gt;=$AO$10,E114&lt;$AO$12),$AM$10/(1-'Param treso'!$H$18),IF(E114&gt;=$AO$12,$AM$12/(1-'Param treso'!$H$18),0))</f>
        <v>-207782.77014285719</v>
      </c>
      <c r="AF114" s="186">
        <f t="shared" ca="1" si="21"/>
        <v>-145447.93910000002</v>
      </c>
      <c r="AG114" s="186">
        <f>IF(C114=1,IF($K$12="Oui",-(Z114+AI114+AJ114),0),IF(AND($K$12="Oui",$K$16="Oui",A114='Param treso'!$H$32,B114='Param treso'!$H$41),-(Z114+AI114+AJ114+AH114),IF(AND($K$12="Oui",B114='Param treso'!$H$41),-(Z114+AI114+AJ114+AH114),IF(AND(A114='Param treso'!$H$32,$K$16="Oui"),-$F$19,IF($K$12="Oui",-(Z114+AI114+AJ114+AH114),0)))))</f>
        <v>0</v>
      </c>
      <c r="AH114" s="186">
        <f>IF(C114=1,0,IF(AND($K$16="Oui",B114='Param treso'!$H$41),-$K$19,0))</f>
        <v>0</v>
      </c>
      <c r="AI114" s="186">
        <f t="shared" si="22"/>
        <v>0</v>
      </c>
      <c r="AJ114" s="704">
        <f ca="1">IF(AI114=AF114+AD114,0,IF(AD114+AF114&lt;0,IF((Z114+AI114)&gt;=-(AC114+AE114),(AD114+AF114-AI114)/(1-'Param treso'!$H$18),-(Z114+AI114)),0))</f>
        <v>0</v>
      </c>
      <c r="AK114" s="1106">
        <f t="shared" ca="1" si="37"/>
        <v>0</v>
      </c>
      <c r="AL114" s="1106"/>
      <c r="AM114" s="1106"/>
      <c r="AN114" s="660">
        <f t="shared" ca="1" si="38"/>
        <v>0</v>
      </c>
      <c r="AO114" s="696">
        <f ca="1">-AJ114*(1-'Param treso'!$H$18)</f>
        <v>0</v>
      </c>
      <c r="AP114" s="709">
        <f t="shared" ca="1" si="24"/>
        <v>-145447.93910000002</v>
      </c>
    </row>
    <row r="115" spans="1:42">
      <c r="A115" s="708">
        <f>IF(C115&lt;='Param treso'!$H$32,C115,IF(A114&lt;'Param treso'!$H$32,A114+1,1))</f>
        <v>5</v>
      </c>
      <c r="B115" s="708">
        <f>IF(C115&lt;='Param treso'!$H$41,C115,IF(B114&lt;'Param treso'!$H$41,B114+1,1))</f>
        <v>5</v>
      </c>
      <c r="C115" s="639">
        <f t="shared" si="25"/>
        <v>95</v>
      </c>
      <c r="D115" s="639">
        <f t="shared" ca="1" si="26"/>
        <v>155</v>
      </c>
      <c r="E115" s="649">
        <f t="shared" ca="1" si="27"/>
        <v>2121</v>
      </c>
      <c r="F115" s="186">
        <f>IF(C115=1,$F$19,IF(AND(A115=1,$K$16="Oui"),-AG114,IF(AND(A115&lt;='Param treso'!$H$32,$K$12="Oui"),IF(A115=1,-AG114,-AG114+G114),IF(AND(A115&lt;='Param treso'!$H$32,C115&lt;='Param treso'!$H$32),G114,IF($K$16="Oui",G114,0)))))</f>
        <v>0</v>
      </c>
      <c r="G115" s="186">
        <f t="shared" si="28"/>
        <v>0</v>
      </c>
      <c r="H115" s="1106">
        <f>F115*'Param treso'!$H$30</f>
        <v>0</v>
      </c>
      <c r="I115" s="1106"/>
      <c r="J115" s="1107"/>
      <c r="K115" s="659">
        <f t="shared" si="29"/>
        <v>0</v>
      </c>
      <c r="L115" s="186">
        <f>IF(K115=0,0,IF(B115=1,K115*(1+'Param treso'!$H$39),PRODUCT(L114,(POWER('Param treso'!$H$39,1)))+L114))</f>
        <v>0</v>
      </c>
      <c r="M115" s="660">
        <f>IFERROR(IF(B115='Param treso'!$H$41,L115-K115,0),0)</f>
        <v>0</v>
      </c>
      <c r="N115" s="186">
        <f>M115+H115+IF(A115='Param treso'!$H$32,G115,0)+IF(B115='Param treso'!$H$41,K115,0)</f>
        <v>0</v>
      </c>
      <c r="O115" s="186">
        <f ca="1">IF($AM$16="Oui",-IFERROR(VLOOKUP(E115,'Crédit (IS)'!$O$8:$P$145,2,FALSE),0),0)-(AN114*$T$14)</f>
        <v>0</v>
      </c>
      <c r="P115" s="186">
        <f ca="1">H115+M115+O115+IF(A115='Param treso'!$H$32,G115-F115,0)</f>
        <v>0</v>
      </c>
      <c r="Q115" s="1106">
        <f t="shared" ca="1" si="30"/>
        <v>0</v>
      </c>
      <c r="R115" s="1106"/>
      <c r="S115" s="1106"/>
      <c r="T115" s="186">
        <f t="shared" ca="1" si="31"/>
        <v>0</v>
      </c>
      <c r="U115" s="662">
        <f t="shared" ca="1" si="32"/>
        <v>0</v>
      </c>
      <c r="V115" s="662">
        <f ca="1">-IF('Param treso'!$H$20="Non",T115*Données!$L$24,IF(T115&lt;=Données!$L$26,T115*Données!$L$25,(Données!$L$26*Données!$L$25)+((T115-Données!$L$26)*Données!$L$24)))</f>
        <v>0</v>
      </c>
      <c r="W115" s="662">
        <f t="shared" ca="1" si="33"/>
        <v>0</v>
      </c>
      <c r="X115" s="186">
        <f ca="1">IF($AM$16="Oui",-IFERROR(VLOOKUP(E115,'Crédit (IS)'!$O$8:$Q$145,3,FALSE),0),0)</f>
        <v>0</v>
      </c>
      <c r="Y115" s="186">
        <f t="shared" ca="1" si="34"/>
        <v>0</v>
      </c>
      <c r="Z115" s="186">
        <f t="shared" ca="1" si="23"/>
        <v>0</v>
      </c>
      <c r="AA115" s="186">
        <f t="shared" ca="1" si="35"/>
        <v>0</v>
      </c>
      <c r="AB115" s="186">
        <f t="shared" ca="1" si="36"/>
        <v>0</v>
      </c>
      <c r="AC115" s="186">
        <f>IF(C115&lt;='Crédit (IR)'!$G$16/12,-(('Crédit (IR)'!$K$17)/(1-'Param treso'!$H$18)),0)</f>
        <v>0</v>
      </c>
      <c r="AD115" s="186">
        <f>IF($AM$14="Non",0,IF(C115&lt;='Crédit (IR)'!$G$16/12,-('Crédit (IR)'!$K$17),0))</f>
        <v>0</v>
      </c>
      <c r="AE115" s="186">
        <f ca="1">-IF(AND(E115&gt;=$AO$10,E115&lt;$AO$12),$AM$10/(1-'Param treso'!$H$18),IF(E115&gt;=$AO$12,$AM$12/(1-'Param treso'!$H$18),0))</f>
        <v>-207782.77014285719</v>
      </c>
      <c r="AF115" s="186">
        <f t="shared" ca="1" si="21"/>
        <v>-145447.93910000002</v>
      </c>
      <c r="AG115" s="186">
        <f>IF(C115=1,IF($K$12="Oui",-(Z115+AI115+AJ115),0),IF(AND($K$12="Oui",$K$16="Oui",A115='Param treso'!$H$32,B115='Param treso'!$H$41),-(Z115+AI115+AJ115+AH115),IF(AND($K$12="Oui",B115='Param treso'!$H$41),-(Z115+AI115+AJ115+AH115),IF(AND(A115='Param treso'!$H$32,$K$16="Oui"),-$F$19,IF($K$12="Oui",-(Z115+AI115+AJ115+AH115),0)))))</f>
        <v>0</v>
      </c>
      <c r="AH115" s="186">
        <f>IF(C115=1,0,IF(AND($K$16="Oui",B115='Param treso'!$H$41),-$K$19,0))</f>
        <v>0</v>
      </c>
      <c r="AI115" s="186">
        <f t="shared" si="22"/>
        <v>0</v>
      </c>
      <c r="AJ115" s="704">
        <f ca="1">IF(AI115=AF115+AD115,0,IF(AD115+AF115&lt;0,IF((Z115+AI115)&gt;=-(AC115+AE115),(AD115+AF115-AI115)/(1-'Param treso'!$H$18),-(Z115+AI115)),0))</f>
        <v>0</v>
      </c>
      <c r="AK115" s="1106">
        <f t="shared" ca="1" si="37"/>
        <v>0</v>
      </c>
      <c r="AL115" s="1106"/>
      <c r="AM115" s="1106"/>
      <c r="AN115" s="660">
        <f t="shared" ca="1" si="38"/>
        <v>0</v>
      </c>
      <c r="AO115" s="696">
        <f ca="1">-AJ115*(1-'Param treso'!$H$18)</f>
        <v>0</v>
      </c>
      <c r="AP115" s="709">
        <f t="shared" ca="1" si="24"/>
        <v>-145447.93910000002</v>
      </c>
    </row>
    <row r="116" spans="1:42">
      <c r="A116" s="708">
        <f>IF(C116&lt;='Param treso'!$H$32,C116,IF(A115&lt;'Param treso'!$H$32,A115+1,1))</f>
        <v>6</v>
      </c>
      <c r="B116" s="708">
        <f>IF(C116&lt;='Param treso'!$H$41,C116,IF(B115&lt;'Param treso'!$H$41,B115+1,1))</f>
        <v>1</v>
      </c>
      <c r="C116" s="639">
        <f t="shared" si="25"/>
        <v>96</v>
      </c>
      <c r="D116" s="639">
        <f t="shared" ca="1" si="26"/>
        <v>156</v>
      </c>
      <c r="E116" s="649">
        <f t="shared" ca="1" si="27"/>
        <v>2122</v>
      </c>
      <c r="F116" s="186">
        <f>IF(C116=1,$F$19,IF(AND(A116=1,$K$16="Oui"),-AG115,IF(AND(A116&lt;='Param treso'!$H$32,$K$12="Oui"),IF(A116=1,-AG115,-AG115+G115),IF(AND(A116&lt;='Param treso'!$H$32,C116&lt;='Param treso'!$H$32),G115,IF($K$16="Oui",G115,0)))))</f>
        <v>0</v>
      </c>
      <c r="G116" s="186">
        <f t="shared" si="28"/>
        <v>0</v>
      </c>
      <c r="H116" s="1106">
        <f>F116*'Param treso'!$H$30</f>
        <v>0</v>
      </c>
      <c r="I116" s="1106"/>
      <c r="J116" s="1107"/>
      <c r="K116" s="659">
        <f t="shared" si="29"/>
        <v>0</v>
      </c>
      <c r="L116" s="186">
        <f>IF(K116=0,0,IF(B116=1,K116*(1+'Param treso'!$H$39),PRODUCT(L115,(POWER('Param treso'!$H$39,1)))+L115))</f>
        <v>0</v>
      </c>
      <c r="M116" s="660">
        <f>IFERROR(IF(B116='Param treso'!$H$41,L116-K116,0),0)</f>
        <v>0</v>
      </c>
      <c r="N116" s="186">
        <f>M116+H116+IF(A116='Param treso'!$H$32,G116,0)+IF(B116='Param treso'!$H$41,K116,0)</f>
        <v>0</v>
      </c>
      <c r="O116" s="186">
        <f ca="1">IF($AM$16="Oui",-IFERROR(VLOOKUP(E116,'Crédit (IS)'!$O$8:$P$145,2,FALSE),0),0)-(AN115*$T$14)</f>
        <v>0</v>
      </c>
      <c r="P116" s="186">
        <f ca="1">H116+M116+O116+IF(A116='Param treso'!$H$32,G116-F116,0)</f>
        <v>0</v>
      </c>
      <c r="Q116" s="1106">
        <f t="shared" ca="1" si="30"/>
        <v>0</v>
      </c>
      <c r="R116" s="1106"/>
      <c r="S116" s="1106"/>
      <c r="T116" s="186">
        <f t="shared" ca="1" si="31"/>
        <v>0</v>
      </c>
      <c r="U116" s="662">
        <f t="shared" ca="1" si="32"/>
        <v>0</v>
      </c>
      <c r="V116" s="662">
        <f ca="1">-IF('Param treso'!$H$20="Non",T116*Données!$L$24,IF(T116&lt;=Données!$L$26,T116*Données!$L$25,(Données!$L$26*Données!$L$25)+((T116-Données!$L$26)*Données!$L$24)))</f>
        <v>0</v>
      </c>
      <c r="W116" s="662">
        <f t="shared" ca="1" si="33"/>
        <v>0</v>
      </c>
      <c r="X116" s="186">
        <f ca="1">IF($AM$16="Oui",-IFERROR(VLOOKUP(E116,'Crédit (IS)'!$O$8:$Q$145,3,FALSE),0),0)</f>
        <v>0</v>
      </c>
      <c r="Y116" s="186">
        <f t="shared" ca="1" si="34"/>
        <v>0</v>
      </c>
      <c r="Z116" s="186">
        <f t="shared" ca="1" si="23"/>
        <v>0</v>
      </c>
      <c r="AA116" s="186">
        <f t="shared" ca="1" si="35"/>
        <v>0</v>
      </c>
      <c r="AB116" s="186">
        <f t="shared" ca="1" si="36"/>
        <v>0</v>
      </c>
      <c r="AC116" s="186">
        <f>IF(C116&lt;='Crédit (IR)'!$G$16/12,-(('Crédit (IR)'!$K$17)/(1-'Param treso'!$H$18)),0)</f>
        <v>0</v>
      </c>
      <c r="AD116" s="186">
        <f>IF($AM$14="Non",0,IF(C116&lt;='Crédit (IR)'!$G$16/12,-('Crédit (IR)'!$K$17),0))</f>
        <v>0</v>
      </c>
      <c r="AE116" s="186">
        <f ca="1">-IF(AND(E116&gt;=$AO$10,E116&lt;$AO$12),$AM$10/(1-'Param treso'!$H$18),IF(E116&gt;=$AO$12,$AM$12/(1-'Param treso'!$H$18),0))</f>
        <v>-207782.77014285719</v>
      </c>
      <c r="AF116" s="186">
        <f t="shared" ca="1" si="21"/>
        <v>-145447.93910000002</v>
      </c>
      <c r="AG116" s="186">
        <f>IF(C116=1,IF($K$12="Oui",-(Z116+AI116+AJ116),0),IF(AND($K$12="Oui",$K$16="Oui",A116='Param treso'!$H$32,B116='Param treso'!$H$41),-(Z116+AI116+AJ116+AH116),IF(AND($K$12="Oui",B116='Param treso'!$H$41),-(Z116+AI116+AJ116+AH116),IF(AND(A116='Param treso'!$H$32,$K$16="Oui"),-$F$19,IF($K$12="Oui",-(Z116+AI116+AJ116+AH116),0)))))</f>
        <v>0</v>
      </c>
      <c r="AH116" s="186">
        <f>IF(C116=1,0,IF(AND($K$16="Oui",B116='Param treso'!$H$41),-$K$19,0))</f>
        <v>0</v>
      </c>
      <c r="AI116" s="186">
        <f t="shared" si="22"/>
        <v>0</v>
      </c>
      <c r="AJ116" s="704">
        <f ca="1">IF(AI116=AF116+AD116,0,IF(AD116+AF116&lt;0,IF((Z116+AI116)&gt;=-(AC116+AE116),(AD116+AF116-AI116)/(1-'Param treso'!$H$18),-(Z116+AI116)),0))</f>
        <v>0</v>
      </c>
      <c r="AK116" s="1106">
        <f t="shared" ca="1" si="37"/>
        <v>0</v>
      </c>
      <c r="AL116" s="1106"/>
      <c r="AM116" s="1106"/>
      <c r="AN116" s="660">
        <f t="shared" ca="1" si="38"/>
        <v>0</v>
      </c>
      <c r="AO116" s="696">
        <f ca="1">-AJ116*(1-'Param treso'!$H$18)</f>
        <v>0</v>
      </c>
      <c r="AP116" s="709">
        <f t="shared" ca="1" si="24"/>
        <v>-145447.93910000002</v>
      </c>
    </row>
    <row r="117" spans="1:42">
      <c r="A117" s="708">
        <f>IF(C117&lt;='Param treso'!$H$32,C117,IF(A116&lt;'Param treso'!$H$32,A116+1,1))</f>
        <v>7</v>
      </c>
      <c r="B117" s="708">
        <f>IF(C117&lt;='Param treso'!$H$41,C117,IF(B116&lt;'Param treso'!$H$41,B116+1,1))</f>
        <v>2</v>
      </c>
      <c r="C117" s="639">
        <f t="shared" si="25"/>
        <v>97</v>
      </c>
      <c r="D117" s="639">
        <f t="shared" ca="1" si="26"/>
        <v>157</v>
      </c>
      <c r="E117" s="649">
        <f t="shared" ca="1" si="27"/>
        <v>2123</v>
      </c>
      <c r="F117" s="186">
        <f>IF(C117=1,$F$19,IF(AND(A117=1,$K$16="Oui"),-AG116,IF(AND(A117&lt;='Param treso'!$H$32,$K$12="Oui"),IF(A117=1,-AG116,-AG116+G116),IF(AND(A117&lt;='Param treso'!$H$32,C117&lt;='Param treso'!$H$32),G116,IF($K$16="Oui",G116,0)))))</f>
        <v>0</v>
      </c>
      <c r="G117" s="186">
        <f t="shared" si="28"/>
        <v>0</v>
      </c>
      <c r="H117" s="1106">
        <f>F117*'Param treso'!$H$30</f>
        <v>0</v>
      </c>
      <c r="I117" s="1106"/>
      <c r="J117" s="1107"/>
      <c r="K117" s="659">
        <f t="shared" si="29"/>
        <v>0</v>
      </c>
      <c r="L117" s="186">
        <f>IF(K117=0,0,IF(B117=1,K117*(1+'Param treso'!$H$39),PRODUCT(L116,(POWER('Param treso'!$H$39,1)))+L116))</f>
        <v>0</v>
      </c>
      <c r="M117" s="660">
        <f>IFERROR(IF(B117='Param treso'!$H$41,L117-K117,0),0)</f>
        <v>0</v>
      </c>
      <c r="N117" s="186">
        <f>M117+H117+IF(A117='Param treso'!$H$32,G117,0)+IF(B117='Param treso'!$H$41,K117,0)</f>
        <v>0</v>
      </c>
      <c r="O117" s="186">
        <f ca="1">IF($AM$16="Oui",-IFERROR(VLOOKUP(E117,'Crédit (IS)'!$O$8:$P$145,2,FALSE),0),0)-(AN116*$T$14)</f>
        <v>0</v>
      </c>
      <c r="P117" s="186">
        <f ca="1">H117+M117+O117+IF(A117='Param treso'!$H$32,G117-F117,0)</f>
        <v>0</v>
      </c>
      <c r="Q117" s="1106">
        <f t="shared" ca="1" si="30"/>
        <v>0</v>
      </c>
      <c r="R117" s="1106"/>
      <c r="S117" s="1106"/>
      <c r="T117" s="186">
        <f t="shared" ca="1" si="31"/>
        <v>0</v>
      </c>
      <c r="U117" s="662">
        <f t="shared" ca="1" si="32"/>
        <v>0</v>
      </c>
      <c r="V117" s="662">
        <f ca="1">-IF('Param treso'!$H$20="Non",T117*Données!$L$24,IF(T117&lt;=Données!$L$26,T117*Données!$L$25,(Données!$L$26*Données!$L$25)+((T117-Données!$L$26)*Données!$L$24)))</f>
        <v>0</v>
      </c>
      <c r="W117" s="662">
        <f t="shared" ca="1" si="33"/>
        <v>0</v>
      </c>
      <c r="X117" s="186">
        <f ca="1">IF($AM$16="Oui",-IFERROR(VLOOKUP(E117,'Crédit (IS)'!$O$8:$Q$145,3,FALSE),0),0)</f>
        <v>0</v>
      </c>
      <c r="Y117" s="186">
        <f t="shared" ca="1" si="34"/>
        <v>0</v>
      </c>
      <c r="Z117" s="186">
        <f t="shared" ca="1" si="23"/>
        <v>0</v>
      </c>
      <c r="AA117" s="186">
        <f t="shared" ca="1" si="35"/>
        <v>0</v>
      </c>
      <c r="AB117" s="186">
        <f t="shared" ca="1" si="36"/>
        <v>0</v>
      </c>
      <c r="AC117" s="186">
        <f>IF(C117&lt;='Crédit (IR)'!$G$16/12,-(('Crédit (IR)'!$K$17)/(1-'Param treso'!$H$18)),0)</f>
        <v>0</v>
      </c>
      <c r="AD117" s="186">
        <f>IF($AM$14="Non",0,IF(C117&lt;='Crédit (IR)'!$G$16/12,-('Crédit (IR)'!$K$17),0))</f>
        <v>0</v>
      </c>
      <c r="AE117" s="186">
        <f ca="1">-IF(AND(E117&gt;=$AO$10,E117&lt;$AO$12),$AM$10/(1-'Param treso'!$H$18),IF(E117&gt;=$AO$12,$AM$12/(1-'Param treso'!$H$18),0))</f>
        <v>-207782.77014285719</v>
      </c>
      <c r="AF117" s="186">
        <f t="shared" ref="AF117:AF150" ca="1" si="39">-IF(AND(E117&gt;=$AO$10,E117&lt;$AO$12),$AM$10,IF(E117&gt;=$AO$12,$AM$12,0))</f>
        <v>-145447.93910000002</v>
      </c>
      <c r="AG117" s="186">
        <f>IF(C117=1,IF($K$12="Oui",-(Z117+AI117+AJ117),0),IF(AND($K$12="Oui",$K$16="Oui",A117='Param treso'!$H$32,B117='Param treso'!$H$41),-(Z117+AI117+AJ117+AH117),IF(AND($K$12="Oui",B117='Param treso'!$H$41),-(Z117+AI117+AJ117+AH117),IF(AND(A117='Param treso'!$H$32,$K$16="Oui"),-$F$19,IF($K$12="Oui",-(Z117+AI117+AJ117+AH117),0)))))</f>
        <v>0</v>
      </c>
      <c r="AH117" s="186">
        <f>IF(C117=1,0,IF(AND($K$16="Oui",B117='Param treso'!$H$41),-$K$19,0))</f>
        <v>0</v>
      </c>
      <c r="AI117" s="186">
        <f t="shared" ref="AI117:AI150" si="40">IF($T$16="",0,IF($T$16&lt;=E117,IF(AB117&gt;0,-MIN(Z117,-(AD117+AF117),AB117),0),0))</f>
        <v>0</v>
      </c>
      <c r="AJ117" s="704">
        <f ca="1">IF(AI117=AF117+AD117,0,IF(AD117+AF117&lt;0,IF((Z117+AI117)&gt;=-(AC117+AE117),(AD117+AF117-AI117)/(1-'Param treso'!$H$18),-(Z117+AI117)),0))</f>
        <v>0</v>
      </c>
      <c r="AK117" s="1106">
        <f t="shared" ca="1" si="37"/>
        <v>0</v>
      </c>
      <c r="AL117" s="1106"/>
      <c r="AM117" s="1106"/>
      <c r="AN117" s="660">
        <f t="shared" ca="1" si="38"/>
        <v>0</v>
      </c>
      <c r="AO117" s="696">
        <f ca="1">-AJ117*(1-'Param treso'!$H$18)</f>
        <v>0</v>
      </c>
      <c r="AP117" s="709">
        <f t="shared" ca="1" si="24"/>
        <v>-145447.93910000002</v>
      </c>
    </row>
    <row r="118" spans="1:42">
      <c r="A118" s="708">
        <f>IF(C118&lt;='Param treso'!$H$32,C118,IF(A117&lt;'Param treso'!$H$32,A117+1,1))</f>
        <v>8</v>
      </c>
      <c r="B118" s="708">
        <f>IF(C118&lt;='Param treso'!$H$41,C118,IF(B117&lt;'Param treso'!$H$41,B117+1,1))</f>
        <v>3</v>
      </c>
      <c r="C118" s="639">
        <f t="shared" si="25"/>
        <v>98</v>
      </c>
      <c r="D118" s="639">
        <f t="shared" ca="1" si="26"/>
        <v>158</v>
      </c>
      <c r="E118" s="649">
        <f t="shared" ca="1" si="27"/>
        <v>2124</v>
      </c>
      <c r="F118" s="186">
        <f>IF(C118=1,$F$19,IF(AND(A118=1,$K$16="Oui"),-AG117,IF(AND(A118&lt;='Param treso'!$H$32,$K$12="Oui"),IF(A118=1,-AG117,-AG117+G117),IF(AND(A118&lt;='Param treso'!$H$32,C118&lt;='Param treso'!$H$32),G117,IF($K$16="Oui",G117,0)))))</f>
        <v>0</v>
      </c>
      <c r="G118" s="186">
        <f t="shared" si="28"/>
        <v>0</v>
      </c>
      <c r="H118" s="1106">
        <f>F118*'Param treso'!$H$30</f>
        <v>0</v>
      </c>
      <c r="I118" s="1106"/>
      <c r="J118" s="1107"/>
      <c r="K118" s="659">
        <f t="shared" si="29"/>
        <v>0</v>
      </c>
      <c r="L118" s="186">
        <f>IF(K118=0,0,IF(B118=1,K118*(1+'Param treso'!$H$39),PRODUCT(L117,(POWER('Param treso'!$H$39,1)))+L117))</f>
        <v>0</v>
      </c>
      <c r="M118" s="660">
        <f>IFERROR(IF(B118='Param treso'!$H$41,L118-K118,0),0)</f>
        <v>0</v>
      </c>
      <c r="N118" s="186">
        <f>M118+H118+IF(A118='Param treso'!$H$32,G118,0)+IF(B118='Param treso'!$H$41,K118,0)</f>
        <v>0</v>
      </c>
      <c r="O118" s="186">
        <f ca="1">IF($AM$16="Oui",-IFERROR(VLOOKUP(E118,'Crédit (IS)'!$O$8:$P$145,2,FALSE),0),0)-(AN117*$T$14)</f>
        <v>0</v>
      </c>
      <c r="P118" s="186">
        <f ca="1">H118+M118+O118+IF(A118='Param treso'!$H$32,G118-F118,0)</f>
        <v>0</v>
      </c>
      <c r="Q118" s="1106">
        <f t="shared" ca="1" si="30"/>
        <v>0</v>
      </c>
      <c r="R118" s="1106"/>
      <c r="S118" s="1106"/>
      <c r="T118" s="186">
        <f t="shared" ca="1" si="31"/>
        <v>0</v>
      </c>
      <c r="U118" s="662">
        <f t="shared" ca="1" si="32"/>
        <v>0</v>
      </c>
      <c r="V118" s="662">
        <f ca="1">-IF('Param treso'!$H$20="Non",T118*Données!$L$24,IF(T118&lt;=Données!$L$26,T118*Données!$L$25,(Données!$L$26*Données!$L$25)+((T118-Données!$L$26)*Données!$L$24)))</f>
        <v>0</v>
      </c>
      <c r="W118" s="662">
        <f t="shared" ca="1" si="33"/>
        <v>0</v>
      </c>
      <c r="X118" s="186">
        <f ca="1">IF($AM$16="Oui",-IFERROR(VLOOKUP(E118,'Crédit (IS)'!$O$8:$Q$145,3,FALSE),0),0)</f>
        <v>0</v>
      </c>
      <c r="Y118" s="186">
        <f t="shared" ca="1" si="34"/>
        <v>0</v>
      </c>
      <c r="Z118" s="186">
        <f t="shared" ref="Z118:Z149" ca="1" si="41">Y118+AK117</f>
        <v>0</v>
      </c>
      <c r="AA118" s="186">
        <f t="shared" ca="1" si="35"/>
        <v>0</v>
      </c>
      <c r="AB118" s="186">
        <f t="shared" ca="1" si="36"/>
        <v>0</v>
      </c>
      <c r="AC118" s="186">
        <f>IF(C118&lt;='Crédit (IR)'!$G$16/12,-(('Crédit (IR)'!$K$17)/(1-'Param treso'!$H$18)),0)</f>
        <v>0</v>
      </c>
      <c r="AD118" s="186">
        <f>IF($AM$14="Non",0,IF(C118&lt;='Crédit (IR)'!$G$16/12,-('Crédit (IR)'!$K$17),0))</f>
        <v>0</v>
      </c>
      <c r="AE118" s="186">
        <f ca="1">-IF(AND(E118&gt;=$AO$10,E118&lt;$AO$12),$AM$10/(1-'Param treso'!$H$18),IF(E118&gt;=$AO$12,$AM$12/(1-'Param treso'!$H$18),0))</f>
        <v>-207782.77014285719</v>
      </c>
      <c r="AF118" s="186">
        <f t="shared" ca="1" si="39"/>
        <v>-145447.93910000002</v>
      </c>
      <c r="AG118" s="186">
        <f>IF(C118=1,IF($K$12="Oui",-(Z118+AI118+AJ118),0),IF(AND($K$12="Oui",$K$16="Oui",A118='Param treso'!$H$32,B118='Param treso'!$H$41),-(Z118+AI118+AJ118+AH118),IF(AND($K$12="Oui",B118='Param treso'!$H$41),-(Z118+AI118+AJ118+AH118),IF(AND(A118='Param treso'!$H$32,$K$16="Oui"),-$F$19,IF($K$12="Oui",-(Z118+AI118+AJ118+AH118),0)))))</f>
        <v>0</v>
      </c>
      <c r="AH118" s="186">
        <f>IF(C118=1,0,IF(AND($K$16="Oui",B118='Param treso'!$H$41),-$K$19,0))</f>
        <v>0</v>
      </c>
      <c r="AI118" s="186">
        <f t="shared" si="40"/>
        <v>0</v>
      </c>
      <c r="AJ118" s="704">
        <f ca="1">IF(AI118=AF118+AD118,0,IF(AD118+AF118&lt;0,IF((Z118+AI118)&gt;=-(AC118+AE118),(AD118+AF118-AI118)/(1-'Param treso'!$H$18),-(Z118+AI118)),0))</f>
        <v>0</v>
      </c>
      <c r="AK118" s="1106">
        <f t="shared" ca="1" si="37"/>
        <v>0</v>
      </c>
      <c r="AL118" s="1106"/>
      <c r="AM118" s="1106"/>
      <c r="AN118" s="660">
        <f t="shared" ca="1" si="38"/>
        <v>0</v>
      </c>
      <c r="AO118" s="696">
        <f ca="1">-AJ118*(1-'Param treso'!$H$18)</f>
        <v>0</v>
      </c>
      <c r="AP118" s="709">
        <f t="shared" ca="1" si="24"/>
        <v>-145447.93910000002</v>
      </c>
    </row>
    <row r="119" spans="1:42">
      <c r="A119" s="708">
        <f>IF(C119&lt;='Param treso'!$H$32,C119,IF(A118&lt;'Param treso'!$H$32,A118+1,1))</f>
        <v>9</v>
      </c>
      <c r="B119" s="708">
        <f>IF(C119&lt;='Param treso'!$H$41,C119,IF(B118&lt;'Param treso'!$H$41,B118+1,1))</f>
        <v>4</v>
      </c>
      <c r="C119" s="639">
        <f t="shared" si="25"/>
        <v>99</v>
      </c>
      <c r="D119" s="639">
        <f t="shared" ca="1" si="26"/>
        <v>159</v>
      </c>
      <c r="E119" s="649">
        <f t="shared" ca="1" si="27"/>
        <v>2125</v>
      </c>
      <c r="F119" s="186">
        <f>IF(C119=1,$F$19,IF(AND(A119=1,$K$16="Oui"),-AG118,IF(AND(A119&lt;='Param treso'!$H$32,$K$12="Oui"),IF(A119=1,-AG118,-AG118+G118),IF(AND(A119&lt;='Param treso'!$H$32,C119&lt;='Param treso'!$H$32),G118,IF($K$16="Oui",G118,0)))))</f>
        <v>0</v>
      </c>
      <c r="G119" s="186">
        <f t="shared" si="28"/>
        <v>0</v>
      </c>
      <c r="H119" s="1106">
        <f>F119*'Param treso'!$H$30</f>
        <v>0</v>
      </c>
      <c r="I119" s="1106"/>
      <c r="J119" s="1107"/>
      <c r="K119" s="659">
        <f t="shared" si="29"/>
        <v>0</v>
      </c>
      <c r="L119" s="186">
        <f>IF(K119=0,0,IF(B119=1,K119*(1+'Param treso'!$H$39),PRODUCT(L118,(POWER('Param treso'!$H$39,1)))+L118))</f>
        <v>0</v>
      </c>
      <c r="M119" s="660">
        <f>IFERROR(IF(B119='Param treso'!$H$41,L119-K119,0),0)</f>
        <v>0</v>
      </c>
      <c r="N119" s="186">
        <f>M119+H119+IF(A119='Param treso'!$H$32,G119,0)+IF(B119='Param treso'!$H$41,K119,0)</f>
        <v>0</v>
      </c>
      <c r="O119" s="186">
        <f ca="1">IF($AM$16="Oui",-IFERROR(VLOOKUP(E119,'Crédit (IS)'!$O$8:$P$145,2,FALSE),0),0)-(AN118*$T$14)</f>
        <v>0</v>
      </c>
      <c r="P119" s="186">
        <f ca="1">H119+M119+O119+IF(A119='Param treso'!$H$32,G119-F119,0)</f>
        <v>0</v>
      </c>
      <c r="Q119" s="1106">
        <f t="shared" ca="1" si="30"/>
        <v>0</v>
      </c>
      <c r="R119" s="1106"/>
      <c r="S119" s="1106"/>
      <c r="T119" s="186">
        <f t="shared" ca="1" si="31"/>
        <v>0</v>
      </c>
      <c r="U119" s="662">
        <f t="shared" ca="1" si="32"/>
        <v>0</v>
      </c>
      <c r="V119" s="662">
        <f ca="1">-IF('Param treso'!$H$20="Non",T119*Données!$L$24,IF(T119&lt;=Données!$L$26,T119*Données!$L$25,(Données!$L$26*Données!$L$25)+((T119-Données!$L$26)*Données!$L$24)))</f>
        <v>0</v>
      </c>
      <c r="W119" s="662">
        <f t="shared" ca="1" si="33"/>
        <v>0</v>
      </c>
      <c r="X119" s="186">
        <f ca="1">IF($AM$16="Oui",-IFERROR(VLOOKUP(E119,'Crédit (IS)'!$O$8:$Q$145,3,FALSE),0),0)</f>
        <v>0</v>
      </c>
      <c r="Y119" s="186">
        <f t="shared" ca="1" si="34"/>
        <v>0</v>
      </c>
      <c r="Z119" s="186">
        <f t="shared" ca="1" si="41"/>
        <v>0</v>
      </c>
      <c r="AA119" s="186">
        <f t="shared" ca="1" si="35"/>
        <v>0</v>
      </c>
      <c r="AB119" s="186">
        <f t="shared" ca="1" si="36"/>
        <v>0</v>
      </c>
      <c r="AC119" s="186">
        <f>IF(C119&lt;='Crédit (IR)'!$G$16/12,-(('Crédit (IR)'!$K$17)/(1-'Param treso'!$H$18)),0)</f>
        <v>0</v>
      </c>
      <c r="AD119" s="186">
        <f>IF($AM$14="Non",0,IF(C119&lt;='Crédit (IR)'!$G$16/12,-('Crédit (IR)'!$K$17),0))</f>
        <v>0</v>
      </c>
      <c r="AE119" s="186">
        <f ca="1">-IF(AND(E119&gt;=$AO$10,E119&lt;$AO$12),$AM$10/(1-'Param treso'!$H$18),IF(E119&gt;=$AO$12,$AM$12/(1-'Param treso'!$H$18),0))</f>
        <v>-207782.77014285719</v>
      </c>
      <c r="AF119" s="186">
        <f t="shared" ca="1" si="39"/>
        <v>-145447.93910000002</v>
      </c>
      <c r="AG119" s="186">
        <f>IF(C119=1,IF($K$12="Oui",-(Z119+AI119+AJ119),0),IF(AND($K$12="Oui",$K$16="Oui",A119='Param treso'!$H$32,B119='Param treso'!$H$41),-(Z119+AI119+AJ119+AH119),IF(AND($K$12="Oui",B119='Param treso'!$H$41),-(Z119+AI119+AJ119+AH119),IF(AND(A119='Param treso'!$H$32,$K$16="Oui"),-$F$19,IF($K$12="Oui",-(Z119+AI119+AJ119+AH119),0)))))</f>
        <v>0</v>
      </c>
      <c r="AH119" s="186">
        <f>IF(C119=1,0,IF(AND($K$16="Oui",B119='Param treso'!$H$41),-$K$19,0))</f>
        <v>0</v>
      </c>
      <c r="AI119" s="186">
        <f t="shared" si="40"/>
        <v>0</v>
      </c>
      <c r="AJ119" s="704">
        <f ca="1">IF(AI119=AF119+AD119,0,IF(AD119+AF119&lt;0,IF((Z119+AI119)&gt;=-(AC119+AE119),(AD119+AF119-AI119)/(1-'Param treso'!$H$18),-(Z119+AI119)),0))</f>
        <v>0</v>
      </c>
      <c r="AK119" s="1106">
        <f t="shared" ca="1" si="37"/>
        <v>0</v>
      </c>
      <c r="AL119" s="1106"/>
      <c r="AM119" s="1106"/>
      <c r="AN119" s="660">
        <f t="shared" ca="1" si="38"/>
        <v>0</v>
      </c>
      <c r="AO119" s="696">
        <f ca="1">-AJ119*(1-'Param treso'!$H$18)</f>
        <v>0</v>
      </c>
      <c r="AP119" s="709">
        <f t="shared" ca="1" si="24"/>
        <v>-145447.93910000002</v>
      </c>
    </row>
    <row r="120" spans="1:42">
      <c r="A120" s="708">
        <f>IF(C120&lt;='Param treso'!$H$32,C120,IF(A119&lt;'Param treso'!$H$32,A119+1,1))</f>
        <v>10</v>
      </c>
      <c r="B120" s="708">
        <f>IF(C120&lt;='Param treso'!$H$41,C120,IF(B119&lt;'Param treso'!$H$41,B119+1,1))</f>
        <v>5</v>
      </c>
      <c r="C120" s="639">
        <f t="shared" si="25"/>
        <v>100</v>
      </c>
      <c r="D120" s="639">
        <f t="shared" ca="1" si="26"/>
        <v>160</v>
      </c>
      <c r="E120" s="649">
        <f t="shared" ca="1" si="27"/>
        <v>2126</v>
      </c>
      <c r="F120" s="186">
        <f>IF(C120=1,$F$19,IF(AND(A120=1,$K$16="Oui"),-AG119,IF(AND(A120&lt;='Param treso'!$H$32,$K$12="Oui"),IF(A120=1,-AG119,-AG119+G119),IF(AND(A120&lt;='Param treso'!$H$32,C120&lt;='Param treso'!$H$32),G119,IF($K$16="Oui",G119,0)))))</f>
        <v>0</v>
      </c>
      <c r="G120" s="186">
        <f t="shared" si="28"/>
        <v>0</v>
      </c>
      <c r="H120" s="1106">
        <f>F120*'Param treso'!$H$30</f>
        <v>0</v>
      </c>
      <c r="I120" s="1106"/>
      <c r="J120" s="1107"/>
      <c r="K120" s="659">
        <f t="shared" si="29"/>
        <v>0</v>
      </c>
      <c r="L120" s="186">
        <f>IF(K120=0,0,IF(B120=1,K120*(1+'Param treso'!$H$39),PRODUCT(L119,(POWER('Param treso'!$H$39,1)))+L119))</f>
        <v>0</v>
      </c>
      <c r="M120" s="660">
        <f>IFERROR(IF(B120='Param treso'!$H$41,L120-K120,0),0)</f>
        <v>0</v>
      </c>
      <c r="N120" s="186">
        <f>M120+H120+IF(A120='Param treso'!$H$32,G120,0)+IF(B120='Param treso'!$H$41,K120,0)</f>
        <v>0</v>
      </c>
      <c r="O120" s="186">
        <f ca="1">IF($AM$16="Oui",-IFERROR(VLOOKUP(E120,'Crédit (IS)'!$O$8:$P$145,2,FALSE),0),0)-(AN119*$T$14)</f>
        <v>0</v>
      </c>
      <c r="P120" s="186">
        <f ca="1">H120+M120+O120+IF(A120='Param treso'!$H$32,G120-F120,0)</f>
        <v>0</v>
      </c>
      <c r="Q120" s="1106">
        <f t="shared" ca="1" si="30"/>
        <v>0</v>
      </c>
      <c r="R120" s="1106"/>
      <c r="S120" s="1106"/>
      <c r="T120" s="186">
        <f t="shared" ca="1" si="31"/>
        <v>0</v>
      </c>
      <c r="U120" s="662">
        <f t="shared" ca="1" si="32"/>
        <v>0</v>
      </c>
      <c r="V120" s="662">
        <f ca="1">-IF('Param treso'!$H$20="Non",T120*Données!$L$24,IF(T120&lt;=Données!$L$26,T120*Données!$L$25,(Données!$L$26*Données!$L$25)+((T120-Données!$L$26)*Données!$L$24)))</f>
        <v>0</v>
      </c>
      <c r="W120" s="662">
        <f t="shared" ca="1" si="33"/>
        <v>0</v>
      </c>
      <c r="X120" s="186">
        <f ca="1">IF($AM$16="Oui",-IFERROR(VLOOKUP(E120,'Crédit (IS)'!$O$8:$Q$145,3,FALSE),0),0)</f>
        <v>0</v>
      </c>
      <c r="Y120" s="186">
        <f t="shared" ca="1" si="34"/>
        <v>0</v>
      </c>
      <c r="Z120" s="186">
        <f t="shared" ca="1" si="41"/>
        <v>0</v>
      </c>
      <c r="AA120" s="186">
        <f t="shared" ca="1" si="35"/>
        <v>0</v>
      </c>
      <c r="AB120" s="186">
        <f t="shared" ca="1" si="36"/>
        <v>0</v>
      </c>
      <c r="AC120" s="186">
        <f>IF(C120&lt;='Crédit (IR)'!$G$16/12,-(('Crédit (IR)'!$K$17)/(1-'Param treso'!$H$18)),0)</f>
        <v>0</v>
      </c>
      <c r="AD120" s="186">
        <f>IF($AM$14="Non",0,IF(C120&lt;='Crédit (IR)'!$G$16/12,-('Crédit (IR)'!$K$17),0))</f>
        <v>0</v>
      </c>
      <c r="AE120" s="186">
        <f ca="1">-IF(AND(E120&gt;=$AO$10,E120&lt;$AO$12),$AM$10/(1-'Param treso'!$H$18),IF(E120&gt;=$AO$12,$AM$12/(1-'Param treso'!$H$18),0))</f>
        <v>-207782.77014285719</v>
      </c>
      <c r="AF120" s="186">
        <f t="shared" ca="1" si="39"/>
        <v>-145447.93910000002</v>
      </c>
      <c r="AG120" s="186">
        <f>IF(C120=1,IF($K$12="Oui",-(Z120+AI120+AJ120),0),IF(AND($K$12="Oui",$K$16="Oui",A120='Param treso'!$H$32,B120='Param treso'!$H$41),-(Z120+AI120+AJ120+AH120),IF(AND($K$12="Oui",B120='Param treso'!$H$41),-(Z120+AI120+AJ120+AH120),IF(AND(A120='Param treso'!$H$32,$K$16="Oui"),-$F$19,IF($K$12="Oui",-(Z120+AI120+AJ120+AH120),0)))))</f>
        <v>0</v>
      </c>
      <c r="AH120" s="186">
        <f>IF(C120=1,0,IF(AND($K$16="Oui",B120='Param treso'!$H$41),-$K$19,0))</f>
        <v>0</v>
      </c>
      <c r="AI120" s="186">
        <f t="shared" si="40"/>
        <v>0</v>
      </c>
      <c r="AJ120" s="704">
        <f ca="1">IF(AI120=AF120+AD120,0,IF(AD120+AF120&lt;0,IF((Z120+AI120)&gt;=-(AC120+AE120),(AD120+AF120-AI120)/(1-'Param treso'!$H$18),-(Z120+AI120)),0))</f>
        <v>0</v>
      </c>
      <c r="AK120" s="1106">
        <f t="shared" ca="1" si="37"/>
        <v>0</v>
      </c>
      <c r="AL120" s="1106"/>
      <c r="AM120" s="1106"/>
      <c r="AN120" s="660">
        <f t="shared" ca="1" si="38"/>
        <v>0</v>
      </c>
      <c r="AO120" s="696">
        <f ca="1">-AJ120*(1-'Param treso'!$H$18)</f>
        <v>0</v>
      </c>
      <c r="AP120" s="709">
        <f t="shared" ca="1" si="24"/>
        <v>-145447.93910000002</v>
      </c>
    </row>
    <row r="121" spans="1:42">
      <c r="A121" s="708">
        <f>IF(C121&lt;='Param treso'!$H$32,C121,IF(A120&lt;'Param treso'!$H$32,A120+1,1))</f>
        <v>11</v>
      </c>
      <c r="B121" s="708">
        <f>IF(C121&lt;='Param treso'!$H$41,C121,IF(B120&lt;'Param treso'!$H$41,B120+1,1))</f>
        <v>1</v>
      </c>
      <c r="C121" s="639">
        <f t="shared" si="25"/>
        <v>101</v>
      </c>
      <c r="D121" s="639">
        <f t="shared" ca="1" si="26"/>
        <v>161</v>
      </c>
      <c r="E121" s="649">
        <f t="shared" ca="1" si="27"/>
        <v>2127</v>
      </c>
      <c r="F121" s="186">
        <f>IF(C121=1,$F$19,IF(AND(A121=1,$K$16="Oui"),-AG120,IF(AND(A121&lt;='Param treso'!$H$32,$K$12="Oui"),IF(A121=1,-AG120,-AG120+G120),IF(AND(A121&lt;='Param treso'!$H$32,C121&lt;='Param treso'!$H$32),G120,IF($K$16="Oui",G120,0)))))</f>
        <v>0</v>
      </c>
      <c r="G121" s="186">
        <f t="shared" si="28"/>
        <v>0</v>
      </c>
      <c r="H121" s="1106">
        <f>F121*'Param treso'!$H$30</f>
        <v>0</v>
      </c>
      <c r="I121" s="1106"/>
      <c r="J121" s="1107"/>
      <c r="K121" s="659">
        <f t="shared" si="29"/>
        <v>0</v>
      </c>
      <c r="L121" s="186">
        <f>IF(K121=0,0,IF(B121=1,K121*(1+'Param treso'!$H$39),PRODUCT(L120,(POWER('Param treso'!$H$39,1)))+L120))</f>
        <v>0</v>
      </c>
      <c r="M121" s="660">
        <f>IFERROR(IF(B121='Param treso'!$H$41,L121-K121,0),0)</f>
        <v>0</v>
      </c>
      <c r="N121" s="186">
        <f>M121+H121+IF(A121='Param treso'!$H$32,G121,0)+IF(B121='Param treso'!$H$41,K121,0)</f>
        <v>0</v>
      </c>
      <c r="O121" s="186">
        <f ca="1">IF($AM$16="Oui",-IFERROR(VLOOKUP(E121,'Crédit (IS)'!$O$8:$P$145,2,FALSE),0),0)-(AN120*$T$14)</f>
        <v>0</v>
      </c>
      <c r="P121" s="186">
        <f ca="1">H121+M121+O121+IF(A121='Param treso'!$H$32,G121-F121,0)</f>
        <v>0</v>
      </c>
      <c r="Q121" s="1106">
        <f t="shared" ca="1" si="30"/>
        <v>0</v>
      </c>
      <c r="R121" s="1106"/>
      <c r="S121" s="1106"/>
      <c r="T121" s="186">
        <f t="shared" ca="1" si="31"/>
        <v>0</v>
      </c>
      <c r="U121" s="662">
        <f t="shared" ca="1" si="32"/>
        <v>0</v>
      </c>
      <c r="V121" s="662">
        <f ca="1">-IF('Param treso'!$H$20="Non",T121*Données!$L$24,IF(T121&lt;=Données!$L$26,T121*Données!$L$25,(Données!$L$26*Données!$L$25)+((T121-Données!$L$26)*Données!$L$24)))</f>
        <v>0</v>
      </c>
      <c r="W121" s="662">
        <f t="shared" ca="1" si="33"/>
        <v>0</v>
      </c>
      <c r="X121" s="186">
        <f ca="1">IF($AM$16="Oui",-IFERROR(VLOOKUP(E121,'Crédit (IS)'!$O$8:$Q$145,3,FALSE),0),0)</f>
        <v>0</v>
      </c>
      <c r="Y121" s="186">
        <f t="shared" ca="1" si="34"/>
        <v>0</v>
      </c>
      <c r="Z121" s="186">
        <f t="shared" ca="1" si="41"/>
        <v>0</v>
      </c>
      <c r="AA121" s="186">
        <f t="shared" ca="1" si="35"/>
        <v>0</v>
      </c>
      <c r="AB121" s="186">
        <f t="shared" ca="1" si="36"/>
        <v>0</v>
      </c>
      <c r="AC121" s="186">
        <f>IF(C121&lt;='Crédit (IR)'!$G$16/12,-(('Crédit (IR)'!$K$17)/(1-'Param treso'!$H$18)),0)</f>
        <v>0</v>
      </c>
      <c r="AD121" s="186">
        <f>IF($AM$14="Non",0,IF(C121&lt;='Crédit (IR)'!$G$16/12,-('Crédit (IR)'!$K$17),0))</f>
        <v>0</v>
      </c>
      <c r="AE121" s="186">
        <f ca="1">-IF(AND(E121&gt;=$AO$10,E121&lt;$AO$12),$AM$10/(1-'Param treso'!$H$18),IF(E121&gt;=$AO$12,$AM$12/(1-'Param treso'!$H$18),0))</f>
        <v>-207782.77014285719</v>
      </c>
      <c r="AF121" s="186">
        <f t="shared" ca="1" si="39"/>
        <v>-145447.93910000002</v>
      </c>
      <c r="AG121" s="186">
        <f>IF(C121=1,IF($K$12="Oui",-(Z121+AI121+AJ121),0),IF(AND($K$12="Oui",$K$16="Oui",A121='Param treso'!$H$32,B121='Param treso'!$H$41),-(Z121+AI121+AJ121+AH121),IF(AND($K$12="Oui",B121='Param treso'!$H$41),-(Z121+AI121+AJ121+AH121),IF(AND(A121='Param treso'!$H$32,$K$16="Oui"),-$F$19,IF($K$12="Oui",-(Z121+AI121+AJ121+AH121),0)))))</f>
        <v>0</v>
      </c>
      <c r="AH121" s="186">
        <f>IF(C121=1,0,IF(AND($K$16="Oui",B121='Param treso'!$H$41),-$K$19,0))</f>
        <v>0</v>
      </c>
      <c r="AI121" s="186">
        <f t="shared" si="40"/>
        <v>0</v>
      </c>
      <c r="AJ121" s="704">
        <f ca="1">IF(AI121=AF121+AD121,0,IF(AD121+AF121&lt;0,IF((Z121+AI121)&gt;=-(AC121+AE121),(AD121+AF121-AI121)/(1-'Param treso'!$H$18),-(Z121+AI121)),0))</f>
        <v>0</v>
      </c>
      <c r="AK121" s="1106">
        <f t="shared" ca="1" si="37"/>
        <v>0</v>
      </c>
      <c r="AL121" s="1106"/>
      <c r="AM121" s="1106"/>
      <c r="AN121" s="660">
        <f t="shared" ca="1" si="38"/>
        <v>0</v>
      </c>
      <c r="AO121" s="696">
        <f ca="1">-AJ121*(1-'Param treso'!$H$18)</f>
        <v>0</v>
      </c>
      <c r="AP121" s="709">
        <f t="shared" ca="1" si="24"/>
        <v>-145447.93910000002</v>
      </c>
    </row>
    <row r="122" spans="1:42">
      <c r="A122" s="708">
        <f>IF(C122&lt;='Param treso'!$H$32,C122,IF(A121&lt;'Param treso'!$H$32,A121+1,1))</f>
        <v>12</v>
      </c>
      <c r="B122" s="708">
        <f>IF(C122&lt;='Param treso'!$H$41,C122,IF(B121&lt;'Param treso'!$H$41,B121+1,1))</f>
        <v>2</v>
      </c>
      <c r="C122" s="639">
        <f t="shared" si="25"/>
        <v>102</v>
      </c>
      <c r="D122" s="639">
        <f t="shared" ca="1" si="26"/>
        <v>162</v>
      </c>
      <c r="E122" s="649">
        <f t="shared" ca="1" si="27"/>
        <v>2128</v>
      </c>
      <c r="F122" s="186">
        <f>IF(C122=1,$F$19,IF(AND(A122=1,$K$16="Oui"),-AG121,IF(AND(A122&lt;='Param treso'!$H$32,$K$12="Oui"),IF(A122=1,-AG121,-AG121+G121),IF(AND(A122&lt;='Param treso'!$H$32,C122&lt;='Param treso'!$H$32),G121,IF($K$16="Oui",G121,0)))))</f>
        <v>0</v>
      </c>
      <c r="G122" s="186">
        <f t="shared" si="28"/>
        <v>0</v>
      </c>
      <c r="H122" s="1106">
        <f>F122*'Param treso'!$H$30</f>
        <v>0</v>
      </c>
      <c r="I122" s="1106"/>
      <c r="J122" s="1107"/>
      <c r="K122" s="659">
        <f t="shared" si="29"/>
        <v>0</v>
      </c>
      <c r="L122" s="186">
        <f>IF(K122=0,0,IF(B122=1,K122*(1+'Param treso'!$H$39),PRODUCT(L121,(POWER('Param treso'!$H$39,1)))+L121))</f>
        <v>0</v>
      </c>
      <c r="M122" s="660">
        <f>IFERROR(IF(B122='Param treso'!$H$41,L122-K122,0),0)</f>
        <v>0</v>
      </c>
      <c r="N122" s="186">
        <f>M122+H122+IF(A122='Param treso'!$H$32,G122,0)+IF(B122='Param treso'!$H$41,K122,0)</f>
        <v>0</v>
      </c>
      <c r="O122" s="186">
        <f ca="1">IF($AM$16="Oui",-IFERROR(VLOOKUP(E122,'Crédit (IS)'!$O$8:$P$145,2,FALSE),0),0)-(AN121*$T$14)</f>
        <v>0</v>
      </c>
      <c r="P122" s="186">
        <f ca="1">H122+M122+O122+IF(A122='Param treso'!$H$32,G122-F122,0)</f>
        <v>0</v>
      </c>
      <c r="Q122" s="1106">
        <f t="shared" ca="1" si="30"/>
        <v>0</v>
      </c>
      <c r="R122" s="1106"/>
      <c r="S122" s="1106"/>
      <c r="T122" s="186">
        <f t="shared" ca="1" si="31"/>
        <v>0</v>
      </c>
      <c r="U122" s="662">
        <f t="shared" ca="1" si="32"/>
        <v>0</v>
      </c>
      <c r="V122" s="662">
        <f ca="1">-IF('Param treso'!$H$20="Non",T122*Données!$L$24,IF(T122&lt;=Données!$L$26,T122*Données!$L$25,(Données!$L$26*Données!$L$25)+((T122-Données!$L$26)*Données!$L$24)))</f>
        <v>0</v>
      </c>
      <c r="W122" s="662">
        <f t="shared" ca="1" si="33"/>
        <v>0</v>
      </c>
      <c r="X122" s="186">
        <f ca="1">IF($AM$16="Oui",-IFERROR(VLOOKUP(E122,'Crédit (IS)'!$O$8:$Q$145,3,FALSE),0),0)</f>
        <v>0</v>
      </c>
      <c r="Y122" s="186">
        <f t="shared" ca="1" si="34"/>
        <v>0</v>
      </c>
      <c r="Z122" s="186">
        <f t="shared" ca="1" si="41"/>
        <v>0</v>
      </c>
      <c r="AA122" s="186">
        <f t="shared" ca="1" si="35"/>
        <v>0</v>
      </c>
      <c r="AB122" s="186">
        <f t="shared" ca="1" si="36"/>
        <v>0</v>
      </c>
      <c r="AC122" s="186">
        <f>IF(C122&lt;='Crédit (IR)'!$G$16/12,-(('Crédit (IR)'!$K$17)/(1-'Param treso'!$H$18)),0)</f>
        <v>0</v>
      </c>
      <c r="AD122" s="186">
        <f>IF($AM$14="Non",0,IF(C122&lt;='Crédit (IR)'!$G$16/12,-('Crédit (IR)'!$K$17),0))</f>
        <v>0</v>
      </c>
      <c r="AE122" s="186">
        <f ca="1">-IF(AND(E122&gt;=$AO$10,E122&lt;$AO$12),$AM$10/(1-'Param treso'!$H$18),IF(E122&gt;=$AO$12,$AM$12/(1-'Param treso'!$H$18),0))</f>
        <v>-207782.77014285719</v>
      </c>
      <c r="AF122" s="186">
        <f t="shared" ca="1" si="39"/>
        <v>-145447.93910000002</v>
      </c>
      <c r="AG122" s="186">
        <f>IF(C122=1,IF($K$12="Oui",-(Z122+AI122+AJ122),0),IF(AND($K$12="Oui",$K$16="Oui",A122='Param treso'!$H$32,B122='Param treso'!$H$41),-(Z122+AI122+AJ122+AH122),IF(AND($K$12="Oui",B122='Param treso'!$H$41),-(Z122+AI122+AJ122+AH122),IF(AND(A122='Param treso'!$H$32,$K$16="Oui"),-$F$19,IF($K$12="Oui",-(Z122+AI122+AJ122+AH122),0)))))</f>
        <v>0</v>
      </c>
      <c r="AH122" s="186">
        <f>IF(C122=1,0,IF(AND($K$16="Oui",B122='Param treso'!$H$41),-$K$19,0))</f>
        <v>0</v>
      </c>
      <c r="AI122" s="186">
        <f t="shared" si="40"/>
        <v>0</v>
      </c>
      <c r="AJ122" s="704">
        <f ca="1">IF(AI122=AF122+AD122,0,IF(AD122+AF122&lt;0,IF((Z122+AI122)&gt;=-(AC122+AE122),(AD122+AF122-AI122)/(1-'Param treso'!$H$18),-(Z122+AI122)),0))</f>
        <v>0</v>
      </c>
      <c r="AK122" s="1106">
        <f t="shared" ca="1" si="37"/>
        <v>0</v>
      </c>
      <c r="AL122" s="1106"/>
      <c r="AM122" s="1106"/>
      <c r="AN122" s="660">
        <f t="shared" ca="1" si="38"/>
        <v>0</v>
      </c>
      <c r="AO122" s="696">
        <f ca="1">-AJ122*(1-'Param treso'!$H$18)</f>
        <v>0</v>
      </c>
      <c r="AP122" s="709">
        <f t="shared" ca="1" si="24"/>
        <v>-145447.93910000002</v>
      </c>
    </row>
    <row r="123" spans="1:42">
      <c r="A123" s="708">
        <f>IF(C123&lt;='Param treso'!$H$32,C123,IF(A122&lt;'Param treso'!$H$32,A122+1,1))</f>
        <v>13</v>
      </c>
      <c r="B123" s="708">
        <f>IF(C123&lt;='Param treso'!$H$41,C123,IF(B122&lt;'Param treso'!$H$41,B122+1,1))</f>
        <v>3</v>
      </c>
      <c r="C123" s="639">
        <f t="shared" si="25"/>
        <v>103</v>
      </c>
      <c r="D123" s="639">
        <f t="shared" ca="1" si="26"/>
        <v>163</v>
      </c>
      <c r="E123" s="649">
        <f t="shared" ca="1" si="27"/>
        <v>2129</v>
      </c>
      <c r="F123" s="186">
        <f>IF(C123=1,$F$19,IF(AND(A123=1,$K$16="Oui"),-AG122,IF(AND(A123&lt;='Param treso'!$H$32,$K$12="Oui"),IF(A123=1,-AG122,-AG122+G122),IF(AND(A123&lt;='Param treso'!$H$32,C123&lt;='Param treso'!$H$32),G122,IF($K$16="Oui",G122,0)))))</f>
        <v>0</v>
      </c>
      <c r="G123" s="186">
        <f t="shared" si="28"/>
        <v>0</v>
      </c>
      <c r="H123" s="1106">
        <f>F123*'Param treso'!$H$30</f>
        <v>0</v>
      </c>
      <c r="I123" s="1106"/>
      <c r="J123" s="1107"/>
      <c r="K123" s="659">
        <f t="shared" si="29"/>
        <v>0</v>
      </c>
      <c r="L123" s="186">
        <f>IF(K123=0,0,IF(B123=1,K123*(1+'Param treso'!$H$39),PRODUCT(L122,(POWER('Param treso'!$H$39,1)))+L122))</f>
        <v>0</v>
      </c>
      <c r="M123" s="660">
        <f>IFERROR(IF(B123='Param treso'!$H$41,L123-K123,0),0)</f>
        <v>0</v>
      </c>
      <c r="N123" s="186">
        <f>M123+H123+IF(A123='Param treso'!$H$32,G123,0)+IF(B123='Param treso'!$H$41,K123,0)</f>
        <v>0</v>
      </c>
      <c r="O123" s="186">
        <f ca="1">IF($AM$16="Oui",-IFERROR(VLOOKUP(E123,'Crédit (IS)'!$O$8:$P$145,2,FALSE),0),0)-(AN122*$T$14)</f>
        <v>0</v>
      </c>
      <c r="P123" s="186">
        <f ca="1">H123+M123+O123+IF(A123='Param treso'!$H$32,G123-F123,0)</f>
        <v>0</v>
      </c>
      <c r="Q123" s="1106">
        <f t="shared" ca="1" si="30"/>
        <v>0</v>
      </c>
      <c r="R123" s="1106"/>
      <c r="S123" s="1106"/>
      <c r="T123" s="186">
        <f t="shared" ca="1" si="31"/>
        <v>0</v>
      </c>
      <c r="U123" s="662">
        <f t="shared" ca="1" si="32"/>
        <v>0</v>
      </c>
      <c r="V123" s="662">
        <f ca="1">-IF('Param treso'!$H$20="Non",T123*Données!$L$24,IF(T123&lt;=Données!$L$26,T123*Données!$L$25,(Données!$L$26*Données!$L$25)+((T123-Données!$L$26)*Données!$L$24)))</f>
        <v>0</v>
      </c>
      <c r="W123" s="662">
        <f t="shared" ca="1" si="33"/>
        <v>0</v>
      </c>
      <c r="X123" s="186">
        <f ca="1">IF($AM$16="Oui",-IFERROR(VLOOKUP(E123,'Crédit (IS)'!$O$8:$Q$145,3,FALSE),0),0)</f>
        <v>0</v>
      </c>
      <c r="Y123" s="186">
        <f t="shared" ca="1" si="34"/>
        <v>0</v>
      </c>
      <c r="Z123" s="186">
        <f t="shared" ca="1" si="41"/>
        <v>0</v>
      </c>
      <c r="AA123" s="186">
        <f t="shared" ca="1" si="35"/>
        <v>0</v>
      </c>
      <c r="AB123" s="186">
        <f t="shared" ca="1" si="36"/>
        <v>0</v>
      </c>
      <c r="AC123" s="186">
        <f>IF(C123&lt;='Crédit (IR)'!$G$16/12,-(('Crédit (IR)'!$K$17)/(1-'Param treso'!$H$18)),0)</f>
        <v>0</v>
      </c>
      <c r="AD123" s="186">
        <f>IF($AM$14="Non",0,IF(C123&lt;='Crédit (IR)'!$G$16/12,-('Crédit (IR)'!$K$17),0))</f>
        <v>0</v>
      </c>
      <c r="AE123" s="186">
        <f ca="1">-IF(AND(E123&gt;=$AO$10,E123&lt;$AO$12),$AM$10/(1-'Param treso'!$H$18),IF(E123&gt;=$AO$12,$AM$12/(1-'Param treso'!$H$18),0))</f>
        <v>-207782.77014285719</v>
      </c>
      <c r="AF123" s="186">
        <f t="shared" ca="1" si="39"/>
        <v>-145447.93910000002</v>
      </c>
      <c r="AG123" s="186">
        <f>IF(C123=1,IF($K$12="Oui",-(Z123+AI123+AJ123),0),IF(AND($K$12="Oui",$K$16="Oui",A123='Param treso'!$H$32,B123='Param treso'!$H$41),-(Z123+AI123+AJ123+AH123),IF(AND($K$12="Oui",B123='Param treso'!$H$41),-(Z123+AI123+AJ123+AH123),IF(AND(A123='Param treso'!$H$32,$K$16="Oui"),-$F$19,IF($K$12="Oui",-(Z123+AI123+AJ123+AH123),0)))))</f>
        <v>0</v>
      </c>
      <c r="AH123" s="186">
        <f>IF(C123=1,0,IF(AND($K$16="Oui",B123='Param treso'!$H$41),-$K$19,0))</f>
        <v>0</v>
      </c>
      <c r="AI123" s="186">
        <f t="shared" si="40"/>
        <v>0</v>
      </c>
      <c r="AJ123" s="704">
        <f ca="1">IF(AI123=AF123+AD123,0,IF(AD123+AF123&lt;0,IF((Z123+AI123)&gt;=-(AC123+AE123),(AD123+AF123-AI123)/(1-'Param treso'!$H$18),-(Z123+AI123)),0))</f>
        <v>0</v>
      </c>
      <c r="AK123" s="1106">
        <f t="shared" ca="1" si="37"/>
        <v>0</v>
      </c>
      <c r="AL123" s="1106"/>
      <c r="AM123" s="1106"/>
      <c r="AN123" s="660">
        <f t="shared" ca="1" si="38"/>
        <v>0</v>
      </c>
      <c r="AO123" s="696">
        <f ca="1">-AJ123*(1-'Param treso'!$H$18)</f>
        <v>0</v>
      </c>
      <c r="AP123" s="709">
        <f t="shared" ca="1" si="24"/>
        <v>-145447.93910000002</v>
      </c>
    </row>
    <row r="124" spans="1:42">
      <c r="A124" s="708">
        <f>IF(C124&lt;='Param treso'!$H$32,C124,IF(A123&lt;'Param treso'!$H$32,A123+1,1))</f>
        <v>14</v>
      </c>
      <c r="B124" s="708">
        <f>IF(C124&lt;='Param treso'!$H$41,C124,IF(B123&lt;'Param treso'!$H$41,B123+1,1))</f>
        <v>4</v>
      </c>
      <c r="C124" s="639">
        <f t="shared" si="25"/>
        <v>104</v>
      </c>
      <c r="D124" s="639">
        <f t="shared" ca="1" si="26"/>
        <v>164</v>
      </c>
      <c r="E124" s="649">
        <f t="shared" ca="1" si="27"/>
        <v>2130</v>
      </c>
      <c r="F124" s="186">
        <f>IF(C124=1,$F$19,IF(AND(A124=1,$K$16="Oui"),-AG123,IF(AND(A124&lt;='Param treso'!$H$32,$K$12="Oui"),IF(A124=1,-AG123,-AG123+G123),IF(AND(A124&lt;='Param treso'!$H$32,C124&lt;='Param treso'!$H$32),G123,IF($K$16="Oui",G123,0)))))</f>
        <v>0</v>
      </c>
      <c r="G124" s="186">
        <f t="shared" si="28"/>
        <v>0</v>
      </c>
      <c r="H124" s="1106">
        <f>F124*'Param treso'!$H$30</f>
        <v>0</v>
      </c>
      <c r="I124" s="1106"/>
      <c r="J124" s="1107"/>
      <c r="K124" s="659">
        <f t="shared" si="29"/>
        <v>0</v>
      </c>
      <c r="L124" s="186">
        <f>IF(K124=0,0,IF(B124=1,K124*(1+'Param treso'!$H$39),PRODUCT(L123,(POWER('Param treso'!$H$39,1)))+L123))</f>
        <v>0</v>
      </c>
      <c r="M124" s="660">
        <f>IFERROR(IF(B124='Param treso'!$H$41,L124-K124,0),0)</f>
        <v>0</v>
      </c>
      <c r="N124" s="186">
        <f>M124+H124+IF(A124='Param treso'!$H$32,G124,0)+IF(B124='Param treso'!$H$41,K124,0)</f>
        <v>0</v>
      </c>
      <c r="O124" s="186">
        <f ca="1">IF($AM$16="Oui",-IFERROR(VLOOKUP(E124,'Crédit (IS)'!$O$8:$P$145,2,FALSE),0),0)-(AN123*$T$14)</f>
        <v>0</v>
      </c>
      <c r="P124" s="186">
        <f ca="1">H124+M124+O124+IF(A124='Param treso'!$H$32,G124-F124,0)</f>
        <v>0</v>
      </c>
      <c r="Q124" s="1106">
        <f t="shared" ca="1" si="30"/>
        <v>0</v>
      </c>
      <c r="R124" s="1106"/>
      <c r="S124" s="1106"/>
      <c r="T124" s="186">
        <f t="shared" ca="1" si="31"/>
        <v>0</v>
      </c>
      <c r="U124" s="662">
        <f t="shared" ca="1" si="32"/>
        <v>0</v>
      </c>
      <c r="V124" s="662">
        <f ca="1">-IF('Param treso'!$H$20="Non",T124*Données!$L$24,IF(T124&lt;=Données!$L$26,T124*Données!$L$25,(Données!$L$26*Données!$L$25)+((T124-Données!$L$26)*Données!$L$24)))</f>
        <v>0</v>
      </c>
      <c r="W124" s="662">
        <f t="shared" ca="1" si="33"/>
        <v>0</v>
      </c>
      <c r="X124" s="186">
        <f ca="1">IF($AM$16="Oui",-IFERROR(VLOOKUP(E124,'Crédit (IS)'!$O$8:$Q$145,3,FALSE),0),0)</f>
        <v>0</v>
      </c>
      <c r="Y124" s="186">
        <f t="shared" ca="1" si="34"/>
        <v>0</v>
      </c>
      <c r="Z124" s="186">
        <f t="shared" ca="1" si="41"/>
        <v>0</v>
      </c>
      <c r="AA124" s="186">
        <f t="shared" ca="1" si="35"/>
        <v>0</v>
      </c>
      <c r="AB124" s="186">
        <f t="shared" ca="1" si="36"/>
        <v>0</v>
      </c>
      <c r="AC124" s="186">
        <f>IF(C124&lt;='Crédit (IR)'!$G$16/12,-(('Crédit (IR)'!$K$17)/(1-'Param treso'!$H$18)),0)</f>
        <v>0</v>
      </c>
      <c r="AD124" s="186">
        <f>IF($AM$14="Non",0,IF(C124&lt;='Crédit (IR)'!$G$16/12,-('Crédit (IR)'!$K$17),0))</f>
        <v>0</v>
      </c>
      <c r="AE124" s="186">
        <f ca="1">-IF(AND(E124&gt;=$AO$10,E124&lt;$AO$12),$AM$10/(1-'Param treso'!$H$18),IF(E124&gt;=$AO$12,$AM$12/(1-'Param treso'!$H$18),0))</f>
        <v>-207782.77014285719</v>
      </c>
      <c r="AF124" s="186">
        <f t="shared" ca="1" si="39"/>
        <v>-145447.93910000002</v>
      </c>
      <c r="AG124" s="186">
        <f>IF(C124=1,IF($K$12="Oui",-(Z124+AI124+AJ124),0),IF(AND($K$12="Oui",$K$16="Oui",A124='Param treso'!$H$32,B124='Param treso'!$H$41),-(Z124+AI124+AJ124+AH124),IF(AND($K$12="Oui",B124='Param treso'!$H$41),-(Z124+AI124+AJ124+AH124),IF(AND(A124='Param treso'!$H$32,$K$16="Oui"),-$F$19,IF($K$12="Oui",-(Z124+AI124+AJ124+AH124),0)))))</f>
        <v>0</v>
      </c>
      <c r="AH124" s="186">
        <f>IF(C124=1,0,IF(AND($K$16="Oui",B124='Param treso'!$H$41),-$K$19,0))</f>
        <v>0</v>
      </c>
      <c r="AI124" s="186">
        <f t="shared" si="40"/>
        <v>0</v>
      </c>
      <c r="AJ124" s="704">
        <f ca="1">IF(AI124=AF124+AD124,0,IF(AD124+AF124&lt;0,IF((Z124+AI124)&gt;=-(AC124+AE124),(AD124+AF124-AI124)/(1-'Param treso'!$H$18),-(Z124+AI124)),0))</f>
        <v>0</v>
      </c>
      <c r="AK124" s="1106">
        <f t="shared" ca="1" si="37"/>
        <v>0</v>
      </c>
      <c r="AL124" s="1106"/>
      <c r="AM124" s="1106"/>
      <c r="AN124" s="660">
        <f t="shared" ca="1" si="38"/>
        <v>0</v>
      </c>
      <c r="AO124" s="696">
        <f ca="1">-AJ124*(1-'Param treso'!$H$18)</f>
        <v>0</v>
      </c>
      <c r="AP124" s="709">
        <f t="shared" ca="1" si="24"/>
        <v>-145447.93910000002</v>
      </c>
    </row>
    <row r="125" spans="1:42">
      <c r="A125" s="708">
        <f>IF(C125&lt;='Param treso'!$H$32,C125,IF(A124&lt;'Param treso'!$H$32,A124+1,1))</f>
        <v>15</v>
      </c>
      <c r="B125" s="708">
        <f>IF(C125&lt;='Param treso'!$H$41,C125,IF(B124&lt;'Param treso'!$H$41,B124+1,1))</f>
        <v>5</v>
      </c>
      <c r="C125" s="639">
        <f t="shared" si="25"/>
        <v>105</v>
      </c>
      <c r="D125" s="639">
        <f t="shared" ca="1" si="26"/>
        <v>165</v>
      </c>
      <c r="E125" s="649">
        <f t="shared" ca="1" si="27"/>
        <v>2131</v>
      </c>
      <c r="F125" s="186">
        <f>IF(C125=1,$F$19,IF(AND(A125=1,$K$16="Oui"),-AG124,IF(AND(A125&lt;='Param treso'!$H$32,$K$12="Oui"),IF(A125=1,-AG124,-AG124+G124),IF(AND(A125&lt;='Param treso'!$H$32,C125&lt;='Param treso'!$H$32),G124,IF($K$16="Oui",G124,0)))))</f>
        <v>0</v>
      </c>
      <c r="G125" s="186">
        <f t="shared" si="28"/>
        <v>0</v>
      </c>
      <c r="H125" s="1106">
        <f>F125*'Param treso'!$H$30</f>
        <v>0</v>
      </c>
      <c r="I125" s="1106"/>
      <c r="J125" s="1107"/>
      <c r="K125" s="659">
        <f t="shared" si="29"/>
        <v>0</v>
      </c>
      <c r="L125" s="186">
        <f>IF(K125=0,0,IF(B125=1,K125*(1+'Param treso'!$H$39),PRODUCT(L124,(POWER('Param treso'!$H$39,1)))+L124))</f>
        <v>0</v>
      </c>
      <c r="M125" s="660">
        <f>IFERROR(IF(B125='Param treso'!$H$41,L125-K125,0),0)</f>
        <v>0</v>
      </c>
      <c r="N125" s="186">
        <f>M125+H125+IF(A125='Param treso'!$H$32,G125,0)+IF(B125='Param treso'!$H$41,K125,0)</f>
        <v>0</v>
      </c>
      <c r="O125" s="186">
        <f ca="1">IF($AM$16="Oui",-IFERROR(VLOOKUP(E125,'Crédit (IS)'!$O$8:$P$145,2,FALSE),0),0)-(AN124*$T$14)</f>
        <v>0</v>
      </c>
      <c r="P125" s="186">
        <f ca="1">H125+M125+O125+IF(A125='Param treso'!$H$32,G125-F125,0)</f>
        <v>0</v>
      </c>
      <c r="Q125" s="1106">
        <f t="shared" ca="1" si="30"/>
        <v>0</v>
      </c>
      <c r="R125" s="1106"/>
      <c r="S125" s="1106"/>
      <c r="T125" s="186">
        <f t="shared" ca="1" si="31"/>
        <v>0</v>
      </c>
      <c r="U125" s="662">
        <f t="shared" ca="1" si="32"/>
        <v>0</v>
      </c>
      <c r="V125" s="662">
        <f ca="1">-IF('Param treso'!$H$20="Non",T125*Données!$L$24,IF(T125&lt;=Données!$L$26,T125*Données!$L$25,(Données!$L$26*Données!$L$25)+((T125-Données!$L$26)*Données!$L$24)))</f>
        <v>0</v>
      </c>
      <c r="W125" s="662">
        <f t="shared" ca="1" si="33"/>
        <v>0</v>
      </c>
      <c r="X125" s="186">
        <f ca="1">IF($AM$16="Oui",-IFERROR(VLOOKUP(E125,'Crédit (IS)'!$O$8:$Q$145,3,FALSE),0),0)</f>
        <v>0</v>
      </c>
      <c r="Y125" s="186">
        <f t="shared" ca="1" si="34"/>
        <v>0</v>
      </c>
      <c r="Z125" s="186">
        <f t="shared" ca="1" si="41"/>
        <v>0</v>
      </c>
      <c r="AA125" s="186">
        <f t="shared" ca="1" si="35"/>
        <v>0</v>
      </c>
      <c r="AB125" s="186">
        <f t="shared" ca="1" si="36"/>
        <v>0</v>
      </c>
      <c r="AC125" s="186">
        <f>IF(C125&lt;='Crédit (IR)'!$G$16/12,-(('Crédit (IR)'!$K$17)/(1-'Param treso'!$H$18)),0)</f>
        <v>0</v>
      </c>
      <c r="AD125" s="186">
        <f>IF($AM$14="Non",0,IF(C125&lt;='Crédit (IR)'!$G$16/12,-('Crédit (IR)'!$K$17),0))</f>
        <v>0</v>
      </c>
      <c r="AE125" s="186">
        <f ca="1">-IF(AND(E125&gt;=$AO$10,E125&lt;$AO$12),$AM$10/(1-'Param treso'!$H$18),IF(E125&gt;=$AO$12,$AM$12/(1-'Param treso'!$H$18),0))</f>
        <v>-207782.77014285719</v>
      </c>
      <c r="AF125" s="186">
        <f t="shared" ca="1" si="39"/>
        <v>-145447.93910000002</v>
      </c>
      <c r="AG125" s="186">
        <f>IF(C125=1,IF($K$12="Oui",-(Z125+AI125+AJ125),0),IF(AND($K$12="Oui",$K$16="Oui",A125='Param treso'!$H$32,B125='Param treso'!$H$41),-(Z125+AI125+AJ125+AH125),IF(AND($K$12="Oui",B125='Param treso'!$H$41),-(Z125+AI125+AJ125+AH125),IF(AND(A125='Param treso'!$H$32,$K$16="Oui"),-$F$19,IF($K$12="Oui",-(Z125+AI125+AJ125+AH125),0)))))</f>
        <v>0</v>
      </c>
      <c r="AH125" s="186">
        <f>IF(C125=1,0,IF(AND($K$16="Oui",B125='Param treso'!$H$41),-$K$19,0))</f>
        <v>0</v>
      </c>
      <c r="AI125" s="186">
        <f t="shared" si="40"/>
        <v>0</v>
      </c>
      <c r="AJ125" s="704">
        <f ca="1">IF(AI125=AF125+AD125,0,IF(AD125+AF125&lt;0,IF((Z125+AI125)&gt;=-(AC125+AE125),(AD125+AF125-AI125)/(1-'Param treso'!$H$18),-(Z125+AI125)),0))</f>
        <v>0</v>
      </c>
      <c r="AK125" s="1106">
        <f t="shared" ca="1" si="37"/>
        <v>0</v>
      </c>
      <c r="AL125" s="1106"/>
      <c r="AM125" s="1106"/>
      <c r="AN125" s="660">
        <f t="shared" ca="1" si="38"/>
        <v>0</v>
      </c>
      <c r="AO125" s="696">
        <f ca="1">-AJ125*(1-'Param treso'!$H$18)</f>
        <v>0</v>
      </c>
      <c r="AP125" s="709">
        <f t="shared" ca="1" si="24"/>
        <v>-145447.93910000002</v>
      </c>
    </row>
    <row r="126" spans="1:42">
      <c r="A126" s="708">
        <f>IF(C126&lt;='Param treso'!$H$32,C126,IF(A125&lt;'Param treso'!$H$32,A125+1,1))</f>
        <v>16</v>
      </c>
      <c r="B126" s="708">
        <f>IF(C126&lt;='Param treso'!$H$41,C126,IF(B125&lt;'Param treso'!$H$41,B125+1,1))</f>
        <v>1</v>
      </c>
      <c r="C126" s="639">
        <f t="shared" si="25"/>
        <v>106</v>
      </c>
      <c r="D126" s="639">
        <f t="shared" ca="1" si="26"/>
        <v>166</v>
      </c>
      <c r="E126" s="649">
        <f t="shared" ca="1" si="27"/>
        <v>2132</v>
      </c>
      <c r="F126" s="186">
        <f>IF(C126=1,$F$19,IF(AND(A126=1,$K$16="Oui"),-AG125,IF(AND(A126&lt;='Param treso'!$H$32,$K$12="Oui"),IF(A126=1,-AG125,-AG125+G125),IF(AND(A126&lt;='Param treso'!$H$32,C126&lt;='Param treso'!$H$32),G125,IF($K$16="Oui",G125,0)))))</f>
        <v>0</v>
      </c>
      <c r="G126" s="186">
        <f t="shared" si="28"/>
        <v>0</v>
      </c>
      <c r="H126" s="1106">
        <f>F126*'Param treso'!$H$30</f>
        <v>0</v>
      </c>
      <c r="I126" s="1106"/>
      <c r="J126" s="1107"/>
      <c r="K126" s="659">
        <f t="shared" si="29"/>
        <v>0</v>
      </c>
      <c r="L126" s="186">
        <f>IF(K126=0,0,IF(B126=1,K126*(1+'Param treso'!$H$39),PRODUCT(L125,(POWER('Param treso'!$H$39,1)))+L125))</f>
        <v>0</v>
      </c>
      <c r="M126" s="660">
        <f>IFERROR(IF(B126='Param treso'!$H$41,L126-K126,0),0)</f>
        <v>0</v>
      </c>
      <c r="N126" s="186">
        <f>M126+H126+IF(A126='Param treso'!$H$32,G126,0)+IF(B126='Param treso'!$H$41,K126,0)</f>
        <v>0</v>
      </c>
      <c r="O126" s="186">
        <f ca="1">IF($AM$16="Oui",-IFERROR(VLOOKUP(E126,'Crédit (IS)'!$O$8:$P$145,2,FALSE),0),0)-(AN125*$T$14)</f>
        <v>0</v>
      </c>
      <c r="P126" s="186">
        <f ca="1">H126+M126+O126+IF(A126='Param treso'!$H$32,G126-F126,0)</f>
        <v>0</v>
      </c>
      <c r="Q126" s="1106">
        <f t="shared" ca="1" si="30"/>
        <v>0</v>
      </c>
      <c r="R126" s="1106"/>
      <c r="S126" s="1106"/>
      <c r="T126" s="186">
        <f t="shared" ca="1" si="31"/>
        <v>0</v>
      </c>
      <c r="U126" s="662">
        <f t="shared" ca="1" si="32"/>
        <v>0</v>
      </c>
      <c r="V126" s="662">
        <f ca="1">-IF('Param treso'!$H$20="Non",T126*Données!$L$24,IF(T126&lt;=Données!$L$26,T126*Données!$L$25,(Données!$L$26*Données!$L$25)+((T126-Données!$L$26)*Données!$L$24)))</f>
        <v>0</v>
      </c>
      <c r="W126" s="662">
        <f t="shared" ca="1" si="33"/>
        <v>0</v>
      </c>
      <c r="X126" s="186">
        <f ca="1">IF($AM$16="Oui",-IFERROR(VLOOKUP(E126,'Crédit (IS)'!$O$8:$Q$145,3,FALSE),0),0)</f>
        <v>0</v>
      </c>
      <c r="Y126" s="186">
        <f t="shared" ca="1" si="34"/>
        <v>0</v>
      </c>
      <c r="Z126" s="186">
        <f t="shared" ca="1" si="41"/>
        <v>0</v>
      </c>
      <c r="AA126" s="186">
        <f t="shared" ca="1" si="35"/>
        <v>0</v>
      </c>
      <c r="AB126" s="186">
        <f t="shared" ca="1" si="36"/>
        <v>0</v>
      </c>
      <c r="AC126" s="186">
        <f>IF(C126&lt;='Crédit (IR)'!$G$16/12,-(('Crédit (IR)'!$K$17)/(1-'Param treso'!$H$18)),0)</f>
        <v>0</v>
      </c>
      <c r="AD126" s="186">
        <f>IF($AM$14="Non",0,IF(C126&lt;='Crédit (IR)'!$G$16/12,-('Crédit (IR)'!$K$17),0))</f>
        <v>0</v>
      </c>
      <c r="AE126" s="186">
        <f ca="1">-IF(AND(E126&gt;=$AO$10,E126&lt;$AO$12),$AM$10/(1-'Param treso'!$H$18),IF(E126&gt;=$AO$12,$AM$12/(1-'Param treso'!$H$18),0))</f>
        <v>-207782.77014285719</v>
      </c>
      <c r="AF126" s="186">
        <f t="shared" ca="1" si="39"/>
        <v>-145447.93910000002</v>
      </c>
      <c r="AG126" s="186">
        <f>IF(C126=1,IF($K$12="Oui",-(Z126+AI126+AJ126),0),IF(AND($K$12="Oui",$K$16="Oui",A126='Param treso'!$H$32,B126='Param treso'!$H$41),-(Z126+AI126+AJ126+AH126),IF(AND($K$12="Oui",B126='Param treso'!$H$41),-(Z126+AI126+AJ126+AH126),IF(AND(A126='Param treso'!$H$32,$K$16="Oui"),-$F$19,IF($K$12="Oui",-(Z126+AI126+AJ126+AH126),0)))))</f>
        <v>0</v>
      </c>
      <c r="AH126" s="186">
        <f>IF(C126=1,0,IF(AND($K$16="Oui",B126='Param treso'!$H$41),-$K$19,0))</f>
        <v>0</v>
      </c>
      <c r="AI126" s="186">
        <f t="shared" si="40"/>
        <v>0</v>
      </c>
      <c r="AJ126" s="704">
        <f ca="1">IF(AI126=AF126+AD126,0,IF(AD126+AF126&lt;0,IF((Z126+AI126)&gt;=-(AC126+AE126),(AD126+AF126-AI126)/(1-'Param treso'!$H$18),-(Z126+AI126)),0))</f>
        <v>0</v>
      </c>
      <c r="AK126" s="1106">
        <f t="shared" ca="1" si="37"/>
        <v>0</v>
      </c>
      <c r="AL126" s="1106"/>
      <c r="AM126" s="1106"/>
      <c r="AN126" s="660">
        <f t="shared" ca="1" si="38"/>
        <v>0</v>
      </c>
      <c r="AO126" s="696">
        <f ca="1">-AJ126*(1-'Param treso'!$H$18)</f>
        <v>0</v>
      </c>
      <c r="AP126" s="709">
        <f t="shared" ca="1" si="24"/>
        <v>-145447.93910000002</v>
      </c>
    </row>
    <row r="127" spans="1:42">
      <c r="A127" s="708">
        <f>IF(C127&lt;='Param treso'!$H$32,C127,IF(A126&lt;'Param treso'!$H$32,A126+1,1))</f>
        <v>17</v>
      </c>
      <c r="B127" s="708">
        <f>IF(C127&lt;='Param treso'!$H$41,C127,IF(B126&lt;'Param treso'!$H$41,B126+1,1))</f>
        <v>2</v>
      </c>
      <c r="C127" s="639">
        <f t="shared" si="25"/>
        <v>107</v>
      </c>
      <c r="D127" s="639">
        <f t="shared" ca="1" si="26"/>
        <v>167</v>
      </c>
      <c r="E127" s="649">
        <f t="shared" ca="1" si="27"/>
        <v>2133</v>
      </c>
      <c r="F127" s="186">
        <f>IF(C127=1,$F$19,IF(AND(A127=1,$K$16="Oui"),-AG126,IF(AND(A127&lt;='Param treso'!$H$32,$K$12="Oui"),IF(A127=1,-AG126,-AG126+G126),IF(AND(A127&lt;='Param treso'!$H$32,C127&lt;='Param treso'!$H$32),G126,IF($K$16="Oui",G126,0)))))</f>
        <v>0</v>
      </c>
      <c r="G127" s="186">
        <f t="shared" si="28"/>
        <v>0</v>
      </c>
      <c r="H127" s="1106">
        <f>F127*'Param treso'!$H$30</f>
        <v>0</v>
      </c>
      <c r="I127" s="1106"/>
      <c r="J127" s="1107"/>
      <c r="K127" s="659">
        <f t="shared" si="29"/>
        <v>0</v>
      </c>
      <c r="L127" s="186">
        <f>IF(K127=0,0,IF(B127=1,K127*(1+'Param treso'!$H$39),PRODUCT(L126,(POWER('Param treso'!$H$39,1)))+L126))</f>
        <v>0</v>
      </c>
      <c r="M127" s="660">
        <f>IFERROR(IF(B127='Param treso'!$H$41,L127-K127,0),0)</f>
        <v>0</v>
      </c>
      <c r="N127" s="186">
        <f>M127+H127+IF(A127='Param treso'!$H$32,G127,0)+IF(B127='Param treso'!$H$41,K127,0)</f>
        <v>0</v>
      </c>
      <c r="O127" s="186">
        <f ca="1">IF($AM$16="Oui",-IFERROR(VLOOKUP(E127,'Crédit (IS)'!$O$8:$P$145,2,FALSE),0),0)-(AN126*$T$14)</f>
        <v>0</v>
      </c>
      <c r="P127" s="186">
        <f ca="1">H127+M127+O127+IF(A127='Param treso'!$H$32,G127-F127,0)</f>
        <v>0</v>
      </c>
      <c r="Q127" s="1106">
        <f t="shared" ca="1" si="30"/>
        <v>0</v>
      </c>
      <c r="R127" s="1106"/>
      <c r="S127" s="1106"/>
      <c r="T127" s="186">
        <f t="shared" ca="1" si="31"/>
        <v>0</v>
      </c>
      <c r="U127" s="662">
        <f t="shared" ca="1" si="32"/>
        <v>0</v>
      </c>
      <c r="V127" s="662">
        <f ca="1">-IF('Param treso'!$H$20="Non",T127*Données!$L$24,IF(T127&lt;=Données!$L$26,T127*Données!$L$25,(Données!$L$26*Données!$L$25)+((T127-Données!$L$26)*Données!$L$24)))</f>
        <v>0</v>
      </c>
      <c r="W127" s="662">
        <f t="shared" ca="1" si="33"/>
        <v>0</v>
      </c>
      <c r="X127" s="186">
        <f ca="1">IF($AM$16="Oui",-IFERROR(VLOOKUP(E127,'Crédit (IS)'!$O$8:$Q$145,3,FALSE),0),0)</f>
        <v>0</v>
      </c>
      <c r="Y127" s="186">
        <f t="shared" ca="1" si="34"/>
        <v>0</v>
      </c>
      <c r="Z127" s="186">
        <f t="shared" ca="1" si="41"/>
        <v>0</v>
      </c>
      <c r="AA127" s="186">
        <f t="shared" ca="1" si="35"/>
        <v>0</v>
      </c>
      <c r="AB127" s="186">
        <f t="shared" ca="1" si="36"/>
        <v>0</v>
      </c>
      <c r="AC127" s="186">
        <f>IF(C127&lt;='Crédit (IR)'!$G$16/12,-(('Crédit (IR)'!$K$17)/(1-'Param treso'!$H$18)),0)</f>
        <v>0</v>
      </c>
      <c r="AD127" s="186">
        <f>IF($AM$14="Non",0,IF(C127&lt;='Crédit (IR)'!$G$16/12,-('Crédit (IR)'!$K$17),0))</f>
        <v>0</v>
      </c>
      <c r="AE127" s="186">
        <f ca="1">-IF(AND(E127&gt;=$AO$10,E127&lt;$AO$12),$AM$10/(1-'Param treso'!$H$18),IF(E127&gt;=$AO$12,$AM$12/(1-'Param treso'!$H$18),0))</f>
        <v>-207782.77014285719</v>
      </c>
      <c r="AF127" s="186">
        <f t="shared" ca="1" si="39"/>
        <v>-145447.93910000002</v>
      </c>
      <c r="AG127" s="186">
        <f>IF(C127=1,IF($K$12="Oui",-(Z127+AI127+AJ127),0),IF(AND($K$12="Oui",$K$16="Oui",A127='Param treso'!$H$32,B127='Param treso'!$H$41),-(Z127+AI127+AJ127+AH127),IF(AND($K$12="Oui",B127='Param treso'!$H$41),-(Z127+AI127+AJ127+AH127),IF(AND(A127='Param treso'!$H$32,$K$16="Oui"),-$F$19,IF($K$12="Oui",-(Z127+AI127+AJ127+AH127),0)))))</f>
        <v>0</v>
      </c>
      <c r="AH127" s="186">
        <f>IF(C127=1,0,IF(AND($K$16="Oui",B127='Param treso'!$H$41),-$K$19,0))</f>
        <v>0</v>
      </c>
      <c r="AI127" s="186">
        <f t="shared" si="40"/>
        <v>0</v>
      </c>
      <c r="AJ127" s="704">
        <f ca="1">IF(AI127=AF127+AD127,0,IF(AD127+AF127&lt;0,IF((Z127+AI127)&gt;=-(AC127+AE127),(AD127+AF127-AI127)/(1-'Param treso'!$H$18),-(Z127+AI127)),0))</f>
        <v>0</v>
      </c>
      <c r="AK127" s="1106">
        <f t="shared" ca="1" si="37"/>
        <v>0</v>
      </c>
      <c r="AL127" s="1106"/>
      <c r="AM127" s="1106"/>
      <c r="AN127" s="660">
        <f t="shared" ca="1" si="38"/>
        <v>0</v>
      </c>
      <c r="AO127" s="696">
        <f ca="1">-AJ127*(1-'Param treso'!$H$18)</f>
        <v>0</v>
      </c>
      <c r="AP127" s="709">
        <f t="shared" ca="1" si="24"/>
        <v>-145447.93910000002</v>
      </c>
    </row>
    <row r="128" spans="1:42">
      <c r="A128" s="708">
        <f>IF(C128&lt;='Param treso'!$H$32,C128,IF(A127&lt;'Param treso'!$H$32,A127+1,1))</f>
        <v>18</v>
      </c>
      <c r="B128" s="708">
        <f>IF(C128&lt;='Param treso'!$H$41,C128,IF(B127&lt;'Param treso'!$H$41,B127+1,1))</f>
        <v>3</v>
      </c>
      <c r="C128" s="639">
        <f t="shared" si="25"/>
        <v>108</v>
      </c>
      <c r="D128" s="639">
        <f t="shared" ca="1" si="26"/>
        <v>168</v>
      </c>
      <c r="E128" s="649">
        <f t="shared" ca="1" si="27"/>
        <v>2134</v>
      </c>
      <c r="F128" s="186">
        <f>IF(C128=1,$F$19,IF(AND(A128=1,$K$16="Oui"),-AG127,IF(AND(A128&lt;='Param treso'!$H$32,$K$12="Oui"),IF(A128=1,-AG127,-AG127+G127),IF(AND(A128&lt;='Param treso'!$H$32,C128&lt;='Param treso'!$H$32),G127,IF($K$16="Oui",G127,0)))))</f>
        <v>0</v>
      </c>
      <c r="G128" s="186">
        <f t="shared" si="28"/>
        <v>0</v>
      </c>
      <c r="H128" s="1106">
        <f>F128*'Param treso'!$H$30</f>
        <v>0</v>
      </c>
      <c r="I128" s="1106"/>
      <c r="J128" s="1107"/>
      <c r="K128" s="659">
        <f t="shared" si="29"/>
        <v>0</v>
      </c>
      <c r="L128" s="186">
        <f>IF(K128=0,0,IF(B128=1,K128*(1+'Param treso'!$H$39),PRODUCT(L127,(POWER('Param treso'!$H$39,1)))+L127))</f>
        <v>0</v>
      </c>
      <c r="M128" s="660">
        <f>IFERROR(IF(B128='Param treso'!$H$41,L128-K128,0),0)</f>
        <v>0</v>
      </c>
      <c r="N128" s="186">
        <f>M128+H128+IF(A128='Param treso'!$H$32,G128,0)+IF(B128='Param treso'!$H$41,K128,0)</f>
        <v>0</v>
      </c>
      <c r="O128" s="186">
        <f ca="1">IF($AM$16="Oui",-IFERROR(VLOOKUP(E128,'Crédit (IS)'!$O$8:$P$145,2,FALSE),0),0)-(AN127*$T$14)</f>
        <v>0</v>
      </c>
      <c r="P128" s="186">
        <f ca="1">H128+M128+O128+IF(A128='Param treso'!$H$32,G128-F128,0)</f>
        <v>0</v>
      </c>
      <c r="Q128" s="1106">
        <f t="shared" ca="1" si="30"/>
        <v>0</v>
      </c>
      <c r="R128" s="1106"/>
      <c r="S128" s="1106"/>
      <c r="T128" s="186">
        <f t="shared" ca="1" si="31"/>
        <v>0</v>
      </c>
      <c r="U128" s="662">
        <f t="shared" ca="1" si="32"/>
        <v>0</v>
      </c>
      <c r="V128" s="662">
        <f ca="1">-IF('Param treso'!$H$20="Non",T128*Données!$L$24,IF(T128&lt;=Données!$L$26,T128*Données!$L$25,(Données!$L$26*Données!$L$25)+((T128-Données!$L$26)*Données!$L$24)))</f>
        <v>0</v>
      </c>
      <c r="W128" s="662">
        <f t="shared" ca="1" si="33"/>
        <v>0</v>
      </c>
      <c r="X128" s="186">
        <f ca="1">IF($AM$16="Oui",-IFERROR(VLOOKUP(E128,'Crédit (IS)'!$O$8:$Q$145,3,FALSE),0),0)</f>
        <v>0</v>
      </c>
      <c r="Y128" s="186">
        <f t="shared" ca="1" si="34"/>
        <v>0</v>
      </c>
      <c r="Z128" s="186">
        <f t="shared" ca="1" si="41"/>
        <v>0</v>
      </c>
      <c r="AA128" s="186">
        <f t="shared" ca="1" si="35"/>
        <v>0</v>
      </c>
      <c r="AB128" s="186">
        <f t="shared" ca="1" si="36"/>
        <v>0</v>
      </c>
      <c r="AC128" s="186">
        <f>IF(C128&lt;='Crédit (IR)'!$G$16/12,-(('Crédit (IR)'!$K$17)/(1-'Param treso'!$H$18)),0)</f>
        <v>0</v>
      </c>
      <c r="AD128" s="186">
        <f>IF($AM$14="Non",0,IF(C128&lt;='Crédit (IR)'!$G$16/12,-('Crédit (IR)'!$K$17),0))</f>
        <v>0</v>
      </c>
      <c r="AE128" s="186">
        <f ca="1">-IF(AND(E128&gt;=$AO$10,E128&lt;$AO$12),$AM$10/(1-'Param treso'!$H$18),IF(E128&gt;=$AO$12,$AM$12/(1-'Param treso'!$H$18),0))</f>
        <v>-207782.77014285719</v>
      </c>
      <c r="AF128" s="186">
        <f t="shared" ca="1" si="39"/>
        <v>-145447.93910000002</v>
      </c>
      <c r="AG128" s="186">
        <f>IF(C128=1,IF($K$12="Oui",-(Z128+AI128+AJ128),0),IF(AND($K$12="Oui",$K$16="Oui",A128='Param treso'!$H$32,B128='Param treso'!$H$41),-(Z128+AI128+AJ128+AH128),IF(AND($K$12="Oui",B128='Param treso'!$H$41),-(Z128+AI128+AJ128+AH128),IF(AND(A128='Param treso'!$H$32,$K$16="Oui"),-$F$19,IF($K$12="Oui",-(Z128+AI128+AJ128+AH128),0)))))</f>
        <v>0</v>
      </c>
      <c r="AH128" s="186">
        <f>IF(C128=1,0,IF(AND($K$16="Oui",B128='Param treso'!$H$41),-$K$19,0))</f>
        <v>0</v>
      </c>
      <c r="AI128" s="186">
        <f t="shared" si="40"/>
        <v>0</v>
      </c>
      <c r="AJ128" s="704">
        <f ca="1">IF(AI128=AF128+AD128,0,IF(AD128+AF128&lt;0,IF((Z128+AI128)&gt;=-(AC128+AE128),(AD128+AF128-AI128)/(1-'Param treso'!$H$18),-(Z128+AI128)),0))</f>
        <v>0</v>
      </c>
      <c r="AK128" s="1106">
        <f t="shared" ca="1" si="37"/>
        <v>0</v>
      </c>
      <c r="AL128" s="1106"/>
      <c r="AM128" s="1106"/>
      <c r="AN128" s="660">
        <f t="shared" ca="1" si="38"/>
        <v>0</v>
      </c>
      <c r="AO128" s="696">
        <f ca="1">-AJ128*(1-'Param treso'!$H$18)</f>
        <v>0</v>
      </c>
      <c r="AP128" s="709">
        <f t="shared" ca="1" si="24"/>
        <v>-145447.93910000002</v>
      </c>
    </row>
    <row r="129" spans="1:42">
      <c r="A129" s="708">
        <f>IF(C129&lt;='Param treso'!$H$32,C129,IF(A128&lt;'Param treso'!$H$32,A128+1,1))</f>
        <v>19</v>
      </c>
      <c r="B129" s="708">
        <f>IF(C129&lt;='Param treso'!$H$41,C129,IF(B128&lt;'Param treso'!$H$41,B128+1,1))</f>
        <v>4</v>
      </c>
      <c r="C129" s="639">
        <f t="shared" si="25"/>
        <v>109</v>
      </c>
      <c r="D129" s="639">
        <f t="shared" ca="1" si="26"/>
        <v>169</v>
      </c>
      <c r="E129" s="649">
        <f t="shared" ca="1" si="27"/>
        <v>2135</v>
      </c>
      <c r="F129" s="186">
        <f>IF(C129=1,$F$19,IF(AND(A129=1,$K$16="Oui"),-AG128,IF(AND(A129&lt;='Param treso'!$H$32,$K$12="Oui"),IF(A129=1,-AG128,-AG128+G128),IF(AND(A129&lt;='Param treso'!$H$32,C129&lt;='Param treso'!$H$32),G128,IF($K$16="Oui",G128,0)))))</f>
        <v>0</v>
      </c>
      <c r="G129" s="186">
        <f t="shared" si="28"/>
        <v>0</v>
      </c>
      <c r="H129" s="1106">
        <f>F129*'Param treso'!$H$30</f>
        <v>0</v>
      </c>
      <c r="I129" s="1106"/>
      <c r="J129" s="1107"/>
      <c r="K129" s="659">
        <f t="shared" si="29"/>
        <v>0</v>
      </c>
      <c r="L129" s="186">
        <f>IF(K129=0,0,IF(B129=1,K129*(1+'Param treso'!$H$39),PRODUCT(L128,(POWER('Param treso'!$H$39,1)))+L128))</f>
        <v>0</v>
      </c>
      <c r="M129" s="660">
        <f>IFERROR(IF(B129='Param treso'!$H$41,L129-K129,0),0)</f>
        <v>0</v>
      </c>
      <c r="N129" s="186">
        <f>M129+H129+IF(A129='Param treso'!$H$32,G129,0)+IF(B129='Param treso'!$H$41,K129,0)</f>
        <v>0</v>
      </c>
      <c r="O129" s="186">
        <f ca="1">IF($AM$16="Oui",-IFERROR(VLOOKUP(E129,'Crédit (IS)'!$O$8:$P$145,2,FALSE),0),0)-(AN128*$T$14)</f>
        <v>0</v>
      </c>
      <c r="P129" s="186">
        <f ca="1">H129+M129+O129+IF(A129='Param treso'!$H$32,G129-F129,0)</f>
        <v>0</v>
      </c>
      <c r="Q129" s="1106">
        <f t="shared" ca="1" si="30"/>
        <v>0</v>
      </c>
      <c r="R129" s="1106"/>
      <c r="S129" s="1106"/>
      <c r="T129" s="186">
        <f t="shared" ca="1" si="31"/>
        <v>0</v>
      </c>
      <c r="U129" s="662">
        <f t="shared" ca="1" si="32"/>
        <v>0</v>
      </c>
      <c r="V129" s="662">
        <f ca="1">-IF('Param treso'!$H$20="Non",T129*Données!$L$24,IF(T129&lt;=Données!$L$26,T129*Données!$L$25,(Données!$L$26*Données!$L$25)+((T129-Données!$L$26)*Données!$L$24)))</f>
        <v>0</v>
      </c>
      <c r="W129" s="662">
        <f t="shared" ca="1" si="33"/>
        <v>0</v>
      </c>
      <c r="X129" s="186">
        <f ca="1">IF($AM$16="Oui",-IFERROR(VLOOKUP(E129,'Crédit (IS)'!$O$8:$Q$145,3,FALSE),0),0)</f>
        <v>0</v>
      </c>
      <c r="Y129" s="186">
        <f t="shared" ca="1" si="34"/>
        <v>0</v>
      </c>
      <c r="Z129" s="186">
        <f t="shared" ca="1" si="41"/>
        <v>0</v>
      </c>
      <c r="AA129" s="186">
        <f t="shared" ca="1" si="35"/>
        <v>0</v>
      </c>
      <c r="AB129" s="186">
        <f t="shared" ca="1" si="36"/>
        <v>0</v>
      </c>
      <c r="AC129" s="186">
        <f>IF(C129&lt;='Crédit (IR)'!$G$16/12,-(('Crédit (IR)'!$K$17)/(1-'Param treso'!$H$18)),0)</f>
        <v>0</v>
      </c>
      <c r="AD129" s="186">
        <f>IF($AM$14="Non",0,IF(C129&lt;='Crédit (IR)'!$G$16/12,-('Crédit (IR)'!$K$17),0))</f>
        <v>0</v>
      </c>
      <c r="AE129" s="186">
        <f ca="1">-IF(AND(E129&gt;=$AO$10,E129&lt;$AO$12),$AM$10/(1-'Param treso'!$H$18),IF(E129&gt;=$AO$12,$AM$12/(1-'Param treso'!$H$18),0))</f>
        <v>-207782.77014285719</v>
      </c>
      <c r="AF129" s="186">
        <f t="shared" ca="1" si="39"/>
        <v>-145447.93910000002</v>
      </c>
      <c r="AG129" s="186">
        <f>IF(C129=1,IF($K$12="Oui",-(Z129+AI129+AJ129),0),IF(AND($K$12="Oui",$K$16="Oui",A129='Param treso'!$H$32,B129='Param treso'!$H$41),-(Z129+AI129+AJ129+AH129),IF(AND($K$12="Oui",B129='Param treso'!$H$41),-(Z129+AI129+AJ129+AH129),IF(AND(A129='Param treso'!$H$32,$K$16="Oui"),-$F$19,IF($K$12="Oui",-(Z129+AI129+AJ129+AH129),0)))))</f>
        <v>0</v>
      </c>
      <c r="AH129" s="186">
        <f>IF(C129=1,0,IF(AND($K$16="Oui",B129='Param treso'!$H$41),-$K$19,0))</f>
        <v>0</v>
      </c>
      <c r="AI129" s="186">
        <f t="shared" si="40"/>
        <v>0</v>
      </c>
      <c r="AJ129" s="704">
        <f ca="1">IF(AI129=AF129+AD129,0,IF(AD129+AF129&lt;0,IF((Z129+AI129)&gt;=-(AC129+AE129),(AD129+AF129-AI129)/(1-'Param treso'!$H$18),-(Z129+AI129)),0))</f>
        <v>0</v>
      </c>
      <c r="AK129" s="1106">
        <f t="shared" ca="1" si="37"/>
        <v>0</v>
      </c>
      <c r="AL129" s="1106"/>
      <c r="AM129" s="1106"/>
      <c r="AN129" s="660">
        <f t="shared" ca="1" si="38"/>
        <v>0</v>
      </c>
      <c r="AO129" s="696">
        <f ca="1">-AJ129*(1-'Param treso'!$H$18)</f>
        <v>0</v>
      </c>
      <c r="AP129" s="709">
        <f t="shared" ca="1" si="24"/>
        <v>-145447.93910000002</v>
      </c>
    </row>
    <row r="130" spans="1:42">
      <c r="A130" s="708">
        <f>IF(C130&lt;='Param treso'!$H$32,C130,IF(A129&lt;'Param treso'!$H$32,A129+1,1))</f>
        <v>20</v>
      </c>
      <c r="B130" s="708">
        <f>IF(C130&lt;='Param treso'!$H$41,C130,IF(B129&lt;'Param treso'!$H$41,B129+1,1))</f>
        <v>5</v>
      </c>
      <c r="C130" s="639">
        <f t="shared" si="25"/>
        <v>110</v>
      </c>
      <c r="D130" s="639">
        <f t="shared" ca="1" si="26"/>
        <v>170</v>
      </c>
      <c r="E130" s="649">
        <f t="shared" ca="1" si="27"/>
        <v>2136</v>
      </c>
      <c r="F130" s="186">
        <f>IF(C130=1,$F$19,IF(AND(A130=1,$K$16="Oui"),-AG129,IF(AND(A130&lt;='Param treso'!$H$32,$K$12="Oui"),IF(A130=1,-AG129,-AG129+G129),IF(AND(A130&lt;='Param treso'!$H$32,C130&lt;='Param treso'!$H$32),G129,IF($K$16="Oui",G129,0)))))</f>
        <v>0</v>
      </c>
      <c r="G130" s="186">
        <f t="shared" si="28"/>
        <v>0</v>
      </c>
      <c r="H130" s="1106">
        <f>F130*'Param treso'!$H$30</f>
        <v>0</v>
      </c>
      <c r="I130" s="1106"/>
      <c r="J130" s="1107"/>
      <c r="K130" s="659">
        <f t="shared" si="29"/>
        <v>0</v>
      </c>
      <c r="L130" s="186">
        <f>IF(K130=0,0,IF(B130=1,K130*(1+'Param treso'!$H$39),PRODUCT(L129,(POWER('Param treso'!$H$39,1)))+L129))</f>
        <v>0</v>
      </c>
      <c r="M130" s="660">
        <f>IFERROR(IF(B130='Param treso'!$H$41,L130-K130,0),0)</f>
        <v>0</v>
      </c>
      <c r="N130" s="186">
        <f>M130+H130+IF(A130='Param treso'!$H$32,G130,0)+IF(B130='Param treso'!$H$41,K130,0)</f>
        <v>0</v>
      </c>
      <c r="O130" s="186">
        <f ca="1">IF($AM$16="Oui",-IFERROR(VLOOKUP(E130,'Crédit (IS)'!$O$8:$P$145,2,FALSE),0),0)-(AN129*$T$14)</f>
        <v>0</v>
      </c>
      <c r="P130" s="186">
        <f ca="1">H130+M130+O130+IF(A130='Param treso'!$H$32,G130-F130,0)</f>
        <v>0</v>
      </c>
      <c r="Q130" s="1106">
        <f t="shared" ca="1" si="30"/>
        <v>0</v>
      </c>
      <c r="R130" s="1106"/>
      <c r="S130" s="1106"/>
      <c r="T130" s="186">
        <f t="shared" ca="1" si="31"/>
        <v>0</v>
      </c>
      <c r="U130" s="662">
        <f t="shared" ca="1" si="32"/>
        <v>0</v>
      </c>
      <c r="V130" s="662">
        <f ca="1">-IF('Param treso'!$H$20="Non",T130*Données!$L$24,IF(T130&lt;=Données!$L$26,T130*Données!$L$25,(Données!$L$26*Données!$L$25)+((T130-Données!$L$26)*Données!$L$24)))</f>
        <v>0</v>
      </c>
      <c r="W130" s="662">
        <f t="shared" ca="1" si="33"/>
        <v>0</v>
      </c>
      <c r="X130" s="186">
        <f ca="1">IF($AM$16="Oui",-IFERROR(VLOOKUP(E130,'Crédit (IS)'!$O$8:$Q$145,3,FALSE),0),0)</f>
        <v>0</v>
      </c>
      <c r="Y130" s="186">
        <f t="shared" ca="1" si="34"/>
        <v>0</v>
      </c>
      <c r="Z130" s="186">
        <f t="shared" ca="1" si="41"/>
        <v>0</v>
      </c>
      <c r="AA130" s="186">
        <f t="shared" ca="1" si="35"/>
        <v>0</v>
      </c>
      <c r="AB130" s="186">
        <f t="shared" ca="1" si="36"/>
        <v>0</v>
      </c>
      <c r="AC130" s="186">
        <f>IF(C130&lt;='Crédit (IR)'!$G$16/12,-(('Crédit (IR)'!$K$17)/(1-'Param treso'!$H$18)),0)</f>
        <v>0</v>
      </c>
      <c r="AD130" s="186">
        <f>IF($AM$14="Non",0,IF(C130&lt;='Crédit (IR)'!$G$16/12,-('Crédit (IR)'!$K$17),0))</f>
        <v>0</v>
      </c>
      <c r="AE130" s="186">
        <f ca="1">-IF(AND(E130&gt;=$AO$10,E130&lt;$AO$12),$AM$10/(1-'Param treso'!$H$18),IF(E130&gt;=$AO$12,$AM$12/(1-'Param treso'!$H$18),0))</f>
        <v>-207782.77014285719</v>
      </c>
      <c r="AF130" s="186">
        <f t="shared" ca="1" si="39"/>
        <v>-145447.93910000002</v>
      </c>
      <c r="AG130" s="186">
        <f>IF(C130=1,IF($K$12="Oui",-(Z130+AI130+AJ130),0),IF(AND($K$12="Oui",$K$16="Oui",A130='Param treso'!$H$32,B130='Param treso'!$H$41),-(Z130+AI130+AJ130+AH130),IF(AND($K$12="Oui",B130='Param treso'!$H$41),-(Z130+AI130+AJ130+AH130),IF(AND(A130='Param treso'!$H$32,$K$16="Oui"),-$F$19,IF($K$12="Oui",-(Z130+AI130+AJ130+AH130),0)))))</f>
        <v>0</v>
      </c>
      <c r="AH130" s="186">
        <f>IF(C130=1,0,IF(AND($K$16="Oui",B130='Param treso'!$H$41),-$K$19,0))</f>
        <v>0</v>
      </c>
      <c r="AI130" s="186">
        <f t="shared" si="40"/>
        <v>0</v>
      </c>
      <c r="AJ130" s="704">
        <f ca="1">IF(AI130=AF130+AD130,0,IF(AD130+AF130&lt;0,IF((Z130+AI130)&gt;=-(AC130+AE130),(AD130+AF130-AI130)/(1-'Param treso'!$H$18),-(Z130+AI130)),0))</f>
        <v>0</v>
      </c>
      <c r="AK130" s="1106">
        <f t="shared" ca="1" si="37"/>
        <v>0</v>
      </c>
      <c r="AL130" s="1106"/>
      <c r="AM130" s="1106"/>
      <c r="AN130" s="660">
        <f t="shared" ca="1" si="38"/>
        <v>0</v>
      </c>
      <c r="AO130" s="696">
        <f ca="1">-AJ130*(1-'Param treso'!$H$18)</f>
        <v>0</v>
      </c>
      <c r="AP130" s="709">
        <f t="shared" ca="1" si="24"/>
        <v>-145447.93910000002</v>
      </c>
    </row>
    <row r="131" spans="1:42">
      <c r="A131" s="708">
        <f>IF(C131&lt;='Param treso'!$H$32,C131,IF(A130&lt;'Param treso'!$H$32,A130+1,1))</f>
        <v>21</v>
      </c>
      <c r="B131" s="708">
        <f>IF(C131&lt;='Param treso'!$H$41,C131,IF(B130&lt;'Param treso'!$H$41,B130+1,1))</f>
        <v>1</v>
      </c>
      <c r="C131" s="639">
        <f t="shared" si="25"/>
        <v>111</v>
      </c>
      <c r="D131" s="639">
        <f t="shared" ca="1" si="26"/>
        <v>171</v>
      </c>
      <c r="E131" s="649">
        <f t="shared" ca="1" si="27"/>
        <v>2137</v>
      </c>
      <c r="F131" s="186">
        <f>IF(C131=1,$F$19,IF(AND(A131=1,$K$16="Oui"),-AG130,IF(AND(A131&lt;='Param treso'!$H$32,$K$12="Oui"),IF(A131=1,-AG130,-AG130+G130),IF(AND(A131&lt;='Param treso'!$H$32,C131&lt;='Param treso'!$H$32),G130,IF($K$16="Oui",G130,0)))))</f>
        <v>0</v>
      </c>
      <c r="G131" s="186">
        <f t="shared" si="28"/>
        <v>0</v>
      </c>
      <c r="H131" s="1106">
        <f>F131*'Param treso'!$H$30</f>
        <v>0</v>
      </c>
      <c r="I131" s="1106"/>
      <c r="J131" s="1107"/>
      <c r="K131" s="659">
        <f t="shared" si="29"/>
        <v>0</v>
      </c>
      <c r="L131" s="186">
        <f>IF(K131=0,0,IF(B131=1,K131*(1+'Param treso'!$H$39),PRODUCT(L130,(POWER('Param treso'!$H$39,1)))+L130))</f>
        <v>0</v>
      </c>
      <c r="M131" s="660">
        <f>IFERROR(IF(B131='Param treso'!$H$41,L131-K131,0),0)</f>
        <v>0</v>
      </c>
      <c r="N131" s="186">
        <f>M131+H131+IF(A131='Param treso'!$H$32,G131,0)+IF(B131='Param treso'!$H$41,K131,0)</f>
        <v>0</v>
      </c>
      <c r="O131" s="186">
        <f ca="1">IF($AM$16="Oui",-IFERROR(VLOOKUP(E131,'Crédit (IS)'!$O$8:$P$145,2,FALSE),0),0)-(AN130*$T$14)</f>
        <v>0</v>
      </c>
      <c r="P131" s="186">
        <f ca="1">H131+M131+O131+IF(A131='Param treso'!$H$32,G131-F131,0)</f>
        <v>0</v>
      </c>
      <c r="Q131" s="1106">
        <f t="shared" ca="1" si="30"/>
        <v>0</v>
      </c>
      <c r="R131" s="1106"/>
      <c r="S131" s="1106"/>
      <c r="T131" s="186">
        <f t="shared" ca="1" si="31"/>
        <v>0</v>
      </c>
      <c r="U131" s="662">
        <f t="shared" ca="1" si="32"/>
        <v>0</v>
      </c>
      <c r="V131" s="662">
        <f ca="1">-IF('Param treso'!$H$20="Non",T131*Données!$L$24,IF(T131&lt;=Données!$L$26,T131*Données!$L$25,(Données!$L$26*Données!$L$25)+((T131-Données!$L$26)*Données!$L$24)))</f>
        <v>0</v>
      </c>
      <c r="W131" s="662">
        <f t="shared" ca="1" si="33"/>
        <v>0</v>
      </c>
      <c r="X131" s="186">
        <f ca="1">IF($AM$16="Oui",-IFERROR(VLOOKUP(E131,'Crédit (IS)'!$O$8:$Q$145,3,FALSE),0),0)</f>
        <v>0</v>
      </c>
      <c r="Y131" s="186">
        <f t="shared" ca="1" si="34"/>
        <v>0</v>
      </c>
      <c r="Z131" s="186">
        <f t="shared" ca="1" si="41"/>
        <v>0</v>
      </c>
      <c r="AA131" s="186">
        <f t="shared" ca="1" si="35"/>
        <v>0</v>
      </c>
      <c r="AB131" s="186">
        <f t="shared" ca="1" si="36"/>
        <v>0</v>
      </c>
      <c r="AC131" s="186">
        <f>IF(C131&lt;='Crédit (IR)'!$G$16/12,-(('Crédit (IR)'!$K$17)/(1-'Param treso'!$H$18)),0)</f>
        <v>0</v>
      </c>
      <c r="AD131" s="186">
        <f>IF($AM$14="Non",0,IF(C131&lt;='Crédit (IR)'!$G$16/12,-('Crédit (IR)'!$K$17),0))</f>
        <v>0</v>
      </c>
      <c r="AE131" s="186">
        <f ca="1">-IF(AND(E131&gt;=$AO$10,E131&lt;$AO$12),$AM$10/(1-'Param treso'!$H$18),IF(E131&gt;=$AO$12,$AM$12/(1-'Param treso'!$H$18),0))</f>
        <v>-207782.77014285719</v>
      </c>
      <c r="AF131" s="186">
        <f t="shared" ca="1" si="39"/>
        <v>-145447.93910000002</v>
      </c>
      <c r="AG131" s="186">
        <f>IF(C131=1,IF($K$12="Oui",-(Z131+AI131+AJ131),0),IF(AND($K$12="Oui",$K$16="Oui",A131='Param treso'!$H$32,B131='Param treso'!$H$41),-(Z131+AI131+AJ131+AH131),IF(AND($K$12="Oui",B131='Param treso'!$H$41),-(Z131+AI131+AJ131+AH131),IF(AND(A131='Param treso'!$H$32,$K$16="Oui"),-$F$19,IF($K$12="Oui",-(Z131+AI131+AJ131+AH131),0)))))</f>
        <v>0</v>
      </c>
      <c r="AH131" s="186">
        <f>IF(C131=1,0,IF(AND($K$16="Oui",B131='Param treso'!$H$41),-$K$19,0))</f>
        <v>0</v>
      </c>
      <c r="AI131" s="186">
        <f t="shared" si="40"/>
        <v>0</v>
      </c>
      <c r="AJ131" s="704">
        <f ca="1">IF(AI131=AF131+AD131,0,IF(AD131+AF131&lt;0,IF((Z131+AI131)&gt;=-(AC131+AE131),(AD131+AF131-AI131)/(1-'Param treso'!$H$18),-(Z131+AI131)),0))</f>
        <v>0</v>
      </c>
      <c r="AK131" s="1106">
        <f t="shared" ca="1" si="37"/>
        <v>0</v>
      </c>
      <c r="AL131" s="1106"/>
      <c r="AM131" s="1106"/>
      <c r="AN131" s="660">
        <f t="shared" ca="1" si="38"/>
        <v>0</v>
      </c>
      <c r="AO131" s="696">
        <f ca="1">-AJ131*(1-'Param treso'!$H$18)</f>
        <v>0</v>
      </c>
      <c r="AP131" s="709">
        <f t="shared" ca="1" si="24"/>
        <v>-145447.93910000002</v>
      </c>
    </row>
    <row r="132" spans="1:42">
      <c r="A132" s="708">
        <f>IF(C132&lt;='Param treso'!$H$32,C132,IF(A131&lt;'Param treso'!$H$32,A131+1,1))</f>
        <v>22</v>
      </c>
      <c r="B132" s="708">
        <f>IF(C132&lt;='Param treso'!$H$41,C132,IF(B131&lt;'Param treso'!$H$41,B131+1,1))</f>
        <v>2</v>
      </c>
      <c r="C132" s="639">
        <f t="shared" si="25"/>
        <v>112</v>
      </c>
      <c r="D132" s="639">
        <f t="shared" ca="1" si="26"/>
        <v>172</v>
      </c>
      <c r="E132" s="649">
        <f t="shared" ca="1" si="27"/>
        <v>2138</v>
      </c>
      <c r="F132" s="186">
        <f>IF(C132=1,$F$19,IF(AND(A132=1,$K$16="Oui"),-AG131,IF(AND(A132&lt;='Param treso'!$H$32,$K$12="Oui"),IF(A132=1,-AG131,-AG131+G131),IF(AND(A132&lt;='Param treso'!$H$32,C132&lt;='Param treso'!$H$32),G131,IF($K$16="Oui",G131,0)))))</f>
        <v>0</v>
      </c>
      <c r="G132" s="186">
        <f t="shared" si="28"/>
        <v>0</v>
      </c>
      <c r="H132" s="1106">
        <f>F132*'Param treso'!$H$30</f>
        <v>0</v>
      </c>
      <c r="I132" s="1106"/>
      <c r="J132" s="1107"/>
      <c r="K132" s="659">
        <f t="shared" si="29"/>
        <v>0</v>
      </c>
      <c r="L132" s="186">
        <f>IF(K132=0,0,IF(B132=1,K132*(1+'Param treso'!$H$39),PRODUCT(L131,(POWER('Param treso'!$H$39,1)))+L131))</f>
        <v>0</v>
      </c>
      <c r="M132" s="660">
        <f>IFERROR(IF(B132='Param treso'!$H$41,L132-K132,0),0)</f>
        <v>0</v>
      </c>
      <c r="N132" s="186">
        <f>M132+H132+IF(A132='Param treso'!$H$32,G132,0)+IF(B132='Param treso'!$H$41,K132,0)</f>
        <v>0</v>
      </c>
      <c r="O132" s="186">
        <f ca="1">IF($AM$16="Oui",-IFERROR(VLOOKUP(E132,'Crédit (IS)'!$O$8:$P$145,2,FALSE),0),0)-(AN131*$T$14)</f>
        <v>0</v>
      </c>
      <c r="P132" s="186">
        <f ca="1">H132+M132+O132+IF(A132='Param treso'!$H$32,G132-F132,0)</f>
        <v>0</v>
      </c>
      <c r="Q132" s="1106">
        <f t="shared" ca="1" si="30"/>
        <v>0</v>
      </c>
      <c r="R132" s="1106"/>
      <c r="S132" s="1106"/>
      <c r="T132" s="186">
        <f t="shared" ca="1" si="31"/>
        <v>0</v>
      </c>
      <c r="U132" s="662">
        <f t="shared" ca="1" si="32"/>
        <v>0</v>
      </c>
      <c r="V132" s="662">
        <f ca="1">-IF('Param treso'!$H$20="Non",T132*Données!$L$24,IF(T132&lt;=Données!$L$26,T132*Données!$L$25,(Données!$L$26*Données!$L$25)+((T132-Données!$L$26)*Données!$L$24)))</f>
        <v>0</v>
      </c>
      <c r="W132" s="662">
        <f t="shared" ca="1" si="33"/>
        <v>0</v>
      </c>
      <c r="X132" s="186">
        <f ca="1">IF($AM$16="Oui",-IFERROR(VLOOKUP(E132,'Crédit (IS)'!$O$8:$Q$145,3,FALSE),0),0)</f>
        <v>0</v>
      </c>
      <c r="Y132" s="186">
        <f t="shared" ca="1" si="34"/>
        <v>0</v>
      </c>
      <c r="Z132" s="186">
        <f t="shared" ca="1" si="41"/>
        <v>0</v>
      </c>
      <c r="AA132" s="186">
        <f t="shared" ca="1" si="35"/>
        <v>0</v>
      </c>
      <c r="AB132" s="186">
        <f t="shared" ca="1" si="36"/>
        <v>0</v>
      </c>
      <c r="AC132" s="186">
        <f>IF(C132&lt;='Crédit (IR)'!$G$16/12,-(('Crédit (IR)'!$K$17)/(1-'Param treso'!$H$18)),0)</f>
        <v>0</v>
      </c>
      <c r="AD132" s="186">
        <f>IF($AM$14="Non",0,IF(C132&lt;='Crédit (IR)'!$G$16/12,-('Crédit (IR)'!$K$17),0))</f>
        <v>0</v>
      </c>
      <c r="AE132" s="186">
        <f ca="1">-IF(AND(E132&gt;=$AO$10,E132&lt;$AO$12),$AM$10/(1-'Param treso'!$H$18),IF(E132&gt;=$AO$12,$AM$12/(1-'Param treso'!$H$18),0))</f>
        <v>-207782.77014285719</v>
      </c>
      <c r="AF132" s="186">
        <f t="shared" ca="1" si="39"/>
        <v>-145447.93910000002</v>
      </c>
      <c r="AG132" s="186">
        <f>IF(C132=1,IF($K$12="Oui",-(Z132+AI132+AJ132),0),IF(AND($K$12="Oui",$K$16="Oui",A132='Param treso'!$H$32,B132='Param treso'!$H$41),-(Z132+AI132+AJ132+AH132),IF(AND($K$12="Oui",B132='Param treso'!$H$41),-(Z132+AI132+AJ132+AH132),IF(AND(A132='Param treso'!$H$32,$K$16="Oui"),-$F$19,IF($K$12="Oui",-(Z132+AI132+AJ132+AH132),0)))))</f>
        <v>0</v>
      </c>
      <c r="AH132" s="186">
        <f>IF(C132=1,0,IF(AND($K$16="Oui",B132='Param treso'!$H$41),-$K$19,0))</f>
        <v>0</v>
      </c>
      <c r="AI132" s="186">
        <f t="shared" si="40"/>
        <v>0</v>
      </c>
      <c r="AJ132" s="704">
        <f ca="1">IF(AI132=AF132+AD132,0,IF(AD132+AF132&lt;0,IF((Z132+AI132)&gt;=-(AC132+AE132),(AD132+AF132-AI132)/(1-'Param treso'!$H$18),-(Z132+AI132)),0))</f>
        <v>0</v>
      </c>
      <c r="AK132" s="1106">
        <f t="shared" ca="1" si="37"/>
        <v>0</v>
      </c>
      <c r="AL132" s="1106"/>
      <c r="AM132" s="1106"/>
      <c r="AN132" s="660">
        <f t="shared" ca="1" si="38"/>
        <v>0</v>
      </c>
      <c r="AO132" s="696">
        <f ca="1">-AJ132*(1-'Param treso'!$H$18)</f>
        <v>0</v>
      </c>
      <c r="AP132" s="709">
        <f t="shared" ca="1" si="24"/>
        <v>-145447.93910000002</v>
      </c>
    </row>
    <row r="133" spans="1:42">
      <c r="A133" s="708">
        <f>IF(C133&lt;='Param treso'!$H$32,C133,IF(A132&lt;'Param treso'!$H$32,A132+1,1))</f>
        <v>23</v>
      </c>
      <c r="B133" s="708">
        <f>IF(C133&lt;='Param treso'!$H$41,C133,IF(B132&lt;'Param treso'!$H$41,B132+1,1))</f>
        <v>3</v>
      </c>
      <c r="C133" s="639">
        <f t="shared" si="25"/>
        <v>113</v>
      </c>
      <c r="D133" s="639">
        <f t="shared" ca="1" si="26"/>
        <v>173</v>
      </c>
      <c r="E133" s="649">
        <f t="shared" ca="1" si="27"/>
        <v>2139</v>
      </c>
      <c r="F133" s="186">
        <f>IF(C133=1,$F$19,IF(AND(A133=1,$K$16="Oui"),-AG132,IF(AND(A133&lt;='Param treso'!$H$32,$K$12="Oui"),IF(A133=1,-AG132,-AG132+G132),IF(AND(A133&lt;='Param treso'!$H$32,C133&lt;='Param treso'!$H$32),G132,IF($K$16="Oui",G132,0)))))</f>
        <v>0</v>
      </c>
      <c r="G133" s="186">
        <f t="shared" si="28"/>
        <v>0</v>
      </c>
      <c r="H133" s="1106">
        <f>F133*'Param treso'!$H$30</f>
        <v>0</v>
      </c>
      <c r="I133" s="1106"/>
      <c r="J133" s="1107"/>
      <c r="K133" s="659">
        <f t="shared" si="29"/>
        <v>0</v>
      </c>
      <c r="L133" s="186">
        <f>IF(K133=0,0,IF(B133=1,K133*(1+'Param treso'!$H$39),PRODUCT(L132,(POWER('Param treso'!$H$39,1)))+L132))</f>
        <v>0</v>
      </c>
      <c r="M133" s="660">
        <f>IFERROR(IF(B133='Param treso'!$H$41,L133-K133,0),0)</f>
        <v>0</v>
      </c>
      <c r="N133" s="186">
        <f>M133+H133+IF(A133='Param treso'!$H$32,G133,0)+IF(B133='Param treso'!$H$41,K133,0)</f>
        <v>0</v>
      </c>
      <c r="O133" s="186">
        <f ca="1">IF($AM$16="Oui",-IFERROR(VLOOKUP(E133,'Crédit (IS)'!$O$8:$P$145,2,FALSE),0),0)-(AN132*$T$14)</f>
        <v>0</v>
      </c>
      <c r="P133" s="186">
        <f ca="1">H133+M133+O133+IF(A133='Param treso'!$H$32,G133-F133,0)</f>
        <v>0</v>
      </c>
      <c r="Q133" s="1106">
        <f t="shared" ca="1" si="30"/>
        <v>0</v>
      </c>
      <c r="R133" s="1106"/>
      <c r="S133" s="1106"/>
      <c r="T133" s="186">
        <f t="shared" ca="1" si="31"/>
        <v>0</v>
      </c>
      <c r="U133" s="662">
        <f t="shared" ca="1" si="32"/>
        <v>0</v>
      </c>
      <c r="V133" s="662">
        <f ca="1">-IF('Param treso'!$H$20="Non",T133*Données!$L$24,IF(T133&lt;=Données!$L$26,T133*Données!$L$25,(Données!$L$26*Données!$L$25)+((T133-Données!$L$26)*Données!$L$24)))</f>
        <v>0</v>
      </c>
      <c r="W133" s="662">
        <f t="shared" ca="1" si="33"/>
        <v>0</v>
      </c>
      <c r="X133" s="186">
        <f ca="1">IF($AM$16="Oui",-IFERROR(VLOOKUP(E133,'Crédit (IS)'!$O$8:$Q$145,3,FALSE),0),0)</f>
        <v>0</v>
      </c>
      <c r="Y133" s="186">
        <f t="shared" ca="1" si="34"/>
        <v>0</v>
      </c>
      <c r="Z133" s="186">
        <f t="shared" ca="1" si="41"/>
        <v>0</v>
      </c>
      <c r="AA133" s="186">
        <f t="shared" ca="1" si="35"/>
        <v>0</v>
      </c>
      <c r="AB133" s="186">
        <f t="shared" ca="1" si="36"/>
        <v>0</v>
      </c>
      <c r="AC133" s="186">
        <f>IF(C133&lt;='Crédit (IR)'!$G$16/12,-(('Crédit (IR)'!$K$17)/(1-'Param treso'!$H$18)),0)</f>
        <v>0</v>
      </c>
      <c r="AD133" s="186">
        <f>IF($AM$14="Non",0,IF(C133&lt;='Crédit (IR)'!$G$16/12,-('Crédit (IR)'!$K$17),0))</f>
        <v>0</v>
      </c>
      <c r="AE133" s="186">
        <f ca="1">-IF(AND(E133&gt;=$AO$10,E133&lt;$AO$12),$AM$10/(1-'Param treso'!$H$18),IF(E133&gt;=$AO$12,$AM$12/(1-'Param treso'!$H$18),0))</f>
        <v>-207782.77014285719</v>
      </c>
      <c r="AF133" s="186">
        <f t="shared" ca="1" si="39"/>
        <v>-145447.93910000002</v>
      </c>
      <c r="AG133" s="186">
        <f>IF(C133=1,IF($K$12="Oui",-(Z133+AI133+AJ133),0),IF(AND($K$12="Oui",$K$16="Oui",A133='Param treso'!$H$32,B133='Param treso'!$H$41),-(Z133+AI133+AJ133+AH133),IF(AND($K$12="Oui",B133='Param treso'!$H$41),-(Z133+AI133+AJ133+AH133),IF(AND(A133='Param treso'!$H$32,$K$16="Oui"),-$F$19,IF($K$12="Oui",-(Z133+AI133+AJ133+AH133),0)))))</f>
        <v>0</v>
      </c>
      <c r="AH133" s="186">
        <f>IF(C133=1,0,IF(AND($K$16="Oui",B133='Param treso'!$H$41),-$K$19,0))</f>
        <v>0</v>
      </c>
      <c r="AI133" s="186">
        <f t="shared" si="40"/>
        <v>0</v>
      </c>
      <c r="AJ133" s="704">
        <f ca="1">IF(AI133=AF133+AD133,0,IF(AD133+AF133&lt;0,IF((Z133+AI133)&gt;=-(AC133+AE133),(AD133+AF133-AI133)/(1-'Param treso'!$H$18),-(Z133+AI133)),0))</f>
        <v>0</v>
      </c>
      <c r="AK133" s="1106">
        <f t="shared" ca="1" si="37"/>
        <v>0</v>
      </c>
      <c r="AL133" s="1106"/>
      <c r="AM133" s="1106"/>
      <c r="AN133" s="660">
        <f t="shared" ca="1" si="38"/>
        <v>0</v>
      </c>
      <c r="AO133" s="696">
        <f ca="1">-AJ133*(1-'Param treso'!$H$18)</f>
        <v>0</v>
      </c>
      <c r="AP133" s="709">
        <f t="shared" ca="1" si="24"/>
        <v>-145447.93910000002</v>
      </c>
    </row>
    <row r="134" spans="1:42">
      <c r="A134" s="708">
        <f>IF(C134&lt;='Param treso'!$H$32,C134,IF(A133&lt;'Param treso'!$H$32,A133+1,1))</f>
        <v>24</v>
      </c>
      <c r="B134" s="708">
        <f>IF(C134&lt;='Param treso'!$H$41,C134,IF(B133&lt;'Param treso'!$H$41,B133+1,1))</f>
        <v>4</v>
      </c>
      <c r="C134" s="639">
        <f t="shared" si="25"/>
        <v>114</v>
      </c>
      <c r="D134" s="639">
        <f t="shared" ca="1" si="26"/>
        <v>174</v>
      </c>
      <c r="E134" s="649">
        <f t="shared" ca="1" si="27"/>
        <v>2140</v>
      </c>
      <c r="F134" s="186">
        <f>IF(C134=1,$F$19,IF(AND(A134=1,$K$16="Oui"),-AG133,IF(AND(A134&lt;='Param treso'!$H$32,$K$12="Oui"),IF(A134=1,-AG133,-AG133+G133),IF(AND(A134&lt;='Param treso'!$H$32,C134&lt;='Param treso'!$H$32),G133,IF($K$16="Oui",G133,0)))))</f>
        <v>0</v>
      </c>
      <c r="G134" s="186">
        <f t="shared" si="28"/>
        <v>0</v>
      </c>
      <c r="H134" s="1106">
        <f>F134*'Param treso'!$H$30</f>
        <v>0</v>
      </c>
      <c r="I134" s="1106"/>
      <c r="J134" s="1107"/>
      <c r="K134" s="659">
        <f t="shared" si="29"/>
        <v>0</v>
      </c>
      <c r="L134" s="186">
        <f>IF(K134=0,0,IF(B134=1,K134*(1+'Param treso'!$H$39),PRODUCT(L133,(POWER('Param treso'!$H$39,1)))+L133))</f>
        <v>0</v>
      </c>
      <c r="M134" s="660">
        <f>IFERROR(IF(B134='Param treso'!$H$41,L134-K134,0),0)</f>
        <v>0</v>
      </c>
      <c r="N134" s="186">
        <f>M134+H134+IF(A134='Param treso'!$H$32,G134,0)+IF(B134='Param treso'!$H$41,K134,0)</f>
        <v>0</v>
      </c>
      <c r="O134" s="186">
        <f ca="1">IF($AM$16="Oui",-IFERROR(VLOOKUP(E134,'Crédit (IS)'!$O$8:$P$145,2,FALSE),0),0)-(AN133*$T$14)</f>
        <v>0</v>
      </c>
      <c r="P134" s="186">
        <f ca="1">H134+M134+O134+IF(A134='Param treso'!$H$32,G134-F134,0)</f>
        <v>0</v>
      </c>
      <c r="Q134" s="1106">
        <f t="shared" ca="1" si="30"/>
        <v>0</v>
      </c>
      <c r="R134" s="1106"/>
      <c r="S134" s="1106"/>
      <c r="T134" s="186">
        <f t="shared" ca="1" si="31"/>
        <v>0</v>
      </c>
      <c r="U134" s="662">
        <f t="shared" ca="1" si="32"/>
        <v>0</v>
      </c>
      <c r="V134" s="662">
        <f ca="1">-IF('Param treso'!$H$20="Non",T134*Données!$L$24,IF(T134&lt;=Données!$L$26,T134*Données!$L$25,(Données!$L$26*Données!$L$25)+((T134-Données!$L$26)*Données!$L$24)))</f>
        <v>0</v>
      </c>
      <c r="W134" s="662">
        <f t="shared" ca="1" si="33"/>
        <v>0</v>
      </c>
      <c r="X134" s="186">
        <f ca="1">IF($AM$16="Oui",-IFERROR(VLOOKUP(E134,'Crédit (IS)'!$O$8:$Q$145,3,FALSE),0),0)</f>
        <v>0</v>
      </c>
      <c r="Y134" s="186">
        <f t="shared" ca="1" si="34"/>
        <v>0</v>
      </c>
      <c r="Z134" s="186">
        <f t="shared" ca="1" si="41"/>
        <v>0</v>
      </c>
      <c r="AA134" s="186">
        <f t="shared" ca="1" si="35"/>
        <v>0</v>
      </c>
      <c r="AB134" s="186">
        <f t="shared" ca="1" si="36"/>
        <v>0</v>
      </c>
      <c r="AC134" s="186">
        <f>IF(C134&lt;='Crédit (IR)'!$G$16/12,-(('Crédit (IR)'!$K$17)/(1-'Param treso'!$H$18)),0)</f>
        <v>0</v>
      </c>
      <c r="AD134" s="186">
        <f>IF($AM$14="Non",0,IF(C134&lt;='Crédit (IR)'!$G$16/12,-('Crédit (IR)'!$K$17),0))</f>
        <v>0</v>
      </c>
      <c r="AE134" s="186">
        <f ca="1">-IF(AND(E134&gt;=$AO$10,E134&lt;$AO$12),$AM$10/(1-'Param treso'!$H$18),IF(E134&gt;=$AO$12,$AM$12/(1-'Param treso'!$H$18),0))</f>
        <v>-207782.77014285719</v>
      </c>
      <c r="AF134" s="186">
        <f t="shared" ca="1" si="39"/>
        <v>-145447.93910000002</v>
      </c>
      <c r="AG134" s="186">
        <f>IF(C134=1,IF($K$12="Oui",-(Z134+AI134+AJ134),0),IF(AND($K$12="Oui",$K$16="Oui",A134='Param treso'!$H$32,B134='Param treso'!$H$41),-(Z134+AI134+AJ134+AH134),IF(AND($K$12="Oui",B134='Param treso'!$H$41),-(Z134+AI134+AJ134+AH134),IF(AND(A134='Param treso'!$H$32,$K$16="Oui"),-$F$19,IF($K$12="Oui",-(Z134+AI134+AJ134+AH134),0)))))</f>
        <v>0</v>
      </c>
      <c r="AH134" s="186">
        <f>IF(C134=1,0,IF(AND($K$16="Oui",B134='Param treso'!$H$41),-$K$19,0))</f>
        <v>0</v>
      </c>
      <c r="AI134" s="186">
        <f t="shared" si="40"/>
        <v>0</v>
      </c>
      <c r="AJ134" s="704">
        <f ca="1">IF(AI134=AF134+AD134,0,IF(AD134+AF134&lt;0,IF((Z134+AI134)&gt;=-(AC134+AE134),(AD134+AF134-AI134)/(1-'Param treso'!$H$18),-(Z134+AI134)),0))</f>
        <v>0</v>
      </c>
      <c r="AK134" s="1106">
        <f t="shared" ca="1" si="37"/>
        <v>0</v>
      </c>
      <c r="AL134" s="1106"/>
      <c r="AM134" s="1106"/>
      <c r="AN134" s="660">
        <f t="shared" ca="1" si="38"/>
        <v>0</v>
      </c>
      <c r="AO134" s="696">
        <f ca="1">-AJ134*(1-'Param treso'!$H$18)</f>
        <v>0</v>
      </c>
      <c r="AP134" s="709">
        <f t="shared" ca="1" si="24"/>
        <v>-145447.93910000002</v>
      </c>
    </row>
    <row r="135" spans="1:42">
      <c r="A135" s="708">
        <f>IF(C135&lt;='Param treso'!$H$32,C135,IF(A134&lt;'Param treso'!$H$32,A134+1,1))</f>
        <v>25</v>
      </c>
      <c r="B135" s="708">
        <f>IF(C135&lt;='Param treso'!$H$41,C135,IF(B134&lt;'Param treso'!$H$41,B134+1,1))</f>
        <v>5</v>
      </c>
      <c r="C135" s="639">
        <f t="shared" si="25"/>
        <v>115</v>
      </c>
      <c r="D135" s="639">
        <f t="shared" ca="1" si="26"/>
        <v>175</v>
      </c>
      <c r="E135" s="649">
        <f t="shared" ca="1" si="27"/>
        <v>2141</v>
      </c>
      <c r="F135" s="186">
        <f>IF(C135=1,$F$19,IF(AND(A135=1,$K$16="Oui"),-AG134,IF(AND(A135&lt;='Param treso'!$H$32,$K$12="Oui"),IF(A135=1,-AG134,-AG134+G134),IF(AND(A135&lt;='Param treso'!$H$32,C135&lt;='Param treso'!$H$32),G134,IF($K$16="Oui",G134,0)))))</f>
        <v>0</v>
      </c>
      <c r="G135" s="186">
        <f t="shared" si="28"/>
        <v>0</v>
      </c>
      <c r="H135" s="1106">
        <f>F135*'Param treso'!$H$30</f>
        <v>0</v>
      </c>
      <c r="I135" s="1106"/>
      <c r="J135" s="1107"/>
      <c r="K135" s="659">
        <f t="shared" si="29"/>
        <v>0</v>
      </c>
      <c r="L135" s="186">
        <f>IF(K135=0,0,IF(B135=1,K135*(1+'Param treso'!$H$39),PRODUCT(L134,(POWER('Param treso'!$H$39,1)))+L134))</f>
        <v>0</v>
      </c>
      <c r="M135" s="660">
        <f>IFERROR(IF(B135='Param treso'!$H$41,L135-K135,0),0)</f>
        <v>0</v>
      </c>
      <c r="N135" s="186">
        <f>M135+H135+IF(A135='Param treso'!$H$32,G135,0)+IF(B135='Param treso'!$H$41,K135,0)</f>
        <v>0</v>
      </c>
      <c r="O135" s="186">
        <f ca="1">IF($AM$16="Oui",-IFERROR(VLOOKUP(E135,'Crédit (IS)'!$O$8:$P$145,2,FALSE),0),0)-(AN134*$T$14)</f>
        <v>0</v>
      </c>
      <c r="P135" s="186">
        <f ca="1">H135+M135+O135+IF(A135='Param treso'!$H$32,G135-F135,0)</f>
        <v>0</v>
      </c>
      <c r="Q135" s="1106">
        <f t="shared" ca="1" si="30"/>
        <v>0</v>
      </c>
      <c r="R135" s="1106"/>
      <c r="S135" s="1106"/>
      <c r="T135" s="186">
        <f t="shared" ca="1" si="31"/>
        <v>0</v>
      </c>
      <c r="U135" s="662">
        <f t="shared" ca="1" si="32"/>
        <v>0</v>
      </c>
      <c r="V135" s="662">
        <f ca="1">-IF('Param treso'!$H$20="Non",T135*Données!$L$24,IF(T135&lt;=Données!$L$26,T135*Données!$L$25,(Données!$L$26*Données!$L$25)+((T135-Données!$L$26)*Données!$L$24)))</f>
        <v>0</v>
      </c>
      <c r="W135" s="662">
        <f t="shared" ca="1" si="33"/>
        <v>0</v>
      </c>
      <c r="X135" s="186">
        <f ca="1">IF($AM$16="Oui",-IFERROR(VLOOKUP(E135,'Crédit (IS)'!$O$8:$Q$145,3,FALSE),0),0)</f>
        <v>0</v>
      </c>
      <c r="Y135" s="186">
        <f t="shared" ca="1" si="34"/>
        <v>0</v>
      </c>
      <c r="Z135" s="186">
        <f t="shared" ca="1" si="41"/>
        <v>0</v>
      </c>
      <c r="AA135" s="186">
        <f t="shared" ca="1" si="35"/>
        <v>0</v>
      </c>
      <c r="AB135" s="186">
        <f t="shared" ca="1" si="36"/>
        <v>0</v>
      </c>
      <c r="AC135" s="186">
        <f>IF(C135&lt;='Crédit (IR)'!$G$16/12,-(('Crédit (IR)'!$K$17)/(1-'Param treso'!$H$18)),0)</f>
        <v>0</v>
      </c>
      <c r="AD135" s="186">
        <f>IF($AM$14="Non",0,IF(C135&lt;='Crédit (IR)'!$G$16/12,-('Crédit (IR)'!$K$17),0))</f>
        <v>0</v>
      </c>
      <c r="AE135" s="186">
        <f ca="1">-IF(AND(E135&gt;=$AO$10,E135&lt;$AO$12),$AM$10/(1-'Param treso'!$H$18),IF(E135&gt;=$AO$12,$AM$12/(1-'Param treso'!$H$18),0))</f>
        <v>-207782.77014285719</v>
      </c>
      <c r="AF135" s="186">
        <f t="shared" ca="1" si="39"/>
        <v>-145447.93910000002</v>
      </c>
      <c r="AG135" s="186">
        <f>IF(C135=1,IF($K$12="Oui",-(Z135+AI135+AJ135),0),IF(AND($K$12="Oui",$K$16="Oui",A135='Param treso'!$H$32,B135='Param treso'!$H$41),-(Z135+AI135+AJ135+AH135),IF(AND($K$12="Oui",B135='Param treso'!$H$41),-(Z135+AI135+AJ135+AH135),IF(AND(A135='Param treso'!$H$32,$K$16="Oui"),-$F$19,IF($K$12="Oui",-(Z135+AI135+AJ135+AH135),0)))))</f>
        <v>0</v>
      </c>
      <c r="AH135" s="186">
        <f>IF(C135=1,0,IF(AND($K$16="Oui",B135='Param treso'!$H$41),-$K$19,0))</f>
        <v>0</v>
      </c>
      <c r="AI135" s="186">
        <f t="shared" si="40"/>
        <v>0</v>
      </c>
      <c r="AJ135" s="704">
        <f ca="1">IF(AI135=AF135+AD135,0,IF(AD135+AF135&lt;0,IF((Z135+AI135)&gt;=-(AC135+AE135),(AD135+AF135-AI135)/(1-'Param treso'!$H$18),-(Z135+AI135)),0))</f>
        <v>0</v>
      </c>
      <c r="AK135" s="1106">
        <f t="shared" ca="1" si="37"/>
        <v>0</v>
      </c>
      <c r="AL135" s="1106"/>
      <c r="AM135" s="1106"/>
      <c r="AN135" s="660">
        <f t="shared" ca="1" si="38"/>
        <v>0</v>
      </c>
      <c r="AO135" s="696">
        <f ca="1">-AJ135*(1-'Param treso'!$H$18)</f>
        <v>0</v>
      </c>
      <c r="AP135" s="709">
        <f t="shared" ca="1" si="24"/>
        <v>-145447.93910000002</v>
      </c>
    </row>
    <row r="136" spans="1:42">
      <c r="A136" s="708">
        <f>IF(C136&lt;='Param treso'!$H$32,C136,IF(A135&lt;'Param treso'!$H$32,A135+1,1))</f>
        <v>26</v>
      </c>
      <c r="B136" s="708">
        <f>IF(C136&lt;='Param treso'!$H$41,C136,IF(B135&lt;'Param treso'!$H$41,B135+1,1))</f>
        <v>1</v>
      </c>
      <c r="C136" s="639">
        <f t="shared" si="25"/>
        <v>116</v>
      </c>
      <c r="D136" s="639">
        <f t="shared" ca="1" si="26"/>
        <v>176</v>
      </c>
      <c r="E136" s="649">
        <f t="shared" ca="1" si="27"/>
        <v>2142</v>
      </c>
      <c r="F136" s="186">
        <f>IF(C136=1,$F$19,IF(AND(A136=1,$K$16="Oui"),-AG135,IF(AND(A136&lt;='Param treso'!$H$32,$K$12="Oui"),IF(A136=1,-AG135,-AG135+G135),IF(AND(A136&lt;='Param treso'!$H$32,C136&lt;='Param treso'!$H$32),G135,IF($K$16="Oui",G135,0)))))</f>
        <v>0</v>
      </c>
      <c r="G136" s="186">
        <f t="shared" si="28"/>
        <v>0</v>
      </c>
      <c r="H136" s="1106">
        <f>F136*'Param treso'!$H$30</f>
        <v>0</v>
      </c>
      <c r="I136" s="1106"/>
      <c r="J136" s="1107"/>
      <c r="K136" s="659">
        <f t="shared" si="29"/>
        <v>0</v>
      </c>
      <c r="L136" s="186">
        <f>IF(K136=0,0,IF(B136=1,K136*(1+'Param treso'!$H$39),PRODUCT(L135,(POWER('Param treso'!$H$39,1)))+L135))</f>
        <v>0</v>
      </c>
      <c r="M136" s="660">
        <f>IFERROR(IF(B136='Param treso'!$H$41,L136-K136,0),0)</f>
        <v>0</v>
      </c>
      <c r="N136" s="186">
        <f>M136+H136+IF(A136='Param treso'!$H$32,G136,0)+IF(B136='Param treso'!$H$41,K136,0)</f>
        <v>0</v>
      </c>
      <c r="O136" s="186">
        <f ca="1">IF($AM$16="Oui",-IFERROR(VLOOKUP(E136,'Crédit (IS)'!$O$8:$P$145,2,FALSE),0),0)-(AN135*$T$14)</f>
        <v>0</v>
      </c>
      <c r="P136" s="186">
        <f ca="1">H136+M136+O136+IF(A136='Param treso'!$H$32,G136-F136,0)</f>
        <v>0</v>
      </c>
      <c r="Q136" s="1106">
        <f t="shared" ca="1" si="30"/>
        <v>0</v>
      </c>
      <c r="R136" s="1106"/>
      <c r="S136" s="1106"/>
      <c r="T136" s="186">
        <f t="shared" ca="1" si="31"/>
        <v>0</v>
      </c>
      <c r="U136" s="662">
        <f t="shared" ca="1" si="32"/>
        <v>0</v>
      </c>
      <c r="V136" s="662">
        <f ca="1">-IF('Param treso'!$H$20="Non",T136*Données!$L$24,IF(T136&lt;=Données!$L$26,T136*Données!$L$25,(Données!$L$26*Données!$L$25)+((T136-Données!$L$26)*Données!$L$24)))</f>
        <v>0</v>
      </c>
      <c r="W136" s="662">
        <f t="shared" ca="1" si="33"/>
        <v>0</v>
      </c>
      <c r="X136" s="186">
        <f ca="1">IF($AM$16="Oui",-IFERROR(VLOOKUP(E136,'Crédit (IS)'!$O$8:$Q$145,3,FALSE),0),0)</f>
        <v>0</v>
      </c>
      <c r="Y136" s="186">
        <f t="shared" ca="1" si="34"/>
        <v>0</v>
      </c>
      <c r="Z136" s="186">
        <f t="shared" ca="1" si="41"/>
        <v>0</v>
      </c>
      <c r="AA136" s="186">
        <f t="shared" ca="1" si="35"/>
        <v>0</v>
      </c>
      <c r="AB136" s="186">
        <f t="shared" ca="1" si="36"/>
        <v>0</v>
      </c>
      <c r="AC136" s="186">
        <f>IF(C136&lt;='Crédit (IR)'!$G$16/12,-(('Crédit (IR)'!$K$17)/(1-'Param treso'!$H$18)),0)</f>
        <v>0</v>
      </c>
      <c r="AD136" s="186">
        <f>IF($AM$14="Non",0,IF(C136&lt;='Crédit (IR)'!$G$16/12,-('Crédit (IR)'!$K$17),0))</f>
        <v>0</v>
      </c>
      <c r="AE136" s="186">
        <f ca="1">-IF(AND(E136&gt;=$AO$10,E136&lt;$AO$12),$AM$10/(1-'Param treso'!$H$18),IF(E136&gt;=$AO$12,$AM$12/(1-'Param treso'!$H$18),0))</f>
        <v>-207782.77014285719</v>
      </c>
      <c r="AF136" s="186">
        <f t="shared" ca="1" si="39"/>
        <v>-145447.93910000002</v>
      </c>
      <c r="AG136" s="186">
        <f>IF(C136=1,IF($K$12="Oui",-(Z136+AI136+AJ136),0),IF(AND($K$12="Oui",$K$16="Oui",A136='Param treso'!$H$32,B136='Param treso'!$H$41),-(Z136+AI136+AJ136+AH136),IF(AND($K$12="Oui",B136='Param treso'!$H$41),-(Z136+AI136+AJ136+AH136),IF(AND(A136='Param treso'!$H$32,$K$16="Oui"),-$F$19,IF($K$12="Oui",-(Z136+AI136+AJ136+AH136),0)))))</f>
        <v>0</v>
      </c>
      <c r="AH136" s="186">
        <f>IF(C136=1,0,IF(AND($K$16="Oui",B136='Param treso'!$H$41),-$K$19,0))</f>
        <v>0</v>
      </c>
      <c r="AI136" s="186">
        <f t="shared" si="40"/>
        <v>0</v>
      </c>
      <c r="AJ136" s="704">
        <f ca="1">IF(AI136=AF136+AD136,0,IF(AD136+AF136&lt;0,IF((Z136+AI136)&gt;=-(AC136+AE136),(AD136+AF136-AI136)/(1-'Param treso'!$H$18),-(Z136+AI136)),0))</f>
        <v>0</v>
      </c>
      <c r="AK136" s="1106">
        <f t="shared" ca="1" si="37"/>
        <v>0</v>
      </c>
      <c r="AL136" s="1106"/>
      <c r="AM136" s="1106"/>
      <c r="AN136" s="660">
        <f t="shared" ca="1" si="38"/>
        <v>0</v>
      </c>
      <c r="AO136" s="696">
        <f ca="1">-AJ136*(1-'Param treso'!$H$18)</f>
        <v>0</v>
      </c>
      <c r="AP136" s="709">
        <f t="shared" ca="1" si="24"/>
        <v>-145447.93910000002</v>
      </c>
    </row>
    <row r="137" spans="1:42">
      <c r="A137" s="708">
        <f>IF(C137&lt;='Param treso'!$H$32,C137,IF(A136&lt;'Param treso'!$H$32,A136+1,1))</f>
        <v>27</v>
      </c>
      <c r="B137" s="708">
        <f>IF(C137&lt;='Param treso'!$H$41,C137,IF(B136&lt;'Param treso'!$H$41,B136+1,1))</f>
        <v>2</v>
      </c>
      <c r="C137" s="639">
        <f t="shared" si="25"/>
        <v>117</v>
      </c>
      <c r="D137" s="639">
        <f t="shared" ca="1" si="26"/>
        <v>177</v>
      </c>
      <c r="E137" s="649">
        <f t="shared" ca="1" si="27"/>
        <v>2143</v>
      </c>
      <c r="F137" s="186">
        <f>IF(C137=1,$F$19,IF(AND(A137=1,$K$16="Oui"),-AG136,IF(AND(A137&lt;='Param treso'!$H$32,$K$12="Oui"),IF(A137=1,-AG136,-AG136+G136),IF(AND(A137&lt;='Param treso'!$H$32,C137&lt;='Param treso'!$H$32),G136,IF($K$16="Oui",G136,0)))))</f>
        <v>0</v>
      </c>
      <c r="G137" s="186">
        <f t="shared" si="28"/>
        <v>0</v>
      </c>
      <c r="H137" s="1106">
        <f>F137*'Param treso'!$H$30</f>
        <v>0</v>
      </c>
      <c r="I137" s="1106"/>
      <c r="J137" s="1107"/>
      <c r="K137" s="659">
        <f t="shared" si="29"/>
        <v>0</v>
      </c>
      <c r="L137" s="186">
        <f>IF(K137=0,0,IF(B137=1,K137*(1+'Param treso'!$H$39),PRODUCT(L136,(POWER('Param treso'!$H$39,1)))+L136))</f>
        <v>0</v>
      </c>
      <c r="M137" s="660">
        <f>IFERROR(IF(B137='Param treso'!$H$41,L137-K137,0),0)</f>
        <v>0</v>
      </c>
      <c r="N137" s="186">
        <f>M137+H137+IF(A137='Param treso'!$H$32,G137,0)+IF(B137='Param treso'!$H$41,K137,0)</f>
        <v>0</v>
      </c>
      <c r="O137" s="186">
        <f ca="1">IF($AM$16="Oui",-IFERROR(VLOOKUP(E137,'Crédit (IS)'!$O$8:$P$145,2,FALSE),0),0)-(AN136*$T$14)</f>
        <v>0</v>
      </c>
      <c r="P137" s="186">
        <f ca="1">H137+M137+O137+IF(A137='Param treso'!$H$32,G137-F137,0)</f>
        <v>0</v>
      </c>
      <c r="Q137" s="1106">
        <f t="shared" ca="1" si="30"/>
        <v>0</v>
      </c>
      <c r="R137" s="1106"/>
      <c r="S137" s="1106"/>
      <c r="T137" s="186">
        <f t="shared" ca="1" si="31"/>
        <v>0</v>
      </c>
      <c r="U137" s="662">
        <f t="shared" ca="1" si="32"/>
        <v>0</v>
      </c>
      <c r="V137" s="662">
        <f ca="1">-IF('Param treso'!$H$20="Non",T137*Données!$L$24,IF(T137&lt;=Données!$L$26,T137*Données!$L$25,(Données!$L$26*Données!$L$25)+((T137-Données!$L$26)*Données!$L$24)))</f>
        <v>0</v>
      </c>
      <c r="W137" s="662">
        <f t="shared" ca="1" si="33"/>
        <v>0</v>
      </c>
      <c r="X137" s="186">
        <f ca="1">IF($AM$16="Oui",-IFERROR(VLOOKUP(E137,'Crédit (IS)'!$O$8:$Q$145,3,FALSE),0),0)</f>
        <v>0</v>
      </c>
      <c r="Y137" s="186">
        <f t="shared" ca="1" si="34"/>
        <v>0</v>
      </c>
      <c r="Z137" s="186">
        <f t="shared" ca="1" si="41"/>
        <v>0</v>
      </c>
      <c r="AA137" s="186">
        <f t="shared" ca="1" si="35"/>
        <v>0</v>
      </c>
      <c r="AB137" s="186">
        <f t="shared" ca="1" si="36"/>
        <v>0</v>
      </c>
      <c r="AC137" s="186">
        <f>IF(C137&lt;='Crédit (IR)'!$G$16/12,-(('Crédit (IR)'!$K$17)/(1-'Param treso'!$H$18)),0)</f>
        <v>0</v>
      </c>
      <c r="AD137" s="186">
        <f>IF($AM$14="Non",0,IF(C137&lt;='Crédit (IR)'!$G$16/12,-('Crédit (IR)'!$K$17),0))</f>
        <v>0</v>
      </c>
      <c r="AE137" s="186">
        <f ca="1">-IF(AND(E137&gt;=$AO$10,E137&lt;$AO$12),$AM$10/(1-'Param treso'!$H$18),IF(E137&gt;=$AO$12,$AM$12/(1-'Param treso'!$H$18),0))</f>
        <v>-207782.77014285719</v>
      </c>
      <c r="AF137" s="186">
        <f t="shared" ca="1" si="39"/>
        <v>-145447.93910000002</v>
      </c>
      <c r="AG137" s="186">
        <f>IF(C137=1,IF($K$12="Oui",-(Z137+AI137+AJ137),0),IF(AND($K$12="Oui",$K$16="Oui",A137='Param treso'!$H$32,B137='Param treso'!$H$41),-(Z137+AI137+AJ137+AH137),IF(AND($K$12="Oui",B137='Param treso'!$H$41),-(Z137+AI137+AJ137+AH137),IF(AND(A137='Param treso'!$H$32,$K$16="Oui"),-$F$19,IF($K$12="Oui",-(Z137+AI137+AJ137+AH137),0)))))</f>
        <v>0</v>
      </c>
      <c r="AH137" s="186">
        <f>IF(C137=1,0,IF(AND($K$16="Oui",B137='Param treso'!$H$41),-$K$19,0))</f>
        <v>0</v>
      </c>
      <c r="AI137" s="186">
        <f t="shared" si="40"/>
        <v>0</v>
      </c>
      <c r="AJ137" s="704">
        <f ca="1">IF(AI137=AF137+AD137,0,IF(AD137+AF137&lt;0,IF((Z137+AI137)&gt;=-(AC137+AE137),(AD137+AF137-AI137)/(1-'Param treso'!$H$18),-(Z137+AI137)),0))</f>
        <v>0</v>
      </c>
      <c r="AK137" s="1106">
        <f t="shared" ca="1" si="37"/>
        <v>0</v>
      </c>
      <c r="AL137" s="1106"/>
      <c r="AM137" s="1106"/>
      <c r="AN137" s="660">
        <f t="shared" ca="1" si="38"/>
        <v>0</v>
      </c>
      <c r="AO137" s="696">
        <f ca="1">-AJ137*(1-'Param treso'!$H$18)</f>
        <v>0</v>
      </c>
      <c r="AP137" s="709">
        <f t="shared" ca="1" si="24"/>
        <v>-145447.93910000002</v>
      </c>
    </row>
    <row r="138" spans="1:42">
      <c r="A138" s="708">
        <f>IF(C138&lt;='Param treso'!$H$32,C138,IF(A137&lt;'Param treso'!$H$32,A137+1,1))</f>
        <v>28</v>
      </c>
      <c r="B138" s="708">
        <f>IF(C138&lt;='Param treso'!$H$41,C138,IF(B137&lt;'Param treso'!$H$41,B137+1,1))</f>
        <v>3</v>
      </c>
      <c r="C138" s="639">
        <f t="shared" si="25"/>
        <v>118</v>
      </c>
      <c r="D138" s="639">
        <f t="shared" ca="1" si="26"/>
        <v>178</v>
      </c>
      <c r="E138" s="649">
        <f t="shared" ca="1" si="27"/>
        <v>2144</v>
      </c>
      <c r="F138" s="186">
        <f>IF(C138=1,$F$19,IF(AND(A138=1,$K$16="Oui"),-AG137,IF(AND(A138&lt;='Param treso'!$H$32,$K$12="Oui"),IF(A138=1,-AG137,-AG137+G137),IF(AND(A138&lt;='Param treso'!$H$32,C138&lt;='Param treso'!$H$32),G137,IF($K$16="Oui",G137,0)))))</f>
        <v>0</v>
      </c>
      <c r="G138" s="186">
        <f t="shared" si="28"/>
        <v>0</v>
      </c>
      <c r="H138" s="1106">
        <f>F138*'Param treso'!$H$30</f>
        <v>0</v>
      </c>
      <c r="I138" s="1106"/>
      <c r="J138" s="1107"/>
      <c r="K138" s="659">
        <f t="shared" si="29"/>
        <v>0</v>
      </c>
      <c r="L138" s="186">
        <f>IF(K138=0,0,IF(B138=1,K138*(1+'Param treso'!$H$39),PRODUCT(L137,(POWER('Param treso'!$H$39,1)))+L137))</f>
        <v>0</v>
      </c>
      <c r="M138" s="660">
        <f>IFERROR(IF(B138='Param treso'!$H$41,L138-K138,0),0)</f>
        <v>0</v>
      </c>
      <c r="N138" s="186">
        <f>M138+H138+IF(A138='Param treso'!$H$32,G138,0)+IF(B138='Param treso'!$H$41,K138,0)</f>
        <v>0</v>
      </c>
      <c r="O138" s="186">
        <f ca="1">IF($AM$16="Oui",-IFERROR(VLOOKUP(E138,'Crédit (IS)'!$O$8:$P$145,2,FALSE),0),0)-(AN137*$T$14)</f>
        <v>0</v>
      </c>
      <c r="P138" s="186">
        <f ca="1">H138+M138+O138+IF(A138='Param treso'!$H$32,G138-F138,0)</f>
        <v>0</v>
      </c>
      <c r="Q138" s="1106">
        <f t="shared" ca="1" si="30"/>
        <v>0</v>
      </c>
      <c r="R138" s="1106"/>
      <c r="S138" s="1106"/>
      <c r="T138" s="186">
        <f t="shared" ca="1" si="31"/>
        <v>0</v>
      </c>
      <c r="U138" s="662">
        <f t="shared" ca="1" si="32"/>
        <v>0</v>
      </c>
      <c r="V138" s="662">
        <f ca="1">-IF('Param treso'!$H$20="Non",T138*Données!$L$24,IF(T138&lt;=Données!$L$26,T138*Données!$L$25,(Données!$L$26*Données!$L$25)+((T138-Données!$L$26)*Données!$L$24)))</f>
        <v>0</v>
      </c>
      <c r="W138" s="662">
        <f t="shared" ca="1" si="33"/>
        <v>0</v>
      </c>
      <c r="X138" s="186">
        <f ca="1">IF($AM$16="Oui",-IFERROR(VLOOKUP(E138,'Crédit (IS)'!$O$8:$Q$145,3,FALSE),0),0)</f>
        <v>0</v>
      </c>
      <c r="Y138" s="186">
        <f t="shared" ca="1" si="34"/>
        <v>0</v>
      </c>
      <c r="Z138" s="186">
        <f t="shared" ca="1" si="41"/>
        <v>0</v>
      </c>
      <c r="AA138" s="186">
        <f t="shared" ca="1" si="35"/>
        <v>0</v>
      </c>
      <c r="AB138" s="186">
        <f t="shared" ca="1" si="36"/>
        <v>0</v>
      </c>
      <c r="AC138" s="186">
        <f>IF(C138&lt;='Crédit (IR)'!$G$16/12,-(('Crédit (IR)'!$K$17)/(1-'Param treso'!$H$18)),0)</f>
        <v>0</v>
      </c>
      <c r="AD138" s="186">
        <f>IF($AM$14="Non",0,IF(C138&lt;='Crédit (IR)'!$G$16/12,-('Crédit (IR)'!$K$17),0))</f>
        <v>0</v>
      </c>
      <c r="AE138" s="186">
        <f ca="1">-IF(AND(E138&gt;=$AO$10,E138&lt;$AO$12),$AM$10/(1-'Param treso'!$H$18),IF(E138&gt;=$AO$12,$AM$12/(1-'Param treso'!$H$18),0))</f>
        <v>-207782.77014285719</v>
      </c>
      <c r="AF138" s="186">
        <f t="shared" ca="1" si="39"/>
        <v>-145447.93910000002</v>
      </c>
      <c r="AG138" s="186">
        <f>IF(C138=1,IF($K$12="Oui",-(Z138+AI138+AJ138),0),IF(AND($K$12="Oui",$K$16="Oui",A138='Param treso'!$H$32,B138='Param treso'!$H$41),-(Z138+AI138+AJ138+AH138),IF(AND($K$12="Oui",B138='Param treso'!$H$41),-(Z138+AI138+AJ138+AH138),IF(AND(A138='Param treso'!$H$32,$K$16="Oui"),-$F$19,IF($K$12="Oui",-(Z138+AI138+AJ138+AH138),0)))))</f>
        <v>0</v>
      </c>
      <c r="AH138" s="186">
        <f>IF(C138=1,0,IF(AND($K$16="Oui",B138='Param treso'!$H$41),-$K$19,0))</f>
        <v>0</v>
      </c>
      <c r="AI138" s="186">
        <f t="shared" si="40"/>
        <v>0</v>
      </c>
      <c r="AJ138" s="704">
        <f ca="1">IF(AI138=AF138+AD138,0,IF(AD138+AF138&lt;0,IF((Z138+AI138)&gt;=-(AC138+AE138),(AD138+AF138-AI138)/(1-'Param treso'!$H$18),-(Z138+AI138)),0))</f>
        <v>0</v>
      </c>
      <c r="AK138" s="1106">
        <f t="shared" ca="1" si="37"/>
        <v>0</v>
      </c>
      <c r="AL138" s="1106"/>
      <c r="AM138" s="1106"/>
      <c r="AN138" s="660">
        <f t="shared" ca="1" si="38"/>
        <v>0</v>
      </c>
      <c r="AO138" s="696">
        <f ca="1">-AJ138*(1-'Param treso'!$H$18)</f>
        <v>0</v>
      </c>
      <c r="AP138" s="709">
        <f t="shared" ca="1" si="24"/>
        <v>-145447.93910000002</v>
      </c>
    </row>
    <row r="139" spans="1:42">
      <c r="A139" s="708">
        <f>IF(C139&lt;='Param treso'!$H$32,C139,IF(A138&lt;'Param treso'!$H$32,A138+1,1))</f>
        <v>29</v>
      </c>
      <c r="B139" s="708">
        <f>IF(C139&lt;='Param treso'!$H$41,C139,IF(B138&lt;'Param treso'!$H$41,B138+1,1))</f>
        <v>4</v>
      </c>
      <c r="C139" s="639">
        <f t="shared" si="25"/>
        <v>119</v>
      </c>
      <c r="D139" s="639">
        <f t="shared" ca="1" si="26"/>
        <v>179</v>
      </c>
      <c r="E139" s="649">
        <f t="shared" ca="1" si="27"/>
        <v>2145</v>
      </c>
      <c r="F139" s="186">
        <f>IF(C139=1,$F$19,IF(AND(A139=1,$K$16="Oui"),-AG138,IF(AND(A139&lt;='Param treso'!$H$32,$K$12="Oui"),IF(A139=1,-AG138,-AG138+G138),IF(AND(A139&lt;='Param treso'!$H$32,C139&lt;='Param treso'!$H$32),G138,IF($K$16="Oui",G138,0)))))</f>
        <v>0</v>
      </c>
      <c r="G139" s="186">
        <f t="shared" si="28"/>
        <v>0</v>
      </c>
      <c r="H139" s="1106">
        <f>F139*'Param treso'!$H$30</f>
        <v>0</v>
      </c>
      <c r="I139" s="1106"/>
      <c r="J139" s="1107"/>
      <c r="K139" s="659">
        <f t="shared" si="29"/>
        <v>0</v>
      </c>
      <c r="L139" s="186">
        <f>IF(K139=0,0,IF(B139=1,K139*(1+'Param treso'!$H$39),PRODUCT(L138,(POWER('Param treso'!$H$39,1)))+L138))</f>
        <v>0</v>
      </c>
      <c r="M139" s="660">
        <f>IFERROR(IF(B139='Param treso'!$H$41,L139-K139,0),0)</f>
        <v>0</v>
      </c>
      <c r="N139" s="186">
        <f>M139+H139+IF(A139='Param treso'!$H$32,G139,0)+IF(B139='Param treso'!$H$41,K139,0)</f>
        <v>0</v>
      </c>
      <c r="O139" s="186">
        <f ca="1">IF($AM$16="Oui",-IFERROR(VLOOKUP(E139,'Crédit (IS)'!$O$8:$P$145,2,FALSE),0),0)-(AN138*$T$14)</f>
        <v>0</v>
      </c>
      <c r="P139" s="186">
        <f ca="1">H139+M139+O139+IF(A139='Param treso'!$H$32,G139-F139,0)</f>
        <v>0</v>
      </c>
      <c r="Q139" s="1106">
        <f t="shared" ca="1" si="30"/>
        <v>0</v>
      </c>
      <c r="R139" s="1106"/>
      <c r="S139" s="1106"/>
      <c r="T139" s="186">
        <f t="shared" ca="1" si="31"/>
        <v>0</v>
      </c>
      <c r="U139" s="662">
        <f t="shared" ca="1" si="32"/>
        <v>0</v>
      </c>
      <c r="V139" s="662">
        <f ca="1">-IF('Param treso'!$H$20="Non",T139*Données!$L$24,IF(T139&lt;=Données!$L$26,T139*Données!$L$25,(Données!$L$26*Données!$L$25)+((T139-Données!$L$26)*Données!$L$24)))</f>
        <v>0</v>
      </c>
      <c r="W139" s="662">
        <f t="shared" ca="1" si="33"/>
        <v>0</v>
      </c>
      <c r="X139" s="186">
        <f ca="1">IF($AM$16="Oui",-IFERROR(VLOOKUP(E139,'Crédit (IS)'!$O$8:$Q$145,3,FALSE),0),0)</f>
        <v>0</v>
      </c>
      <c r="Y139" s="186">
        <f t="shared" ca="1" si="34"/>
        <v>0</v>
      </c>
      <c r="Z139" s="186">
        <f t="shared" ca="1" si="41"/>
        <v>0</v>
      </c>
      <c r="AA139" s="186">
        <f t="shared" ca="1" si="35"/>
        <v>0</v>
      </c>
      <c r="AB139" s="186">
        <f t="shared" ca="1" si="36"/>
        <v>0</v>
      </c>
      <c r="AC139" s="186">
        <f>IF(C139&lt;='Crédit (IR)'!$G$16/12,-(('Crédit (IR)'!$K$17)/(1-'Param treso'!$H$18)),0)</f>
        <v>0</v>
      </c>
      <c r="AD139" s="186">
        <f>IF($AM$14="Non",0,IF(C139&lt;='Crédit (IR)'!$G$16/12,-('Crédit (IR)'!$K$17),0))</f>
        <v>0</v>
      </c>
      <c r="AE139" s="186">
        <f ca="1">-IF(AND(E139&gt;=$AO$10,E139&lt;$AO$12),$AM$10/(1-'Param treso'!$H$18),IF(E139&gt;=$AO$12,$AM$12/(1-'Param treso'!$H$18),0))</f>
        <v>-207782.77014285719</v>
      </c>
      <c r="AF139" s="186">
        <f t="shared" ca="1" si="39"/>
        <v>-145447.93910000002</v>
      </c>
      <c r="AG139" s="186">
        <f>IF(C139=1,IF($K$12="Oui",-(Z139+AI139+AJ139),0),IF(AND($K$12="Oui",$K$16="Oui",A139='Param treso'!$H$32,B139='Param treso'!$H$41),-(Z139+AI139+AJ139+AH139),IF(AND($K$12="Oui",B139='Param treso'!$H$41),-(Z139+AI139+AJ139+AH139),IF(AND(A139='Param treso'!$H$32,$K$16="Oui"),-$F$19,IF($K$12="Oui",-(Z139+AI139+AJ139+AH139),0)))))</f>
        <v>0</v>
      </c>
      <c r="AH139" s="186">
        <f>IF(C139=1,0,IF(AND($K$16="Oui",B139='Param treso'!$H$41),-$K$19,0))</f>
        <v>0</v>
      </c>
      <c r="AI139" s="186">
        <f t="shared" si="40"/>
        <v>0</v>
      </c>
      <c r="AJ139" s="704">
        <f ca="1">IF(AI139=AF139+AD139,0,IF(AD139+AF139&lt;0,IF((Z139+AI139)&gt;=-(AC139+AE139),(AD139+AF139-AI139)/(1-'Param treso'!$H$18),-(Z139+AI139)),0))</f>
        <v>0</v>
      </c>
      <c r="AK139" s="1106">
        <f t="shared" ca="1" si="37"/>
        <v>0</v>
      </c>
      <c r="AL139" s="1106"/>
      <c r="AM139" s="1106"/>
      <c r="AN139" s="660">
        <f t="shared" ca="1" si="38"/>
        <v>0</v>
      </c>
      <c r="AO139" s="696">
        <f ca="1">-AJ139*(1-'Param treso'!$H$18)</f>
        <v>0</v>
      </c>
      <c r="AP139" s="709">
        <f t="shared" ca="1" si="24"/>
        <v>-145447.93910000002</v>
      </c>
    </row>
    <row r="140" spans="1:42">
      <c r="A140" s="708">
        <f>IF(C140&lt;='Param treso'!$H$32,C140,IF(A139&lt;'Param treso'!$H$32,A139+1,1))</f>
        <v>30</v>
      </c>
      <c r="B140" s="708">
        <f>IF(C140&lt;='Param treso'!$H$41,C140,IF(B139&lt;'Param treso'!$H$41,B139+1,1))</f>
        <v>5</v>
      </c>
      <c r="C140" s="639">
        <f t="shared" si="25"/>
        <v>120</v>
      </c>
      <c r="D140" s="639">
        <f t="shared" ca="1" si="26"/>
        <v>180</v>
      </c>
      <c r="E140" s="649">
        <f t="shared" ca="1" si="27"/>
        <v>2146</v>
      </c>
      <c r="F140" s="186">
        <f>IF(C140=1,$F$19,IF(AND(A140=1,$K$16="Oui"),-AG139,IF(AND(A140&lt;='Param treso'!$H$32,$K$12="Oui"),IF(A140=1,-AG139,-AG139+G139),IF(AND(A140&lt;='Param treso'!$H$32,C140&lt;='Param treso'!$H$32),G139,IF($K$16="Oui",G139,0)))))</f>
        <v>0</v>
      </c>
      <c r="G140" s="186">
        <f t="shared" si="28"/>
        <v>0</v>
      </c>
      <c r="H140" s="1106">
        <f>F140*'Param treso'!$H$30</f>
        <v>0</v>
      </c>
      <c r="I140" s="1106"/>
      <c r="J140" s="1107"/>
      <c r="K140" s="659">
        <f t="shared" si="29"/>
        <v>0</v>
      </c>
      <c r="L140" s="186">
        <f>IF(K140=0,0,IF(B140=1,K140*(1+'Param treso'!$H$39),PRODUCT(L139,(POWER('Param treso'!$H$39,1)))+L139))</f>
        <v>0</v>
      </c>
      <c r="M140" s="660">
        <f>IFERROR(IF(B140='Param treso'!$H$41,L140-K140,0),0)</f>
        <v>0</v>
      </c>
      <c r="N140" s="186">
        <f>M140+H140+IF(A140='Param treso'!$H$32,G140,0)+IF(B140='Param treso'!$H$41,K140,0)</f>
        <v>0</v>
      </c>
      <c r="O140" s="186">
        <f ca="1">IF($AM$16="Oui",-IFERROR(VLOOKUP(E140,'Crédit (IS)'!$O$8:$P$145,2,FALSE),0),0)-(AN139*$T$14)</f>
        <v>0</v>
      </c>
      <c r="P140" s="186">
        <f ca="1">H140+M140+O140+IF(A140='Param treso'!$H$32,G140-F140,0)</f>
        <v>0</v>
      </c>
      <c r="Q140" s="1106">
        <f t="shared" ca="1" si="30"/>
        <v>0</v>
      </c>
      <c r="R140" s="1106"/>
      <c r="S140" s="1106"/>
      <c r="T140" s="186">
        <f t="shared" ca="1" si="31"/>
        <v>0</v>
      </c>
      <c r="U140" s="662">
        <f t="shared" ca="1" si="32"/>
        <v>0</v>
      </c>
      <c r="V140" s="662">
        <f ca="1">-IF('Param treso'!$H$20="Non",T140*Données!$L$24,IF(T140&lt;=Données!$L$26,T140*Données!$L$25,(Données!$L$26*Données!$L$25)+((T140-Données!$L$26)*Données!$L$24)))</f>
        <v>0</v>
      </c>
      <c r="W140" s="662">
        <f t="shared" ca="1" si="33"/>
        <v>0</v>
      </c>
      <c r="X140" s="186">
        <f ca="1">IF($AM$16="Oui",-IFERROR(VLOOKUP(E140,'Crédit (IS)'!$O$8:$Q$145,3,FALSE),0),0)</f>
        <v>0</v>
      </c>
      <c r="Y140" s="186">
        <f t="shared" ca="1" si="34"/>
        <v>0</v>
      </c>
      <c r="Z140" s="186">
        <f t="shared" ca="1" si="41"/>
        <v>0</v>
      </c>
      <c r="AA140" s="186">
        <f t="shared" ca="1" si="35"/>
        <v>0</v>
      </c>
      <c r="AB140" s="186">
        <f t="shared" ca="1" si="36"/>
        <v>0</v>
      </c>
      <c r="AC140" s="186">
        <f>IF(C140&lt;='Crédit (IR)'!$G$16/12,-(('Crédit (IR)'!$K$17)/(1-'Param treso'!$H$18)),0)</f>
        <v>0</v>
      </c>
      <c r="AD140" s="186">
        <f>IF($AM$14="Non",0,IF(C140&lt;='Crédit (IR)'!$G$16/12,-('Crédit (IR)'!$K$17),0))</f>
        <v>0</v>
      </c>
      <c r="AE140" s="186">
        <f ca="1">-IF(AND(E140&gt;=$AO$10,E140&lt;$AO$12),$AM$10/(1-'Param treso'!$H$18),IF(E140&gt;=$AO$12,$AM$12/(1-'Param treso'!$H$18),0))</f>
        <v>-207782.77014285719</v>
      </c>
      <c r="AF140" s="186">
        <f t="shared" ca="1" si="39"/>
        <v>-145447.93910000002</v>
      </c>
      <c r="AG140" s="186">
        <f>IF(C140=1,IF($K$12="Oui",-(Z140+AI140+AJ140),0),IF(AND($K$12="Oui",$K$16="Oui",A140='Param treso'!$H$32,B140='Param treso'!$H$41),-(Z140+AI140+AJ140+AH140),IF(AND($K$12="Oui",B140='Param treso'!$H$41),-(Z140+AI140+AJ140+AH140),IF(AND(A140='Param treso'!$H$32,$K$16="Oui"),-$F$19,IF($K$12="Oui",-(Z140+AI140+AJ140+AH140),0)))))</f>
        <v>0</v>
      </c>
      <c r="AH140" s="186">
        <f>IF(C140=1,0,IF(AND($K$16="Oui",B140='Param treso'!$H$41),-$K$19,0))</f>
        <v>0</v>
      </c>
      <c r="AI140" s="186">
        <f t="shared" si="40"/>
        <v>0</v>
      </c>
      <c r="AJ140" s="704">
        <f ca="1">IF(AI140=AF140+AD140,0,IF(AD140+AF140&lt;0,IF((Z140+AI140)&gt;=-(AC140+AE140),(AD140+AF140-AI140)/(1-'Param treso'!$H$18),-(Z140+AI140)),0))</f>
        <v>0</v>
      </c>
      <c r="AK140" s="1106">
        <f t="shared" ca="1" si="37"/>
        <v>0</v>
      </c>
      <c r="AL140" s="1106"/>
      <c r="AM140" s="1106"/>
      <c r="AN140" s="660">
        <f t="shared" ca="1" si="38"/>
        <v>0</v>
      </c>
      <c r="AO140" s="696">
        <f ca="1">-AJ140*(1-'Param treso'!$H$18)</f>
        <v>0</v>
      </c>
      <c r="AP140" s="709">
        <f t="shared" ca="1" si="24"/>
        <v>-145447.93910000002</v>
      </c>
    </row>
    <row r="141" spans="1:42">
      <c r="A141" s="708">
        <f>IF(C141&lt;='Param treso'!$H$32,C141,IF(A140&lt;'Param treso'!$H$32,A140+1,1))</f>
        <v>1</v>
      </c>
      <c r="B141" s="708">
        <f>IF(C141&lt;='Param treso'!$H$41,C141,IF(B140&lt;'Param treso'!$H$41,B140+1,1))</f>
        <v>1</v>
      </c>
      <c r="C141" s="639">
        <f t="shared" si="25"/>
        <v>121</v>
      </c>
      <c r="D141" s="639">
        <f t="shared" ca="1" si="26"/>
        <v>181</v>
      </c>
      <c r="E141" s="649">
        <f t="shared" ca="1" si="27"/>
        <v>2147</v>
      </c>
      <c r="F141" s="186">
        <f>IF(C141=1,$F$19,IF(AND(A141=1,$K$16="Oui"),-AG140,IF(AND(A141&lt;='Param treso'!$H$32,$K$12="Oui"),IF(A141=1,-AG140,-AG140+G140),IF(AND(A141&lt;='Param treso'!$H$32,C141&lt;='Param treso'!$H$32),G140,IF($K$16="Oui",G140,0)))))</f>
        <v>0</v>
      </c>
      <c r="G141" s="186">
        <f t="shared" si="28"/>
        <v>0</v>
      </c>
      <c r="H141" s="1106">
        <f>F141*'Param treso'!$H$30</f>
        <v>0</v>
      </c>
      <c r="I141" s="1106"/>
      <c r="J141" s="1107"/>
      <c r="K141" s="659">
        <f t="shared" si="29"/>
        <v>0</v>
      </c>
      <c r="L141" s="186">
        <f>IF(K141=0,0,IF(B141=1,K141*(1+'Param treso'!$H$39),PRODUCT(L140,(POWER('Param treso'!$H$39,1)))+L140))</f>
        <v>0</v>
      </c>
      <c r="M141" s="660">
        <f>IFERROR(IF(B141='Param treso'!$H$41,L141-K141,0),0)</f>
        <v>0</v>
      </c>
      <c r="N141" s="186">
        <f>M141+H141+IF(A141='Param treso'!$H$32,G141,0)+IF(B141='Param treso'!$H$41,K141,0)</f>
        <v>0</v>
      </c>
      <c r="O141" s="186">
        <f ca="1">IF($AM$16="Oui",-IFERROR(VLOOKUP(E141,'Crédit (IS)'!$O$8:$P$145,2,FALSE),0),0)-(AN140*$T$14)</f>
        <v>0</v>
      </c>
      <c r="P141" s="186">
        <f ca="1">H141+M141+O141+IF(A141='Param treso'!$H$32,G141-F141,0)</f>
        <v>0</v>
      </c>
      <c r="Q141" s="1106">
        <f t="shared" ca="1" si="30"/>
        <v>0</v>
      </c>
      <c r="R141" s="1106"/>
      <c r="S141" s="1106"/>
      <c r="T141" s="186">
        <f t="shared" ca="1" si="31"/>
        <v>0</v>
      </c>
      <c r="U141" s="662">
        <f t="shared" ca="1" si="32"/>
        <v>0</v>
      </c>
      <c r="V141" s="662">
        <f ca="1">-IF('Param treso'!$H$20="Non",T141*Données!$L$24,IF(T141&lt;=Données!$L$26,T141*Données!$L$25,(Données!$L$26*Données!$L$25)+((T141-Données!$L$26)*Données!$L$24)))</f>
        <v>0</v>
      </c>
      <c r="W141" s="662">
        <f t="shared" ca="1" si="33"/>
        <v>0</v>
      </c>
      <c r="X141" s="186">
        <f ca="1">IF($AM$16="Oui",-IFERROR(VLOOKUP(E141,'Crédit (IS)'!$O$8:$Q$145,3,FALSE),0),0)</f>
        <v>0</v>
      </c>
      <c r="Y141" s="186">
        <f t="shared" ca="1" si="34"/>
        <v>0</v>
      </c>
      <c r="Z141" s="186">
        <f t="shared" ca="1" si="41"/>
        <v>0</v>
      </c>
      <c r="AA141" s="186">
        <f t="shared" ca="1" si="35"/>
        <v>0</v>
      </c>
      <c r="AB141" s="186">
        <f t="shared" ca="1" si="36"/>
        <v>0</v>
      </c>
      <c r="AC141" s="186">
        <f>IF(C141&lt;='Crédit (IR)'!$G$16/12,-(('Crédit (IR)'!$K$17)/(1-'Param treso'!$H$18)),0)</f>
        <v>0</v>
      </c>
      <c r="AD141" s="186">
        <f>IF($AM$14="Non",0,IF(C141&lt;='Crédit (IR)'!$G$16/12,-('Crédit (IR)'!$K$17),0))</f>
        <v>0</v>
      </c>
      <c r="AE141" s="186">
        <f ca="1">-IF(AND(E141&gt;=$AO$10,E141&lt;$AO$12),$AM$10/(1-'Param treso'!$H$18),IF(E141&gt;=$AO$12,$AM$12/(1-'Param treso'!$H$18),0))</f>
        <v>-207782.77014285719</v>
      </c>
      <c r="AF141" s="186">
        <f t="shared" ca="1" si="39"/>
        <v>-145447.93910000002</v>
      </c>
      <c r="AG141" s="186">
        <f>IF(C141=1,IF($K$12="Oui",-(Z141+AI141+AJ141),0),IF(AND($K$12="Oui",$K$16="Oui",A141='Param treso'!$H$32,B141='Param treso'!$H$41),-(Z141+AI141+AJ141+AH141),IF(AND($K$12="Oui",B141='Param treso'!$H$41),-(Z141+AI141+AJ141+AH141),IF(AND(A141='Param treso'!$H$32,$K$16="Oui"),-$F$19,IF($K$12="Oui",-(Z141+AI141+AJ141+AH141),0)))))</f>
        <v>0</v>
      </c>
      <c r="AH141" s="186">
        <f>IF(C141=1,0,IF(AND($K$16="Oui",B141='Param treso'!$H$41),-$K$19,0))</f>
        <v>0</v>
      </c>
      <c r="AI141" s="186">
        <f t="shared" si="40"/>
        <v>0</v>
      </c>
      <c r="AJ141" s="704">
        <f ca="1">IF(AI141=AF141+AD141,0,IF(AD141+AF141&lt;0,IF((Z141+AI141)&gt;=-(AC141+AE141),(AD141+AF141-AI141)/(1-'Param treso'!$H$18),-(Z141+AI141)),0))</f>
        <v>0</v>
      </c>
      <c r="AK141" s="1106">
        <f t="shared" ca="1" si="37"/>
        <v>0</v>
      </c>
      <c r="AL141" s="1106"/>
      <c r="AM141" s="1106"/>
      <c r="AN141" s="660">
        <f t="shared" ca="1" si="38"/>
        <v>0</v>
      </c>
      <c r="AO141" s="696">
        <f ca="1">-AJ141*(1-'Param treso'!$H$18)</f>
        <v>0</v>
      </c>
      <c r="AP141" s="709">
        <f t="shared" ca="1" si="24"/>
        <v>-145447.93910000002</v>
      </c>
    </row>
    <row r="142" spans="1:42">
      <c r="A142" s="708">
        <f>IF(C142&lt;='Param treso'!$H$32,C142,IF(A141&lt;'Param treso'!$H$32,A141+1,1))</f>
        <v>2</v>
      </c>
      <c r="B142" s="708">
        <f>IF(C142&lt;='Param treso'!$H$41,C142,IF(B141&lt;'Param treso'!$H$41,B141+1,1))</f>
        <v>2</v>
      </c>
      <c r="C142" s="639">
        <f t="shared" si="25"/>
        <v>122</v>
      </c>
      <c r="D142" s="639">
        <f t="shared" ca="1" si="26"/>
        <v>182</v>
      </c>
      <c r="E142" s="649">
        <f t="shared" ca="1" si="27"/>
        <v>2148</v>
      </c>
      <c r="F142" s="186">
        <f>IF(C142=1,$F$19,IF(AND(A142=1,$K$16="Oui"),-AG141,IF(AND(A142&lt;='Param treso'!$H$32,$K$12="Oui"),IF(A142=1,-AG141,-AG141+G141),IF(AND(A142&lt;='Param treso'!$H$32,C142&lt;='Param treso'!$H$32),G141,IF($K$16="Oui",G141,0)))))</f>
        <v>0</v>
      </c>
      <c r="G142" s="186">
        <f t="shared" si="28"/>
        <v>0</v>
      </c>
      <c r="H142" s="1106">
        <f>F142*'Param treso'!$H$30</f>
        <v>0</v>
      </c>
      <c r="I142" s="1106"/>
      <c r="J142" s="1107"/>
      <c r="K142" s="659">
        <f t="shared" si="29"/>
        <v>0</v>
      </c>
      <c r="L142" s="186">
        <f>IF(K142=0,0,IF(B142=1,K142*(1+'Param treso'!$H$39),PRODUCT(L141,(POWER('Param treso'!$H$39,1)))+L141))</f>
        <v>0</v>
      </c>
      <c r="M142" s="660">
        <f>IFERROR(IF(B142='Param treso'!$H$41,L142-K142,0),0)</f>
        <v>0</v>
      </c>
      <c r="N142" s="186">
        <f>M142+H142+IF(A142='Param treso'!$H$32,G142,0)+IF(B142='Param treso'!$H$41,K142,0)</f>
        <v>0</v>
      </c>
      <c r="O142" s="186">
        <f ca="1">IF($AM$16="Oui",-IFERROR(VLOOKUP(E142,'Crédit (IS)'!$O$8:$P$145,2,FALSE),0),0)-(AN141*$T$14)</f>
        <v>0</v>
      </c>
      <c r="P142" s="186">
        <f ca="1">H142+M142+O142+IF(A142='Param treso'!$H$32,G142-F142,0)</f>
        <v>0</v>
      </c>
      <c r="Q142" s="1106">
        <f t="shared" ca="1" si="30"/>
        <v>0</v>
      </c>
      <c r="R142" s="1106"/>
      <c r="S142" s="1106"/>
      <c r="T142" s="186">
        <f t="shared" ca="1" si="31"/>
        <v>0</v>
      </c>
      <c r="U142" s="662">
        <f t="shared" ca="1" si="32"/>
        <v>0</v>
      </c>
      <c r="V142" s="662">
        <f ca="1">-IF('Param treso'!$H$20="Non",T142*Données!$L$24,IF(T142&lt;=Données!$L$26,T142*Données!$L$25,(Données!$L$26*Données!$L$25)+((T142-Données!$L$26)*Données!$L$24)))</f>
        <v>0</v>
      </c>
      <c r="W142" s="662">
        <f t="shared" ca="1" si="33"/>
        <v>0</v>
      </c>
      <c r="X142" s="186">
        <f ca="1">IF($AM$16="Oui",-IFERROR(VLOOKUP(E142,'Crédit (IS)'!$O$8:$Q$145,3,FALSE),0),0)</f>
        <v>0</v>
      </c>
      <c r="Y142" s="186">
        <f t="shared" ca="1" si="34"/>
        <v>0</v>
      </c>
      <c r="Z142" s="186">
        <f t="shared" ca="1" si="41"/>
        <v>0</v>
      </c>
      <c r="AA142" s="186">
        <f t="shared" ca="1" si="35"/>
        <v>0</v>
      </c>
      <c r="AB142" s="186">
        <f t="shared" ca="1" si="36"/>
        <v>0</v>
      </c>
      <c r="AC142" s="186">
        <f>IF(C142&lt;='Crédit (IR)'!$G$16/12,-(('Crédit (IR)'!$K$17)/(1-'Param treso'!$H$18)),0)</f>
        <v>0</v>
      </c>
      <c r="AD142" s="186">
        <f>IF($AM$14="Non",0,IF(C142&lt;='Crédit (IR)'!$G$16/12,-('Crédit (IR)'!$K$17),0))</f>
        <v>0</v>
      </c>
      <c r="AE142" s="186">
        <f ca="1">-IF(AND(E142&gt;=$AO$10,E142&lt;$AO$12),$AM$10/(1-'Param treso'!$H$18),IF(E142&gt;=$AO$12,$AM$12/(1-'Param treso'!$H$18),0))</f>
        <v>-207782.77014285719</v>
      </c>
      <c r="AF142" s="186">
        <f t="shared" ca="1" si="39"/>
        <v>-145447.93910000002</v>
      </c>
      <c r="AG142" s="186">
        <f>IF(C142=1,IF($K$12="Oui",-(Z142+AI142+AJ142),0),IF(AND($K$12="Oui",$K$16="Oui",A142='Param treso'!$H$32,B142='Param treso'!$H$41),-(Z142+AI142+AJ142+AH142),IF(AND($K$12="Oui",B142='Param treso'!$H$41),-(Z142+AI142+AJ142+AH142),IF(AND(A142='Param treso'!$H$32,$K$16="Oui"),-$F$19,IF($K$12="Oui",-(Z142+AI142+AJ142+AH142),0)))))</f>
        <v>0</v>
      </c>
      <c r="AH142" s="186">
        <f>IF(C142=1,0,IF(AND($K$16="Oui",B142='Param treso'!$H$41),-$K$19,0))</f>
        <v>0</v>
      </c>
      <c r="AI142" s="186">
        <f t="shared" si="40"/>
        <v>0</v>
      </c>
      <c r="AJ142" s="704">
        <f ca="1">IF(AI142=AF142+AD142,0,IF(AD142+AF142&lt;0,IF((Z142+AI142)&gt;=-(AC142+AE142),(AD142+AF142-AI142)/(1-'Param treso'!$H$18),-(Z142+AI142)),0))</f>
        <v>0</v>
      </c>
      <c r="AK142" s="1106">
        <f t="shared" ca="1" si="37"/>
        <v>0</v>
      </c>
      <c r="AL142" s="1106"/>
      <c r="AM142" s="1106"/>
      <c r="AN142" s="660">
        <f t="shared" ca="1" si="38"/>
        <v>0</v>
      </c>
      <c r="AO142" s="696">
        <f ca="1">-AJ142*(1-'Param treso'!$H$18)</f>
        <v>0</v>
      </c>
      <c r="AP142" s="709">
        <f t="shared" ca="1" si="24"/>
        <v>-145447.93910000002</v>
      </c>
    </row>
    <row r="143" spans="1:42">
      <c r="A143" s="708">
        <f>IF(C143&lt;='Param treso'!$H$32,C143,IF(A142&lt;'Param treso'!$H$32,A142+1,1))</f>
        <v>3</v>
      </c>
      <c r="B143" s="708">
        <f>IF(C143&lt;='Param treso'!$H$41,C143,IF(B142&lt;'Param treso'!$H$41,B142+1,1))</f>
        <v>3</v>
      </c>
      <c r="C143" s="639">
        <f t="shared" si="25"/>
        <v>123</v>
      </c>
      <c r="D143" s="639">
        <f t="shared" ca="1" si="26"/>
        <v>183</v>
      </c>
      <c r="E143" s="649">
        <f t="shared" ca="1" si="27"/>
        <v>2149</v>
      </c>
      <c r="F143" s="186">
        <f>IF(C143=1,$F$19,IF(AND(A143=1,$K$16="Oui"),-AG142,IF(AND(A143&lt;='Param treso'!$H$32,$K$12="Oui"),IF(A143=1,-AG142,-AG142+G142),IF(AND(A143&lt;='Param treso'!$H$32,C143&lt;='Param treso'!$H$32),G142,IF($K$16="Oui",G142,0)))))</f>
        <v>0</v>
      </c>
      <c r="G143" s="186">
        <f t="shared" si="28"/>
        <v>0</v>
      </c>
      <c r="H143" s="1106">
        <f>F143*'Param treso'!$H$30</f>
        <v>0</v>
      </c>
      <c r="I143" s="1106"/>
      <c r="J143" s="1107"/>
      <c r="K143" s="659">
        <f t="shared" si="29"/>
        <v>0</v>
      </c>
      <c r="L143" s="186">
        <f>IF(K143=0,0,IF(B143=1,K143*(1+'Param treso'!$H$39),PRODUCT(L142,(POWER('Param treso'!$H$39,1)))+L142))</f>
        <v>0</v>
      </c>
      <c r="M143" s="660">
        <f>IFERROR(IF(B143='Param treso'!$H$41,L143-K143,0),0)</f>
        <v>0</v>
      </c>
      <c r="N143" s="186">
        <f>M143+H143+IF(A143='Param treso'!$H$32,G143,0)+IF(B143='Param treso'!$H$41,K143,0)</f>
        <v>0</v>
      </c>
      <c r="O143" s="186">
        <f ca="1">IF($AM$16="Oui",-IFERROR(VLOOKUP(E143,'Crédit (IS)'!$O$8:$P$145,2,FALSE),0),0)-(AN142*$T$14)</f>
        <v>0</v>
      </c>
      <c r="P143" s="186">
        <f ca="1">H143+M143+O143+IF(A143='Param treso'!$H$32,G143-F143,0)</f>
        <v>0</v>
      </c>
      <c r="Q143" s="1106">
        <f t="shared" ca="1" si="30"/>
        <v>0</v>
      </c>
      <c r="R143" s="1106"/>
      <c r="S143" s="1106"/>
      <c r="T143" s="186">
        <f t="shared" ca="1" si="31"/>
        <v>0</v>
      </c>
      <c r="U143" s="662">
        <f t="shared" ca="1" si="32"/>
        <v>0</v>
      </c>
      <c r="V143" s="662">
        <f ca="1">-IF('Param treso'!$H$20="Non",T143*Données!$L$24,IF(T143&lt;=Données!$L$26,T143*Données!$L$25,(Données!$L$26*Données!$L$25)+((T143-Données!$L$26)*Données!$L$24)))</f>
        <v>0</v>
      </c>
      <c r="W143" s="662">
        <f t="shared" ca="1" si="33"/>
        <v>0</v>
      </c>
      <c r="X143" s="186">
        <f ca="1">IF($AM$16="Oui",-IFERROR(VLOOKUP(E143,'Crédit (IS)'!$O$8:$Q$145,3,FALSE),0),0)</f>
        <v>0</v>
      </c>
      <c r="Y143" s="186">
        <f t="shared" ca="1" si="34"/>
        <v>0</v>
      </c>
      <c r="Z143" s="186">
        <f t="shared" ca="1" si="41"/>
        <v>0</v>
      </c>
      <c r="AA143" s="186">
        <f t="shared" ca="1" si="35"/>
        <v>0</v>
      </c>
      <c r="AB143" s="186">
        <f t="shared" ca="1" si="36"/>
        <v>0</v>
      </c>
      <c r="AC143" s="186">
        <f>IF(C143&lt;='Crédit (IR)'!$G$16/12,-(('Crédit (IR)'!$K$17)/(1-'Param treso'!$H$18)),0)</f>
        <v>0</v>
      </c>
      <c r="AD143" s="186">
        <f>IF($AM$14="Non",0,IF(C143&lt;='Crédit (IR)'!$G$16/12,-('Crédit (IR)'!$K$17),0))</f>
        <v>0</v>
      </c>
      <c r="AE143" s="186">
        <f ca="1">-IF(AND(E143&gt;=$AO$10,E143&lt;$AO$12),$AM$10/(1-'Param treso'!$H$18),IF(E143&gt;=$AO$12,$AM$12/(1-'Param treso'!$H$18),0))</f>
        <v>-207782.77014285719</v>
      </c>
      <c r="AF143" s="186">
        <f t="shared" ca="1" si="39"/>
        <v>-145447.93910000002</v>
      </c>
      <c r="AG143" s="186">
        <f>IF(C143=1,IF($K$12="Oui",-(Z143+AI143+AJ143),0),IF(AND($K$12="Oui",$K$16="Oui",A143='Param treso'!$H$32,B143='Param treso'!$H$41),-(Z143+AI143+AJ143+AH143),IF(AND($K$12="Oui",B143='Param treso'!$H$41),-(Z143+AI143+AJ143+AH143),IF(AND(A143='Param treso'!$H$32,$K$16="Oui"),-$F$19,IF($K$12="Oui",-(Z143+AI143+AJ143+AH143),0)))))</f>
        <v>0</v>
      </c>
      <c r="AH143" s="186">
        <f>IF(C143=1,0,IF(AND($K$16="Oui",B143='Param treso'!$H$41),-$K$19,0))</f>
        <v>0</v>
      </c>
      <c r="AI143" s="186">
        <f t="shared" si="40"/>
        <v>0</v>
      </c>
      <c r="AJ143" s="704">
        <f ca="1">IF(AI143=AF143+AD143,0,IF(AD143+AF143&lt;0,IF((Z143+AI143)&gt;=-(AC143+AE143),(AD143+AF143-AI143)/(1-'Param treso'!$H$18),-(Z143+AI143)),0))</f>
        <v>0</v>
      </c>
      <c r="AK143" s="1106">
        <f t="shared" ca="1" si="37"/>
        <v>0</v>
      </c>
      <c r="AL143" s="1106"/>
      <c r="AM143" s="1106"/>
      <c r="AN143" s="660">
        <f t="shared" ca="1" si="38"/>
        <v>0</v>
      </c>
      <c r="AO143" s="696">
        <f ca="1">-AJ143*(1-'Param treso'!$H$18)</f>
        <v>0</v>
      </c>
      <c r="AP143" s="709">
        <f t="shared" ca="1" si="24"/>
        <v>-145447.93910000002</v>
      </c>
    </row>
    <row r="144" spans="1:42">
      <c r="A144" s="708">
        <f>IF(C144&lt;='Param treso'!$H$32,C144,IF(A143&lt;'Param treso'!$H$32,A143+1,1))</f>
        <v>4</v>
      </c>
      <c r="B144" s="708">
        <f>IF(C144&lt;='Param treso'!$H$41,C144,IF(B143&lt;'Param treso'!$H$41,B143+1,1))</f>
        <v>4</v>
      </c>
      <c r="C144" s="639">
        <f t="shared" si="25"/>
        <v>124</v>
      </c>
      <c r="D144" s="639">
        <f t="shared" ca="1" si="26"/>
        <v>184</v>
      </c>
      <c r="E144" s="649">
        <f t="shared" ca="1" si="27"/>
        <v>2150</v>
      </c>
      <c r="F144" s="186">
        <f>IF(C144=1,$F$19,IF(AND(A144=1,$K$16="Oui"),-AG143,IF(AND(A144&lt;='Param treso'!$H$32,$K$12="Oui"),IF(A144=1,-AG143,-AG143+G143),IF(AND(A144&lt;='Param treso'!$H$32,C144&lt;='Param treso'!$H$32),G143,IF($K$16="Oui",G143,0)))))</f>
        <v>0</v>
      </c>
      <c r="G144" s="186">
        <f t="shared" si="28"/>
        <v>0</v>
      </c>
      <c r="H144" s="1106">
        <f>F144*'Param treso'!$H$30</f>
        <v>0</v>
      </c>
      <c r="I144" s="1106"/>
      <c r="J144" s="1107"/>
      <c r="K144" s="659">
        <f t="shared" si="29"/>
        <v>0</v>
      </c>
      <c r="L144" s="186">
        <f>IF(K144=0,0,IF(B144=1,K144*(1+'Param treso'!$H$39),PRODUCT(L143,(POWER('Param treso'!$H$39,1)))+L143))</f>
        <v>0</v>
      </c>
      <c r="M144" s="660">
        <f>IFERROR(IF(B144='Param treso'!$H$41,L144-K144,0),0)</f>
        <v>0</v>
      </c>
      <c r="N144" s="186">
        <f>M144+H144+IF(A144='Param treso'!$H$32,G144,0)+IF(B144='Param treso'!$H$41,K144,0)</f>
        <v>0</v>
      </c>
      <c r="O144" s="186">
        <f ca="1">IF($AM$16="Oui",-IFERROR(VLOOKUP(E144,'Crédit (IS)'!$O$8:$P$145,2,FALSE),0),0)-(AN143*$T$14)</f>
        <v>0</v>
      </c>
      <c r="P144" s="186">
        <f ca="1">H144+M144+O144+IF(A144='Param treso'!$H$32,G144-F144,0)</f>
        <v>0</v>
      </c>
      <c r="Q144" s="1106">
        <f t="shared" ca="1" si="30"/>
        <v>0</v>
      </c>
      <c r="R144" s="1106"/>
      <c r="S144" s="1106"/>
      <c r="T144" s="186">
        <f t="shared" ca="1" si="31"/>
        <v>0</v>
      </c>
      <c r="U144" s="662">
        <f t="shared" ca="1" si="32"/>
        <v>0</v>
      </c>
      <c r="V144" s="662">
        <f ca="1">-IF('Param treso'!$H$20="Non",T144*Données!$L$24,IF(T144&lt;=Données!$L$26,T144*Données!$L$25,(Données!$L$26*Données!$L$25)+((T144-Données!$L$26)*Données!$L$24)))</f>
        <v>0</v>
      </c>
      <c r="W144" s="662">
        <f t="shared" ca="1" si="33"/>
        <v>0</v>
      </c>
      <c r="X144" s="186">
        <f ca="1">IF($AM$16="Oui",-IFERROR(VLOOKUP(E144,'Crédit (IS)'!$O$8:$Q$145,3,FALSE),0),0)</f>
        <v>0</v>
      </c>
      <c r="Y144" s="186">
        <f t="shared" ca="1" si="34"/>
        <v>0</v>
      </c>
      <c r="Z144" s="186">
        <f t="shared" ca="1" si="41"/>
        <v>0</v>
      </c>
      <c r="AA144" s="186">
        <f t="shared" ca="1" si="35"/>
        <v>0</v>
      </c>
      <c r="AB144" s="186">
        <f t="shared" ca="1" si="36"/>
        <v>0</v>
      </c>
      <c r="AC144" s="186">
        <f>IF(C144&lt;='Crédit (IR)'!$G$16/12,-(('Crédit (IR)'!$K$17)/(1-'Param treso'!$H$18)),0)</f>
        <v>0</v>
      </c>
      <c r="AD144" s="186">
        <f>IF($AM$14="Non",0,IF(C144&lt;='Crédit (IR)'!$G$16/12,-('Crédit (IR)'!$K$17),0))</f>
        <v>0</v>
      </c>
      <c r="AE144" s="186">
        <f ca="1">-IF(AND(E144&gt;=$AO$10,E144&lt;$AO$12),$AM$10/(1-'Param treso'!$H$18),IF(E144&gt;=$AO$12,$AM$12/(1-'Param treso'!$H$18),0))</f>
        <v>-207782.77014285719</v>
      </c>
      <c r="AF144" s="186">
        <f t="shared" ca="1" si="39"/>
        <v>-145447.93910000002</v>
      </c>
      <c r="AG144" s="186">
        <f>IF(C144=1,IF($K$12="Oui",-(Z144+AI144+AJ144),0),IF(AND($K$12="Oui",$K$16="Oui",A144='Param treso'!$H$32,B144='Param treso'!$H$41),-(Z144+AI144+AJ144+AH144),IF(AND($K$12="Oui",B144='Param treso'!$H$41),-(Z144+AI144+AJ144+AH144),IF(AND(A144='Param treso'!$H$32,$K$16="Oui"),-$F$19,IF($K$12="Oui",-(Z144+AI144+AJ144+AH144),0)))))</f>
        <v>0</v>
      </c>
      <c r="AH144" s="186">
        <f>IF(C144=1,0,IF(AND($K$16="Oui",B144='Param treso'!$H$41),-$K$19,0))</f>
        <v>0</v>
      </c>
      <c r="AI144" s="186">
        <f t="shared" si="40"/>
        <v>0</v>
      </c>
      <c r="AJ144" s="704">
        <f ca="1">IF(AI144=AF144+AD144,0,IF(AD144+AF144&lt;0,IF((Z144+AI144)&gt;=-(AC144+AE144),(AD144+AF144-AI144)/(1-'Param treso'!$H$18),-(Z144+AI144)),0))</f>
        <v>0</v>
      </c>
      <c r="AK144" s="1106">
        <f t="shared" ca="1" si="37"/>
        <v>0</v>
      </c>
      <c r="AL144" s="1106"/>
      <c r="AM144" s="1106"/>
      <c r="AN144" s="660">
        <f t="shared" ca="1" si="38"/>
        <v>0</v>
      </c>
      <c r="AO144" s="696">
        <f ca="1">-AJ144*(1-'Param treso'!$H$18)</f>
        <v>0</v>
      </c>
      <c r="AP144" s="709">
        <f t="shared" ca="1" si="24"/>
        <v>-145447.93910000002</v>
      </c>
    </row>
    <row r="145" spans="1:42">
      <c r="A145" s="708">
        <f>IF(C145&lt;='Param treso'!$H$32,C145,IF(A144&lt;'Param treso'!$H$32,A144+1,1))</f>
        <v>5</v>
      </c>
      <c r="B145" s="708">
        <f>IF(C145&lt;='Param treso'!$H$41,C145,IF(B144&lt;'Param treso'!$H$41,B144+1,1))</f>
        <v>5</v>
      </c>
      <c r="C145" s="639">
        <f t="shared" si="25"/>
        <v>125</v>
      </c>
      <c r="D145" s="639">
        <f t="shared" ca="1" si="26"/>
        <v>185</v>
      </c>
      <c r="E145" s="649">
        <f t="shared" ca="1" si="27"/>
        <v>2151</v>
      </c>
      <c r="F145" s="186">
        <f>IF(C145=1,$F$19,IF(AND(A145=1,$K$16="Oui"),-AG144,IF(AND(A145&lt;='Param treso'!$H$32,$K$12="Oui"),IF(A145=1,-AG144,-AG144+G144),IF(AND(A145&lt;='Param treso'!$H$32,C145&lt;='Param treso'!$H$32),G144,IF($K$16="Oui",G144,0)))))</f>
        <v>0</v>
      </c>
      <c r="G145" s="186">
        <f t="shared" si="28"/>
        <v>0</v>
      </c>
      <c r="H145" s="1106">
        <f>F145*'Param treso'!$H$30</f>
        <v>0</v>
      </c>
      <c r="I145" s="1106"/>
      <c r="J145" s="1107"/>
      <c r="K145" s="659">
        <f t="shared" si="29"/>
        <v>0</v>
      </c>
      <c r="L145" s="186">
        <f>IF(K145=0,0,IF(B145=1,K145*(1+'Param treso'!$H$39),PRODUCT(L144,(POWER('Param treso'!$H$39,1)))+L144))</f>
        <v>0</v>
      </c>
      <c r="M145" s="660">
        <f>IFERROR(IF(B145='Param treso'!$H$41,L145-K145,0),0)</f>
        <v>0</v>
      </c>
      <c r="N145" s="186">
        <f>M145+H145+IF(A145='Param treso'!$H$32,G145,0)+IF(B145='Param treso'!$H$41,K145,0)</f>
        <v>0</v>
      </c>
      <c r="O145" s="186">
        <f ca="1">IF($AM$16="Oui",-IFERROR(VLOOKUP(E145,'Crédit (IS)'!$O$8:$P$145,2,FALSE),0),0)-(AN144*$T$14)</f>
        <v>0</v>
      </c>
      <c r="P145" s="186">
        <f ca="1">H145+M145+O145+IF(A145='Param treso'!$H$32,G145-F145,0)</f>
        <v>0</v>
      </c>
      <c r="Q145" s="1106">
        <f t="shared" ca="1" si="30"/>
        <v>0</v>
      </c>
      <c r="R145" s="1106"/>
      <c r="S145" s="1106"/>
      <c r="T145" s="186">
        <f t="shared" ca="1" si="31"/>
        <v>0</v>
      </c>
      <c r="U145" s="662">
        <f t="shared" ca="1" si="32"/>
        <v>0</v>
      </c>
      <c r="V145" s="662">
        <f ca="1">-IF('Param treso'!$H$20="Non",T145*Données!$L$24,IF(T145&lt;=Données!$L$26,T145*Données!$L$25,(Données!$L$26*Données!$L$25)+((T145-Données!$L$26)*Données!$L$24)))</f>
        <v>0</v>
      </c>
      <c r="W145" s="662">
        <f t="shared" ca="1" si="33"/>
        <v>0</v>
      </c>
      <c r="X145" s="186">
        <f ca="1">IF($AM$16="Oui",-IFERROR(VLOOKUP(E145,'Crédit (IS)'!$O$8:$Q$145,3,FALSE),0),0)</f>
        <v>0</v>
      </c>
      <c r="Y145" s="186">
        <f t="shared" ca="1" si="34"/>
        <v>0</v>
      </c>
      <c r="Z145" s="186">
        <f t="shared" ca="1" si="41"/>
        <v>0</v>
      </c>
      <c r="AA145" s="186">
        <f t="shared" ca="1" si="35"/>
        <v>0</v>
      </c>
      <c r="AB145" s="186">
        <f t="shared" ca="1" si="36"/>
        <v>0</v>
      </c>
      <c r="AC145" s="186">
        <f>IF(C145&lt;='Crédit (IR)'!$G$16/12,-(('Crédit (IR)'!$K$17)/(1-'Param treso'!$H$18)),0)</f>
        <v>0</v>
      </c>
      <c r="AD145" s="186">
        <f>IF($AM$14="Non",0,IF(C145&lt;='Crédit (IR)'!$G$16/12,-('Crédit (IR)'!$K$17),0))</f>
        <v>0</v>
      </c>
      <c r="AE145" s="186">
        <f ca="1">-IF(AND(E145&gt;=$AO$10,E145&lt;$AO$12),$AM$10/(1-'Param treso'!$H$18),IF(E145&gt;=$AO$12,$AM$12/(1-'Param treso'!$H$18),0))</f>
        <v>-207782.77014285719</v>
      </c>
      <c r="AF145" s="186">
        <f t="shared" ca="1" si="39"/>
        <v>-145447.93910000002</v>
      </c>
      <c r="AG145" s="186">
        <f>IF(C145=1,IF($K$12="Oui",-(Z145+AI145+AJ145),0),IF(AND($K$12="Oui",$K$16="Oui",A145='Param treso'!$H$32,B145='Param treso'!$H$41),-(Z145+AI145+AJ145+AH145),IF(AND($K$12="Oui",B145='Param treso'!$H$41),-(Z145+AI145+AJ145+AH145),IF(AND(A145='Param treso'!$H$32,$K$16="Oui"),-$F$19,IF($K$12="Oui",-(Z145+AI145+AJ145+AH145),0)))))</f>
        <v>0</v>
      </c>
      <c r="AH145" s="186">
        <f>IF(C145=1,0,IF(AND($K$16="Oui",B145='Param treso'!$H$41),-$K$19,0))</f>
        <v>0</v>
      </c>
      <c r="AI145" s="186">
        <f t="shared" si="40"/>
        <v>0</v>
      </c>
      <c r="AJ145" s="704">
        <f ca="1">IF(AI145=AF145+AD145,0,IF(AD145+AF145&lt;0,IF((Z145+AI145)&gt;=-(AC145+AE145),(AD145+AF145-AI145)/(1-'Param treso'!$H$18),-(Z145+AI145)),0))</f>
        <v>0</v>
      </c>
      <c r="AK145" s="1106">
        <f t="shared" ca="1" si="37"/>
        <v>0</v>
      </c>
      <c r="AL145" s="1106"/>
      <c r="AM145" s="1106"/>
      <c r="AN145" s="660">
        <f t="shared" ca="1" si="38"/>
        <v>0</v>
      </c>
      <c r="AO145" s="696">
        <f ca="1">-AJ145*(1-'Param treso'!$H$18)</f>
        <v>0</v>
      </c>
      <c r="AP145" s="709">
        <f t="shared" ca="1" si="24"/>
        <v>-145447.93910000002</v>
      </c>
    </row>
    <row r="146" spans="1:42">
      <c r="A146" s="708">
        <f>IF(C146&lt;='Param treso'!$H$32,C146,IF(A145&lt;'Param treso'!$H$32,A145+1,1))</f>
        <v>6</v>
      </c>
      <c r="B146" s="708">
        <f>IF(C146&lt;='Param treso'!$H$41,C146,IF(B145&lt;'Param treso'!$H$41,B145+1,1))</f>
        <v>1</v>
      </c>
      <c r="C146" s="639">
        <f t="shared" si="25"/>
        <v>126</v>
      </c>
      <c r="D146" s="639">
        <f t="shared" ca="1" si="26"/>
        <v>186</v>
      </c>
      <c r="E146" s="649">
        <f t="shared" ca="1" si="27"/>
        <v>2152</v>
      </c>
      <c r="F146" s="186">
        <f>IF(C146=1,$F$19,IF(AND(A146=1,$K$16="Oui"),-AG145,IF(AND(A146&lt;='Param treso'!$H$32,$K$12="Oui"),IF(A146=1,-AG145,-AG145+G145),IF(AND(A146&lt;='Param treso'!$H$32,C146&lt;='Param treso'!$H$32),G145,IF($K$16="Oui",G145,0)))))</f>
        <v>0</v>
      </c>
      <c r="G146" s="186">
        <f t="shared" si="28"/>
        <v>0</v>
      </c>
      <c r="H146" s="1106">
        <f>F146*'Param treso'!$H$30</f>
        <v>0</v>
      </c>
      <c r="I146" s="1106"/>
      <c r="J146" s="1107"/>
      <c r="K146" s="659">
        <f t="shared" si="29"/>
        <v>0</v>
      </c>
      <c r="L146" s="186">
        <f>IF(K146=0,0,IF(B146=1,K146*(1+'Param treso'!$H$39),PRODUCT(L145,(POWER('Param treso'!$H$39,1)))+L145))</f>
        <v>0</v>
      </c>
      <c r="M146" s="660">
        <f>IFERROR(IF(B146='Param treso'!$H$41,L146-K146,0),0)</f>
        <v>0</v>
      </c>
      <c r="N146" s="186">
        <f>M146+H146+IF(A146='Param treso'!$H$32,G146,0)+IF(B146='Param treso'!$H$41,K146,0)</f>
        <v>0</v>
      </c>
      <c r="O146" s="186">
        <f ca="1">IF($AM$16="Oui",-IFERROR(VLOOKUP(E146,'Crédit (IS)'!$O$8:$P$145,2,FALSE),0),0)-(AN145*$T$14)</f>
        <v>0</v>
      </c>
      <c r="P146" s="186">
        <f ca="1">H146+M146+O146+IF(A146='Param treso'!$H$32,G146-F146,0)</f>
        <v>0</v>
      </c>
      <c r="Q146" s="1106">
        <f t="shared" ca="1" si="30"/>
        <v>0</v>
      </c>
      <c r="R146" s="1106"/>
      <c r="S146" s="1106"/>
      <c r="T146" s="186">
        <f t="shared" ca="1" si="31"/>
        <v>0</v>
      </c>
      <c r="U146" s="662">
        <f t="shared" ca="1" si="32"/>
        <v>0</v>
      </c>
      <c r="V146" s="662">
        <f ca="1">-IF('Param treso'!$H$20="Non",T146*Données!$L$24,IF(T146&lt;=Données!$L$26,T146*Données!$L$25,(Données!$L$26*Données!$L$25)+((T146-Données!$L$26)*Données!$L$24)))</f>
        <v>0</v>
      </c>
      <c r="W146" s="662">
        <f t="shared" ca="1" si="33"/>
        <v>0</v>
      </c>
      <c r="X146" s="186">
        <f ca="1">IF($AM$16="Oui",-IFERROR(VLOOKUP(E146,'Crédit (IS)'!$O$8:$Q$145,3,FALSE),0),0)</f>
        <v>0</v>
      </c>
      <c r="Y146" s="186">
        <f t="shared" ca="1" si="34"/>
        <v>0</v>
      </c>
      <c r="Z146" s="186">
        <f t="shared" ca="1" si="41"/>
        <v>0</v>
      </c>
      <c r="AA146" s="186">
        <f t="shared" ca="1" si="35"/>
        <v>0</v>
      </c>
      <c r="AB146" s="186">
        <f t="shared" ca="1" si="36"/>
        <v>0</v>
      </c>
      <c r="AC146" s="186">
        <f>IF(C146&lt;='Crédit (IR)'!$G$16/12,-(('Crédit (IR)'!$K$17)/(1-'Param treso'!$H$18)),0)</f>
        <v>0</v>
      </c>
      <c r="AD146" s="186">
        <f>IF($AM$14="Non",0,IF(C146&lt;='Crédit (IR)'!$G$16/12,-('Crédit (IR)'!$K$17),0))</f>
        <v>0</v>
      </c>
      <c r="AE146" s="186">
        <f ca="1">-IF(AND(E146&gt;=$AO$10,E146&lt;$AO$12),$AM$10/(1-'Param treso'!$H$18),IF(E146&gt;=$AO$12,$AM$12/(1-'Param treso'!$H$18),0))</f>
        <v>-207782.77014285719</v>
      </c>
      <c r="AF146" s="186">
        <f t="shared" ca="1" si="39"/>
        <v>-145447.93910000002</v>
      </c>
      <c r="AG146" s="186">
        <f>IF(C146=1,IF($K$12="Oui",-(Z146+AI146+AJ146),0),IF(AND($K$12="Oui",$K$16="Oui",A146='Param treso'!$H$32,B146='Param treso'!$H$41),-(Z146+AI146+AJ146+AH146),IF(AND($K$12="Oui",B146='Param treso'!$H$41),-(Z146+AI146+AJ146+AH146),IF(AND(A146='Param treso'!$H$32,$K$16="Oui"),-$F$19,IF($K$12="Oui",-(Z146+AI146+AJ146+AH146),0)))))</f>
        <v>0</v>
      </c>
      <c r="AH146" s="186">
        <f>IF(C146=1,0,IF(AND($K$16="Oui",B146='Param treso'!$H$41),-$K$19,0))</f>
        <v>0</v>
      </c>
      <c r="AI146" s="186">
        <f t="shared" si="40"/>
        <v>0</v>
      </c>
      <c r="AJ146" s="704">
        <f ca="1">IF(AI146=AF146+AD146,0,IF(AD146+AF146&lt;0,IF((Z146+AI146)&gt;=-(AC146+AE146),(AD146+AF146-AI146)/(1-'Param treso'!$H$18),-(Z146+AI146)),0))</f>
        <v>0</v>
      </c>
      <c r="AK146" s="1106">
        <f t="shared" ca="1" si="37"/>
        <v>0</v>
      </c>
      <c r="AL146" s="1106"/>
      <c r="AM146" s="1106"/>
      <c r="AN146" s="660">
        <f t="shared" ca="1" si="38"/>
        <v>0</v>
      </c>
      <c r="AO146" s="696">
        <f ca="1">-AJ146*(1-'Param treso'!$H$18)</f>
        <v>0</v>
      </c>
      <c r="AP146" s="709">
        <f t="shared" ca="1" si="24"/>
        <v>-145447.93910000002</v>
      </c>
    </row>
    <row r="147" spans="1:42">
      <c r="A147" s="708">
        <f>IF(C147&lt;='Param treso'!$H$32,C147,IF(A146&lt;'Param treso'!$H$32,A146+1,1))</f>
        <v>7</v>
      </c>
      <c r="B147" s="708">
        <f>IF(C147&lt;='Param treso'!$H$41,C147,IF(B146&lt;'Param treso'!$H$41,B146+1,1))</f>
        <v>2</v>
      </c>
      <c r="C147" s="639">
        <f t="shared" si="25"/>
        <v>127</v>
      </c>
      <c r="D147" s="639">
        <f t="shared" ca="1" si="26"/>
        <v>187</v>
      </c>
      <c r="E147" s="649">
        <f t="shared" ca="1" si="27"/>
        <v>2153</v>
      </c>
      <c r="F147" s="186">
        <f>IF(C147=1,$F$19,IF(AND(A147=1,$K$16="Oui"),-AG146,IF(AND(A147&lt;='Param treso'!$H$32,$K$12="Oui"),IF(A147=1,-AG146,-AG146+G146),IF(AND(A147&lt;='Param treso'!$H$32,C147&lt;='Param treso'!$H$32),G146,IF($K$16="Oui",G146,0)))))</f>
        <v>0</v>
      </c>
      <c r="G147" s="186">
        <f t="shared" si="28"/>
        <v>0</v>
      </c>
      <c r="H147" s="1106">
        <f>F147*'Param treso'!$H$30</f>
        <v>0</v>
      </c>
      <c r="I147" s="1106"/>
      <c r="J147" s="1107"/>
      <c r="K147" s="659">
        <f t="shared" si="29"/>
        <v>0</v>
      </c>
      <c r="L147" s="186">
        <f>IF(K147=0,0,IF(B147=1,K147*(1+'Param treso'!$H$39),PRODUCT(L146,(POWER('Param treso'!$H$39,1)))+L146))</f>
        <v>0</v>
      </c>
      <c r="M147" s="660">
        <f>IFERROR(IF(B147='Param treso'!$H$41,L147-K147,0),0)</f>
        <v>0</v>
      </c>
      <c r="N147" s="186">
        <f>M147+H147+IF(A147='Param treso'!$H$32,G147,0)+IF(B147='Param treso'!$H$41,K147,0)</f>
        <v>0</v>
      </c>
      <c r="O147" s="186">
        <f ca="1">IF($AM$16="Oui",-IFERROR(VLOOKUP(E147,'Crédit (IS)'!$O$8:$P$145,2,FALSE),0),0)-(AN146*$T$14)</f>
        <v>0</v>
      </c>
      <c r="P147" s="186">
        <f ca="1">H147+M147+O147+IF(A147='Param treso'!$H$32,G147-F147,0)</f>
        <v>0</v>
      </c>
      <c r="Q147" s="1106">
        <f t="shared" ca="1" si="30"/>
        <v>0</v>
      </c>
      <c r="R147" s="1106"/>
      <c r="S147" s="1106"/>
      <c r="T147" s="186">
        <f t="shared" ca="1" si="31"/>
        <v>0</v>
      </c>
      <c r="U147" s="662">
        <f t="shared" ca="1" si="32"/>
        <v>0</v>
      </c>
      <c r="V147" s="662">
        <f ca="1">-IF('Param treso'!$H$20="Non",T147*Données!$L$24,IF(T147&lt;=Données!$L$26,T147*Données!$L$25,(Données!$L$26*Données!$L$25)+((T147-Données!$L$26)*Données!$L$24)))</f>
        <v>0</v>
      </c>
      <c r="W147" s="662">
        <f t="shared" ca="1" si="33"/>
        <v>0</v>
      </c>
      <c r="X147" s="186">
        <f ca="1">IF($AM$16="Oui",-IFERROR(VLOOKUP(E147,'Crédit (IS)'!$O$8:$Q$145,3,FALSE),0),0)</f>
        <v>0</v>
      </c>
      <c r="Y147" s="186">
        <f t="shared" ca="1" si="34"/>
        <v>0</v>
      </c>
      <c r="Z147" s="186">
        <f t="shared" ca="1" si="41"/>
        <v>0</v>
      </c>
      <c r="AA147" s="186">
        <f t="shared" ca="1" si="35"/>
        <v>0</v>
      </c>
      <c r="AB147" s="186">
        <f t="shared" ca="1" si="36"/>
        <v>0</v>
      </c>
      <c r="AC147" s="186">
        <f>IF(C147&lt;='Crédit (IR)'!$G$16/12,-(('Crédit (IR)'!$K$17)/(1-'Param treso'!$H$18)),0)</f>
        <v>0</v>
      </c>
      <c r="AD147" s="186">
        <f>IF($AM$14="Non",0,IF(C147&lt;='Crédit (IR)'!$G$16/12,-('Crédit (IR)'!$K$17),0))</f>
        <v>0</v>
      </c>
      <c r="AE147" s="186">
        <f ca="1">-IF(AND(E147&gt;=$AO$10,E147&lt;$AO$12),$AM$10/(1-'Param treso'!$H$18),IF(E147&gt;=$AO$12,$AM$12/(1-'Param treso'!$H$18),0))</f>
        <v>-207782.77014285719</v>
      </c>
      <c r="AF147" s="186">
        <f t="shared" ca="1" si="39"/>
        <v>-145447.93910000002</v>
      </c>
      <c r="AG147" s="186">
        <f>IF(C147=1,IF($K$12="Oui",-(Z147+AI147+AJ147),0),IF(AND($K$12="Oui",$K$16="Oui",A147='Param treso'!$H$32,B147='Param treso'!$H$41),-(Z147+AI147+AJ147+AH147),IF(AND($K$12="Oui",B147='Param treso'!$H$41),-(Z147+AI147+AJ147+AH147),IF(AND(A147='Param treso'!$H$32,$K$16="Oui"),-$F$19,IF($K$12="Oui",-(Z147+AI147+AJ147+AH147),0)))))</f>
        <v>0</v>
      </c>
      <c r="AH147" s="186">
        <f>IF(C147=1,0,IF(AND($K$16="Oui",B147='Param treso'!$H$41),-$K$19,0))</f>
        <v>0</v>
      </c>
      <c r="AI147" s="186">
        <f t="shared" si="40"/>
        <v>0</v>
      </c>
      <c r="AJ147" s="704">
        <f ca="1">IF(AI147=AF147+AD147,0,IF(AD147+AF147&lt;0,IF((Z147+AI147)&gt;=-(AC147+AE147),(AD147+AF147-AI147)/(1-'Param treso'!$H$18),-(Z147+AI147)),0))</f>
        <v>0</v>
      </c>
      <c r="AK147" s="1106">
        <f t="shared" ca="1" si="37"/>
        <v>0</v>
      </c>
      <c r="AL147" s="1106"/>
      <c r="AM147" s="1106"/>
      <c r="AN147" s="660">
        <f t="shared" ca="1" si="38"/>
        <v>0</v>
      </c>
      <c r="AO147" s="696">
        <f ca="1">-AJ147*(1-'Param treso'!$H$18)</f>
        <v>0</v>
      </c>
      <c r="AP147" s="709">
        <f t="shared" ca="1" si="24"/>
        <v>-145447.93910000002</v>
      </c>
    </row>
    <row r="148" spans="1:42">
      <c r="A148" s="708">
        <f>IF(C148&lt;='Param treso'!$H$32,C148,IF(A147&lt;'Param treso'!$H$32,A147+1,1))</f>
        <v>8</v>
      </c>
      <c r="B148" s="708">
        <f>IF(C148&lt;='Param treso'!$H$41,C148,IF(B147&lt;'Param treso'!$H$41,B147+1,1))</f>
        <v>3</v>
      </c>
      <c r="C148" s="639">
        <f t="shared" si="25"/>
        <v>128</v>
      </c>
      <c r="D148" s="639">
        <f t="shared" ca="1" si="26"/>
        <v>188</v>
      </c>
      <c r="E148" s="649">
        <f t="shared" ca="1" si="27"/>
        <v>2154</v>
      </c>
      <c r="F148" s="186">
        <f>IF(C148=1,$F$19,IF(AND(A148=1,$K$16="Oui"),-AG147,IF(AND(A148&lt;='Param treso'!$H$32,$K$12="Oui"),IF(A148=1,-AG147,-AG147+G147),IF(AND(A148&lt;='Param treso'!$H$32,C148&lt;='Param treso'!$H$32),G147,IF($K$16="Oui",G147,0)))))</f>
        <v>0</v>
      </c>
      <c r="G148" s="186">
        <f t="shared" si="28"/>
        <v>0</v>
      </c>
      <c r="H148" s="1106">
        <f>F148*'Param treso'!$H$30</f>
        <v>0</v>
      </c>
      <c r="I148" s="1106"/>
      <c r="J148" s="1107"/>
      <c r="K148" s="659">
        <f t="shared" si="29"/>
        <v>0</v>
      </c>
      <c r="L148" s="186">
        <f>IF(K148=0,0,IF(B148=1,K148*(1+'Param treso'!$H$39),PRODUCT(L147,(POWER('Param treso'!$H$39,1)))+L147))</f>
        <v>0</v>
      </c>
      <c r="M148" s="660">
        <f>IFERROR(IF(B148='Param treso'!$H$41,L148-K148,0),0)</f>
        <v>0</v>
      </c>
      <c r="N148" s="186">
        <f>M148+H148+IF(A148='Param treso'!$H$32,G148,0)+IF(B148='Param treso'!$H$41,K148,0)</f>
        <v>0</v>
      </c>
      <c r="O148" s="186">
        <f ca="1">IF($AM$16="Oui",-IFERROR(VLOOKUP(E148,'Crédit (IS)'!$O$8:$P$145,2,FALSE),0),0)-(AN147*$T$14)</f>
        <v>0</v>
      </c>
      <c r="P148" s="186">
        <f ca="1">H148+M148+O148+IF(A148='Param treso'!$H$32,G148-F148,0)</f>
        <v>0</v>
      </c>
      <c r="Q148" s="1106">
        <f t="shared" ca="1" si="30"/>
        <v>0</v>
      </c>
      <c r="R148" s="1106"/>
      <c r="S148" s="1106"/>
      <c r="T148" s="186">
        <f t="shared" ca="1" si="31"/>
        <v>0</v>
      </c>
      <c r="U148" s="662">
        <f t="shared" ca="1" si="32"/>
        <v>0</v>
      </c>
      <c r="V148" s="662">
        <f ca="1">-IF('Param treso'!$H$20="Non",T148*Données!$L$24,IF(T148&lt;=Données!$L$26,T148*Données!$L$25,(Données!$L$26*Données!$L$25)+((T148-Données!$L$26)*Données!$L$24)))</f>
        <v>0</v>
      </c>
      <c r="W148" s="662">
        <f t="shared" ca="1" si="33"/>
        <v>0</v>
      </c>
      <c r="X148" s="186">
        <f ca="1">IF($AM$16="Oui",-IFERROR(VLOOKUP(E148,'Crédit (IS)'!$O$8:$Q$145,3,FALSE),0),0)</f>
        <v>0</v>
      </c>
      <c r="Y148" s="186">
        <f t="shared" ca="1" si="34"/>
        <v>0</v>
      </c>
      <c r="Z148" s="186">
        <f t="shared" ca="1" si="41"/>
        <v>0</v>
      </c>
      <c r="AA148" s="186">
        <f t="shared" ca="1" si="35"/>
        <v>0</v>
      </c>
      <c r="AB148" s="186">
        <f t="shared" ca="1" si="36"/>
        <v>0</v>
      </c>
      <c r="AC148" s="186">
        <f>IF(C148&lt;='Crédit (IR)'!$G$16/12,-(('Crédit (IR)'!$K$17)/(1-'Param treso'!$H$18)),0)</f>
        <v>0</v>
      </c>
      <c r="AD148" s="186">
        <f>IF($AM$14="Non",0,IF(C148&lt;='Crédit (IR)'!$G$16/12,-('Crédit (IR)'!$K$17),0))</f>
        <v>0</v>
      </c>
      <c r="AE148" s="186">
        <f ca="1">-IF(AND(E148&gt;=$AO$10,E148&lt;$AO$12),$AM$10/(1-'Param treso'!$H$18),IF(E148&gt;=$AO$12,$AM$12/(1-'Param treso'!$H$18),0))</f>
        <v>-207782.77014285719</v>
      </c>
      <c r="AF148" s="186">
        <f t="shared" ca="1" si="39"/>
        <v>-145447.93910000002</v>
      </c>
      <c r="AG148" s="186">
        <f>IF(C148=1,IF($K$12="Oui",-(Z148+AI148+AJ148),0),IF(AND($K$12="Oui",$K$16="Oui",A148='Param treso'!$H$32,B148='Param treso'!$H$41),-(Z148+AI148+AJ148+AH148),IF(AND($K$12="Oui",B148='Param treso'!$H$41),-(Z148+AI148+AJ148+AH148),IF(AND(A148='Param treso'!$H$32,$K$16="Oui"),-$F$19,IF($K$12="Oui",-(Z148+AI148+AJ148+AH148),0)))))</f>
        <v>0</v>
      </c>
      <c r="AH148" s="186">
        <f>IF(C148=1,0,IF(AND($K$16="Oui",B148='Param treso'!$H$41),-$K$19,0))</f>
        <v>0</v>
      </c>
      <c r="AI148" s="186">
        <f t="shared" si="40"/>
        <v>0</v>
      </c>
      <c r="AJ148" s="704">
        <f ca="1">IF(AI148=AF148+AD148,0,IF(AD148+AF148&lt;0,IF((Z148+AI148)&gt;=-(AC148+AE148),(AD148+AF148-AI148)/(1-'Param treso'!$H$18),-(Z148+AI148)),0))</f>
        <v>0</v>
      </c>
      <c r="AK148" s="1106">
        <f t="shared" ca="1" si="37"/>
        <v>0</v>
      </c>
      <c r="AL148" s="1106"/>
      <c r="AM148" s="1106"/>
      <c r="AN148" s="660">
        <f t="shared" ca="1" si="38"/>
        <v>0</v>
      </c>
      <c r="AO148" s="696">
        <f ca="1">-AJ148*(1-'Param treso'!$H$18)</f>
        <v>0</v>
      </c>
      <c r="AP148" s="709">
        <f t="shared" ca="1" si="24"/>
        <v>-145447.93910000002</v>
      </c>
    </row>
    <row r="149" spans="1:42">
      <c r="A149" s="708">
        <f>IF(C149&lt;='Param treso'!$H$32,C149,IF(A148&lt;'Param treso'!$H$32,A148+1,1))</f>
        <v>9</v>
      </c>
      <c r="B149" s="708">
        <f>IF(C149&lt;='Param treso'!$H$41,C149,IF(B148&lt;'Param treso'!$H$41,B148+1,1))</f>
        <v>4</v>
      </c>
      <c r="C149" s="639">
        <f t="shared" si="25"/>
        <v>129</v>
      </c>
      <c r="D149" s="639">
        <f t="shared" ca="1" si="26"/>
        <v>189</v>
      </c>
      <c r="E149" s="649">
        <f t="shared" ca="1" si="27"/>
        <v>2155</v>
      </c>
      <c r="F149" s="186">
        <f>IF(C149=1,$F$19,IF(AND(A149=1,$K$16="Oui"),-AG148,IF(AND(A149&lt;='Param treso'!$H$32,$K$12="Oui"),IF(A149=1,-AG148,-AG148+G148),IF(AND(A149&lt;='Param treso'!$H$32,C149&lt;='Param treso'!$H$32),G148,IF($K$16="Oui",G148,0)))))</f>
        <v>0</v>
      </c>
      <c r="G149" s="186">
        <f t="shared" si="28"/>
        <v>0</v>
      </c>
      <c r="H149" s="1106">
        <f>F149*'Param treso'!$H$30</f>
        <v>0</v>
      </c>
      <c r="I149" s="1106"/>
      <c r="J149" s="1107"/>
      <c r="K149" s="659">
        <f t="shared" si="29"/>
        <v>0</v>
      </c>
      <c r="L149" s="186">
        <f>IF(K149=0,0,IF(B149=1,K149*(1+'Param treso'!$H$39),PRODUCT(L148,(POWER('Param treso'!$H$39,1)))+L148))</f>
        <v>0</v>
      </c>
      <c r="M149" s="660">
        <f>IFERROR(IF(B149='Param treso'!$H$41,L149-K149,0),0)</f>
        <v>0</v>
      </c>
      <c r="N149" s="186">
        <f>M149+H149+IF(A149='Param treso'!$H$32,G149,0)+IF(B149='Param treso'!$H$41,K149,0)</f>
        <v>0</v>
      </c>
      <c r="O149" s="186">
        <f ca="1">IF($AM$16="Oui",-IFERROR(VLOOKUP(E149,'Crédit (IS)'!$O$8:$P$145,2,FALSE),0),0)-(AN148*$T$14)</f>
        <v>0</v>
      </c>
      <c r="P149" s="186">
        <f ca="1">H149+M149+O149+IF(A149='Param treso'!$H$32,G149-F149,0)</f>
        <v>0</v>
      </c>
      <c r="Q149" s="1106">
        <f t="shared" ca="1" si="30"/>
        <v>0</v>
      </c>
      <c r="R149" s="1106"/>
      <c r="S149" s="1106"/>
      <c r="T149" s="186">
        <f t="shared" ca="1" si="31"/>
        <v>0</v>
      </c>
      <c r="U149" s="662">
        <f t="shared" ca="1" si="32"/>
        <v>0</v>
      </c>
      <c r="V149" s="662">
        <f ca="1">-IF('Param treso'!$H$20="Non",T149*Données!$L$24,IF(T149&lt;=Données!$L$26,T149*Données!$L$25,(Données!$L$26*Données!$L$25)+((T149-Données!$L$26)*Données!$L$24)))</f>
        <v>0</v>
      </c>
      <c r="W149" s="662">
        <f t="shared" ca="1" si="33"/>
        <v>0</v>
      </c>
      <c r="X149" s="186">
        <f ca="1">IF($AM$16="Oui",-IFERROR(VLOOKUP(E149,'Crédit (IS)'!$O$8:$Q$145,3,FALSE),0),0)</f>
        <v>0</v>
      </c>
      <c r="Y149" s="186">
        <f t="shared" ca="1" si="34"/>
        <v>0</v>
      </c>
      <c r="Z149" s="186">
        <f t="shared" ca="1" si="41"/>
        <v>0</v>
      </c>
      <c r="AA149" s="186">
        <f t="shared" ca="1" si="35"/>
        <v>0</v>
      </c>
      <c r="AB149" s="186">
        <f t="shared" ca="1" si="36"/>
        <v>0</v>
      </c>
      <c r="AC149" s="186">
        <f>IF(C149&lt;='Crédit (IR)'!$G$16/12,-(('Crédit (IR)'!$K$17)/(1-'Param treso'!$H$18)),0)</f>
        <v>0</v>
      </c>
      <c r="AD149" s="186">
        <f>IF($AM$14="Non",0,IF(C149&lt;='Crédit (IR)'!$G$16/12,-('Crédit (IR)'!$K$17),0))</f>
        <v>0</v>
      </c>
      <c r="AE149" s="186">
        <f ca="1">-IF(AND(E149&gt;=$AO$10,E149&lt;$AO$12),$AM$10/(1-'Param treso'!$H$18),IF(E149&gt;=$AO$12,$AM$12/(1-'Param treso'!$H$18),0))</f>
        <v>-207782.77014285719</v>
      </c>
      <c r="AF149" s="186">
        <f t="shared" ca="1" si="39"/>
        <v>-145447.93910000002</v>
      </c>
      <c r="AG149" s="186">
        <f>IF(C149=1,IF($K$12="Oui",-(Z149+AI149+AJ149),0),IF(AND($K$12="Oui",$K$16="Oui",A149='Param treso'!$H$32,B149='Param treso'!$H$41),-(Z149+AI149+AJ149+AH149),IF(AND($K$12="Oui",B149='Param treso'!$H$41),-(Z149+AI149+AJ149+AH149),IF(AND(A149='Param treso'!$H$32,$K$16="Oui"),-$F$19,IF($K$12="Oui",-(Z149+AI149+AJ149+AH149),0)))))</f>
        <v>0</v>
      </c>
      <c r="AH149" s="186">
        <f>IF(C149=1,0,IF(AND($K$16="Oui",B149='Param treso'!$H$41),-$K$19,0))</f>
        <v>0</v>
      </c>
      <c r="AI149" s="186">
        <f t="shared" si="40"/>
        <v>0</v>
      </c>
      <c r="AJ149" s="704">
        <f ca="1">IF(AI149=AF149+AD149,0,IF(AD149+AF149&lt;0,IF((Z149+AI149)&gt;=-(AC149+AE149),(AD149+AF149-AI149)/(1-'Param treso'!$H$18),-(Z149+AI149)),0))</f>
        <v>0</v>
      </c>
      <c r="AK149" s="1106">
        <f t="shared" ca="1" si="37"/>
        <v>0</v>
      </c>
      <c r="AL149" s="1106"/>
      <c r="AM149" s="1106"/>
      <c r="AN149" s="660">
        <f t="shared" ca="1" si="38"/>
        <v>0</v>
      </c>
      <c r="AO149" s="696">
        <f ca="1">-AJ149*(1-'Param treso'!$H$18)</f>
        <v>0</v>
      </c>
      <c r="AP149" s="709">
        <f t="shared" ca="1" si="24"/>
        <v>-145447.93910000002</v>
      </c>
    </row>
    <row r="150" spans="1:42">
      <c r="A150" s="708">
        <f>IF(C150&lt;='Param treso'!$H$32,C150,IF(A149&lt;'Param treso'!$H$32,A149+1,1))</f>
        <v>10</v>
      </c>
      <c r="B150" s="708">
        <f>IF(C150&lt;='Param treso'!$H$41,C150,IF(B149&lt;'Param treso'!$H$41,B149+1,1))</f>
        <v>5</v>
      </c>
      <c r="C150" s="639">
        <f t="shared" si="25"/>
        <v>130</v>
      </c>
      <c r="D150" s="639">
        <f t="shared" ca="1" si="26"/>
        <v>190</v>
      </c>
      <c r="E150" s="649">
        <f t="shared" ca="1" si="27"/>
        <v>2156</v>
      </c>
      <c r="F150" s="186">
        <f>IF(C150=1,$F$19,IF(AND(A150=1,$K$16="Oui"),-AG149,IF(AND(A150&lt;='Param treso'!$H$32,$K$12="Oui"),IF(A150=1,-AG149,-AG149+G149),IF(AND(A150&lt;='Param treso'!$H$32,C150&lt;='Param treso'!$H$32),G149,IF($K$16="Oui",G149,0)))))</f>
        <v>0</v>
      </c>
      <c r="G150" s="186">
        <f t="shared" si="28"/>
        <v>0</v>
      </c>
      <c r="H150" s="1106">
        <f>F150*'Param treso'!$H$30</f>
        <v>0</v>
      </c>
      <c r="I150" s="1106"/>
      <c r="J150" s="1107"/>
      <c r="K150" s="659">
        <f t="shared" si="29"/>
        <v>0</v>
      </c>
      <c r="L150" s="186">
        <f>IF(K150=0,0,IF(B150=1,K150*(1+'Param treso'!$H$39),PRODUCT(L149,(POWER('Param treso'!$H$39,1)))+L149))</f>
        <v>0</v>
      </c>
      <c r="M150" s="660">
        <f>IFERROR(IF(B150='Param treso'!$H$41,L150-K150,0),0)</f>
        <v>0</v>
      </c>
      <c r="N150" s="186">
        <f>M150+H150+IF(A150='Param treso'!$H$32,G150,0)+IF(B150='Param treso'!$H$41,K150,0)</f>
        <v>0</v>
      </c>
      <c r="O150" s="186">
        <f ca="1">IF($AM$16="Oui",-IFERROR(VLOOKUP(E150,'Crédit (IS)'!$O$8:$P$145,2,FALSE),0),0)-(AN149*$T$14)</f>
        <v>0</v>
      </c>
      <c r="P150" s="186">
        <f ca="1">H150+M150+O150+IF(A150='Param treso'!$H$32,G150-F150,0)</f>
        <v>0</v>
      </c>
      <c r="Q150" s="1106">
        <f t="shared" ca="1" si="30"/>
        <v>0</v>
      </c>
      <c r="R150" s="1106"/>
      <c r="S150" s="1106"/>
      <c r="T150" s="186">
        <f t="shared" ca="1" si="31"/>
        <v>0</v>
      </c>
      <c r="U150" s="662">
        <f t="shared" ca="1" si="32"/>
        <v>0</v>
      </c>
      <c r="V150" s="705">
        <f ca="1">-IF('Param treso'!$H$20="Non",T150*Données!$L$24,IF(T150&lt;=Données!$L$26,T150*Données!$L$25,(Données!$L$26*Données!$L$25)+((T150-Données!$L$26)*Données!$L$24)))</f>
        <v>0</v>
      </c>
      <c r="W150" s="662">
        <f t="shared" ca="1" si="33"/>
        <v>0</v>
      </c>
      <c r="X150" s="186">
        <f ca="1">IF($AM$16="Oui",-IFERROR(VLOOKUP(E150,'Crédit (IS)'!$O$8:$Q$145,3,FALSE),0),0)</f>
        <v>0</v>
      </c>
      <c r="Y150" s="186">
        <f t="shared" ca="1" si="34"/>
        <v>0</v>
      </c>
      <c r="Z150" s="186">
        <f t="shared" ref="Z150" ca="1" si="42">Y150+AK149</f>
        <v>0</v>
      </c>
      <c r="AA150" s="186">
        <f t="shared" ca="1" si="35"/>
        <v>0</v>
      </c>
      <c r="AB150" s="186">
        <f t="shared" ca="1" si="36"/>
        <v>0</v>
      </c>
      <c r="AC150" s="186">
        <f>IF(C150&lt;='Crédit (IR)'!$G$16/12,-(('Crédit (IR)'!$K$17)/(1-'Param treso'!$H$18)),0)</f>
        <v>0</v>
      </c>
      <c r="AD150" s="186">
        <f>IF($AM$14="Non",0,IF(C150&lt;='Crédit (IR)'!$G$16/12,-('Crédit (IR)'!$K$17),0))</f>
        <v>0</v>
      </c>
      <c r="AE150" s="186">
        <f ca="1">-IF(AND(E150&gt;=$AO$10,E150&lt;$AO$12),$AM$10/(1-'Param treso'!$H$18),IF(E150&gt;=$AO$12,$AM$12/(1-'Param treso'!$H$18),0))</f>
        <v>-207782.77014285719</v>
      </c>
      <c r="AF150" s="186">
        <f t="shared" ca="1" si="39"/>
        <v>-145447.93910000002</v>
      </c>
      <c r="AG150" s="186">
        <f>IF(C150=1,IF($K$12="Oui",-(Z150+AI150+AJ150),0),IF(AND($K$12="Oui",$K$16="Oui",A150='Param treso'!$H$32,B150='Param treso'!$H$41),-(Z150+AI150+AJ150+AH150),IF(AND($K$12="Oui",B150='Param treso'!$H$41),-(Z150+AI150+AJ150+AH150),IF(AND(A150='Param treso'!$H$32,$K$16="Oui"),-$F$19,IF($K$12="Oui",-(Z150+AI150+AJ150+AH150),0)))))</f>
        <v>0</v>
      </c>
      <c r="AH150" s="186">
        <f>IF(C150=1,0,IF(AND($K$16="Oui",B150='Param treso'!$H$41),-$K$19,0))</f>
        <v>0</v>
      </c>
      <c r="AI150" s="186">
        <f t="shared" si="40"/>
        <v>0</v>
      </c>
      <c r="AJ150" s="704">
        <f ca="1">IF(AI150=AF150+AD150,0,IF(AD150+AF150&lt;0,IF((Z150+AI150)&gt;=-(AC150+AE150),(AD150+AF150-AI150)/(1-'Param treso'!$H$18),-(Z150+AI150)),0))</f>
        <v>0</v>
      </c>
      <c r="AK150" s="1106">
        <f t="shared" ca="1" si="37"/>
        <v>0</v>
      </c>
      <c r="AL150" s="1106"/>
      <c r="AM150" s="1106"/>
      <c r="AN150" s="660">
        <f t="shared" ca="1" si="38"/>
        <v>0</v>
      </c>
      <c r="AO150" s="696">
        <f ca="1">-AJ150*(1-'Param treso'!$H$18)</f>
        <v>0</v>
      </c>
      <c r="AP150" s="709">
        <f t="shared" ref="AP150" ca="1" si="43">IF((AF150+AD150)=(AI150-AO150),"Ok",(AF150+AD150)-(AI150-AO150))</f>
        <v>-145447.93910000002</v>
      </c>
    </row>
    <row r="151" spans="1:42">
      <c r="C151" s="670"/>
      <c r="D151" s="670"/>
      <c r="E151" s="671"/>
      <c r="F151" s="670"/>
      <c r="G151" s="672"/>
      <c r="H151" s="1108">
        <f>SUM(H21:J150)</f>
        <v>4650000</v>
      </c>
      <c r="I151" s="1108"/>
      <c r="J151" s="1108"/>
      <c r="K151" s="670"/>
      <c r="L151" s="670"/>
      <c r="M151" s="673">
        <f>SUM(M21:M150)</f>
        <v>127419.25943999994</v>
      </c>
      <c r="N151" s="673"/>
      <c r="O151" s="673"/>
      <c r="P151" s="670"/>
      <c r="Q151" s="670"/>
      <c r="R151" s="670"/>
      <c r="S151" s="670"/>
      <c r="T151" s="670"/>
      <c r="U151" s="670"/>
      <c r="V151" s="670"/>
      <c r="W151" s="670"/>
      <c r="X151" s="670"/>
      <c r="Y151" s="670"/>
      <c r="Z151" s="670"/>
      <c r="AA151" s="670"/>
      <c r="AB151" s="670"/>
      <c r="AC151" s="670"/>
      <c r="AD151" s="670"/>
      <c r="AE151" s="670"/>
      <c r="AF151" s="670"/>
      <c r="AG151" s="670"/>
      <c r="AH151" s="670"/>
      <c r="AI151" s="673">
        <f>SUM(AI21:AI150)</f>
        <v>0</v>
      </c>
      <c r="AJ151" s="670"/>
      <c r="AK151" s="670"/>
      <c r="AL151" s="670"/>
      <c r="AM151" s="670"/>
      <c r="AN151" s="670"/>
      <c r="AO151" s="673"/>
      <c r="AP151" s="711"/>
    </row>
    <row r="152" spans="1:42">
      <c r="E152" s="647"/>
    </row>
    <row r="153" spans="1:42">
      <c r="E153" s="647"/>
    </row>
    <row r="154" spans="1:42">
      <c r="E154" s="647"/>
    </row>
    <row r="155" spans="1:42">
      <c r="E155" s="647"/>
    </row>
    <row r="156" spans="1:42">
      <c r="E156" s="647"/>
    </row>
    <row r="157" spans="1:42">
      <c r="E157" s="647"/>
    </row>
    <row r="158" spans="1:42">
      <c r="E158" s="647"/>
    </row>
    <row r="159" spans="1:42">
      <c r="E159" s="647"/>
    </row>
  </sheetData>
  <sheetProtection selectLockedCells="1"/>
  <mergeCells count="421">
    <mergeCell ref="Q148:S148"/>
    <mergeCell ref="Q149:S149"/>
    <mergeCell ref="AM10:AN10"/>
    <mergeCell ref="X10:AJ10"/>
    <mergeCell ref="X12:AJ12"/>
    <mergeCell ref="AM12:AN12"/>
    <mergeCell ref="Q134:S134"/>
    <mergeCell ref="Q135:S135"/>
    <mergeCell ref="Q136:S136"/>
    <mergeCell ref="Q137:S137"/>
    <mergeCell ref="Q112:S112"/>
    <mergeCell ref="Q113:S113"/>
    <mergeCell ref="Q114:S114"/>
    <mergeCell ref="Q115:S115"/>
    <mergeCell ref="Q116:S116"/>
    <mergeCell ref="Q117:S117"/>
    <mergeCell ref="Q90:S90"/>
    <mergeCell ref="Q91:S91"/>
    <mergeCell ref="Q92:S92"/>
    <mergeCell ref="Q93:S93"/>
    <mergeCell ref="Q94:S94"/>
    <mergeCell ref="Q95:S95"/>
    <mergeCell ref="Q84:S84"/>
    <mergeCell ref="Q87:S87"/>
    <mergeCell ref="Q150:S150"/>
    <mergeCell ref="Q142:S142"/>
    <mergeCell ref="Q143:S143"/>
    <mergeCell ref="Q144:S144"/>
    <mergeCell ref="Q145:S145"/>
    <mergeCell ref="Q146:S146"/>
    <mergeCell ref="Q147:S147"/>
    <mergeCell ref="Q121:S121"/>
    <mergeCell ref="Q122:S122"/>
    <mergeCell ref="Q123:S123"/>
    <mergeCell ref="Q124:S124"/>
    <mergeCell ref="Q125:S125"/>
    <mergeCell ref="Q140:S140"/>
    <mergeCell ref="Q141:S141"/>
    <mergeCell ref="Q132:S132"/>
    <mergeCell ref="Q133:S133"/>
    <mergeCell ref="Q131:S131"/>
    <mergeCell ref="Q138:S138"/>
    <mergeCell ref="Q139:S139"/>
    <mergeCell ref="Q126:S126"/>
    <mergeCell ref="Q127:S127"/>
    <mergeCell ref="Q128:S128"/>
    <mergeCell ref="Q129:S129"/>
    <mergeCell ref="Q130:S130"/>
    <mergeCell ref="Q88:S88"/>
    <mergeCell ref="Q89:S89"/>
    <mergeCell ref="Q79:S79"/>
    <mergeCell ref="Q80:S80"/>
    <mergeCell ref="Q81:S81"/>
    <mergeCell ref="Q70:S70"/>
    <mergeCell ref="Q71:S71"/>
    <mergeCell ref="Q72:S72"/>
    <mergeCell ref="Q73:S73"/>
    <mergeCell ref="Q74:S74"/>
    <mergeCell ref="Q75:S75"/>
    <mergeCell ref="Q85:S85"/>
    <mergeCell ref="Q86:S86"/>
    <mergeCell ref="Q55:S55"/>
    <mergeCell ref="Q56:S56"/>
    <mergeCell ref="Q57:S57"/>
    <mergeCell ref="Q58:S58"/>
    <mergeCell ref="Q59:S59"/>
    <mergeCell ref="Q60:S60"/>
    <mergeCell ref="Q76:S76"/>
    <mergeCell ref="Q77:S77"/>
    <mergeCell ref="Q78:S78"/>
    <mergeCell ref="Q67:S67"/>
    <mergeCell ref="Q49:S49"/>
    <mergeCell ref="Q50:S50"/>
    <mergeCell ref="Q51:S51"/>
    <mergeCell ref="Q41:S41"/>
    <mergeCell ref="Q42:S42"/>
    <mergeCell ref="Q43:S43"/>
    <mergeCell ref="Q44:S44"/>
    <mergeCell ref="Q45:S45"/>
    <mergeCell ref="Q46:S46"/>
    <mergeCell ref="N12:Q12"/>
    <mergeCell ref="N16:Q16"/>
    <mergeCell ref="Q20:S20"/>
    <mergeCell ref="K12:L12"/>
    <mergeCell ref="K14:L14"/>
    <mergeCell ref="K16:L16"/>
    <mergeCell ref="Q27:S27"/>
    <mergeCell ref="Q28:S28"/>
    <mergeCell ref="Q29:S29"/>
    <mergeCell ref="Q25:S25"/>
    <mergeCell ref="Q26:S26"/>
    <mergeCell ref="H23:J23"/>
    <mergeCell ref="H21:J21"/>
    <mergeCell ref="H22:J22"/>
    <mergeCell ref="F18:J18"/>
    <mergeCell ref="F19:J19"/>
    <mergeCell ref="P14:Q14"/>
    <mergeCell ref="X14:AJ14"/>
    <mergeCell ref="AM14:AN14"/>
    <mergeCell ref="X16:AJ16"/>
    <mergeCell ref="AM16:AN16"/>
    <mergeCell ref="B16:H16"/>
    <mergeCell ref="C14:H14"/>
    <mergeCell ref="AK20:AM20"/>
    <mergeCell ref="AK21:AM21"/>
    <mergeCell ref="AK22:AM22"/>
    <mergeCell ref="AK23:AM23"/>
    <mergeCell ref="Q21:S21"/>
    <mergeCell ref="Q22:S22"/>
    <mergeCell ref="Q23:S23"/>
    <mergeCell ref="W18:AM18"/>
    <mergeCell ref="C12:H12"/>
    <mergeCell ref="K19:M19"/>
    <mergeCell ref="K18:M18"/>
    <mergeCell ref="H20:J20"/>
    <mergeCell ref="Q118:S118"/>
    <mergeCell ref="Q119:S119"/>
    <mergeCell ref="Q104:S104"/>
    <mergeCell ref="Q105:S105"/>
    <mergeCell ref="Q96:S96"/>
    <mergeCell ref="Q97:S97"/>
    <mergeCell ref="Q106:S106"/>
    <mergeCell ref="Q107:S107"/>
    <mergeCell ref="Q108:S108"/>
    <mergeCell ref="Q109:S109"/>
    <mergeCell ref="Q110:S110"/>
    <mergeCell ref="Q111:S111"/>
    <mergeCell ref="Q98:S98"/>
    <mergeCell ref="Q99:S99"/>
    <mergeCell ref="Q100:S100"/>
    <mergeCell ref="Q101:S101"/>
    <mergeCell ref="Q102:S102"/>
    <mergeCell ref="Q103:S103"/>
    <mergeCell ref="H103:J103"/>
    <mergeCell ref="H104:J104"/>
    <mergeCell ref="Q120:S120"/>
    <mergeCell ref="Q82:S82"/>
    <mergeCell ref="Q83:S83"/>
    <mergeCell ref="Q68:S68"/>
    <mergeCell ref="Q69:S69"/>
    <mergeCell ref="Q61:S61"/>
    <mergeCell ref="Q47:S47"/>
    <mergeCell ref="Q48:S48"/>
    <mergeCell ref="Q33:S33"/>
    <mergeCell ref="Q34:S34"/>
    <mergeCell ref="Q35:S35"/>
    <mergeCell ref="Q36:S36"/>
    <mergeCell ref="Q37:S37"/>
    <mergeCell ref="Q38:S38"/>
    <mergeCell ref="Q39:S39"/>
    <mergeCell ref="Q40:S40"/>
    <mergeCell ref="Q52:S52"/>
    <mergeCell ref="Q53:S53"/>
    <mergeCell ref="Q54:S54"/>
    <mergeCell ref="Q62:S62"/>
    <mergeCell ref="Q63:S63"/>
    <mergeCell ref="Q64:S64"/>
    <mergeCell ref="Q65:S65"/>
    <mergeCell ref="Q66:S66"/>
    <mergeCell ref="H125:J125"/>
    <mergeCell ref="H126:J126"/>
    <mergeCell ref="H127:J127"/>
    <mergeCell ref="H128:J128"/>
    <mergeCell ref="H119:J119"/>
    <mergeCell ref="H120:J120"/>
    <mergeCell ref="H121:J121"/>
    <mergeCell ref="H122:J122"/>
    <mergeCell ref="H123:J123"/>
    <mergeCell ref="H124:J124"/>
    <mergeCell ref="H95:J95"/>
    <mergeCell ref="H96:J96"/>
    <mergeCell ref="H97:J97"/>
    <mergeCell ref="H98:J98"/>
    <mergeCell ref="H87:J87"/>
    <mergeCell ref="H88:J88"/>
    <mergeCell ref="H81:J81"/>
    <mergeCell ref="H82:J82"/>
    <mergeCell ref="H90:J90"/>
    <mergeCell ref="H91:J91"/>
    <mergeCell ref="H89:J89"/>
    <mergeCell ref="H147:J147"/>
    <mergeCell ref="H148:J148"/>
    <mergeCell ref="H149:J149"/>
    <mergeCell ref="H150:J150"/>
    <mergeCell ref="H141:J141"/>
    <mergeCell ref="H142:J142"/>
    <mergeCell ref="H135:J135"/>
    <mergeCell ref="H136:J136"/>
    <mergeCell ref="H129:J129"/>
    <mergeCell ref="H130:J130"/>
    <mergeCell ref="H144:J144"/>
    <mergeCell ref="H145:J145"/>
    <mergeCell ref="H146:J146"/>
    <mergeCell ref="H137:J137"/>
    <mergeCell ref="H138:J138"/>
    <mergeCell ref="H139:J139"/>
    <mergeCell ref="H140:J140"/>
    <mergeCell ref="H131:J131"/>
    <mergeCell ref="H132:J132"/>
    <mergeCell ref="H133:J133"/>
    <mergeCell ref="H134:J134"/>
    <mergeCell ref="H143:J143"/>
    <mergeCell ref="H67:J67"/>
    <mergeCell ref="H68:J68"/>
    <mergeCell ref="H117:J117"/>
    <mergeCell ref="H118:J118"/>
    <mergeCell ref="H111:J111"/>
    <mergeCell ref="H112:J112"/>
    <mergeCell ref="H105:J105"/>
    <mergeCell ref="H106:J106"/>
    <mergeCell ref="H99:J99"/>
    <mergeCell ref="H100:J100"/>
    <mergeCell ref="H93:J93"/>
    <mergeCell ref="H94:J94"/>
    <mergeCell ref="H113:J113"/>
    <mergeCell ref="H114:J114"/>
    <mergeCell ref="H115:J115"/>
    <mergeCell ref="H116:J116"/>
    <mergeCell ref="H107:J107"/>
    <mergeCell ref="H108:J108"/>
    <mergeCell ref="H109:J109"/>
    <mergeCell ref="H79:J79"/>
    <mergeCell ref="H80:J80"/>
    <mergeCell ref="H110:J110"/>
    <mergeCell ref="H101:J101"/>
    <mergeCell ref="H102:J102"/>
    <mergeCell ref="H59:J59"/>
    <mergeCell ref="H60:J60"/>
    <mergeCell ref="H61:J61"/>
    <mergeCell ref="H62:J62"/>
    <mergeCell ref="H63:J63"/>
    <mergeCell ref="H64:J64"/>
    <mergeCell ref="H151:J151"/>
    <mergeCell ref="H92:J92"/>
    <mergeCell ref="H83:J83"/>
    <mergeCell ref="H84:J84"/>
    <mergeCell ref="H85:J85"/>
    <mergeCell ref="H86:J86"/>
    <mergeCell ref="H77:J77"/>
    <mergeCell ref="H78:J78"/>
    <mergeCell ref="H75:J75"/>
    <mergeCell ref="H76:J76"/>
    <mergeCell ref="H69:J69"/>
    <mergeCell ref="H70:J70"/>
    <mergeCell ref="H71:J71"/>
    <mergeCell ref="H72:J72"/>
    <mergeCell ref="H73:J73"/>
    <mergeCell ref="H74:J74"/>
    <mergeCell ref="H65:J65"/>
    <mergeCell ref="H66:J66"/>
    <mergeCell ref="H58:J58"/>
    <mergeCell ref="H51:J51"/>
    <mergeCell ref="H52:J52"/>
    <mergeCell ref="H45:J45"/>
    <mergeCell ref="H46:J46"/>
    <mergeCell ref="H39:J39"/>
    <mergeCell ref="H40:J40"/>
    <mergeCell ref="H33:J33"/>
    <mergeCell ref="H34:J34"/>
    <mergeCell ref="H35:J35"/>
    <mergeCell ref="H36:J36"/>
    <mergeCell ref="H37:J37"/>
    <mergeCell ref="H38:J38"/>
    <mergeCell ref="H53:J53"/>
    <mergeCell ref="H54:J54"/>
    <mergeCell ref="H55:J55"/>
    <mergeCell ref="H56:J56"/>
    <mergeCell ref="H47:J47"/>
    <mergeCell ref="H48:J48"/>
    <mergeCell ref="H49:J49"/>
    <mergeCell ref="H50:J50"/>
    <mergeCell ref="H41:J41"/>
    <mergeCell ref="H42:J42"/>
    <mergeCell ref="H43:J43"/>
    <mergeCell ref="H57:J57"/>
    <mergeCell ref="H27:J27"/>
    <mergeCell ref="H28:J28"/>
    <mergeCell ref="H44:J44"/>
    <mergeCell ref="H30:J30"/>
    <mergeCell ref="H31:J31"/>
    <mergeCell ref="H32:J32"/>
    <mergeCell ref="H29:J29"/>
    <mergeCell ref="AK35:AM35"/>
    <mergeCell ref="AK36:AM36"/>
    <mergeCell ref="AK37:AM37"/>
    <mergeCell ref="AK38:AM38"/>
    <mergeCell ref="AK39:AM39"/>
    <mergeCell ref="AK40:AM40"/>
    <mergeCell ref="AK41:AM41"/>
    <mergeCell ref="AK42:AM42"/>
    <mergeCell ref="AK43:AM43"/>
    <mergeCell ref="AK44:AM44"/>
    <mergeCell ref="AK45:AM45"/>
    <mergeCell ref="AK46:AM46"/>
    <mergeCell ref="AK47:AM47"/>
    <mergeCell ref="AK48:AM48"/>
    <mergeCell ref="AK49:AM49"/>
    <mergeCell ref="Q30:S30"/>
    <mergeCell ref="H24:J24"/>
    <mergeCell ref="H25:J25"/>
    <mergeCell ref="AK28:AM28"/>
    <mergeCell ref="AK29:AM29"/>
    <mergeCell ref="AK30:AM30"/>
    <mergeCell ref="AK31:AM31"/>
    <mergeCell ref="AK32:AM32"/>
    <mergeCell ref="AK33:AM33"/>
    <mergeCell ref="AK34:AM34"/>
    <mergeCell ref="AK27:AM27"/>
    <mergeCell ref="H26:J26"/>
    <mergeCell ref="AK24:AM24"/>
    <mergeCell ref="AK25:AM25"/>
    <mergeCell ref="AK26:AM26"/>
    <mergeCell ref="Q24:S24"/>
    <mergeCell ref="Q31:S31"/>
    <mergeCell ref="Q32:S32"/>
    <mergeCell ref="AK50:AM50"/>
    <mergeCell ref="AK51:AM51"/>
    <mergeCell ref="AK52:AM52"/>
    <mergeCell ref="AK53:AM53"/>
    <mergeCell ref="AK54:AM54"/>
    <mergeCell ref="AK55:AM55"/>
    <mergeCell ref="AK56:AM56"/>
    <mergeCell ref="AK57:AM57"/>
    <mergeCell ref="AK58:AM58"/>
    <mergeCell ref="AK59:AM59"/>
    <mergeCell ref="AK60:AM60"/>
    <mergeCell ref="AK61:AM61"/>
    <mergeCell ref="AK62:AM62"/>
    <mergeCell ref="AK63:AM63"/>
    <mergeCell ref="AK64:AM64"/>
    <mergeCell ref="AK65:AM65"/>
    <mergeCell ref="AK66:AM66"/>
    <mergeCell ref="AK67:AM67"/>
    <mergeCell ref="AK68:AM68"/>
    <mergeCell ref="AK69:AM69"/>
    <mergeCell ref="AK70:AM70"/>
    <mergeCell ref="AK71:AM71"/>
    <mergeCell ref="AK72:AM72"/>
    <mergeCell ref="AK73:AM73"/>
    <mergeCell ref="AK74:AM74"/>
    <mergeCell ref="AK75:AM75"/>
    <mergeCell ref="AK76:AM76"/>
    <mergeCell ref="AK77:AM77"/>
    <mergeCell ref="AK78:AM78"/>
    <mergeCell ref="AK79:AM79"/>
    <mergeCell ref="AK80:AM80"/>
    <mergeCell ref="AK81:AM81"/>
    <mergeCell ref="AK82:AM82"/>
    <mergeCell ref="AK83:AM83"/>
    <mergeCell ref="AK84:AM84"/>
    <mergeCell ref="AK85:AM85"/>
    <mergeCell ref="AK86:AM86"/>
    <mergeCell ref="AK87:AM87"/>
    <mergeCell ref="AK88:AM88"/>
    <mergeCell ref="AK89:AM89"/>
    <mergeCell ref="AK90:AM90"/>
    <mergeCell ref="AK91:AM91"/>
    <mergeCell ref="AK92:AM92"/>
    <mergeCell ref="AK93:AM93"/>
    <mergeCell ref="AK94:AM94"/>
    <mergeCell ref="AK95:AM95"/>
    <mergeCell ref="AK96:AM96"/>
    <mergeCell ref="AK97:AM97"/>
    <mergeCell ref="AK98:AM98"/>
    <mergeCell ref="AK99:AM99"/>
    <mergeCell ref="AK100:AM100"/>
    <mergeCell ref="AK101:AM101"/>
    <mergeCell ref="AK102:AM102"/>
    <mergeCell ref="AK103:AM103"/>
    <mergeCell ref="AK105:AM105"/>
    <mergeCell ref="AK106:AM106"/>
    <mergeCell ref="AK107:AM107"/>
    <mergeCell ref="AK108:AM108"/>
    <mergeCell ref="AK124:AM124"/>
    <mergeCell ref="AK125:AM125"/>
    <mergeCell ref="AK126:AM126"/>
    <mergeCell ref="AK109:AM109"/>
    <mergeCell ref="AK110:AM110"/>
    <mergeCell ref="AK111:AM111"/>
    <mergeCell ref="AK112:AM112"/>
    <mergeCell ref="AK113:AM113"/>
    <mergeCell ref="AK114:AM114"/>
    <mergeCell ref="AK115:AM115"/>
    <mergeCell ref="AK116:AM116"/>
    <mergeCell ref="AK117:AM117"/>
    <mergeCell ref="AK148:AM148"/>
    <mergeCell ref="AK149:AM149"/>
    <mergeCell ref="AK150:AM150"/>
    <mergeCell ref="AK136:AM136"/>
    <mergeCell ref="AK137:AM137"/>
    <mergeCell ref="AK138:AM138"/>
    <mergeCell ref="AK139:AM139"/>
    <mergeCell ref="AK140:AM140"/>
    <mergeCell ref="AK141:AM141"/>
    <mergeCell ref="AK142:AM142"/>
    <mergeCell ref="AK143:AM143"/>
    <mergeCell ref="AK144:AM144"/>
    <mergeCell ref="T12:V12"/>
    <mergeCell ref="T14:V14"/>
    <mergeCell ref="T16:V16"/>
    <mergeCell ref="N19:V19"/>
    <mergeCell ref="N18:V18"/>
    <mergeCell ref="AK145:AM145"/>
    <mergeCell ref="AK146:AM146"/>
    <mergeCell ref="AK147:AM147"/>
    <mergeCell ref="AK127:AM127"/>
    <mergeCell ref="AK128:AM128"/>
    <mergeCell ref="AK129:AM129"/>
    <mergeCell ref="AK130:AM130"/>
    <mergeCell ref="AK131:AM131"/>
    <mergeCell ref="AK132:AM132"/>
    <mergeCell ref="AK133:AM133"/>
    <mergeCell ref="AK134:AM134"/>
    <mergeCell ref="AK135:AM135"/>
    <mergeCell ref="AK118:AM118"/>
    <mergeCell ref="AK119:AM119"/>
    <mergeCell ref="AK120:AM120"/>
    <mergeCell ref="AK121:AM121"/>
    <mergeCell ref="AK122:AM122"/>
    <mergeCell ref="AK123:AM123"/>
    <mergeCell ref="AK104:AM104"/>
  </mergeCells>
  <conditionalFormatting sqref="F22:F150">
    <cfRule type="expression" dxfId="20" priority="2">
      <formula>A22=1</formula>
    </cfRule>
  </conditionalFormatting>
  <conditionalFormatting sqref="K12">
    <cfRule type="cellIs" dxfId="19" priority="19" operator="equal">
      <formula>""</formula>
    </cfRule>
  </conditionalFormatting>
  <conditionalFormatting sqref="K14">
    <cfRule type="cellIs" dxfId="18" priority="16" operator="equal">
      <formula>""</formula>
    </cfRule>
  </conditionalFormatting>
  <conditionalFormatting sqref="K16">
    <cfRule type="cellIs" dxfId="17" priority="15" operator="equal">
      <formula>""</formula>
    </cfRule>
  </conditionalFormatting>
  <conditionalFormatting sqref="K22:K150">
    <cfRule type="expression" dxfId="16" priority="20">
      <formula>B22=1</formula>
    </cfRule>
  </conditionalFormatting>
  <conditionalFormatting sqref="T12">
    <cfRule type="cellIs" dxfId="15" priority="13" operator="equal">
      <formula>""</formula>
    </cfRule>
  </conditionalFormatting>
  <conditionalFormatting sqref="T14">
    <cfRule type="cellIs" dxfId="14" priority="12" operator="equal">
      <formula>""</formula>
    </cfRule>
  </conditionalFormatting>
  <conditionalFormatting sqref="T16">
    <cfRule type="cellIs" dxfId="13" priority="10" operator="equal">
      <formula>""</formula>
    </cfRule>
  </conditionalFormatting>
  <conditionalFormatting sqref="AM10">
    <cfRule type="cellIs" dxfId="12" priority="9" operator="equal">
      <formula>""</formula>
    </cfRule>
  </conditionalFormatting>
  <conditionalFormatting sqref="AM12">
    <cfRule type="cellIs" dxfId="11" priority="8" operator="equal">
      <formula>""</formula>
    </cfRule>
  </conditionalFormatting>
  <conditionalFormatting sqref="AM14">
    <cfRule type="cellIs" dxfId="10" priority="7" operator="equal">
      <formula>""</formula>
    </cfRule>
  </conditionalFormatting>
  <conditionalFormatting sqref="AM16">
    <cfRule type="cellIs" dxfId="9" priority="5" operator="equal">
      <formula>""</formula>
    </cfRule>
  </conditionalFormatting>
  <conditionalFormatting sqref="AP21:AP150">
    <cfRule type="expression" dxfId="8" priority="1">
      <formula>AP21&lt;&gt;"Ok"</formula>
    </cfRule>
  </conditionalFormatting>
  <conditionalFormatting sqref="AQ4">
    <cfRule type="expression" dxfId="7" priority="21">
      <formula>$B$5-$AQ$4&gt;7</formula>
    </cfRule>
  </conditionalFormatting>
  <dataValidations count="2">
    <dataValidation type="list" allowBlank="1" showInputMessage="1" showErrorMessage="1" sqref="K12:L12 K16:L16" xr:uid="{B6520152-16B5-4E62-8343-00ACE40D024B}">
      <formula1>"Oui,Non"</formula1>
    </dataValidation>
    <dataValidation type="list" allowBlank="1" showInputMessage="1" showErrorMessage="1" sqref="T16" xr:uid="{1A1B2919-8804-4587-AB03-E0D978924050}">
      <formula1>$E$21:$E$150</formula1>
    </dataValidation>
  </dataValidations>
  <pageMargins left="0.7" right="0.7" top="0.75" bottom="0.75" header="0.3" footer="0.3"/>
  <pageSetup paperSize="9" orientation="portrait" verticalDpi="0" r:id="rId1"/>
  <drawing r:id="rId2"/>
  <legacy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0B7AD-D191-45BF-9302-FC0C35C8E952}">
  <sheetPr codeName="Feuil36">
    <tabColor theme="9" tint="-0.499984740745262"/>
  </sheetPr>
  <dimension ref="B4:R393"/>
  <sheetViews>
    <sheetView showGridLines="0" zoomScale="123" zoomScaleNormal="123" workbookViewId="0">
      <selection activeCell="G15" sqref="G15"/>
    </sheetView>
  </sheetViews>
  <sheetFormatPr baseColWidth="10" defaultRowHeight="14.4"/>
  <cols>
    <col min="2" max="2" width="12.33203125" customWidth="1"/>
    <col min="3" max="3" width="4" customWidth="1"/>
    <col min="4" max="4" width="16.5546875" bestFit="1" customWidth="1"/>
    <col min="5" max="5" width="26.88671875" customWidth="1"/>
    <col min="6" max="6" width="24" customWidth="1"/>
    <col min="7" max="7" width="14.33203125" customWidth="1"/>
    <col min="8" max="10" width="15.6640625" customWidth="1"/>
    <col min="12" max="12" width="17.6640625" bestFit="1" customWidth="1"/>
    <col min="15" max="15" width="11.44140625" hidden="1" customWidth="1"/>
    <col min="16" max="16" width="17.33203125" hidden="1" customWidth="1"/>
    <col min="17" max="17" width="11.5546875" hidden="1" customWidth="1"/>
    <col min="18" max="18" width="16.33203125" customWidth="1"/>
  </cols>
  <sheetData>
    <row r="4" spans="2:18">
      <c r="P4" s="2"/>
      <c r="Q4" s="3"/>
      <c r="R4" s="4"/>
    </row>
    <row r="5" spans="2:18">
      <c r="B5" s="1">
        <f ca="1">TODAY()</f>
        <v>46023</v>
      </c>
    </row>
    <row r="7" spans="2:18">
      <c r="O7" s="680" t="s">
        <v>82</v>
      </c>
      <c r="P7" s="679" t="s">
        <v>1902</v>
      </c>
      <c r="Q7" s="679" t="s">
        <v>1905</v>
      </c>
    </row>
    <row r="8" spans="2:18">
      <c r="O8" s="680">
        <f ca="1">YEAR(G20)</f>
        <v>2027</v>
      </c>
      <c r="P8" s="692">
        <f t="shared" ref="P8:P14" ca="1" si="0">IFERROR(INDEX($K$24:$L$384,MATCH(O8,$L$24:$L$384,0),1),0)</f>
        <v>1916.6563502075214</v>
      </c>
      <c r="Q8" s="692">
        <f t="shared" ref="Q8:Q14" ca="1" si="1">IFERROR(INDEX($L$24:$M$384,MATCH(O8,$L$24:$L$384,0),2),0)</f>
        <v>9124.9581108997627</v>
      </c>
    </row>
    <row r="9" spans="2:18">
      <c r="O9" s="680">
        <f t="shared" ref="O9:O14" ca="1" si="2">IFERROR(IF(O8+1&lt;YEAR($G$20)+($G$17/12),O8+1,""),"")</f>
        <v>2028</v>
      </c>
      <c r="P9" s="692">
        <f t="shared" ca="1" si="0"/>
        <v>1732.4749501183205</v>
      </c>
      <c r="Q9" s="692">
        <f t="shared" ca="1" si="1"/>
        <v>9309.1395109889636</v>
      </c>
    </row>
    <row r="10" spans="2:18">
      <c r="O10" s="680">
        <f t="shared" ca="1" si="2"/>
        <v>2029</v>
      </c>
      <c r="P10" s="692">
        <f t="shared" ca="1" si="0"/>
        <v>1544.5759671398018</v>
      </c>
      <c r="Q10" s="692">
        <f t="shared" ca="1" si="1"/>
        <v>9497.0384939674841</v>
      </c>
    </row>
    <row r="11" spans="2:18" ht="15" thickBot="1">
      <c r="O11" s="680">
        <f t="shared" ca="1" si="2"/>
        <v>2030</v>
      </c>
      <c r="P11" s="692">
        <f t="shared" ca="1" si="0"/>
        <v>1352.8843642566526</v>
      </c>
      <c r="Q11" s="692">
        <f t="shared" ca="1" si="1"/>
        <v>9688.7300968506315</v>
      </c>
    </row>
    <row r="12" spans="2:18">
      <c r="D12" s="54"/>
      <c r="E12" s="55"/>
      <c r="F12" s="55"/>
      <c r="G12" s="55"/>
      <c r="H12" s="55"/>
      <c r="I12" s="55"/>
      <c r="J12" s="55"/>
      <c r="K12" s="55"/>
      <c r="L12" s="56"/>
      <c r="O12" s="680">
        <f t="shared" ca="1" si="2"/>
        <v>2031</v>
      </c>
      <c r="P12" s="692">
        <f t="shared" ca="1" si="0"/>
        <v>1157.3235898797529</v>
      </c>
      <c r="Q12" s="692">
        <f t="shared" ca="1" si="1"/>
        <v>9884.2908712275312</v>
      </c>
    </row>
    <row r="13" spans="2:18">
      <c r="D13" s="57"/>
      <c r="E13" s="1095" t="s">
        <v>1910</v>
      </c>
      <c r="F13" s="1095"/>
      <c r="G13" s="690">
        <f>PV('Crédit (IS)'!G16/12,'Crédit (IS)'!G17,-'Crédit (IS)'!L18/12)+G15</f>
        <v>100000</v>
      </c>
      <c r="H13" s="58"/>
      <c r="I13" s="748" t="s">
        <v>79</v>
      </c>
      <c r="J13" s="748"/>
      <c r="K13" s="59">
        <f>-PMT(G16/12,G17,G13)</f>
        <v>920.13453842560705</v>
      </c>
      <c r="L13" s="60"/>
      <c r="O13" s="680">
        <f t="shared" ca="1" si="2"/>
        <v>2032</v>
      </c>
      <c r="P13" s="692">
        <f t="shared" ca="1" si="0"/>
        <v>957.81554727547973</v>
      </c>
      <c r="Q13" s="692">
        <f t="shared" ca="1" si="1"/>
        <v>10083.798913831806</v>
      </c>
    </row>
    <row r="14" spans="2:18" ht="6.75" customHeight="1">
      <c r="D14" s="57"/>
      <c r="E14" s="223"/>
      <c r="F14" s="223"/>
      <c r="G14" s="685"/>
      <c r="H14" s="58"/>
      <c r="I14" s="685"/>
      <c r="J14" s="685"/>
      <c r="K14" s="685"/>
      <c r="L14" s="60"/>
      <c r="O14" s="680">
        <f t="shared" ca="1" si="2"/>
        <v>2033</v>
      </c>
      <c r="P14" s="692">
        <f t="shared" ca="1" si="0"/>
        <v>754.28056337796193</v>
      </c>
      <c r="Q14" s="692">
        <f t="shared" ca="1" si="1"/>
        <v>10287.333897729322</v>
      </c>
    </row>
    <row r="15" spans="2:18" ht="15" customHeight="1">
      <c r="D15" s="57"/>
      <c r="E15" s="686" t="s">
        <v>1929</v>
      </c>
      <c r="F15" s="686"/>
      <c r="G15" s="611">
        <v>100000</v>
      </c>
      <c r="H15" s="58"/>
      <c r="I15" s="685"/>
      <c r="J15" s="685"/>
      <c r="K15" s="685"/>
      <c r="L15" s="60"/>
      <c r="O15" s="680"/>
      <c r="P15" s="692"/>
      <c r="Q15" s="692"/>
    </row>
    <row r="16" spans="2:18">
      <c r="D16" s="57"/>
      <c r="E16" s="686" t="s">
        <v>78</v>
      </c>
      <c r="F16" s="687"/>
      <c r="G16" s="415">
        <v>0.02</v>
      </c>
      <c r="H16" s="58"/>
      <c r="I16" s="58"/>
      <c r="J16" s="58"/>
      <c r="K16" s="58"/>
      <c r="L16" s="60"/>
      <c r="O16" s="680">
        <f ca="1">IFERROR(IF(O14+1&lt;YEAR($G$20)+($G$17/12),O14+1,""),"")</f>
        <v>2034</v>
      </c>
      <c r="P16" s="692">
        <f t="shared" ref="P16:P47" ca="1" si="3">IFERROR(INDEX($K$24:$L$384,MATCH(O16,$L$24:$L$384,0),1),0)</f>
        <v>546.63735697182801</v>
      </c>
      <c r="Q16" s="692">
        <f t="shared" ref="Q16:Q47" ca="1" si="4">IFERROR(INDEX($L$24:$M$384,MATCH(O16,$L$24:$L$384,0),2),0)</f>
        <v>10494.977104135456</v>
      </c>
    </row>
    <row r="17" spans="4:17">
      <c r="D17" s="57"/>
      <c r="E17" s="688" t="s">
        <v>1900</v>
      </c>
      <c r="F17" s="689"/>
      <c r="G17" s="668">
        <v>120</v>
      </c>
      <c r="H17" s="58"/>
      <c r="I17" s="1097" t="s">
        <v>81</v>
      </c>
      <c r="J17" s="1097"/>
      <c r="K17" s="675"/>
      <c r="L17" s="714" t="s">
        <v>1931</v>
      </c>
      <c r="O17" s="680">
        <f t="shared" ref="O17:O48" ca="1" si="5">IFERROR(IF(O16+1&lt;YEAR($G$20)+($G$17/12),O16+1,""),"")</f>
        <v>2035</v>
      </c>
      <c r="P17" s="692">
        <f t="shared" ca="1" si="3"/>
        <v>334.80300623274525</v>
      </c>
      <c r="Q17" s="692">
        <f t="shared" ca="1" si="4"/>
        <v>10706.81145487454</v>
      </c>
    </row>
    <row r="18" spans="4:17">
      <c r="D18" s="57"/>
      <c r="E18" s="1096" t="s">
        <v>1930</v>
      </c>
      <c r="F18" s="1096"/>
      <c r="G18" s="674"/>
      <c r="H18" s="58"/>
      <c r="I18" s="751" t="s">
        <v>197</v>
      </c>
      <c r="J18" s="751"/>
      <c r="K18" s="685">
        <f>-PMT(G16,G17/12,G15)+L18</f>
        <v>11132.652786531644</v>
      </c>
      <c r="L18" s="715">
        <f>'Param treso'!J34*'Crédit (IS)'!G18</f>
        <v>0</v>
      </c>
      <c r="O18" s="680">
        <f t="shared" ca="1" si="5"/>
        <v>2036</v>
      </c>
      <c r="P18" s="692">
        <f t="shared" ca="1" si="3"/>
        <v>118.69291561278499</v>
      </c>
      <c r="Q18" s="692">
        <f t="shared" ca="1" si="4"/>
        <v>10922.921545494499</v>
      </c>
    </row>
    <row r="19" spans="4:17" ht="6.75" customHeight="1">
      <c r="D19" s="57"/>
      <c r="E19" s="667"/>
      <c r="F19" s="667"/>
      <c r="G19" s="667"/>
      <c r="H19" s="58"/>
      <c r="I19" s="667"/>
      <c r="J19" s="667"/>
      <c r="K19" s="667"/>
      <c r="L19" s="60"/>
      <c r="O19" s="680" t="str">
        <f t="shared" ca="1" si="5"/>
        <v/>
      </c>
      <c r="P19" s="692" t="str">
        <f t="shared" ca="1" si="3"/>
        <v/>
      </c>
      <c r="Q19" s="692" t="str">
        <f t="shared" ca="1" si="4"/>
        <v/>
      </c>
    </row>
    <row r="20" spans="4:17">
      <c r="D20" s="57"/>
      <c r="E20" s="642" t="s">
        <v>196</v>
      </c>
      <c r="F20" s="643"/>
      <c r="G20" s="691">
        <f ca="1">DATE(YEAR(TODAY())+1,1,1)</f>
        <v>46388</v>
      </c>
      <c r="H20" s="58"/>
      <c r="I20" s="753" t="s">
        <v>198</v>
      </c>
      <c r="J20" s="753"/>
      <c r="K20" s="229">
        <f>SUM(G24:G384)</f>
        <v>10416.144611072841</v>
      </c>
      <c r="L20" s="713"/>
      <c r="O20" s="680" t="str">
        <f t="shared" ca="1" si="5"/>
        <v/>
      </c>
      <c r="P20" s="692" t="str">
        <f t="shared" ca="1" si="3"/>
        <v/>
      </c>
      <c r="Q20" s="692" t="str">
        <f t="shared" ca="1" si="4"/>
        <v/>
      </c>
    </row>
    <row r="21" spans="4:17" ht="15" thickBot="1">
      <c r="D21" s="61"/>
      <c r="E21" s="222"/>
      <c r="F21" s="62"/>
      <c r="G21" s="62"/>
      <c r="H21" s="62"/>
      <c r="I21" s="1098" t="s">
        <v>193</v>
      </c>
      <c r="J21" s="1098"/>
      <c r="K21" s="676">
        <f ca="1">SUM(K24:K384)</f>
        <v>10416.14461107285</v>
      </c>
      <c r="L21" s="63"/>
      <c r="O21" s="680" t="str">
        <f t="shared" ca="1" si="5"/>
        <v/>
      </c>
      <c r="P21" s="692" t="str">
        <f t="shared" ca="1" si="3"/>
        <v/>
      </c>
      <c r="Q21" s="692" t="str">
        <f t="shared" ca="1" si="4"/>
        <v/>
      </c>
    </row>
    <row r="22" spans="4:17">
      <c r="O22" s="680" t="str">
        <f t="shared" ca="1" si="5"/>
        <v/>
      </c>
      <c r="P22" s="692" t="str">
        <f t="shared" ca="1" si="3"/>
        <v/>
      </c>
      <c r="Q22" s="692" t="str">
        <f t="shared" ca="1" si="4"/>
        <v/>
      </c>
    </row>
    <row r="23" spans="4:17">
      <c r="D23" s="64"/>
      <c r="E23" s="231" t="s">
        <v>82</v>
      </c>
      <c r="F23" s="231" t="s">
        <v>194</v>
      </c>
      <c r="G23" s="231" t="s">
        <v>83</v>
      </c>
      <c r="H23" s="231" t="s">
        <v>84</v>
      </c>
      <c r="I23" s="752" t="s">
        <v>85</v>
      </c>
      <c r="J23" s="752"/>
      <c r="K23" s="677" t="s">
        <v>1901</v>
      </c>
      <c r="L23" s="677" t="s">
        <v>1903</v>
      </c>
      <c r="M23" s="293" t="s">
        <v>1904</v>
      </c>
      <c r="O23" s="680" t="str">
        <f t="shared" ca="1" si="5"/>
        <v/>
      </c>
      <c r="P23" s="692" t="str">
        <f t="shared" ca="1" si="3"/>
        <v/>
      </c>
      <c r="Q23" s="692" t="str">
        <f t="shared" ca="1" si="4"/>
        <v/>
      </c>
    </row>
    <row r="24" spans="4:17">
      <c r="D24" s="64">
        <f ca="1">IF(E24="","",MONTH(E24))</f>
        <v>1</v>
      </c>
      <c r="E24" s="226">
        <f ca="1">IF(F24&lt;&gt;0,G20,0)</f>
        <v>46388</v>
      </c>
      <c r="F24" s="35">
        <f>IF(G17&gt;=1,1,"")</f>
        <v>1</v>
      </c>
      <c r="G24" s="36">
        <f t="shared" ref="G24:G87" si="6">IFERROR(IF(F24&lt;&gt;"",-IPMT($G$16/12,F24,$G$17,$G$13),""),0)</f>
        <v>166.66666666666669</v>
      </c>
      <c r="H24" s="36">
        <f t="shared" ref="H24:H87" si="7">IFERROR(IF(F24&lt;&gt;"",-PPMT($G$16/12,F24,$G$17,$G$13),""),0)</f>
        <v>753.46787175894042</v>
      </c>
      <c r="I24" s="747">
        <f>IF(F24&lt;&gt;"",G13-H24,"")</f>
        <v>99246.532128241059</v>
      </c>
      <c r="J24" s="747"/>
      <c r="K24" s="678" t="str">
        <f ca="1">IF(D24=12,G24+G23+G22+G21+G20+G19+G18+G17+G16+G14+G13+G12,"")</f>
        <v/>
      </c>
      <c r="L24" s="697" t="str">
        <f ca="1">IF(D24=12,YEAR(E24),"")</f>
        <v/>
      </c>
      <c r="M24" s="678" t="str">
        <f ca="1">IF(D24=12,H24+H23+H22+H21+H20+H19+H18+H17+H16+H14+H13+H12,"")</f>
        <v/>
      </c>
      <c r="O24" s="680" t="str">
        <f t="shared" ca="1" si="5"/>
        <v/>
      </c>
      <c r="P24" s="692" t="str">
        <f t="shared" ca="1" si="3"/>
        <v/>
      </c>
      <c r="Q24" s="692" t="str">
        <f t="shared" ca="1" si="4"/>
        <v/>
      </c>
    </row>
    <row r="25" spans="4:17">
      <c r="D25" s="64">
        <f t="shared" ref="D25:D88" ca="1" si="8">IF(E25="","",MONTH(E25))</f>
        <v>2</v>
      </c>
      <c r="E25" s="226">
        <f ca="1">IFERROR(IF($G$17&lt;=F24,"",DATE(YEAR(E24),MONTH(E24)+1,DAY(E24))),"")</f>
        <v>46419</v>
      </c>
      <c r="F25" s="35">
        <f>IF(OR(F24="",F24=$G$17),"",IF(F24&lt;$G$17,F24+1,0))</f>
        <v>2</v>
      </c>
      <c r="G25" s="36">
        <f t="shared" si="6"/>
        <v>165.41088688040176</v>
      </c>
      <c r="H25" s="36">
        <f t="shared" si="7"/>
        <v>754.72365154520537</v>
      </c>
      <c r="I25" s="747">
        <f>IF(F25&lt;&gt;"",I24-H25,"")</f>
        <v>98491.808476695849</v>
      </c>
      <c r="J25" s="747"/>
      <c r="K25" s="678" t="str">
        <f ca="1">IF(D25=12,G25+G24+G23+G22+G21+G20+G19+G18+G17+G16+G14+G13,"")</f>
        <v/>
      </c>
      <c r="L25" s="697" t="str">
        <f t="shared" ref="L25:L88" ca="1" si="9">IF(D25=12,YEAR(E25),"")</f>
        <v/>
      </c>
      <c r="M25" s="678" t="str">
        <f ca="1">IF(D25=12,H25+H24+H23+H22+H21+H20+H19+H18+H17+H16+H14+H13,"")</f>
        <v/>
      </c>
      <c r="O25" s="680" t="str">
        <f t="shared" ca="1" si="5"/>
        <v/>
      </c>
      <c r="P25" s="692" t="str">
        <f t="shared" ca="1" si="3"/>
        <v/>
      </c>
      <c r="Q25" s="692" t="str">
        <f t="shared" ca="1" si="4"/>
        <v/>
      </c>
    </row>
    <row r="26" spans="4:17">
      <c r="D26" s="64">
        <f t="shared" ca="1" si="8"/>
        <v>3</v>
      </c>
      <c r="E26" s="226">
        <f t="shared" ref="E26:E89" ca="1" si="10">IFERROR(IF($G$17&lt;=F25,"",DATE(YEAR(E25),MONTH(E25)+1,DAY(E25))),"")</f>
        <v>46447</v>
      </c>
      <c r="F26" s="35">
        <f t="shared" ref="F26:F89" si="11">IF(OR(F25="",F25=$G$17),"",IF(F25&lt;$G$17,F25+1,0))</f>
        <v>3</v>
      </c>
      <c r="G26" s="36">
        <f t="shared" si="6"/>
        <v>164.15301412782645</v>
      </c>
      <c r="H26" s="36">
        <f t="shared" si="7"/>
        <v>755.98152429778065</v>
      </c>
      <c r="I26" s="747">
        <f t="shared" ref="I26:I89" si="12">IF(F26&lt;&gt;"",I25-H26,"")</f>
        <v>97735.826952398071</v>
      </c>
      <c r="J26" s="747"/>
      <c r="K26" s="678" t="str">
        <f ca="1">IF(D26=12,G26+G25+G24+G23+G22+G21+G20+G19+G18+G17+G16+G14,"")</f>
        <v/>
      </c>
      <c r="L26" s="697" t="str">
        <f t="shared" ca="1" si="9"/>
        <v/>
      </c>
      <c r="M26" s="678" t="str">
        <f ca="1">IF(D26=12,H26+H25+H24+H23+H22+H21+H20+H19+H18+H17+H16+H14,"")</f>
        <v/>
      </c>
      <c r="O26" s="680" t="str">
        <f t="shared" ca="1" si="5"/>
        <v/>
      </c>
      <c r="P26" s="692" t="str">
        <f t="shared" ca="1" si="3"/>
        <v/>
      </c>
      <c r="Q26" s="692" t="str">
        <f t="shared" ca="1" si="4"/>
        <v/>
      </c>
    </row>
    <row r="27" spans="4:17">
      <c r="D27" s="64">
        <f t="shared" ca="1" si="8"/>
        <v>4</v>
      </c>
      <c r="E27" s="226">
        <f t="shared" ca="1" si="10"/>
        <v>46478</v>
      </c>
      <c r="F27" s="35">
        <f t="shared" si="11"/>
        <v>4</v>
      </c>
      <c r="G27" s="36">
        <f t="shared" si="6"/>
        <v>162.8930449206635</v>
      </c>
      <c r="H27" s="36">
        <f t="shared" si="7"/>
        <v>757.24149350494361</v>
      </c>
      <c r="I27" s="747">
        <f t="shared" si="12"/>
        <v>96978.585458893125</v>
      </c>
      <c r="J27" s="747"/>
      <c r="K27" s="678" t="str">
        <f t="shared" ref="K27:K88" ca="1" si="13">IF(D27=12,G27+G26+G25+G24+G23+G22+G21+G20+G19+G18+G17+G16,"")</f>
        <v/>
      </c>
      <c r="L27" s="697" t="str">
        <f t="shared" ca="1" si="9"/>
        <v/>
      </c>
      <c r="M27" s="678" t="str">
        <f t="shared" ref="M27:M88" ca="1" si="14">IF(D27=12,H27+H26+H25+H24+H23+H22+H21+H20+H19+H18+H17+H16,"")</f>
        <v/>
      </c>
      <c r="O27" s="680" t="str">
        <f t="shared" ca="1" si="5"/>
        <v/>
      </c>
      <c r="P27" s="692" t="str">
        <f t="shared" ca="1" si="3"/>
        <v/>
      </c>
      <c r="Q27" s="692" t="str">
        <f t="shared" ca="1" si="4"/>
        <v/>
      </c>
    </row>
    <row r="28" spans="4:17">
      <c r="D28" s="64">
        <f t="shared" ca="1" si="8"/>
        <v>5</v>
      </c>
      <c r="E28" s="226">
        <f t="shared" ca="1" si="10"/>
        <v>46508</v>
      </c>
      <c r="F28" s="35">
        <f t="shared" si="11"/>
        <v>5</v>
      </c>
      <c r="G28" s="36">
        <f t="shared" si="6"/>
        <v>161.6309757648219</v>
      </c>
      <c r="H28" s="36">
        <f t="shared" si="7"/>
        <v>758.50356266078518</v>
      </c>
      <c r="I28" s="747">
        <f t="shared" si="12"/>
        <v>96220.081896232339</v>
      </c>
      <c r="J28" s="747"/>
      <c r="K28" s="678" t="str">
        <f t="shared" ca="1" si="13"/>
        <v/>
      </c>
      <c r="L28" s="697" t="str">
        <f t="shared" ca="1" si="9"/>
        <v/>
      </c>
      <c r="M28" s="678" t="str">
        <f t="shared" ca="1" si="14"/>
        <v/>
      </c>
      <c r="O28" s="680" t="str">
        <f t="shared" ca="1" si="5"/>
        <v/>
      </c>
      <c r="P28" s="692" t="str">
        <f t="shared" ca="1" si="3"/>
        <v/>
      </c>
      <c r="Q28" s="692" t="str">
        <f t="shared" ca="1" si="4"/>
        <v/>
      </c>
    </row>
    <row r="29" spans="4:17">
      <c r="D29" s="64">
        <f t="shared" ca="1" si="8"/>
        <v>6</v>
      </c>
      <c r="E29" s="226">
        <f t="shared" ca="1" si="10"/>
        <v>46539</v>
      </c>
      <c r="F29" s="35">
        <f t="shared" si="11"/>
        <v>6</v>
      </c>
      <c r="G29" s="36">
        <f t="shared" si="6"/>
        <v>160.36680316038721</v>
      </c>
      <c r="H29" s="36">
        <f t="shared" si="7"/>
        <v>759.76773526521981</v>
      </c>
      <c r="I29" s="747">
        <f t="shared" si="12"/>
        <v>95460.314160967115</v>
      </c>
      <c r="J29" s="747"/>
      <c r="K29" s="678" t="str">
        <f t="shared" ca="1" si="13"/>
        <v/>
      </c>
      <c r="L29" s="697" t="str">
        <f t="shared" ca="1" si="9"/>
        <v/>
      </c>
      <c r="M29" s="678" t="str">
        <f t="shared" ca="1" si="14"/>
        <v/>
      </c>
      <c r="O29" s="680" t="str">
        <f t="shared" ca="1" si="5"/>
        <v/>
      </c>
      <c r="P29" s="692" t="str">
        <f t="shared" ca="1" si="3"/>
        <v/>
      </c>
      <c r="Q29" s="692" t="str">
        <f t="shared" ca="1" si="4"/>
        <v/>
      </c>
    </row>
    <row r="30" spans="4:17">
      <c r="D30" s="64">
        <f t="shared" ca="1" si="8"/>
        <v>7</v>
      </c>
      <c r="E30" s="226">
        <f t="shared" ca="1" si="10"/>
        <v>46569</v>
      </c>
      <c r="F30" s="35">
        <f t="shared" si="11"/>
        <v>7</v>
      </c>
      <c r="G30" s="36">
        <f t="shared" si="6"/>
        <v>159.10052360161185</v>
      </c>
      <c r="H30" s="36">
        <f t="shared" si="7"/>
        <v>761.03401482399522</v>
      </c>
      <c r="I30" s="747">
        <f t="shared" si="12"/>
        <v>94699.280146143123</v>
      </c>
      <c r="J30" s="747"/>
      <c r="K30" s="678" t="str">
        <f t="shared" ca="1" si="13"/>
        <v/>
      </c>
      <c r="L30" s="697" t="str">
        <f t="shared" ca="1" si="9"/>
        <v/>
      </c>
      <c r="M30" s="678" t="str">
        <f t="shared" ca="1" si="14"/>
        <v/>
      </c>
      <c r="O30" s="680" t="str">
        <f t="shared" ca="1" si="5"/>
        <v/>
      </c>
      <c r="P30" s="692" t="str">
        <f t="shared" ca="1" si="3"/>
        <v/>
      </c>
      <c r="Q30" s="692" t="str">
        <f t="shared" ca="1" si="4"/>
        <v/>
      </c>
    </row>
    <row r="31" spans="4:17">
      <c r="D31" s="64">
        <f t="shared" ca="1" si="8"/>
        <v>8</v>
      </c>
      <c r="E31" s="226">
        <f t="shared" ca="1" si="10"/>
        <v>46600</v>
      </c>
      <c r="F31" s="35">
        <f t="shared" si="11"/>
        <v>8</v>
      </c>
      <c r="G31" s="36">
        <f t="shared" si="6"/>
        <v>157.83213357690525</v>
      </c>
      <c r="H31" s="36">
        <f t="shared" si="7"/>
        <v>762.30240484870194</v>
      </c>
      <c r="I31" s="747">
        <f t="shared" si="12"/>
        <v>93936.977741294424</v>
      </c>
      <c r="J31" s="747"/>
      <c r="K31" s="678" t="str">
        <f t="shared" ca="1" si="13"/>
        <v/>
      </c>
      <c r="L31" s="697" t="str">
        <f t="shared" ca="1" si="9"/>
        <v/>
      </c>
      <c r="M31" s="678" t="str">
        <f t="shared" ca="1" si="14"/>
        <v/>
      </c>
      <c r="O31" s="680" t="str">
        <f t="shared" ca="1" si="5"/>
        <v/>
      </c>
      <c r="P31" s="692" t="str">
        <f t="shared" ca="1" si="3"/>
        <v/>
      </c>
      <c r="Q31" s="692" t="str">
        <f t="shared" ca="1" si="4"/>
        <v/>
      </c>
    </row>
    <row r="32" spans="4:17">
      <c r="D32" s="64">
        <f t="shared" ca="1" si="8"/>
        <v>9</v>
      </c>
      <c r="E32" s="226">
        <f t="shared" ca="1" si="10"/>
        <v>46631</v>
      </c>
      <c r="F32" s="35">
        <f t="shared" si="11"/>
        <v>9</v>
      </c>
      <c r="G32" s="36">
        <f t="shared" si="6"/>
        <v>156.56162956882406</v>
      </c>
      <c r="H32" s="36">
        <f t="shared" si="7"/>
        <v>763.57290885678299</v>
      </c>
      <c r="I32" s="747">
        <f t="shared" si="12"/>
        <v>93173.404832437634</v>
      </c>
      <c r="J32" s="747"/>
      <c r="K32" s="678" t="str">
        <f t="shared" ca="1" si="13"/>
        <v/>
      </c>
      <c r="L32" s="697" t="str">
        <f t="shared" ca="1" si="9"/>
        <v/>
      </c>
      <c r="M32" s="678" t="str">
        <f t="shared" ca="1" si="14"/>
        <v/>
      </c>
      <c r="O32" s="680" t="str">
        <f t="shared" ca="1" si="5"/>
        <v/>
      </c>
      <c r="P32" s="692" t="str">
        <f t="shared" ca="1" si="3"/>
        <v/>
      </c>
      <c r="Q32" s="692" t="str">
        <f t="shared" ca="1" si="4"/>
        <v/>
      </c>
    </row>
    <row r="33" spans="4:17">
      <c r="D33" s="64">
        <f t="shared" ca="1" si="8"/>
        <v>10</v>
      </c>
      <c r="E33" s="226">
        <f t="shared" ca="1" si="10"/>
        <v>46661</v>
      </c>
      <c r="F33" s="35">
        <f t="shared" si="11"/>
        <v>10</v>
      </c>
      <c r="G33" s="36">
        <f t="shared" si="6"/>
        <v>155.28900805406275</v>
      </c>
      <c r="H33" s="36">
        <f t="shared" si="7"/>
        <v>764.84553037154421</v>
      </c>
      <c r="I33" s="747">
        <f t="shared" si="12"/>
        <v>92408.559302066089</v>
      </c>
      <c r="J33" s="747"/>
      <c r="K33" s="678" t="str">
        <f t="shared" ca="1" si="13"/>
        <v/>
      </c>
      <c r="L33" s="697" t="str">
        <f t="shared" ca="1" si="9"/>
        <v/>
      </c>
      <c r="M33" s="678" t="str">
        <f t="shared" ca="1" si="14"/>
        <v/>
      </c>
      <c r="O33" s="680" t="str">
        <f t="shared" ca="1" si="5"/>
        <v/>
      </c>
      <c r="P33" s="692" t="str">
        <f t="shared" ca="1" si="3"/>
        <v/>
      </c>
      <c r="Q33" s="692" t="str">
        <f t="shared" ca="1" si="4"/>
        <v/>
      </c>
    </row>
    <row r="34" spans="4:17">
      <c r="D34" s="64">
        <f t="shared" ca="1" si="8"/>
        <v>11</v>
      </c>
      <c r="E34" s="226">
        <f t="shared" ca="1" si="10"/>
        <v>46692</v>
      </c>
      <c r="F34" s="35">
        <f t="shared" si="11"/>
        <v>11</v>
      </c>
      <c r="G34" s="36">
        <f t="shared" si="6"/>
        <v>154.01426550344354</v>
      </c>
      <c r="H34" s="36">
        <f t="shared" si="7"/>
        <v>766.12027292216362</v>
      </c>
      <c r="I34" s="747">
        <f t="shared" si="12"/>
        <v>91642.439029143919</v>
      </c>
      <c r="J34" s="747"/>
      <c r="K34" s="678" t="str">
        <f t="shared" ca="1" si="13"/>
        <v/>
      </c>
      <c r="L34" s="697" t="str">
        <f t="shared" ca="1" si="9"/>
        <v/>
      </c>
      <c r="M34" s="678" t="str">
        <f t="shared" ca="1" si="14"/>
        <v/>
      </c>
      <c r="O34" s="680" t="str">
        <f t="shared" ca="1" si="5"/>
        <v/>
      </c>
      <c r="P34" s="692" t="str">
        <f t="shared" ca="1" si="3"/>
        <v/>
      </c>
      <c r="Q34" s="692" t="str">
        <f t="shared" ca="1" si="4"/>
        <v/>
      </c>
    </row>
    <row r="35" spans="4:17">
      <c r="D35" s="64">
        <f t="shared" ca="1" si="8"/>
        <v>12</v>
      </c>
      <c r="E35" s="226">
        <f t="shared" ca="1" si="10"/>
        <v>46722</v>
      </c>
      <c r="F35" s="35">
        <f t="shared" si="11"/>
        <v>12</v>
      </c>
      <c r="G35" s="36">
        <f t="shared" si="6"/>
        <v>152.73739838190656</v>
      </c>
      <c r="H35" s="36">
        <f t="shared" si="7"/>
        <v>767.39714004370046</v>
      </c>
      <c r="I35" s="747">
        <f t="shared" si="12"/>
        <v>90875.041889100219</v>
      </c>
      <c r="J35" s="747"/>
      <c r="K35" s="678">
        <f t="shared" ca="1" si="13"/>
        <v>1916.6563502075214</v>
      </c>
      <c r="L35" s="697">
        <f t="shared" ca="1" si="9"/>
        <v>2027</v>
      </c>
      <c r="M35" s="678">
        <f t="shared" ca="1" si="14"/>
        <v>9124.9581108997627</v>
      </c>
      <c r="O35" s="680" t="str">
        <f t="shared" ca="1" si="5"/>
        <v/>
      </c>
      <c r="P35" s="692" t="str">
        <f t="shared" ca="1" si="3"/>
        <v/>
      </c>
      <c r="Q35" s="692" t="str">
        <f t="shared" ca="1" si="4"/>
        <v/>
      </c>
    </row>
    <row r="36" spans="4:17">
      <c r="D36" s="64">
        <f t="shared" ca="1" si="8"/>
        <v>1</v>
      </c>
      <c r="E36" s="226">
        <f t="shared" ca="1" si="10"/>
        <v>46753</v>
      </c>
      <c r="F36" s="35">
        <f t="shared" si="11"/>
        <v>13</v>
      </c>
      <c r="G36" s="36">
        <f t="shared" si="6"/>
        <v>151.45840314850039</v>
      </c>
      <c r="H36" s="36">
        <f t="shared" si="7"/>
        <v>768.6761352771066</v>
      </c>
      <c r="I36" s="747">
        <f t="shared" si="12"/>
        <v>90106.365753823105</v>
      </c>
      <c r="J36" s="747"/>
      <c r="K36" s="678" t="str">
        <f t="shared" ca="1" si="13"/>
        <v/>
      </c>
      <c r="L36" s="697" t="str">
        <f t="shared" ca="1" si="9"/>
        <v/>
      </c>
      <c r="M36" s="678" t="str">
        <f t="shared" ca="1" si="14"/>
        <v/>
      </c>
      <c r="O36" s="680" t="str">
        <f t="shared" ca="1" si="5"/>
        <v/>
      </c>
      <c r="P36" s="692" t="str">
        <f t="shared" ca="1" si="3"/>
        <v/>
      </c>
      <c r="Q36" s="692" t="str">
        <f t="shared" ca="1" si="4"/>
        <v/>
      </c>
    </row>
    <row r="37" spans="4:17">
      <c r="D37" s="64">
        <f t="shared" ca="1" si="8"/>
        <v>2</v>
      </c>
      <c r="E37" s="226">
        <f t="shared" ca="1" si="10"/>
        <v>46784</v>
      </c>
      <c r="F37" s="35">
        <f t="shared" si="11"/>
        <v>14</v>
      </c>
      <c r="G37" s="36">
        <f t="shared" si="6"/>
        <v>150.1772762563719</v>
      </c>
      <c r="H37" s="36">
        <f t="shared" si="7"/>
        <v>769.95726216923515</v>
      </c>
      <c r="I37" s="747">
        <f t="shared" si="12"/>
        <v>89336.40849165387</v>
      </c>
      <c r="J37" s="747"/>
      <c r="K37" s="678" t="str">
        <f t="shared" ca="1" si="13"/>
        <v/>
      </c>
      <c r="L37" s="697" t="str">
        <f t="shared" ca="1" si="9"/>
        <v/>
      </c>
      <c r="M37" s="678" t="str">
        <f t="shared" ca="1" si="14"/>
        <v/>
      </c>
      <c r="O37" s="680" t="str">
        <f t="shared" ca="1" si="5"/>
        <v/>
      </c>
      <c r="P37" s="692" t="str">
        <f t="shared" ca="1" si="3"/>
        <v/>
      </c>
      <c r="Q37" s="692" t="str">
        <f t="shared" ca="1" si="4"/>
        <v/>
      </c>
    </row>
    <row r="38" spans="4:17">
      <c r="D38" s="64">
        <f t="shared" ca="1" si="8"/>
        <v>3</v>
      </c>
      <c r="E38" s="226">
        <f t="shared" ca="1" si="10"/>
        <v>46813</v>
      </c>
      <c r="F38" s="35">
        <f t="shared" si="11"/>
        <v>15</v>
      </c>
      <c r="G38" s="36">
        <f t="shared" si="6"/>
        <v>148.89401415275648</v>
      </c>
      <c r="H38" s="36">
        <f t="shared" si="7"/>
        <v>771.24052427285051</v>
      </c>
      <c r="I38" s="747">
        <f t="shared" si="12"/>
        <v>88565.167967381014</v>
      </c>
      <c r="J38" s="747"/>
      <c r="K38" s="678" t="str">
        <f t="shared" ca="1" si="13"/>
        <v/>
      </c>
      <c r="L38" s="697" t="str">
        <f t="shared" ca="1" si="9"/>
        <v/>
      </c>
      <c r="M38" s="678" t="str">
        <f t="shared" ca="1" si="14"/>
        <v/>
      </c>
      <c r="O38" s="680" t="str">
        <f t="shared" ca="1" si="5"/>
        <v/>
      </c>
      <c r="P38" s="692" t="str">
        <f t="shared" ca="1" si="3"/>
        <v/>
      </c>
      <c r="Q38" s="692" t="str">
        <f t="shared" ca="1" si="4"/>
        <v/>
      </c>
    </row>
    <row r="39" spans="4:17">
      <c r="D39" s="64">
        <f t="shared" ca="1" si="8"/>
        <v>4</v>
      </c>
      <c r="E39" s="226">
        <f t="shared" ca="1" si="10"/>
        <v>46844</v>
      </c>
      <c r="F39" s="35">
        <f t="shared" si="11"/>
        <v>16</v>
      </c>
      <c r="G39" s="36">
        <f t="shared" si="6"/>
        <v>147.60861327896845</v>
      </c>
      <c r="H39" s="36">
        <f t="shared" si="7"/>
        <v>772.52592514663877</v>
      </c>
      <c r="I39" s="747">
        <f t="shared" si="12"/>
        <v>87792.64204223438</v>
      </c>
      <c r="J39" s="747"/>
      <c r="K39" s="678" t="str">
        <f t="shared" ca="1" si="13"/>
        <v/>
      </c>
      <c r="L39" s="697" t="str">
        <f t="shared" ca="1" si="9"/>
        <v/>
      </c>
      <c r="M39" s="678" t="str">
        <f t="shared" ca="1" si="14"/>
        <v/>
      </c>
      <c r="O39" s="680" t="str">
        <f t="shared" ca="1" si="5"/>
        <v/>
      </c>
      <c r="P39" s="692" t="str">
        <f t="shared" ca="1" si="3"/>
        <v/>
      </c>
      <c r="Q39" s="692" t="str">
        <f t="shared" ca="1" si="4"/>
        <v/>
      </c>
    </row>
    <row r="40" spans="4:17">
      <c r="D40" s="64">
        <f t="shared" ca="1" si="8"/>
        <v>5</v>
      </c>
      <c r="E40" s="226">
        <f t="shared" ca="1" si="10"/>
        <v>46874</v>
      </c>
      <c r="F40" s="35">
        <f t="shared" si="11"/>
        <v>17</v>
      </c>
      <c r="G40" s="36">
        <f t="shared" si="6"/>
        <v>146.3210700703907</v>
      </c>
      <c r="H40" s="36">
        <f t="shared" si="7"/>
        <v>773.81346835521651</v>
      </c>
      <c r="I40" s="747">
        <f t="shared" si="12"/>
        <v>87018.82857387916</v>
      </c>
      <c r="J40" s="747"/>
      <c r="K40" s="678" t="str">
        <f t="shared" ca="1" si="13"/>
        <v/>
      </c>
      <c r="L40" s="697" t="str">
        <f t="shared" ca="1" si="9"/>
        <v/>
      </c>
      <c r="M40" s="678" t="str">
        <f t="shared" ca="1" si="14"/>
        <v/>
      </c>
      <c r="O40" s="680" t="str">
        <f t="shared" ca="1" si="5"/>
        <v/>
      </c>
      <c r="P40" s="692" t="str">
        <f t="shared" ca="1" si="3"/>
        <v/>
      </c>
      <c r="Q40" s="692" t="str">
        <f t="shared" ca="1" si="4"/>
        <v/>
      </c>
    </row>
    <row r="41" spans="4:17">
      <c r="D41" s="64">
        <f t="shared" ca="1" si="8"/>
        <v>6</v>
      </c>
      <c r="E41" s="226">
        <f t="shared" ca="1" si="10"/>
        <v>46905</v>
      </c>
      <c r="F41" s="35">
        <f t="shared" si="11"/>
        <v>18</v>
      </c>
      <c r="G41" s="36">
        <f t="shared" si="6"/>
        <v>145.03138095646534</v>
      </c>
      <c r="H41" s="36">
        <f t="shared" si="7"/>
        <v>775.10315746914171</v>
      </c>
      <c r="I41" s="747">
        <f t="shared" si="12"/>
        <v>86243.725416410016</v>
      </c>
      <c r="J41" s="747"/>
      <c r="K41" s="678" t="str">
        <f t="shared" ca="1" si="13"/>
        <v/>
      </c>
      <c r="L41" s="697" t="str">
        <f t="shared" ca="1" si="9"/>
        <v/>
      </c>
      <c r="M41" s="678" t="str">
        <f t="shared" ca="1" si="14"/>
        <v/>
      </c>
      <c r="O41" s="680" t="str">
        <f t="shared" ca="1" si="5"/>
        <v/>
      </c>
      <c r="P41" s="692" t="str">
        <f t="shared" ca="1" si="3"/>
        <v/>
      </c>
      <c r="Q41" s="692" t="str">
        <f t="shared" ca="1" si="4"/>
        <v/>
      </c>
    </row>
    <row r="42" spans="4:17">
      <c r="D42" s="64">
        <f t="shared" ca="1" si="8"/>
        <v>7</v>
      </c>
      <c r="E42" s="226">
        <f t="shared" ca="1" si="10"/>
        <v>46935</v>
      </c>
      <c r="F42" s="35">
        <f t="shared" si="11"/>
        <v>19</v>
      </c>
      <c r="G42" s="36">
        <f t="shared" si="6"/>
        <v>143.73954236068343</v>
      </c>
      <c r="H42" s="36">
        <f t="shared" si="7"/>
        <v>776.3949960649237</v>
      </c>
      <c r="I42" s="747">
        <f t="shared" si="12"/>
        <v>85467.330420345097</v>
      </c>
      <c r="J42" s="747"/>
      <c r="K42" s="678" t="str">
        <f t="shared" ca="1" si="13"/>
        <v/>
      </c>
      <c r="L42" s="697" t="str">
        <f t="shared" ca="1" si="9"/>
        <v/>
      </c>
      <c r="M42" s="678" t="str">
        <f t="shared" ca="1" si="14"/>
        <v/>
      </c>
      <c r="O42" s="680" t="str">
        <f t="shared" ca="1" si="5"/>
        <v/>
      </c>
      <c r="P42" s="692" t="str">
        <f t="shared" ca="1" si="3"/>
        <v/>
      </c>
      <c r="Q42" s="692" t="str">
        <f t="shared" ca="1" si="4"/>
        <v/>
      </c>
    </row>
    <row r="43" spans="4:17">
      <c r="D43" s="64">
        <f t="shared" ca="1" si="8"/>
        <v>8</v>
      </c>
      <c r="E43" s="226">
        <f t="shared" ca="1" si="10"/>
        <v>46966</v>
      </c>
      <c r="F43" s="35">
        <f t="shared" si="11"/>
        <v>20</v>
      </c>
      <c r="G43" s="36">
        <f t="shared" si="6"/>
        <v>142.44555070057521</v>
      </c>
      <c r="H43" s="36">
        <f t="shared" si="7"/>
        <v>777.68898772503189</v>
      </c>
      <c r="I43" s="747">
        <f t="shared" si="12"/>
        <v>84689.641432620061</v>
      </c>
      <c r="J43" s="747"/>
      <c r="K43" s="678" t="str">
        <f t="shared" ca="1" si="13"/>
        <v/>
      </c>
      <c r="L43" s="697" t="str">
        <f t="shared" ca="1" si="9"/>
        <v/>
      </c>
      <c r="M43" s="678" t="str">
        <f t="shared" ca="1" si="14"/>
        <v/>
      </c>
      <c r="O43" s="680" t="str">
        <f t="shared" ca="1" si="5"/>
        <v/>
      </c>
      <c r="P43" s="692" t="str">
        <f t="shared" ca="1" si="3"/>
        <v/>
      </c>
      <c r="Q43" s="692" t="str">
        <f t="shared" ca="1" si="4"/>
        <v/>
      </c>
    </row>
    <row r="44" spans="4:17">
      <c r="D44" s="64">
        <f t="shared" ca="1" si="8"/>
        <v>9</v>
      </c>
      <c r="E44" s="226">
        <f t="shared" ca="1" si="10"/>
        <v>46997</v>
      </c>
      <c r="F44" s="35">
        <f t="shared" si="11"/>
        <v>21</v>
      </c>
      <c r="G44" s="36">
        <f t="shared" si="6"/>
        <v>141.14940238770015</v>
      </c>
      <c r="H44" s="36">
        <f t="shared" si="7"/>
        <v>778.98513603790695</v>
      </c>
      <c r="I44" s="747">
        <f t="shared" si="12"/>
        <v>83910.65629658215</v>
      </c>
      <c r="J44" s="747"/>
      <c r="K44" s="678" t="str">
        <f t="shared" ca="1" si="13"/>
        <v/>
      </c>
      <c r="L44" s="697" t="str">
        <f t="shared" ca="1" si="9"/>
        <v/>
      </c>
      <c r="M44" s="678" t="str">
        <f t="shared" ca="1" si="14"/>
        <v/>
      </c>
      <c r="O44" s="680" t="str">
        <f t="shared" ca="1" si="5"/>
        <v/>
      </c>
      <c r="P44" s="692" t="str">
        <f t="shared" ca="1" si="3"/>
        <v/>
      </c>
      <c r="Q44" s="692" t="str">
        <f t="shared" ca="1" si="4"/>
        <v/>
      </c>
    </row>
    <row r="45" spans="4:17">
      <c r="D45" s="64">
        <f t="shared" ca="1" si="8"/>
        <v>10</v>
      </c>
      <c r="E45" s="226">
        <f t="shared" ca="1" si="10"/>
        <v>47027</v>
      </c>
      <c r="F45" s="35">
        <f t="shared" si="11"/>
        <v>22</v>
      </c>
      <c r="G45" s="36">
        <f t="shared" si="6"/>
        <v>139.85109382763699</v>
      </c>
      <c r="H45" s="36">
        <f t="shared" si="7"/>
        <v>780.28344459797006</v>
      </c>
      <c r="I45" s="747">
        <f t="shared" si="12"/>
        <v>83130.372851984182</v>
      </c>
      <c r="J45" s="747"/>
      <c r="K45" s="678" t="str">
        <f t="shared" ca="1" si="13"/>
        <v/>
      </c>
      <c r="L45" s="697" t="str">
        <f t="shared" ca="1" si="9"/>
        <v/>
      </c>
      <c r="M45" s="678" t="str">
        <f t="shared" ca="1" si="14"/>
        <v/>
      </c>
      <c r="O45" s="680" t="str">
        <f t="shared" ca="1" si="5"/>
        <v/>
      </c>
      <c r="P45" s="692" t="str">
        <f t="shared" ca="1" si="3"/>
        <v/>
      </c>
      <c r="Q45" s="692" t="str">
        <f t="shared" ca="1" si="4"/>
        <v/>
      </c>
    </row>
    <row r="46" spans="4:17">
      <c r="D46" s="64">
        <f t="shared" ca="1" si="8"/>
        <v>11</v>
      </c>
      <c r="E46" s="226">
        <f t="shared" ca="1" si="10"/>
        <v>47058</v>
      </c>
      <c r="F46" s="35">
        <f t="shared" si="11"/>
        <v>23</v>
      </c>
      <c r="G46" s="36">
        <f t="shared" si="6"/>
        <v>138.55062141997371</v>
      </c>
      <c r="H46" s="36">
        <f t="shared" si="7"/>
        <v>781.58391700563334</v>
      </c>
      <c r="I46" s="747">
        <f t="shared" si="12"/>
        <v>82348.788934978555</v>
      </c>
      <c r="J46" s="747"/>
      <c r="K46" s="678" t="str">
        <f t="shared" ca="1" si="13"/>
        <v/>
      </c>
      <c r="L46" s="697" t="str">
        <f t="shared" ca="1" si="9"/>
        <v/>
      </c>
      <c r="M46" s="678" t="str">
        <f t="shared" ca="1" si="14"/>
        <v/>
      </c>
      <c r="O46" s="680" t="str">
        <f t="shared" ca="1" si="5"/>
        <v/>
      </c>
      <c r="P46" s="692" t="str">
        <f t="shared" ca="1" si="3"/>
        <v/>
      </c>
      <c r="Q46" s="692" t="str">
        <f t="shared" ca="1" si="4"/>
        <v/>
      </c>
    </row>
    <row r="47" spans="4:17">
      <c r="D47" s="64">
        <f t="shared" ca="1" si="8"/>
        <v>12</v>
      </c>
      <c r="E47" s="226">
        <f t="shared" ca="1" si="10"/>
        <v>47088</v>
      </c>
      <c r="F47" s="35">
        <f t="shared" si="11"/>
        <v>24</v>
      </c>
      <c r="G47" s="36">
        <f t="shared" si="6"/>
        <v>137.24798155829765</v>
      </c>
      <c r="H47" s="36">
        <f t="shared" si="7"/>
        <v>782.88655686730942</v>
      </c>
      <c r="I47" s="747">
        <f t="shared" si="12"/>
        <v>81565.902378111248</v>
      </c>
      <c r="J47" s="747"/>
      <c r="K47" s="678">
        <f t="shared" ca="1" si="13"/>
        <v>1732.4749501183205</v>
      </c>
      <c r="L47" s="697">
        <f t="shared" ca="1" si="9"/>
        <v>2028</v>
      </c>
      <c r="M47" s="678">
        <f t="shared" ca="1" si="14"/>
        <v>9309.1395109889636</v>
      </c>
      <c r="O47" s="680" t="str">
        <f t="shared" ca="1" si="5"/>
        <v/>
      </c>
      <c r="P47" s="692" t="str">
        <f t="shared" ca="1" si="3"/>
        <v/>
      </c>
      <c r="Q47" s="692" t="str">
        <f t="shared" ca="1" si="4"/>
        <v/>
      </c>
    </row>
    <row r="48" spans="4:17">
      <c r="D48" s="64">
        <f t="shared" ca="1" si="8"/>
        <v>1</v>
      </c>
      <c r="E48" s="226">
        <f t="shared" ca="1" si="10"/>
        <v>47119</v>
      </c>
      <c r="F48" s="35">
        <f t="shared" si="11"/>
        <v>25</v>
      </c>
      <c r="G48" s="36">
        <f t="shared" si="6"/>
        <v>135.94317063018548</v>
      </c>
      <c r="H48" s="36">
        <f t="shared" si="7"/>
        <v>784.19136779542168</v>
      </c>
      <c r="I48" s="747">
        <f t="shared" si="12"/>
        <v>80781.711010315834</v>
      </c>
      <c r="J48" s="747"/>
      <c r="K48" s="678" t="str">
        <f t="shared" ca="1" si="13"/>
        <v/>
      </c>
      <c r="L48" s="697" t="str">
        <f t="shared" ca="1" si="9"/>
        <v/>
      </c>
      <c r="M48" s="678" t="str">
        <f t="shared" ca="1" si="14"/>
        <v/>
      </c>
      <c r="O48" s="680" t="str">
        <f t="shared" ca="1" si="5"/>
        <v/>
      </c>
      <c r="P48" s="692" t="str">
        <f t="shared" ref="P48:P73" ca="1" si="15">IFERROR(INDEX($K$24:$L$384,MATCH(O48,$L$24:$L$384,0),1),0)</f>
        <v/>
      </c>
      <c r="Q48" s="692" t="str">
        <f t="shared" ref="Q48:Q73" ca="1" si="16">IFERROR(INDEX($L$24:$M$384,MATCH(O48,$L$24:$L$384,0),2),0)</f>
        <v/>
      </c>
    </row>
    <row r="49" spans="4:17">
      <c r="D49" s="64">
        <f t="shared" ca="1" si="8"/>
        <v>2</v>
      </c>
      <c r="E49" s="226">
        <f t="shared" ca="1" si="10"/>
        <v>47150</v>
      </c>
      <c r="F49" s="35">
        <f t="shared" si="11"/>
        <v>26</v>
      </c>
      <c r="G49" s="36">
        <f t="shared" si="6"/>
        <v>134.6361850171931</v>
      </c>
      <c r="H49" s="36">
        <f t="shared" si="7"/>
        <v>785.498353408414</v>
      </c>
      <c r="I49" s="747">
        <f t="shared" si="12"/>
        <v>79996.212656907417</v>
      </c>
      <c r="J49" s="747"/>
      <c r="K49" s="678" t="str">
        <f t="shared" ca="1" si="13"/>
        <v/>
      </c>
      <c r="L49" s="697" t="str">
        <f t="shared" ca="1" si="9"/>
        <v/>
      </c>
      <c r="M49" s="678" t="str">
        <f t="shared" ca="1" si="14"/>
        <v/>
      </c>
      <c r="O49" s="680" t="str">
        <f t="shared" ref="O49:O74" ca="1" si="17">IFERROR(IF(O48+1&lt;YEAR($G$20)+($G$17/12),O48+1,""),"")</f>
        <v/>
      </c>
      <c r="P49" s="692" t="str">
        <f t="shared" ca="1" si="15"/>
        <v/>
      </c>
      <c r="Q49" s="692" t="str">
        <f t="shared" ca="1" si="16"/>
        <v/>
      </c>
    </row>
    <row r="50" spans="4:17">
      <c r="D50" s="64">
        <f t="shared" ca="1" si="8"/>
        <v>3</v>
      </c>
      <c r="E50" s="226">
        <f t="shared" ca="1" si="10"/>
        <v>47178</v>
      </c>
      <c r="F50" s="35">
        <f t="shared" si="11"/>
        <v>27</v>
      </c>
      <c r="G50" s="36">
        <f t="shared" si="6"/>
        <v>133.32702109484575</v>
      </c>
      <c r="H50" s="36">
        <f t="shared" si="7"/>
        <v>786.80751733076136</v>
      </c>
      <c r="I50" s="747">
        <f t="shared" si="12"/>
        <v>79209.405139576658</v>
      </c>
      <c r="J50" s="747"/>
      <c r="K50" s="678" t="str">
        <f t="shared" ca="1" si="13"/>
        <v/>
      </c>
      <c r="L50" s="697" t="str">
        <f t="shared" ca="1" si="9"/>
        <v/>
      </c>
      <c r="M50" s="678" t="str">
        <f t="shared" ca="1" si="14"/>
        <v/>
      </c>
      <c r="O50" s="680" t="str">
        <f t="shared" ca="1" si="17"/>
        <v/>
      </c>
      <c r="P50" s="692" t="str">
        <f t="shared" ca="1" si="15"/>
        <v/>
      </c>
      <c r="Q50" s="692" t="str">
        <f t="shared" ca="1" si="16"/>
        <v/>
      </c>
    </row>
    <row r="51" spans="4:17">
      <c r="D51" s="64">
        <f t="shared" ca="1" si="8"/>
        <v>4</v>
      </c>
      <c r="E51" s="226">
        <f t="shared" ca="1" si="10"/>
        <v>47209</v>
      </c>
      <c r="F51" s="35">
        <f t="shared" si="11"/>
        <v>28</v>
      </c>
      <c r="G51" s="36">
        <f t="shared" si="6"/>
        <v>132.01567523262779</v>
      </c>
      <c r="H51" s="36">
        <f t="shared" si="7"/>
        <v>788.11886319297923</v>
      </c>
      <c r="I51" s="747">
        <f t="shared" si="12"/>
        <v>78421.286276383675</v>
      </c>
      <c r="J51" s="747"/>
      <c r="K51" s="678" t="str">
        <f t="shared" ca="1" si="13"/>
        <v/>
      </c>
      <c r="L51" s="697" t="str">
        <f t="shared" ca="1" si="9"/>
        <v/>
      </c>
      <c r="M51" s="678" t="str">
        <f t="shared" ca="1" si="14"/>
        <v/>
      </c>
      <c r="O51" s="680" t="str">
        <f t="shared" ca="1" si="17"/>
        <v/>
      </c>
      <c r="P51" s="692" t="str">
        <f t="shared" ca="1" si="15"/>
        <v/>
      </c>
      <c r="Q51" s="692" t="str">
        <f t="shared" ca="1" si="16"/>
        <v/>
      </c>
    </row>
    <row r="52" spans="4:17">
      <c r="D52" s="64">
        <f t="shared" ca="1" si="8"/>
        <v>5</v>
      </c>
      <c r="E52" s="226">
        <f t="shared" ca="1" si="10"/>
        <v>47239</v>
      </c>
      <c r="F52" s="35">
        <f t="shared" si="11"/>
        <v>29</v>
      </c>
      <c r="G52" s="36">
        <f t="shared" si="6"/>
        <v>130.70214379397285</v>
      </c>
      <c r="H52" s="36">
        <f t="shared" si="7"/>
        <v>789.43239463163434</v>
      </c>
      <c r="I52" s="747">
        <f t="shared" si="12"/>
        <v>77631.853881752046</v>
      </c>
      <c r="J52" s="747"/>
      <c r="K52" s="678" t="str">
        <f t="shared" ca="1" si="13"/>
        <v/>
      </c>
      <c r="L52" s="697" t="str">
        <f t="shared" ca="1" si="9"/>
        <v/>
      </c>
      <c r="M52" s="678" t="str">
        <f t="shared" ca="1" si="14"/>
        <v/>
      </c>
      <c r="O52" s="680" t="str">
        <f t="shared" ca="1" si="17"/>
        <v/>
      </c>
      <c r="P52" s="692" t="str">
        <f t="shared" ca="1" si="15"/>
        <v/>
      </c>
      <c r="Q52" s="692" t="str">
        <f t="shared" ca="1" si="16"/>
        <v/>
      </c>
    </row>
    <row r="53" spans="4:17">
      <c r="D53" s="64">
        <f t="shared" ca="1" si="8"/>
        <v>6</v>
      </c>
      <c r="E53" s="226">
        <f t="shared" ca="1" si="10"/>
        <v>47270</v>
      </c>
      <c r="F53" s="35">
        <f t="shared" si="11"/>
        <v>30</v>
      </c>
      <c r="G53" s="36">
        <f t="shared" si="6"/>
        <v>129.38642313625346</v>
      </c>
      <c r="H53" s="36">
        <f t="shared" si="7"/>
        <v>790.74811528935368</v>
      </c>
      <c r="I53" s="747">
        <f t="shared" si="12"/>
        <v>76841.105766462686</v>
      </c>
      <c r="J53" s="747"/>
      <c r="K53" s="678" t="str">
        <f t="shared" ca="1" si="13"/>
        <v/>
      </c>
      <c r="L53" s="697" t="str">
        <f t="shared" ca="1" si="9"/>
        <v/>
      </c>
      <c r="M53" s="678" t="str">
        <f t="shared" ca="1" si="14"/>
        <v/>
      </c>
      <c r="O53" s="680" t="str">
        <f t="shared" ca="1" si="17"/>
        <v/>
      </c>
      <c r="P53" s="692" t="str">
        <f t="shared" ca="1" si="15"/>
        <v/>
      </c>
      <c r="Q53" s="692" t="str">
        <f t="shared" ca="1" si="16"/>
        <v/>
      </c>
    </row>
    <row r="54" spans="4:17">
      <c r="D54" s="64">
        <f t="shared" ca="1" si="8"/>
        <v>7</v>
      </c>
      <c r="E54" s="226">
        <f t="shared" ca="1" si="10"/>
        <v>47300</v>
      </c>
      <c r="F54" s="35">
        <f t="shared" si="11"/>
        <v>31</v>
      </c>
      <c r="G54" s="36">
        <f t="shared" si="6"/>
        <v>128.06850961077117</v>
      </c>
      <c r="H54" s="36">
        <f t="shared" si="7"/>
        <v>792.06602881483582</v>
      </c>
      <c r="I54" s="747">
        <f t="shared" si="12"/>
        <v>76049.03973764785</v>
      </c>
      <c r="J54" s="747"/>
      <c r="K54" s="678" t="str">
        <f t="shared" ca="1" si="13"/>
        <v/>
      </c>
      <c r="L54" s="697" t="str">
        <f t="shared" ca="1" si="9"/>
        <v/>
      </c>
      <c r="M54" s="678" t="str">
        <f t="shared" ca="1" si="14"/>
        <v/>
      </c>
      <c r="O54" s="680" t="str">
        <f t="shared" ca="1" si="17"/>
        <v/>
      </c>
      <c r="P54" s="692" t="str">
        <f t="shared" ca="1" si="15"/>
        <v/>
      </c>
      <c r="Q54" s="692" t="str">
        <f t="shared" ca="1" si="16"/>
        <v/>
      </c>
    </row>
    <row r="55" spans="4:17">
      <c r="D55" s="64">
        <f t="shared" ca="1" si="8"/>
        <v>8</v>
      </c>
      <c r="E55" s="226">
        <f t="shared" ca="1" si="10"/>
        <v>47331</v>
      </c>
      <c r="F55" s="35">
        <f t="shared" si="11"/>
        <v>32</v>
      </c>
      <c r="G55" s="36">
        <f t="shared" si="6"/>
        <v>126.74839956274647</v>
      </c>
      <c r="H55" s="36">
        <f t="shared" si="7"/>
        <v>793.38613886286066</v>
      </c>
      <c r="I55" s="747">
        <f t="shared" si="12"/>
        <v>75255.653598784993</v>
      </c>
      <c r="J55" s="747"/>
      <c r="K55" s="678" t="str">
        <f t="shared" ca="1" si="13"/>
        <v/>
      </c>
      <c r="L55" s="697" t="str">
        <f t="shared" ca="1" si="9"/>
        <v/>
      </c>
      <c r="M55" s="678" t="str">
        <f t="shared" ca="1" si="14"/>
        <v/>
      </c>
      <c r="O55" s="680" t="str">
        <f t="shared" ca="1" si="17"/>
        <v/>
      </c>
      <c r="P55" s="692" t="str">
        <f t="shared" ca="1" si="15"/>
        <v/>
      </c>
      <c r="Q55" s="692" t="str">
        <f t="shared" ca="1" si="16"/>
        <v/>
      </c>
    </row>
    <row r="56" spans="4:17">
      <c r="D56" s="64">
        <f t="shared" ca="1" si="8"/>
        <v>9</v>
      </c>
      <c r="E56" s="226">
        <f t="shared" ca="1" si="10"/>
        <v>47362</v>
      </c>
      <c r="F56" s="35">
        <f t="shared" si="11"/>
        <v>33</v>
      </c>
      <c r="G56" s="36">
        <f t="shared" si="6"/>
        <v>125.42608933130833</v>
      </c>
      <c r="H56" s="36">
        <f t="shared" si="7"/>
        <v>794.70844909429866</v>
      </c>
      <c r="I56" s="747">
        <f t="shared" si="12"/>
        <v>74460.945149690699</v>
      </c>
      <c r="J56" s="747"/>
      <c r="K56" s="678" t="str">
        <f t="shared" ca="1" si="13"/>
        <v/>
      </c>
      <c r="L56" s="697" t="str">
        <f t="shared" ca="1" si="9"/>
        <v/>
      </c>
      <c r="M56" s="678" t="str">
        <f t="shared" ca="1" si="14"/>
        <v/>
      </c>
      <c r="O56" s="680" t="str">
        <f t="shared" ca="1" si="17"/>
        <v/>
      </c>
      <c r="P56" s="692" t="str">
        <f t="shared" ca="1" si="15"/>
        <v/>
      </c>
      <c r="Q56" s="692" t="str">
        <f t="shared" ca="1" si="16"/>
        <v/>
      </c>
    </row>
    <row r="57" spans="4:17">
      <c r="D57" s="64">
        <f t="shared" ca="1" si="8"/>
        <v>10</v>
      </c>
      <c r="E57" s="226">
        <f t="shared" ca="1" si="10"/>
        <v>47392</v>
      </c>
      <c r="F57" s="35">
        <f t="shared" si="11"/>
        <v>34</v>
      </c>
      <c r="G57" s="36">
        <f t="shared" si="6"/>
        <v>124.10157524948453</v>
      </c>
      <c r="H57" s="36">
        <f t="shared" si="7"/>
        <v>796.03296317612251</v>
      </c>
      <c r="I57" s="747">
        <f t="shared" si="12"/>
        <v>73664.912186514572</v>
      </c>
      <c r="J57" s="747"/>
      <c r="K57" s="678" t="str">
        <f t="shared" ca="1" si="13"/>
        <v/>
      </c>
      <c r="L57" s="697" t="str">
        <f t="shared" ca="1" si="9"/>
        <v/>
      </c>
      <c r="M57" s="678" t="str">
        <f t="shared" ca="1" si="14"/>
        <v/>
      </c>
      <c r="O57" s="680" t="str">
        <f t="shared" ca="1" si="17"/>
        <v/>
      </c>
      <c r="P57" s="692" t="str">
        <f t="shared" ca="1" si="15"/>
        <v/>
      </c>
      <c r="Q57" s="692" t="str">
        <f t="shared" ca="1" si="16"/>
        <v/>
      </c>
    </row>
    <row r="58" spans="4:17">
      <c r="D58" s="64">
        <f t="shared" ca="1" si="8"/>
        <v>11</v>
      </c>
      <c r="E58" s="226">
        <f t="shared" ca="1" si="10"/>
        <v>47423</v>
      </c>
      <c r="F58" s="35">
        <f t="shared" si="11"/>
        <v>35</v>
      </c>
      <c r="G58" s="36">
        <f t="shared" si="6"/>
        <v>122.77485364419098</v>
      </c>
      <c r="H58" s="36">
        <f t="shared" si="7"/>
        <v>797.35968478141604</v>
      </c>
      <c r="I58" s="747">
        <f t="shared" si="12"/>
        <v>72867.552501733153</v>
      </c>
      <c r="J58" s="747"/>
      <c r="K58" s="678" t="str">
        <f t="shared" ca="1" si="13"/>
        <v/>
      </c>
      <c r="L58" s="697" t="str">
        <f t="shared" ca="1" si="9"/>
        <v/>
      </c>
      <c r="M58" s="678" t="str">
        <f t="shared" ca="1" si="14"/>
        <v/>
      </c>
      <c r="O58" s="680" t="str">
        <f t="shared" ca="1" si="17"/>
        <v/>
      </c>
      <c r="P58" s="692" t="str">
        <f t="shared" ca="1" si="15"/>
        <v/>
      </c>
      <c r="Q58" s="692" t="str">
        <f t="shared" ca="1" si="16"/>
        <v/>
      </c>
    </row>
    <row r="59" spans="4:17">
      <c r="D59" s="64">
        <f t="shared" ca="1" si="8"/>
        <v>12</v>
      </c>
      <c r="E59" s="226">
        <f t="shared" ca="1" si="10"/>
        <v>47453</v>
      </c>
      <c r="F59" s="35">
        <f t="shared" si="11"/>
        <v>36</v>
      </c>
      <c r="G59" s="36">
        <f t="shared" si="6"/>
        <v>121.44592083622197</v>
      </c>
      <c r="H59" s="36">
        <f t="shared" si="7"/>
        <v>798.6886175893851</v>
      </c>
      <c r="I59" s="747">
        <f t="shared" si="12"/>
        <v>72068.863884143764</v>
      </c>
      <c r="J59" s="747"/>
      <c r="K59" s="678">
        <f t="shared" ca="1" si="13"/>
        <v>1544.5759671398018</v>
      </c>
      <c r="L59" s="697">
        <f t="shared" ca="1" si="9"/>
        <v>2029</v>
      </c>
      <c r="M59" s="678">
        <f t="shared" ca="1" si="14"/>
        <v>9497.0384939674841</v>
      </c>
      <c r="O59" s="680" t="str">
        <f t="shared" ca="1" si="17"/>
        <v/>
      </c>
      <c r="P59" s="692" t="str">
        <f t="shared" ca="1" si="15"/>
        <v/>
      </c>
      <c r="Q59" s="692" t="str">
        <f t="shared" ca="1" si="16"/>
        <v/>
      </c>
    </row>
    <row r="60" spans="4:17">
      <c r="D60" s="64">
        <f t="shared" ca="1" si="8"/>
        <v>1</v>
      </c>
      <c r="E60" s="226">
        <f t="shared" ca="1" si="10"/>
        <v>47484</v>
      </c>
      <c r="F60" s="35">
        <f t="shared" si="11"/>
        <v>37</v>
      </c>
      <c r="G60" s="36">
        <f t="shared" si="6"/>
        <v>120.11477314023966</v>
      </c>
      <c r="H60" s="36">
        <f t="shared" si="7"/>
        <v>800.01976528536738</v>
      </c>
      <c r="I60" s="747">
        <f t="shared" si="12"/>
        <v>71268.844118858397</v>
      </c>
      <c r="J60" s="747"/>
      <c r="K60" s="678" t="str">
        <f t="shared" ca="1" si="13"/>
        <v/>
      </c>
      <c r="L60" s="697" t="str">
        <f t="shared" ca="1" si="9"/>
        <v/>
      </c>
      <c r="M60" s="678" t="str">
        <f t="shared" ca="1" si="14"/>
        <v/>
      </c>
      <c r="O60" s="680" t="str">
        <f t="shared" ca="1" si="17"/>
        <v/>
      </c>
      <c r="P60" s="692" t="str">
        <f t="shared" ca="1" si="15"/>
        <v/>
      </c>
      <c r="Q60" s="692" t="str">
        <f t="shared" ca="1" si="16"/>
        <v/>
      </c>
    </row>
    <row r="61" spans="4:17">
      <c r="D61" s="64">
        <f t="shared" ca="1" si="8"/>
        <v>2</v>
      </c>
      <c r="E61" s="226">
        <f t="shared" ca="1" si="10"/>
        <v>47515</v>
      </c>
      <c r="F61" s="35">
        <f t="shared" si="11"/>
        <v>38</v>
      </c>
      <c r="G61" s="36">
        <f t="shared" si="6"/>
        <v>118.78140686476405</v>
      </c>
      <c r="H61" s="36">
        <f t="shared" si="7"/>
        <v>801.35313156084305</v>
      </c>
      <c r="I61" s="747">
        <f t="shared" si="12"/>
        <v>70467.490987297555</v>
      </c>
      <c r="J61" s="747"/>
      <c r="K61" s="678" t="str">
        <f t="shared" ca="1" si="13"/>
        <v/>
      </c>
      <c r="L61" s="697" t="str">
        <f t="shared" ca="1" si="9"/>
        <v/>
      </c>
      <c r="M61" s="678" t="str">
        <f t="shared" ca="1" si="14"/>
        <v/>
      </c>
      <c r="O61" s="680" t="str">
        <f t="shared" ca="1" si="17"/>
        <v/>
      </c>
      <c r="P61" s="692" t="str">
        <f t="shared" ca="1" si="15"/>
        <v/>
      </c>
      <c r="Q61" s="692" t="str">
        <f t="shared" ca="1" si="16"/>
        <v/>
      </c>
    </row>
    <row r="62" spans="4:17">
      <c r="D62" s="64">
        <f t="shared" ca="1" si="8"/>
        <v>3</v>
      </c>
      <c r="E62" s="226">
        <f t="shared" ca="1" si="10"/>
        <v>47543</v>
      </c>
      <c r="F62" s="35">
        <f t="shared" si="11"/>
        <v>39</v>
      </c>
      <c r="G62" s="36">
        <f t="shared" si="6"/>
        <v>117.44581831216263</v>
      </c>
      <c r="H62" s="36">
        <f t="shared" si="7"/>
        <v>802.68872011344445</v>
      </c>
      <c r="I62" s="747">
        <f t="shared" si="12"/>
        <v>69664.802267184117</v>
      </c>
      <c r="J62" s="747"/>
      <c r="K62" s="678" t="str">
        <f t="shared" ca="1" si="13"/>
        <v/>
      </c>
      <c r="L62" s="697" t="str">
        <f t="shared" ca="1" si="9"/>
        <v/>
      </c>
      <c r="M62" s="678" t="str">
        <f t="shared" ca="1" si="14"/>
        <v/>
      </c>
      <c r="O62" s="680" t="str">
        <f t="shared" ca="1" si="17"/>
        <v/>
      </c>
      <c r="P62" s="692" t="str">
        <f t="shared" ca="1" si="15"/>
        <v/>
      </c>
      <c r="Q62" s="692" t="str">
        <f t="shared" ca="1" si="16"/>
        <v/>
      </c>
    </row>
    <row r="63" spans="4:17">
      <c r="D63" s="64">
        <f t="shared" ca="1" si="8"/>
        <v>4</v>
      </c>
      <c r="E63" s="226">
        <f t="shared" ca="1" si="10"/>
        <v>47574</v>
      </c>
      <c r="F63" s="35">
        <f t="shared" si="11"/>
        <v>40</v>
      </c>
      <c r="G63" s="36">
        <f t="shared" si="6"/>
        <v>116.10800377864022</v>
      </c>
      <c r="H63" s="36">
        <f t="shared" si="7"/>
        <v>804.02653464696687</v>
      </c>
      <c r="I63" s="747">
        <f t="shared" si="12"/>
        <v>68860.775732537149</v>
      </c>
      <c r="J63" s="747"/>
      <c r="K63" s="678" t="str">
        <f t="shared" ca="1" si="13"/>
        <v/>
      </c>
      <c r="L63" s="697" t="str">
        <f t="shared" ca="1" si="9"/>
        <v/>
      </c>
      <c r="M63" s="678" t="str">
        <f t="shared" ca="1" si="14"/>
        <v/>
      </c>
      <c r="O63" s="680" t="str">
        <f t="shared" ca="1" si="17"/>
        <v/>
      </c>
      <c r="P63" s="692" t="str">
        <f t="shared" ca="1" si="15"/>
        <v/>
      </c>
      <c r="Q63" s="692" t="str">
        <f t="shared" ca="1" si="16"/>
        <v/>
      </c>
    </row>
    <row r="64" spans="4:17">
      <c r="D64" s="64">
        <f t="shared" ca="1" si="8"/>
        <v>5</v>
      </c>
      <c r="E64" s="226">
        <f t="shared" ca="1" si="10"/>
        <v>47604</v>
      </c>
      <c r="F64" s="35">
        <f t="shared" si="11"/>
        <v>41</v>
      </c>
      <c r="G64" s="36">
        <f t="shared" si="6"/>
        <v>114.76795955422861</v>
      </c>
      <c r="H64" s="36">
        <f t="shared" si="7"/>
        <v>805.36657887137847</v>
      </c>
      <c r="I64" s="747">
        <f t="shared" si="12"/>
        <v>68055.409153665765</v>
      </c>
      <c r="J64" s="747"/>
      <c r="K64" s="678" t="str">
        <f t="shared" ca="1" si="13"/>
        <v/>
      </c>
      <c r="L64" s="697" t="str">
        <f t="shared" ca="1" si="9"/>
        <v/>
      </c>
      <c r="M64" s="678" t="str">
        <f t="shared" ca="1" si="14"/>
        <v/>
      </c>
      <c r="O64" s="680" t="str">
        <f t="shared" ca="1" si="17"/>
        <v/>
      </c>
      <c r="P64" s="692" t="str">
        <f t="shared" ca="1" si="15"/>
        <v/>
      </c>
      <c r="Q64" s="692" t="str">
        <f t="shared" ca="1" si="16"/>
        <v/>
      </c>
    </row>
    <row r="65" spans="4:17">
      <c r="D65" s="64">
        <f t="shared" ca="1" si="8"/>
        <v>6</v>
      </c>
      <c r="E65" s="226">
        <f t="shared" ca="1" si="10"/>
        <v>47635</v>
      </c>
      <c r="F65" s="35">
        <f t="shared" si="11"/>
        <v>42</v>
      </c>
      <c r="G65" s="36">
        <f t="shared" si="6"/>
        <v>113.42568192277631</v>
      </c>
      <c r="H65" s="36">
        <f t="shared" si="7"/>
        <v>806.70885650283083</v>
      </c>
      <c r="I65" s="747">
        <f t="shared" si="12"/>
        <v>67248.700297162941</v>
      </c>
      <c r="J65" s="747"/>
      <c r="K65" s="678" t="str">
        <f t="shared" ca="1" si="13"/>
        <v/>
      </c>
      <c r="L65" s="697" t="str">
        <f t="shared" ca="1" si="9"/>
        <v/>
      </c>
      <c r="M65" s="678" t="str">
        <f t="shared" ca="1" si="14"/>
        <v/>
      </c>
      <c r="O65" s="680" t="str">
        <f t="shared" ca="1" si="17"/>
        <v/>
      </c>
      <c r="P65" s="692" t="str">
        <f t="shared" ca="1" si="15"/>
        <v/>
      </c>
      <c r="Q65" s="692" t="str">
        <f t="shared" ca="1" si="16"/>
        <v/>
      </c>
    </row>
    <row r="66" spans="4:17">
      <c r="D66" s="64">
        <f t="shared" ca="1" si="8"/>
        <v>7</v>
      </c>
      <c r="E66" s="226">
        <f t="shared" ca="1" si="10"/>
        <v>47665</v>
      </c>
      <c r="F66" s="35">
        <f t="shared" si="11"/>
        <v>43</v>
      </c>
      <c r="G66" s="36">
        <f t="shared" si="6"/>
        <v>112.0811671619383</v>
      </c>
      <c r="H66" s="36">
        <f t="shared" si="7"/>
        <v>808.05337126366885</v>
      </c>
      <c r="I66" s="747">
        <f t="shared" si="12"/>
        <v>66440.646925899273</v>
      </c>
      <c r="J66" s="747"/>
      <c r="K66" s="678" t="str">
        <f t="shared" ca="1" si="13"/>
        <v/>
      </c>
      <c r="L66" s="697" t="str">
        <f t="shared" ca="1" si="9"/>
        <v/>
      </c>
      <c r="M66" s="678" t="str">
        <f t="shared" ca="1" si="14"/>
        <v/>
      </c>
      <c r="O66" s="680" t="str">
        <f t="shared" ca="1" si="17"/>
        <v/>
      </c>
      <c r="P66" s="692" t="str">
        <f t="shared" ca="1" si="15"/>
        <v/>
      </c>
      <c r="Q66" s="692" t="str">
        <f t="shared" ca="1" si="16"/>
        <v/>
      </c>
    </row>
    <row r="67" spans="4:17">
      <c r="D67" s="64">
        <f t="shared" ca="1" si="8"/>
        <v>8</v>
      </c>
      <c r="E67" s="226">
        <f t="shared" ca="1" si="10"/>
        <v>47696</v>
      </c>
      <c r="F67" s="35">
        <f t="shared" si="11"/>
        <v>44</v>
      </c>
      <c r="G67" s="36">
        <f t="shared" si="6"/>
        <v>110.73441154316549</v>
      </c>
      <c r="H67" s="36">
        <f t="shared" si="7"/>
        <v>809.40012688244155</v>
      </c>
      <c r="I67" s="747">
        <f t="shared" si="12"/>
        <v>65631.246799016837</v>
      </c>
      <c r="J67" s="747"/>
      <c r="K67" s="678" t="str">
        <f t="shared" ca="1" si="13"/>
        <v/>
      </c>
      <c r="L67" s="697" t="str">
        <f t="shared" ca="1" si="9"/>
        <v/>
      </c>
      <c r="M67" s="678" t="str">
        <f t="shared" ca="1" si="14"/>
        <v/>
      </c>
      <c r="O67" s="680" t="str">
        <f t="shared" ca="1" si="17"/>
        <v/>
      </c>
      <c r="P67" s="692" t="str">
        <f t="shared" ca="1" si="15"/>
        <v/>
      </c>
      <c r="Q67" s="692" t="str">
        <f t="shared" ca="1" si="16"/>
        <v/>
      </c>
    </row>
    <row r="68" spans="4:17">
      <c r="D68" s="64">
        <f t="shared" ca="1" si="8"/>
        <v>9</v>
      </c>
      <c r="E68" s="226">
        <f t="shared" ca="1" si="10"/>
        <v>47727</v>
      </c>
      <c r="F68" s="35">
        <f t="shared" si="11"/>
        <v>45</v>
      </c>
      <c r="G68" s="36">
        <f t="shared" si="6"/>
        <v>109.38541133169475</v>
      </c>
      <c r="H68" s="36">
        <f t="shared" si="7"/>
        <v>810.74912709391231</v>
      </c>
      <c r="I68" s="747">
        <f t="shared" si="12"/>
        <v>64820.497671922923</v>
      </c>
      <c r="J68" s="747"/>
      <c r="K68" s="678" t="str">
        <f t="shared" ca="1" si="13"/>
        <v/>
      </c>
      <c r="L68" s="697" t="str">
        <f t="shared" ca="1" si="9"/>
        <v/>
      </c>
      <c r="M68" s="678" t="str">
        <f t="shared" ca="1" si="14"/>
        <v/>
      </c>
      <c r="O68" s="680" t="str">
        <f t="shared" ca="1" si="17"/>
        <v/>
      </c>
      <c r="P68" s="692" t="str">
        <f t="shared" ca="1" si="15"/>
        <v/>
      </c>
      <c r="Q68" s="692" t="str">
        <f t="shared" ca="1" si="16"/>
        <v/>
      </c>
    </row>
    <row r="69" spans="4:17">
      <c r="D69" s="64">
        <f t="shared" ca="1" si="8"/>
        <v>10</v>
      </c>
      <c r="E69" s="226">
        <f t="shared" ca="1" si="10"/>
        <v>47757</v>
      </c>
      <c r="F69" s="35">
        <f t="shared" si="11"/>
        <v>46</v>
      </c>
      <c r="G69" s="36">
        <f t="shared" si="6"/>
        <v>108.03416278653823</v>
      </c>
      <c r="H69" s="36">
        <f t="shared" si="7"/>
        <v>812.10037563906883</v>
      </c>
      <c r="I69" s="747">
        <f t="shared" si="12"/>
        <v>64008.397296283852</v>
      </c>
      <c r="J69" s="747"/>
      <c r="K69" s="678" t="str">
        <f t="shared" ca="1" si="13"/>
        <v/>
      </c>
      <c r="L69" s="697" t="str">
        <f t="shared" ca="1" si="9"/>
        <v/>
      </c>
      <c r="M69" s="678" t="str">
        <f t="shared" ca="1" si="14"/>
        <v/>
      </c>
      <c r="O69" s="680" t="str">
        <f t="shared" ca="1" si="17"/>
        <v/>
      </c>
      <c r="P69" s="692" t="str">
        <f t="shared" ca="1" si="15"/>
        <v/>
      </c>
      <c r="Q69" s="692" t="str">
        <f t="shared" ca="1" si="16"/>
        <v/>
      </c>
    </row>
    <row r="70" spans="4:17">
      <c r="D70" s="64">
        <f t="shared" ca="1" si="8"/>
        <v>11</v>
      </c>
      <c r="E70" s="226">
        <f t="shared" ca="1" si="10"/>
        <v>47788</v>
      </c>
      <c r="F70" s="35">
        <f t="shared" si="11"/>
        <v>47</v>
      </c>
      <c r="G70" s="36">
        <f t="shared" si="6"/>
        <v>106.68066216047313</v>
      </c>
      <c r="H70" s="36">
        <f t="shared" si="7"/>
        <v>813.453876265134</v>
      </c>
      <c r="I70" s="747">
        <f t="shared" si="12"/>
        <v>63194.943420018717</v>
      </c>
      <c r="J70" s="747"/>
      <c r="K70" s="678" t="str">
        <f t="shared" ca="1" si="13"/>
        <v/>
      </c>
      <c r="L70" s="697" t="str">
        <f t="shared" ca="1" si="9"/>
        <v/>
      </c>
      <c r="M70" s="678" t="str">
        <f t="shared" ca="1" si="14"/>
        <v/>
      </c>
      <c r="O70" s="680" t="str">
        <f t="shared" ca="1" si="17"/>
        <v/>
      </c>
      <c r="P70" s="692" t="str">
        <f t="shared" ca="1" si="15"/>
        <v/>
      </c>
      <c r="Q70" s="692" t="str">
        <f t="shared" ca="1" si="16"/>
        <v/>
      </c>
    </row>
    <row r="71" spans="4:17">
      <c r="D71" s="64">
        <f t="shared" ca="1" si="8"/>
        <v>12</v>
      </c>
      <c r="E71" s="226">
        <f t="shared" ca="1" si="10"/>
        <v>47818</v>
      </c>
      <c r="F71" s="35">
        <f t="shared" si="11"/>
        <v>48</v>
      </c>
      <c r="G71" s="36">
        <f t="shared" si="6"/>
        <v>105.32490570003124</v>
      </c>
      <c r="H71" s="36">
        <f t="shared" si="7"/>
        <v>814.80963272557585</v>
      </c>
      <c r="I71" s="747">
        <f t="shared" si="12"/>
        <v>62380.13378729314</v>
      </c>
      <c r="J71" s="747"/>
      <c r="K71" s="678">
        <f t="shared" ca="1" si="13"/>
        <v>1352.8843642566526</v>
      </c>
      <c r="L71" s="697">
        <f t="shared" ca="1" si="9"/>
        <v>2030</v>
      </c>
      <c r="M71" s="678">
        <f t="shared" ca="1" si="14"/>
        <v>9688.7300968506315</v>
      </c>
      <c r="O71" s="680" t="str">
        <f t="shared" ca="1" si="17"/>
        <v/>
      </c>
      <c r="P71" s="692" t="str">
        <f t="shared" ca="1" si="15"/>
        <v/>
      </c>
      <c r="Q71" s="692" t="str">
        <f t="shared" ca="1" si="16"/>
        <v/>
      </c>
    </row>
    <row r="72" spans="4:17">
      <c r="D72" s="64">
        <f t="shared" ca="1" si="8"/>
        <v>1</v>
      </c>
      <c r="E72" s="226">
        <f t="shared" ca="1" si="10"/>
        <v>47849</v>
      </c>
      <c r="F72" s="35">
        <f t="shared" si="11"/>
        <v>49</v>
      </c>
      <c r="G72" s="36">
        <f t="shared" si="6"/>
        <v>103.96688964548861</v>
      </c>
      <c r="H72" s="36">
        <f t="shared" si="7"/>
        <v>816.16764878011861</v>
      </c>
      <c r="I72" s="747">
        <f t="shared" si="12"/>
        <v>61563.966138513024</v>
      </c>
      <c r="J72" s="747"/>
      <c r="K72" s="678" t="str">
        <f t="shared" ca="1" si="13"/>
        <v/>
      </c>
      <c r="L72" s="697" t="str">
        <f t="shared" ca="1" si="9"/>
        <v/>
      </c>
      <c r="M72" s="678" t="str">
        <f t="shared" ca="1" si="14"/>
        <v/>
      </c>
      <c r="O72" s="680" t="str">
        <f t="shared" ca="1" si="17"/>
        <v/>
      </c>
      <c r="P72" s="692" t="str">
        <f t="shared" ca="1" si="15"/>
        <v/>
      </c>
      <c r="Q72" s="692" t="str">
        <f t="shared" ca="1" si="16"/>
        <v/>
      </c>
    </row>
    <row r="73" spans="4:17">
      <c r="D73" s="64">
        <f t="shared" ca="1" si="8"/>
        <v>2</v>
      </c>
      <c r="E73" s="226">
        <f t="shared" ca="1" si="10"/>
        <v>47880</v>
      </c>
      <c r="F73" s="35">
        <f t="shared" si="11"/>
        <v>50</v>
      </c>
      <c r="G73" s="36">
        <f t="shared" si="6"/>
        <v>102.60661023085507</v>
      </c>
      <c r="H73" s="36">
        <f t="shared" si="7"/>
        <v>817.52792819475201</v>
      </c>
      <c r="I73" s="747">
        <f t="shared" si="12"/>
        <v>60746.438210318272</v>
      </c>
      <c r="J73" s="747"/>
      <c r="K73" s="678" t="str">
        <f t="shared" ca="1" si="13"/>
        <v/>
      </c>
      <c r="L73" s="697" t="str">
        <f t="shared" ca="1" si="9"/>
        <v/>
      </c>
      <c r="M73" s="678" t="str">
        <f t="shared" ca="1" si="14"/>
        <v/>
      </c>
      <c r="O73" s="680" t="str">
        <f t="shared" ca="1" si="17"/>
        <v/>
      </c>
      <c r="P73" s="692" t="str">
        <f t="shared" ca="1" si="15"/>
        <v/>
      </c>
      <c r="Q73" s="692" t="str">
        <f t="shared" ca="1" si="16"/>
        <v/>
      </c>
    </row>
    <row r="74" spans="4:17">
      <c r="D74" s="64">
        <f t="shared" ca="1" si="8"/>
        <v>3</v>
      </c>
      <c r="E74" s="226">
        <f t="shared" ca="1" si="10"/>
        <v>47908</v>
      </c>
      <c r="F74" s="35">
        <f t="shared" si="11"/>
        <v>51</v>
      </c>
      <c r="G74" s="36">
        <f t="shared" si="6"/>
        <v>101.24406368386383</v>
      </c>
      <c r="H74" s="36">
        <f t="shared" si="7"/>
        <v>818.89047474174333</v>
      </c>
      <c r="I74" s="747">
        <f t="shared" si="12"/>
        <v>59927.547735576532</v>
      </c>
      <c r="J74" s="747"/>
      <c r="K74" s="678" t="str">
        <f t="shared" ca="1" si="13"/>
        <v/>
      </c>
      <c r="L74" s="697" t="str">
        <f t="shared" ca="1" si="9"/>
        <v/>
      </c>
      <c r="M74" s="678" t="str">
        <f t="shared" ca="1" si="14"/>
        <v/>
      </c>
      <c r="O74" s="680" t="str">
        <f t="shared" ca="1" si="17"/>
        <v/>
      </c>
      <c r="P74" s="692" t="str">
        <f t="shared" ref="P74:P137" ca="1" si="18">IFERROR(INDEX($K$24:$L$384,MATCH(O74,$L$24:$L$384,0),1),0)</f>
        <v/>
      </c>
      <c r="Q74" s="692" t="str">
        <f t="shared" ref="Q74:Q137" ca="1" si="19">IFERROR(INDEX($L$24:$M$384,MATCH(O74,$L$24:$L$384,0),2),0)</f>
        <v/>
      </c>
    </row>
    <row r="75" spans="4:17">
      <c r="D75" s="64">
        <f t="shared" ca="1" si="8"/>
        <v>4</v>
      </c>
      <c r="E75" s="226">
        <f t="shared" ca="1" si="10"/>
        <v>47939</v>
      </c>
      <c r="F75" s="35">
        <f t="shared" si="11"/>
        <v>52</v>
      </c>
      <c r="G75" s="36">
        <f t="shared" si="6"/>
        <v>99.879246225960927</v>
      </c>
      <c r="H75" s="36">
        <f t="shared" si="7"/>
        <v>820.25529219964619</v>
      </c>
      <c r="I75" s="747">
        <f t="shared" si="12"/>
        <v>59107.292443376886</v>
      </c>
      <c r="J75" s="747"/>
      <c r="K75" s="678" t="str">
        <f t="shared" ca="1" si="13"/>
        <v/>
      </c>
      <c r="L75" s="697" t="str">
        <f t="shared" ca="1" si="9"/>
        <v/>
      </c>
      <c r="M75" s="678" t="str">
        <f t="shared" ca="1" si="14"/>
        <v/>
      </c>
      <c r="O75" s="680" t="str">
        <f t="shared" ref="O75:O138" ca="1" si="20">IFERROR(IF(O74+1&lt;YEAR($G$20)+($G$17/12),O74+1,""),"")</f>
        <v/>
      </c>
      <c r="P75" s="692" t="str">
        <f t="shared" ca="1" si="18"/>
        <v/>
      </c>
      <c r="Q75" s="692" t="str">
        <f t="shared" ca="1" si="19"/>
        <v/>
      </c>
    </row>
    <row r="76" spans="4:17">
      <c r="D76" s="64">
        <f t="shared" ca="1" si="8"/>
        <v>5</v>
      </c>
      <c r="E76" s="226">
        <f t="shared" ca="1" si="10"/>
        <v>47969</v>
      </c>
      <c r="F76" s="35">
        <f t="shared" si="11"/>
        <v>53</v>
      </c>
      <c r="G76" s="36">
        <f t="shared" si="6"/>
        <v>98.512154072294834</v>
      </c>
      <c r="H76" s="36">
        <f t="shared" si="7"/>
        <v>821.62238435331221</v>
      </c>
      <c r="I76" s="747">
        <f t="shared" si="12"/>
        <v>58285.670059023571</v>
      </c>
      <c r="J76" s="747"/>
      <c r="K76" s="678" t="str">
        <f t="shared" ca="1" si="13"/>
        <v/>
      </c>
      <c r="L76" s="697" t="str">
        <f t="shared" ca="1" si="9"/>
        <v/>
      </c>
      <c r="M76" s="678" t="str">
        <f t="shared" ca="1" si="14"/>
        <v/>
      </c>
      <c r="O76" s="680" t="str">
        <f t="shared" ca="1" si="20"/>
        <v/>
      </c>
      <c r="P76" s="692" t="str">
        <f t="shared" ca="1" si="18"/>
        <v/>
      </c>
      <c r="Q76" s="692" t="str">
        <f t="shared" ca="1" si="19"/>
        <v/>
      </c>
    </row>
    <row r="77" spans="4:17">
      <c r="D77" s="64">
        <f t="shared" ca="1" si="8"/>
        <v>6</v>
      </c>
      <c r="E77" s="226">
        <f t="shared" ca="1" si="10"/>
        <v>48000</v>
      </c>
      <c r="F77" s="35">
        <f t="shared" si="11"/>
        <v>54</v>
      </c>
      <c r="G77" s="36">
        <f t="shared" si="6"/>
        <v>97.142783431705979</v>
      </c>
      <c r="H77" s="36">
        <f t="shared" si="7"/>
        <v>822.99175499390117</v>
      </c>
      <c r="I77" s="747">
        <f t="shared" si="12"/>
        <v>57462.678304029672</v>
      </c>
      <c r="J77" s="747"/>
      <c r="K77" s="678" t="str">
        <f t="shared" ca="1" si="13"/>
        <v/>
      </c>
      <c r="L77" s="697" t="str">
        <f t="shared" ca="1" si="9"/>
        <v/>
      </c>
      <c r="M77" s="678" t="str">
        <f t="shared" ca="1" si="14"/>
        <v/>
      </c>
      <c r="O77" s="680" t="str">
        <f t="shared" ca="1" si="20"/>
        <v/>
      </c>
      <c r="P77" s="692" t="str">
        <f t="shared" ca="1" si="18"/>
        <v/>
      </c>
      <c r="Q77" s="692" t="str">
        <f t="shared" ca="1" si="19"/>
        <v/>
      </c>
    </row>
    <row r="78" spans="4:17">
      <c r="D78" s="64">
        <f t="shared" ca="1" si="8"/>
        <v>7</v>
      </c>
      <c r="E78" s="226">
        <f t="shared" ca="1" si="10"/>
        <v>48030</v>
      </c>
      <c r="F78" s="35">
        <f t="shared" si="11"/>
        <v>55</v>
      </c>
      <c r="G78" s="36">
        <f t="shared" si="6"/>
        <v>95.771130506716162</v>
      </c>
      <c r="H78" s="36">
        <f t="shared" si="7"/>
        <v>824.36340791889097</v>
      </c>
      <c r="I78" s="747">
        <f t="shared" si="12"/>
        <v>56638.31489611078</v>
      </c>
      <c r="J78" s="747"/>
      <c r="K78" s="678" t="str">
        <f t="shared" ca="1" si="13"/>
        <v/>
      </c>
      <c r="L78" s="697" t="str">
        <f t="shared" ca="1" si="9"/>
        <v/>
      </c>
      <c r="M78" s="678" t="str">
        <f t="shared" ca="1" si="14"/>
        <v/>
      </c>
      <c r="O78" s="680" t="str">
        <f t="shared" ca="1" si="20"/>
        <v/>
      </c>
      <c r="P78" s="692" t="str">
        <f t="shared" ca="1" si="18"/>
        <v/>
      </c>
      <c r="Q78" s="692" t="str">
        <f t="shared" ca="1" si="19"/>
        <v/>
      </c>
    </row>
    <row r="79" spans="4:17">
      <c r="D79" s="64">
        <f t="shared" ca="1" si="8"/>
        <v>8</v>
      </c>
      <c r="E79" s="226">
        <f t="shared" ca="1" si="10"/>
        <v>48061</v>
      </c>
      <c r="F79" s="35">
        <f t="shared" si="11"/>
        <v>56</v>
      </c>
      <c r="G79" s="36">
        <f t="shared" si="6"/>
        <v>94.397191493517994</v>
      </c>
      <c r="H79" s="36">
        <f t="shared" si="7"/>
        <v>825.73734693208905</v>
      </c>
      <c r="I79" s="747">
        <f t="shared" si="12"/>
        <v>55812.577549178692</v>
      </c>
      <c r="J79" s="747"/>
      <c r="K79" s="678" t="str">
        <f t="shared" ca="1" si="13"/>
        <v/>
      </c>
      <c r="L79" s="697" t="str">
        <f t="shared" ca="1" si="9"/>
        <v/>
      </c>
      <c r="M79" s="678" t="str">
        <f t="shared" ca="1" si="14"/>
        <v/>
      </c>
      <c r="O79" s="680" t="str">
        <f t="shared" ca="1" si="20"/>
        <v/>
      </c>
      <c r="P79" s="692" t="str">
        <f t="shared" ca="1" si="18"/>
        <v/>
      </c>
      <c r="Q79" s="692" t="str">
        <f t="shared" ca="1" si="19"/>
        <v/>
      </c>
    </row>
    <row r="80" spans="4:17">
      <c r="D80" s="64">
        <f t="shared" ca="1" si="8"/>
        <v>9</v>
      </c>
      <c r="E80" s="226">
        <f t="shared" ca="1" si="10"/>
        <v>48092</v>
      </c>
      <c r="F80" s="35">
        <f t="shared" si="11"/>
        <v>57</v>
      </c>
      <c r="G80" s="36">
        <f t="shared" si="6"/>
        <v>93.020962581964511</v>
      </c>
      <c r="H80" s="36">
        <f t="shared" si="7"/>
        <v>827.11357584364248</v>
      </c>
      <c r="I80" s="747">
        <f t="shared" si="12"/>
        <v>54985.463973335049</v>
      </c>
      <c r="J80" s="747"/>
      <c r="K80" s="678" t="str">
        <f t="shared" ca="1" si="13"/>
        <v/>
      </c>
      <c r="L80" s="697" t="str">
        <f t="shared" ca="1" si="9"/>
        <v/>
      </c>
      <c r="M80" s="678" t="str">
        <f t="shared" ca="1" si="14"/>
        <v/>
      </c>
      <c r="O80" s="680" t="str">
        <f t="shared" ca="1" si="20"/>
        <v/>
      </c>
      <c r="P80" s="692" t="str">
        <f t="shared" ca="1" si="18"/>
        <v/>
      </c>
      <c r="Q80" s="692" t="str">
        <f t="shared" ca="1" si="19"/>
        <v/>
      </c>
    </row>
    <row r="81" spans="4:17">
      <c r="D81" s="64">
        <f t="shared" ca="1" si="8"/>
        <v>10</v>
      </c>
      <c r="E81" s="226">
        <f t="shared" ca="1" si="10"/>
        <v>48122</v>
      </c>
      <c r="F81" s="35">
        <f t="shared" si="11"/>
        <v>58</v>
      </c>
      <c r="G81" s="36">
        <f t="shared" si="6"/>
        <v>91.642439955558444</v>
      </c>
      <c r="H81" s="36">
        <f t="shared" si="7"/>
        <v>828.49209847004852</v>
      </c>
      <c r="I81" s="747">
        <f t="shared" si="12"/>
        <v>54156.971874864998</v>
      </c>
      <c r="J81" s="747"/>
      <c r="K81" s="678" t="str">
        <f t="shared" ca="1" si="13"/>
        <v/>
      </c>
      <c r="L81" s="697" t="str">
        <f t="shared" ca="1" si="9"/>
        <v/>
      </c>
      <c r="M81" s="678" t="str">
        <f t="shared" ca="1" si="14"/>
        <v/>
      </c>
      <c r="O81" s="680" t="str">
        <f t="shared" ca="1" si="20"/>
        <v/>
      </c>
      <c r="P81" s="692" t="str">
        <f t="shared" ca="1" si="18"/>
        <v/>
      </c>
      <c r="Q81" s="692" t="str">
        <f t="shared" ca="1" si="19"/>
        <v/>
      </c>
    </row>
    <row r="82" spans="4:17">
      <c r="D82" s="64">
        <f t="shared" ca="1" si="8"/>
        <v>11</v>
      </c>
      <c r="E82" s="226">
        <f t="shared" ca="1" si="10"/>
        <v>48153</v>
      </c>
      <c r="F82" s="35">
        <f t="shared" si="11"/>
        <v>59</v>
      </c>
      <c r="G82" s="36">
        <f t="shared" si="6"/>
        <v>90.261619791441674</v>
      </c>
      <c r="H82" s="36">
        <f t="shared" si="7"/>
        <v>829.87291863416544</v>
      </c>
      <c r="I82" s="747">
        <f t="shared" si="12"/>
        <v>53327.098956230831</v>
      </c>
      <c r="J82" s="747"/>
      <c r="K82" s="678" t="str">
        <f t="shared" ca="1" si="13"/>
        <v/>
      </c>
      <c r="L82" s="697" t="str">
        <f t="shared" ca="1" si="9"/>
        <v/>
      </c>
      <c r="M82" s="678" t="str">
        <f t="shared" ca="1" si="14"/>
        <v/>
      </c>
      <c r="O82" s="680" t="str">
        <f t="shared" ca="1" si="20"/>
        <v/>
      </c>
      <c r="P82" s="692" t="str">
        <f t="shared" ca="1" si="18"/>
        <v/>
      </c>
      <c r="Q82" s="692" t="str">
        <f t="shared" ca="1" si="19"/>
        <v/>
      </c>
    </row>
    <row r="83" spans="4:17">
      <c r="D83" s="64">
        <f t="shared" ca="1" si="8"/>
        <v>12</v>
      </c>
      <c r="E83" s="226">
        <f t="shared" ca="1" si="10"/>
        <v>48183</v>
      </c>
      <c r="F83" s="35">
        <f t="shared" si="11"/>
        <v>60</v>
      </c>
      <c r="G83" s="36">
        <f t="shared" si="6"/>
        <v>88.87849826038476</v>
      </c>
      <c r="H83" s="36">
        <f t="shared" si="7"/>
        <v>831.25604016522232</v>
      </c>
      <c r="I83" s="747">
        <f t="shared" si="12"/>
        <v>52495.842916065609</v>
      </c>
      <c r="J83" s="747"/>
      <c r="K83" s="678">
        <f t="shared" ca="1" si="13"/>
        <v>1157.3235898797529</v>
      </c>
      <c r="L83" s="697">
        <f t="shared" ca="1" si="9"/>
        <v>2031</v>
      </c>
      <c r="M83" s="678">
        <f t="shared" ca="1" si="14"/>
        <v>9884.2908712275312</v>
      </c>
      <c r="O83" s="680" t="str">
        <f t="shared" ca="1" si="20"/>
        <v/>
      </c>
      <c r="P83" s="692" t="str">
        <f t="shared" ca="1" si="18"/>
        <v/>
      </c>
      <c r="Q83" s="692" t="str">
        <f t="shared" ca="1" si="19"/>
        <v/>
      </c>
    </row>
    <row r="84" spans="4:17">
      <c r="D84" s="64">
        <f t="shared" ca="1" si="8"/>
        <v>1</v>
      </c>
      <c r="E84" s="226">
        <f t="shared" ca="1" si="10"/>
        <v>48214</v>
      </c>
      <c r="F84" s="35">
        <f t="shared" si="11"/>
        <v>61</v>
      </c>
      <c r="G84" s="36">
        <f t="shared" si="6"/>
        <v>87.493071526776063</v>
      </c>
      <c r="H84" s="36">
        <f t="shared" si="7"/>
        <v>832.64146689883114</v>
      </c>
      <c r="I84" s="747">
        <f t="shared" si="12"/>
        <v>51663.20144916678</v>
      </c>
      <c r="J84" s="747"/>
      <c r="K84" s="678" t="str">
        <f t="shared" ca="1" si="13"/>
        <v/>
      </c>
      <c r="L84" s="697" t="str">
        <f t="shared" ca="1" si="9"/>
        <v/>
      </c>
      <c r="M84" s="678" t="str">
        <f t="shared" ca="1" si="14"/>
        <v/>
      </c>
      <c r="O84" s="680" t="str">
        <f t="shared" ca="1" si="20"/>
        <v/>
      </c>
      <c r="P84" s="692" t="str">
        <f t="shared" ca="1" si="18"/>
        <v/>
      </c>
      <c r="Q84" s="692" t="str">
        <f t="shared" ca="1" si="19"/>
        <v/>
      </c>
    </row>
    <row r="85" spans="4:17">
      <c r="D85" s="64">
        <f t="shared" ca="1" si="8"/>
        <v>2</v>
      </c>
      <c r="E85" s="226">
        <f t="shared" ca="1" si="10"/>
        <v>48245</v>
      </c>
      <c r="F85" s="35">
        <f t="shared" si="11"/>
        <v>62</v>
      </c>
      <c r="G85" s="36">
        <f t="shared" si="6"/>
        <v>86.105335748611338</v>
      </c>
      <c r="H85" s="36">
        <f t="shared" si="7"/>
        <v>834.02920267699574</v>
      </c>
      <c r="I85" s="747">
        <f t="shared" si="12"/>
        <v>50829.172246489783</v>
      </c>
      <c r="J85" s="747"/>
      <c r="K85" s="678" t="str">
        <f t="shared" ca="1" si="13"/>
        <v/>
      </c>
      <c r="L85" s="697" t="str">
        <f t="shared" ca="1" si="9"/>
        <v/>
      </c>
      <c r="M85" s="678" t="str">
        <f t="shared" ca="1" si="14"/>
        <v/>
      </c>
      <c r="O85" s="680" t="str">
        <f t="shared" ca="1" si="20"/>
        <v/>
      </c>
      <c r="P85" s="692" t="str">
        <f t="shared" ca="1" si="18"/>
        <v/>
      </c>
      <c r="Q85" s="692" t="str">
        <f t="shared" ca="1" si="19"/>
        <v/>
      </c>
    </row>
    <row r="86" spans="4:17">
      <c r="D86" s="64">
        <f t="shared" ca="1" si="8"/>
        <v>3</v>
      </c>
      <c r="E86" s="226">
        <f t="shared" ca="1" si="10"/>
        <v>48274</v>
      </c>
      <c r="F86" s="35">
        <f t="shared" si="11"/>
        <v>63</v>
      </c>
      <c r="G86" s="36">
        <f t="shared" si="6"/>
        <v>84.715287077483012</v>
      </c>
      <c r="H86" s="36">
        <f t="shared" si="7"/>
        <v>835.41925134812413</v>
      </c>
      <c r="I86" s="747">
        <f t="shared" si="12"/>
        <v>49993.752995141658</v>
      </c>
      <c r="J86" s="747"/>
      <c r="K86" s="678" t="str">
        <f t="shared" ca="1" si="13"/>
        <v/>
      </c>
      <c r="L86" s="697" t="str">
        <f t="shared" ca="1" si="9"/>
        <v/>
      </c>
      <c r="M86" s="678" t="str">
        <f t="shared" ca="1" si="14"/>
        <v/>
      </c>
      <c r="O86" s="680" t="str">
        <f t="shared" ca="1" si="20"/>
        <v/>
      </c>
      <c r="P86" s="692" t="str">
        <f t="shared" ca="1" si="18"/>
        <v/>
      </c>
      <c r="Q86" s="692" t="str">
        <f t="shared" ca="1" si="19"/>
        <v/>
      </c>
    </row>
    <row r="87" spans="4:17">
      <c r="D87" s="64">
        <f t="shared" ca="1" si="8"/>
        <v>4</v>
      </c>
      <c r="E87" s="226">
        <f t="shared" ca="1" si="10"/>
        <v>48305</v>
      </c>
      <c r="F87" s="35">
        <f t="shared" si="11"/>
        <v>64</v>
      </c>
      <c r="G87" s="36">
        <f t="shared" si="6"/>
        <v>83.322921658569484</v>
      </c>
      <c r="H87" s="36">
        <f t="shared" si="7"/>
        <v>836.81161676703766</v>
      </c>
      <c r="I87" s="747">
        <f t="shared" si="12"/>
        <v>49156.94137837462</v>
      </c>
      <c r="J87" s="747"/>
      <c r="K87" s="678" t="str">
        <f t="shared" ca="1" si="13"/>
        <v/>
      </c>
      <c r="L87" s="697" t="str">
        <f t="shared" ca="1" si="9"/>
        <v/>
      </c>
      <c r="M87" s="678" t="str">
        <f t="shared" ca="1" si="14"/>
        <v/>
      </c>
      <c r="O87" s="680" t="str">
        <f t="shared" ca="1" si="20"/>
        <v/>
      </c>
      <c r="P87" s="692" t="str">
        <f t="shared" ca="1" si="18"/>
        <v/>
      </c>
      <c r="Q87" s="692" t="str">
        <f t="shared" ca="1" si="19"/>
        <v/>
      </c>
    </row>
    <row r="88" spans="4:17">
      <c r="D88" s="64">
        <f t="shared" ca="1" si="8"/>
        <v>5</v>
      </c>
      <c r="E88" s="226">
        <f t="shared" ca="1" si="10"/>
        <v>48335</v>
      </c>
      <c r="F88" s="35">
        <f t="shared" si="11"/>
        <v>65</v>
      </c>
      <c r="G88" s="36">
        <f t="shared" ref="G88:G151" si="21">IFERROR(IF(F88&lt;&gt;"",-IPMT($G$16/12,F88,$G$17,$G$13),""),0)</f>
        <v>81.928235630624414</v>
      </c>
      <c r="H88" s="36">
        <f t="shared" ref="H88:H151" si="22">IFERROR(IF(F88&lt;&gt;"",-PPMT($G$16/12,F88,$G$17,$G$13),""),0)</f>
        <v>838.20630279498266</v>
      </c>
      <c r="I88" s="747">
        <f t="shared" si="12"/>
        <v>48318.735075579636</v>
      </c>
      <c r="J88" s="747"/>
      <c r="K88" s="678" t="str">
        <f t="shared" ca="1" si="13"/>
        <v/>
      </c>
      <c r="L88" s="697" t="str">
        <f t="shared" ca="1" si="9"/>
        <v/>
      </c>
      <c r="M88" s="678" t="str">
        <f t="shared" ca="1" si="14"/>
        <v/>
      </c>
      <c r="O88" s="680" t="str">
        <f t="shared" ca="1" si="20"/>
        <v/>
      </c>
      <c r="P88" s="692" t="str">
        <f t="shared" ca="1" si="18"/>
        <v/>
      </c>
      <c r="Q88" s="692" t="str">
        <f t="shared" ca="1" si="19"/>
        <v/>
      </c>
    </row>
    <row r="89" spans="4:17">
      <c r="D89" s="64">
        <f t="shared" ref="D89:D152" ca="1" si="23">IF(E89="","",MONTH(E89))</f>
        <v>6</v>
      </c>
      <c r="E89" s="226">
        <f t="shared" ca="1" si="10"/>
        <v>48366</v>
      </c>
      <c r="F89" s="35">
        <f t="shared" si="11"/>
        <v>66</v>
      </c>
      <c r="G89" s="36">
        <f t="shared" si="21"/>
        <v>80.531225125966102</v>
      </c>
      <c r="H89" s="36">
        <f t="shared" si="22"/>
        <v>839.60331329964094</v>
      </c>
      <c r="I89" s="747">
        <f t="shared" si="12"/>
        <v>47479.131762279998</v>
      </c>
      <c r="J89" s="747"/>
      <c r="K89" s="678" t="str">
        <f t="shared" ref="K89:K152" ca="1" si="24">IF(D89=12,G89+G88+G87+G86+G85+G84+G83+G82+G81+G80+G79+G78,"")</f>
        <v/>
      </c>
      <c r="L89" s="697" t="str">
        <f t="shared" ref="L89:L152" ca="1" si="25">IF(D89=12,YEAR(E89),"")</f>
        <v/>
      </c>
      <c r="M89" s="678" t="str">
        <f t="shared" ref="M89:M152" ca="1" si="26">IF(D89=12,H89+H88+H87+H86+H85+H84+H83+H82+H81+H80+H79+H78,"")</f>
        <v/>
      </c>
      <c r="O89" s="680" t="str">
        <f t="shared" ca="1" si="20"/>
        <v/>
      </c>
      <c r="P89" s="692" t="str">
        <f t="shared" ca="1" si="18"/>
        <v/>
      </c>
      <c r="Q89" s="692" t="str">
        <f t="shared" ca="1" si="19"/>
        <v/>
      </c>
    </row>
    <row r="90" spans="4:17">
      <c r="D90" s="64">
        <f t="shared" ca="1" si="23"/>
        <v>7</v>
      </c>
      <c r="E90" s="226">
        <f t="shared" ref="E90:E153" ca="1" si="27">IFERROR(IF($G$17&lt;=F89,"",DATE(YEAR(E89),MONTH(E89)+1,DAY(E89))),"")</f>
        <v>48396</v>
      </c>
      <c r="F90" s="35">
        <f t="shared" ref="F90:F153" si="28">IF(OR(F89="",F89=$G$17),"",IF(F89&lt;$G$17,F89+1,0))</f>
        <v>67</v>
      </c>
      <c r="G90" s="36">
        <f t="shared" si="21"/>
        <v>79.131886270466694</v>
      </c>
      <c r="H90" s="36">
        <f t="shared" si="22"/>
        <v>841.00265215514037</v>
      </c>
      <c r="I90" s="747">
        <f t="shared" ref="I90:I153" si="29">IF(F90&lt;&gt;"",I89-H90,"")</f>
        <v>46638.129110124857</v>
      </c>
      <c r="J90" s="747"/>
      <c r="K90" s="678" t="str">
        <f t="shared" ca="1" si="24"/>
        <v/>
      </c>
      <c r="L90" s="697" t="str">
        <f t="shared" ca="1" si="25"/>
        <v/>
      </c>
      <c r="M90" s="678" t="str">
        <f t="shared" ca="1" si="26"/>
        <v/>
      </c>
      <c r="O90" s="680" t="str">
        <f t="shared" ca="1" si="20"/>
        <v/>
      </c>
      <c r="P90" s="692" t="str">
        <f t="shared" ca="1" si="18"/>
        <v/>
      </c>
      <c r="Q90" s="692" t="str">
        <f t="shared" ca="1" si="19"/>
        <v/>
      </c>
    </row>
    <row r="91" spans="4:17">
      <c r="D91" s="64">
        <f t="shared" ca="1" si="23"/>
        <v>8</v>
      </c>
      <c r="E91" s="226">
        <f t="shared" ca="1" si="27"/>
        <v>48427</v>
      </c>
      <c r="F91" s="35">
        <f t="shared" si="28"/>
        <v>68</v>
      </c>
      <c r="G91" s="36">
        <f t="shared" si="21"/>
        <v>77.730215183541461</v>
      </c>
      <c r="H91" s="36">
        <f t="shared" si="22"/>
        <v>842.40432324206574</v>
      </c>
      <c r="I91" s="747">
        <f t="shared" si="29"/>
        <v>45795.724786882791</v>
      </c>
      <c r="J91" s="747"/>
      <c r="K91" s="678" t="str">
        <f t="shared" ca="1" si="24"/>
        <v/>
      </c>
      <c r="L91" s="697" t="str">
        <f t="shared" ca="1" si="25"/>
        <v/>
      </c>
      <c r="M91" s="678" t="str">
        <f t="shared" ca="1" si="26"/>
        <v/>
      </c>
      <c r="O91" s="680" t="str">
        <f t="shared" ca="1" si="20"/>
        <v/>
      </c>
      <c r="P91" s="692" t="str">
        <f t="shared" ca="1" si="18"/>
        <v/>
      </c>
      <c r="Q91" s="692" t="str">
        <f t="shared" ca="1" si="19"/>
        <v/>
      </c>
    </row>
    <row r="92" spans="4:17">
      <c r="D92" s="64">
        <f t="shared" ca="1" si="23"/>
        <v>9</v>
      </c>
      <c r="E92" s="226">
        <f t="shared" ca="1" si="27"/>
        <v>48458</v>
      </c>
      <c r="F92" s="35">
        <f t="shared" si="28"/>
        <v>69</v>
      </c>
      <c r="G92" s="36">
        <f t="shared" si="21"/>
        <v>76.326207978138029</v>
      </c>
      <c r="H92" s="36">
        <f t="shared" si="22"/>
        <v>843.80833044746907</v>
      </c>
      <c r="I92" s="747">
        <f t="shared" si="29"/>
        <v>44951.91645643532</v>
      </c>
      <c r="J92" s="747"/>
      <c r="K92" s="678" t="str">
        <f t="shared" ca="1" si="24"/>
        <v/>
      </c>
      <c r="L92" s="697" t="str">
        <f t="shared" ca="1" si="25"/>
        <v/>
      </c>
      <c r="M92" s="678" t="str">
        <f t="shared" ca="1" si="26"/>
        <v/>
      </c>
      <c r="O92" s="680" t="str">
        <f t="shared" ca="1" si="20"/>
        <v/>
      </c>
      <c r="P92" s="692" t="str">
        <f t="shared" ca="1" si="18"/>
        <v/>
      </c>
      <c r="Q92" s="692" t="str">
        <f t="shared" ca="1" si="19"/>
        <v/>
      </c>
    </row>
    <row r="93" spans="4:17">
      <c r="D93" s="64">
        <f t="shared" ca="1" si="23"/>
        <v>10</v>
      </c>
      <c r="E93" s="226">
        <f t="shared" ca="1" si="27"/>
        <v>48488</v>
      </c>
      <c r="F93" s="35">
        <f t="shared" si="28"/>
        <v>70</v>
      </c>
      <c r="G93" s="36">
        <f t="shared" si="21"/>
        <v>74.91986076072557</v>
      </c>
      <c r="H93" s="36">
        <f t="shared" si="22"/>
        <v>845.21467766488149</v>
      </c>
      <c r="I93" s="747">
        <f t="shared" si="29"/>
        <v>44106.701778770439</v>
      </c>
      <c r="J93" s="747"/>
      <c r="K93" s="678" t="str">
        <f t="shared" ca="1" si="24"/>
        <v/>
      </c>
      <c r="L93" s="697" t="str">
        <f t="shared" ca="1" si="25"/>
        <v/>
      </c>
      <c r="M93" s="678" t="str">
        <f t="shared" ca="1" si="26"/>
        <v/>
      </c>
      <c r="O93" s="680" t="str">
        <f t="shared" ca="1" si="20"/>
        <v/>
      </c>
      <c r="P93" s="692" t="str">
        <f t="shared" ca="1" si="18"/>
        <v/>
      </c>
      <c r="Q93" s="692" t="str">
        <f t="shared" ca="1" si="19"/>
        <v/>
      </c>
    </row>
    <row r="94" spans="4:17">
      <c r="D94" s="64">
        <f t="shared" ca="1" si="23"/>
        <v>11</v>
      </c>
      <c r="E94" s="226">
        <f t="shared" ca="1" si="27"/>
        <v>48519</v>
      </c>
      <c r="F94" s="35">
        <f t="shared" si="28"/>
        <v>71</v>
      </c>
      <c r="G94" s="36">
        <f t="shared" si="21"/>
        <v>73.511169631284091</v>
      </c>
      <c r="H94" s="36">
        <f t="shared" si="22"/>
        <v>846.62336879432291</v>
      </c>
      <c r="I94" s="747">
        <f t="shared" si="29"/>
        <v>43260.078409976115</v>
      </c>
      <c r="J94" s="747"/>
      <c r="K94" s="678" t="str">
        <f t="shared" ca="1" si="24"/>
        <v/>
      </c>
      <c r="L94" s="697" t="str">
        <f t="shared" ca="1" si="25"/>
        <v/>
      </c>
      <c r="M94" s="678" t="str">
        <f t="shared" ca="1" si="26"/>
        <v/>
      </c>
      <c r="O94" s="680" t="str">
        <f t="shared" ca="1" si="20"/>
        <v/>
      </c>
      <c r="P94" s="692" t="str">
        <f t="shared" ca="1" si="18"/>
        <v/>
      </c>
      <c r="Q94" s="692" t="str">
        <f t="shared" ca="1" si="19"/>
        <v/>
      </c>
    </row>
    <row r="95" spans="4:17">
      <c r="D95" s="64">
        <f t="shared" ca="1" si="23"/>
        <v>12</v>
      </c>
      <c r="E95" s="226">
        <f t="shared" ca="1" si="27"/>
        <v>48549</v>
      </c>
      <c r="F95" s="35">
        <f t="shared" si="28"/>
        <v>72</v>
      </c>
      <c r="G95" s="36">
        <f t="shared" si="21"/>
        <v>72.100130683293557</v>
      </c>
      <c r="H95" s="36">
        <f t="shared" si="22"/>
        <v>848.03440774231353</v>
      </c>
      <c r="I95" s="747">
        <f t="shared" si="29"/>
        <v>42412.044002233801</v>
      </c>
      <c r="J95" s="747"/>
      <c r="K95" s="678">
        <f t="shared" ca="1" si="24"/>
        <v>957.81554727547973</v>
      </c>
      <c r="L95" s="697">
        <f t="shared" ca="1" si="25"/>
        <v>2032</v>
      </c>
      <c r="M95" s="678">
        <f t="shared" ca="1" si="26"/>
        <v>10083.798913831806</v>
      </c>
      <c r="O95" s="680" t="str">
        <f t="shared" ca="1" si="20"/>
        <v/>
      </c>
      <c r="P95" s="692" t="str">
        <f t="shared" ca="1" si="18"/>
        <v/>
      </c>
      <c r="Q95" s="692" t="str">
        <f t="shared" ca="1" si="19"/>
        <v/>
      </c>
    </row>
    <row r="96" spans="4:17">
      <c r="D96" s="64">
        <f t="shared" ca="1" si="23"/>
        <v>1</v>
      </c>
      <c r="E96" s="226">
        <f t="shared" ca="1" si="27"/>
        <v>48580</v>
      </c>
      <c r="F96" s="35">
        <f t="shared" si="28"/>
        <v>73</v>
      </c>
      <c r="G96" s="36">
        <f t="shared" si="21"/>
        <v>70.68674000372306</v>
      </c>
      <c r="H96" s="36">
        <f t="shared" si="22"/>
        <v>849.44779842188404</v>
      </c>
      <c r="I96" s="747">
        <f t="shared" si="29"/>
        <v>41562.596203811918</v>
      </c>
      <c r="J96" s="747"/>
      <c r="K96" s="678" t="str">
        <f t="shared" ca="1" si="24"/>
        <v/>
      </c>
      <c r="L96" s="697" t="str">
        <f t="shared" ca="1" si="25"/>
        <v/>
      </c>
      <c r="M96" s="678" t="str">
        <f t="shared" ca="1" si="26"/>
        <v/>
      </c>
      <c r="O96" s="680" t="str">
        <f t="shared" ca="1" si="20"/>
        <v/>
      </c>
      <c r="P96" s="692" t="str">
        <f t="shared" ca="1" si="18"/>
        <v/>
      </c>
      <c r="Q96" s="692" t="str">
        <f t="shared" ca="1" si="19"/>
        <v/>
      </c>
    </row>
    <row r="97" spans="4:17">
      <c r="D97" s="64">
        <f t="shared" ca="1" si="23"/>
        <v>2</v>
      </c>
      <c r="E97" s="226">
        <f t="shared" ca="1" si="27"/>
        <v>48611</v>
      </c>
      <c r="F97" s="35">
        <f t="shared" si="28"/>
        <v>74</v>
      </c>
      <c r="G97" s="36">
        <f t="shared" si="21"/>
        <v>69.270993673019902</v>
      </c>
      <c r="H97" s="36">
        <f t="shared" si="22"/>
        <v>850.86354475258725</v>
      </c>
      <c r="I97" s="747">
        <f t="shared" si="29"/>
        <v>40711.732659059329</v>
      </c>
      <c r="J97" s="747"/>
      <c r="K97" s="678" t="str">
        <f t="shared" ca="1" si="24"/>
        <v/>
      </c>
      <c r="L97" s="697" t="str">
        <f t="shared" ca="1" si="25"/>
        <v/>
      </c>
      <c r="M97" s="678" t="str">
        <f t="shared" ca="1" si="26"/>
        <v/>
      </c>
      <c r="O97" s="680" t="str">
        <f t="shared" ca="1" si="20"/>
        <v/>
      </c>
      <c r="P97" s="692" t="str">
        <f t="shared" ca="1" si="18"/>
        <v/>
      </c>
      <c r="Q97" s="692" t="str">
        <f t="shared" ca="1" si="19"/>
        <v/>
      </c>
    </row>
    <row r="98" spans="4:17">
      <c r="D98" s="64">
        <f t="shared" ca="1" si="23"/>
        <v>3</v>
      </c>
      <c r="E98" s="226">
        <f t="shared" ca="1" si="27"/>
        <v>48639</v>
      </c>
      <c r="F98" s="35">
        <f t="shared" si="28"/>
        <v>75</v>
      </c>
      <c r="G98" s="36">
        <f t="shared" si="21"/>
        <v>67.852887765098927</v>
      </c>
      <c r="H98" s="36">
        <f t="shared" si="22"/>
        <v>852.28165066050803</v>
      </c>
      <c r="I98" s="747">
        <f t="shared" si="29"/>
        <v>39859.451008398821</v>
      </c>
      <c r="J98" s="747"/>
      <c r="K98" s="678" t="str">
        <f t="shared" ca="1" si="24"/>
        <v/>
      </c>
      <c r="L98" s="697" t="str">
        <f t="shared" ca="1" si="25"/>
        <v/>
      </c>
      <c r="M98" s="678" t="str">
        <f t="shared" ca="1" si="26"/>
        <v/>
      </c>
      <c r="O98" s="680" t="str">
        <f t="shared" ca="1" si="20"/>
        <v/>
      </c>
      <c r="P98" s="692" t="str">
        <f t="shared" ca="1" si="18"/>
        <v/>
      </c>
      <c r="Q98" s="692" t="str">
        <f t="shared" ca="1" si="19"/>
        <v/>
      </c>
    </row>
    <row r="99" spans="4:17">
      <c r="D99" s="64">
        <f t="shared" ca="1" si="23"/>
        <v>4</v>
      </c>
      <c r="E99" s="226">
        <f t="shared" ca="1" si="27"/>
        <v>48670</v>
      </c>
      <c r="F99" s="35">
        <f t="shared" si="28"/>
        <v>76</v>
      </c>
      <c r="G99" s="36">
        <f t="shared" si="21"/>
        <v>66.432418347331406</v>
      </c>
      <c r="H99" s="36">
        <f t="shared" si="22"/>
        <v>853.7021200782757</v>
      </c>
      <c r="I99" s="747">
        <f t="shared" si="29"/>
        <v>39005.748888320544</v>
      </c>
      <c r="J99" s="747"/>
      <c r="K99" s="678" t="str">
        <f t="shared" ca="1" si="24"/>
        <v/>
      </c>
      <c r="L99" s="697" t="str">
        <f t="shared" ca="1" si="25"/>
        <v/>
      </c>
      <c r="M99" s="678" t="str">
        <f t="shared" ca="1" si="26"/>
        <v/>
      </c>
      <c r="O99" s="680" t="str">
        <f t="shared" ca="1" si="20"/>
        <v/>
      </c>
      <c r="P99" s="692" t="str">
        <f t="shared" ca="1" si="18"/>
        <v/>
      </c>
      <c r="Q99" s="692" t="str">
        <f t="shared" ca="1" si="19"/>
        <v/>
      </c>
    </row>
    <row r="100" spans="4:17">
      <c r="D100" s="64">
        <f t="shared" ca="1" si="23"/>
        <v>5</v>
      </c>
      <c r="E100" s="226">
        <f t="shared" ca="1" si="27"/>
        <v>48700</v>
      </c>
      <c r="F100" s="35">
        <f t="shared" si="28"/>
        <v>77</v>
      </c>
      <c r="G100" s="36">
        <f t="shared" si="21"/>
        <v>65.009581480534266</v>
      </c>
      <c r="H100" s="36">
        <f t="shared" si="22"/>
        <v>855.12495694507277</v>
      </c>
      <c r="I100" s="747">
        <f t="shared" si="29"/>
        <v>38150.62393137547</v>
      </c>
      <c r="J100" s="747"/>
      <c r="K100" s="678" t="str">
        <f t="shared" ca="1" si="24"/>
        <v/>
      </c>
      <c r="L100" s="697" t="str">
        <f t="shared" ca="1" si="25"/>
        <v/>
      </c>
      <c r="M100" s="678" t="str">
        <f t="shared" ca="1" si="26"/>
        <v/>
      </c>
      <c r="O100" s="680" t="str">
        <f t="shared" ca="1" si="20"/>
        <v/>
      </c>
      <c r="P100" s="692" t="str">
        <f t="shared" ca="1" si="18"/>
        <v/>
      </c>
      <c r="Q100" s="692" t="str">
        <f t="shared" ca="1" si="19"/>
        <v/>
      </c>
    </row>
    <row r="101" spans="4:17">
      <c r="D101" s="64">
        <f t="shared" ca="1" si="23"/>
        <v>6</v>
      </c>
      <c r="E101" s="226">
        <f t="shared" ca="1" si="27"/>
        <v>48731</v>
      </c>
      <c r="F101" s="35">
        <f t="shared" si="28"/>
        <v>78</v>
      </c>
      <c r="G101" s="36">
        <f t="shared" si="21"/>
        <v>63.584373218959158</v>
      </c>
      <c r="H101" s="36">
        <f t="shared" si="22"/>
        <v>856.55016520664788</v>
      </c>
      <c r="I101" s="747">
        <f t="shared" si="29"/>
        <v>37294.073766168825</v>
      </c>
      <c r="J101" s="747"/>
      <c r="K101" s="678" t="str">
        <f t="shared" ca="1" si="24"/>
        <v/>
      </c>
      <c r="L101" s="697" t="str">
        <f t="shared" ca="1" si="25"/>
        <v/>
      </c>
      <c r="M101" s="678" t="str">
        <f t="shared" ca="1" si="26"/>
        <v/>
      </c>
      <c r="O101" s="680" t="str">
        <f t="shared" ca="1" si="20"/>
        <v/>
      </c>
      <c r="P101" s="692" t="str">
        <f t="shared" ca="1" si="18"/>
        <v/>
      </c>
      <c r="Q101" s="692" t="str">
        <f t="shared" ca="1" si="19"/>
        <v/>
      </c>
    </row>
    <row r="102" spans="4:17">
      <c r="D102" s="64">
        <f t="shared" ca="1" si="23"/>
        <v>7</v>
      </c>
      <c r="E102" s="226">
        <f t="shared" ca="1" si="27"/>
        <v>48761</v>
      </c>
      <c r="F102" s="35">
        <f t="shared" si="28"/>
        <v>79</v>
      </c>
      <c r="G102" s="36">
        <f t="shared" si="21"/>
        <v>62.156789610281415</v>
      </c>
      <c r="H102" s="36">
        <f t="shared" si="22"/>
        <v>857.97774881532564</v>
      </c>
      <c r="I102" s="747">
        <f t="shared" si="29"/>
        <v>36436.096017353499</v>
      </c>
      <c r="J102" s="747"/>
      <c r="K102" s="678" t="str">
        <f t="shared" ca="1" si="24"/>
        <v/>
      </c>
      <c r="L102" s="697" t="str">
        <f t="shared" ca="1" si="25"/>
        <v/>
      </c>
      <c r="M102" s="678" t="str">
        <f t="shared" ca="1" si="26"/>
        <v/>
      </c>
      <c r="O102" s="680" t="str">
        <f t="shared" ca="1" si="20"/>
        <v/>
      </c>
      <c r="P102" s="692" t="str">
        <f t="shared" ca="1" si="18"/>
        <v/>
      </c>
      <c r="Q102" s="692" t="str">
        <f t="shared" ca="1" si="19"/>
        <v/>
      </c>
    </row>
    <row r="103" spans="4:17">
      <c r="D103" s="64">
        <f t="shared" ca="1" si="23"/>
        <v>8</v>
      </c>
      <c r="E103" s="226">
        <f t="shared" ca="1" si="27"/>
        <v>48792</v>
      </c>
      <c r="F103" s="35">
        <f t="shared" si="28"/>
        <v>80</v>
      </c>
      <c r="G103" s="36">
        <f t="shared" si="21"/>
        <v>60.726826695589203</v>
      </c>
      <c r="H103" s="36">
        <f t="shared" si="22"/>
        <v>859.40771173001792</v>
      </c>
      <c r="I103" s="747">
        <f t="shared" si="29"/>
        <v>35576.68830562348</v>
      </c>
      <c r="J103" s="747"/>
      <c r="K103" s="678" t="str">
        <f t="shared" ca="1" si="24"/>
        <v/>
      </c>
      <c r="L103" s="697" t="str">
        <f t="shared" ca="1" si="25"/>
        <v/>
      </c>
      <c r="M103" s="678" t="str">
        <f t="shared" ca="1" si="26"/>
        <v/>
      </c>
      <c r="O103" s="680" t="str">
        <f t="shared" ca="1" si="20"/>
        <v/>
      </c>
      <c r="P103" s="692" t="str">
        <f t="shared" ca="1" si="18"/>
        <v/>
      </c>
      <c r="Q103" s="692" t="str">
        <f t="shared" ca="1" si="19"/>
        <v/>
      </c>
    </row>
    <row r="104" spans="4:17">
      <c r="D104" s="64">
        <f t="shared" ca="1" si="23"/>
        <v>9</v>
      </c>
      <c r="E104" s="226">
        <f t="shared" ca="1" si="27"/>
        <v>48823</v>
      </c>
      <c r="F104" s="35">
        <f t="shared" si="28"/>
        <v>81</v>
      </c>
      <c r="G104" s="36">
        <f t="shared" si="21"/>
        <v>59.294480509372505</v>
      </c>
      <c r="H104" s="36">
        <f t="shared" si="22"/>
        <v>860.84005791623463</v>
      </c>
      <c r="I104" s="747">
        <f t="shared" si="29"/>
        <v>34715.848247707247</v>
      </c>
      <c r="J104" s="747"/>
      <c r="K104" s="678" t="str">
        <f t="shared" ca="1" si="24"/>
        <v/>
      </c>
      <c r="L104" s="697" t="str">
        <f t="shared" ca="1" si="25"/>
        <v/>
      </c>
      <c r="M104" s="678" t="str">
        <f t="shared" ca="1" si="26"/>
        <v/>
      </c>
      <c r="O104" s="680" t="str">
        <f t="shared" ca="1" si="20"/>
        <v/>
      </c>
      <c r="P104" s="692" t="str">
        <f t="shared" ca="1" si="18"/>
        <v/>
      </c>
      <c r="Q104" s="692" t="str">
        <f t="shared" ca="1" si="19"/>
        <v/>
      </c>
    </row>
    <row r="105" spans="4:17">
      <c r="D105" s="64">
        <f t="shared" ca="1" si="23"/>
        <v>10</v>
      </c>
      <c r="E105" s="226">
        <f t="shared" ca="1" si="27"/>
        <v>48853</v>
      </c>
      <c r="F105" s="35">
        <f t="shared" si="28"/>
        <v>82</v>
      </c>
      <c r="G105" s="36">
        <f t="shared" si="21"/>
        <v>57.859747079512118</v>
      </c>
      <c r="H105" s="36">
        <f t="shared" si="22"/>
        <v>862.27479134609507</v>
      </c>
      <c r="I105" s="747">
        <f t="shared" si="29"/>
        <v>33853.573456361155</v>
      </c>
      <c r="J105" s="747"/>
      <c r="K105" s="678" t="str">
        <f t="shared" ca="1" si="24"/>
        <v/>
      </c>
      <c r="L105" s="697" t="str">
        <f t="shared" ca="1" si="25"/>
        <v/>
      </c>
      <c r="M105" s="678" t="str">
        <f t="shared" ca="1" si="26"/>
        <v/>
      </c>
      <c r="O105" s="680" t="str">
        <f t="shared" ca="1" si="20"/>
        <v/>
      </c>
      <c r="P105" s="692" t="str">
        <f t="shared" ca="1" si="18"/>
        <v/>
      </c>
      <c r="Q105" s="692" t="str">
        <f t="shared" ca="1" si="19"/>
        <v/>
      </c>
    </row>
    <row r="106" spans="4:17">
      <c r="D106" s="64">
        <f t="shared" ca="1" si="23"/>
        <v>11</v>
      </c>
      <c r="E106" s="226">
        <f t="shared" ca="1" si="27"/>
        <v>48884</v>
      </c>
      <c r="F106" s="35">
        <f t="shared" si="28"/>
        <v>83</v>
      </c>
      <c r="G106" s="36">
        <f t="shared" si="21"/>
        <v>56.422622427268621</v>
      </c>
      <c r="H106" s="36">
        <f t="shared" si="22"/>
        <v>863.71191599833844</v>
      </c>
      <c r="I106" s="747">
        <f t="shared" si="29"/>
        <v>32989.861540362814</v>
      </c>
      <c r="J106" s="747"/>
      <c r="K106" s="678" t="str">
        <f t="shared" ca="1" si="24"/>
        <v/>
      </c>
      <c r="L106" s="697" t="str">
        <f t="shared" ca="1" si="25"/>
        <v/>
      </c>
      <c r="M106" s="678" t="str">
        <f t="shared" ca="1" si="26"/>
        <v/>
      </c>
      <c r="O106" s="680" t="str">
        <f t="shared" ca="1" si="20"/>
        <v/>
      </c>
      <c r="P106" s="692" t="str">
        <f t="shared" ca="1" si="18"/>
        <v/>
      </c>
      <c r="Q106" s="692" t="str">
        <f t="shared" ca="1" si="19"/>
        <v/>
      </c>
    </row>
    <row r="107" spans="4:17">
      <c r="D107" s="64">
        <f t="shared" ca="1" si="23"/>
        <v>12</v>
      </c>
      <c r="E107" s="226">
        <f t="shared" ca="1" si="27"/>
        <v>48914</v>
      </c>
      <c r="F107" s="35">
        <f t="shared" si="28"/>
        <v>84</v>
      </c>
      <c r="G107" s="36">
        <f t="shared" si="21"/>
        <v>54.983102567271395</v>
      </c>
      <c r="H107" s="36">
        <f t="shared" si="22"/>
        <v>865.15143585833573</v>
      </c>
      <c r="I107" s="747">
        <f t="shared" si="29"/>
        <v>32124.710104504476</v>
      </c>
      <c r="J107" s="747"/>
      <c r="K107" s="678">
        <f t="shared" ca="1" si="24"/>
        <v>754.28056337796193</v>
      </c>
      <c r="L107" s="697">
        <f t="shared" ca="1" si="25"/>
        <v>2033</v>
      </c>
      <c r="M107" s="678">
        <f t="shared" ca="1" si="26"/>
        <v>10287.333897729322</v>
      </c>
      <c r="O107" s="680" t="str">
        <f t="shared" ca="1" si="20"/>
        <v/>
      </c>
      <c r="P107" s="692" t="str">
        <f t="shared" ca="1" si="18"/>
        <v/>
      </c>
      <c r="Q107" s="692" t="str">
        <f t="shared" ca="1" si="19"/>
        <v/>
      </c>
    </row>
    <row r="108" spans="4:17">
      <c r="D108" s="64">
        <f t="shared" ca="1" si="23"/>
        <v>1</v>
      </c>
      <c r="E108" s="226">
        <f t="shared" ca="1" si="27"/>
        <v>48945</v>
      </c>
      <c r="F108" s="35">
        <f t="shared" si="28"/>
        <v>85</v>
      </c>
      <c r="G108" s="36">
        <f t="shared" si="21"/>
        <v>53.541183507507498</v>
      </c>
      <c r="H108" s="36">
        <f t="shared" si="22"/>
        <v>866.59335491809952</v>
      </c>
      <c r="I108" s="747">
        <f t="shared" si="29"/>
        <v>31258.116749586377</v>
      </c>
      <c r="J108" s="747"/>
      <c r="K108" s="678" t="str">
        <f t="shared" ca="1" si="24"/>
        <v/>
      </c>
      <c r="L108" s="697" t="str">
        <f t="shared" ca="1" si="25"/>
        <v/>
      </c>
      <c r="M108" s="678" t="str">
        <f t="shared" ca="1" si="26"/>
        <v/>
      </c>
      <c r="O108" s="680" t="str">
        <f t="shared" ca="1" si="20"/>
        <v/>
      </c>
      <c r="P108" s="692" t="str">
        <f t="shared" ca="1" si="18"/>
        <v/>
      </c>
      <c r="Q108" s="692" t="str">
        <f t="shared" ca="1" si="19"/>
        <v/>
      </c>
    </row>
    <row r="109" spans="4:17">
      <c r="D109" s="64">
        <f t="shared" ca="1" si="23"/>
        <v>2</v>
      </c>
      <c r="E109" s="226">
        <f t="shared" ca="1" si="27"/>
        <v>48976</v>
      </c>
      <c r="F109" s="35">
        <f t="shared" si="28"/>
        <v>86</v>
      </c>
      <c r="G109" s="36">
        <f t="shared" si="21"/>
        <v>52.09686124931067</v>
      </c>
      <c r="H109" s="36">
        <f t="shared" si="22"/>
        <v>868.03767717629648</v>
      </c>
      <c r="I109" s="747">
        <f t="shared" si="29"/>
        <v>30390.079072410081</v>
      </c>
      <c r="J109" s="747"/>
      <c r="K109" s="678" t="str">
        <f t="shared" ca="1" si="24"/>
        <v/>
      </c>
      <c r="L109" s="697" t="str">
        <f t="shared" ca="1" si="25"/>
        <v/>
      </c>
      <c r="M109" s="678" t="str">
        <f t="shared" ca="1" si="26"/>
        <v/>
      </c>
      <c r="O109" s="680" t="str">
        <f t="shared" ca="1" si="20"/>
        <v/>
      </c>
      <c r="P109" s="692" t="str">
        <f t="shared" ca="1" si="18"/>
        <v/>
      </c>
      <c r="Q109" s="692" t="str">
        <f t="shared" ca="1" si="19"/>
        <v/>
      </c>
    </row>
    <row r="110" spans="4:17">
      <c r="D110" s="64">
        <f t="shared" ca="1" si="23"/>
        <v>3</v>
      </c>
      <c r="E110" s="226">
        <f t="shared" ca="1" si="27"/>
        <v>49004</v>
      </c>
      <c r="F110" s="35">
        <f t="shared" si="28"/>
        <v>87</v>
      </c>
      <c r="G110" s="36">
        <f t="shared" si="21"/>
        <v>50.650131787350176</v>
      </c>
      <c r="H110" s="36">
        <f t="shared" si="22"/>
        <v>869.48440663825693</v>
      </c>
      <c r="I110" s="747">
        <f t="shared" si="29"/>
        <v>29520.594665771823</v>
      </c>
      <c r="J110" s="747"/>
      <c r="K110" s="678" t="str">
        <f t="shared" ca="1" si="24"/>
        <v/>
      </c>
      <c r="L110" s="697" t="str">
        <f t="shared" ca="1" si="25"/>
        <v/>
      </c>
      <c r="M110" s="678" t="str">
        <f t="shared" ca="1" si="26"/>
        <v/>
      </c>
      <c r="O110" s="680" t="str">
        <f t="shared" ca="1" si="20"/>
        <v/>
      </c>
      <c r="P110" s="692" t="str">
        <f t="shared" ca="1" si="18"/>
        <v/>
      </c>
      <c r="Q110" s="692" t="str">
        <f t="shared" ca="1" si="19"/>
        <v/>
      </c>
    </row>
    <row r="111" spans="4:17">
      <c r="D111" s="64">
        <f t="shared" ca="1" si="23"/>
        <v>4</v>
      </c>
      <c r="E111" s="226">
        <f t="shared" ca="1" si="27"/>
        <v>49035</v>
      </c>
      <c r="F111" s="35">
        <f t="shared" si="28"/>
        <v>88</v>
      </c>
      <c r="G111" s="36">
        <f t="shared" si="21"/>
        <v>49.200991109619743</v>
      </c>
      <c r="H111" s="36">
        <f t="shared" si="22"/>
        <v>870.93354731598731</v>
      </c>
      <c r="I111" s="747">
        <f t="shared" si="29"/>
        <v>28649.661118455835</v>
      </c>
      <c r="J111" s="747"/>
      <c r="K111" s="678" t="str">
        <f t="shared" ca="1" si="24"/>
        <v/>
      </c>
      <c r="L111" s="697" t="str">
        <f t="shared" ca="1" si="25"/>
        <v/>
      </c>
      <c r="M111" s="678" t="str">
        <f t="shared" ca="1" si="26"/>
        <v/>
      </c>
      <c r="O111" s="680" t="str">
        <f t="shared" ca="1" si="20"/>
        <v/>
      </c>
      <c r="P111" s="692" t="str">
        <f t="shared" ca="1" si="18"/>
        <v/>
      </c>
      <c r="Q111" s="692" t="str">
        <f t="shared" ca="1" si="19"/>
        <v/>
      </c>
    </row>
    <row r="112" spans="4:17">
      <c r="D112" s="64">
        <f t="shared" ca="1" si="23"/>
        <v>5</v>
      </c>
      <c r="E112" s="226">
        <f t="shared" ca="1" si="27"/>
        <v>49065</v>
      </c>
      <c r="F112" s="35">
        <f t="shared" si="28"/>
        <v>89</v>
      </c>
      <c r="G112" s="36">
        <f t="shared" si="21"/>
        <v>47.749435197426429</v>
      </c>
      <c r="H112" s="36">
        <f t="shared" si="22"/>
        <v>872.38510322818058</v>
      </c>
      <c r="I112" s="747">
        <f t="shared" si="29"/>
        <v>27777.276015227653</v>
      </c>
      <c r="J112" s="747"/>
      <c r="K112" s="678" t="str">
        <f t="shared" ca="1" si="24"/>
        <v/>
      </c>
      <c r="L112" s="697" t="str">
        <f t="shared" ca="1" si="25"/>
        <v/>
      </c>
      <c r="M112" s="678" t="str">
        <f t="shared" ca="1" si="26"/>
        <v/>
      </c>
      <c r="O112" s="680" t="str">
        <f t="shared" ca="1" si="20"/>
        <v/>
      </c>
      <c r="P112" s="692" t="str">
        <f t="shared" ca="1" si="18"/>
        <v/>
      </c>
      <c r="Q112" s="692" t="str">
        <f t="shared" ca="1" si="19"/>
        <v/>
      </c>
    </row>
    <row r="113" spans="4:17">
      <c r="D113" s="64">
        <f t="shared" ca="1" si="23"/>
        <v>6</v>
      </c>
      <c r="E113" s="226">
        <f t="shared" ca="1" si="27"/>
        <v>49096</v>
      </c>
      <c r="F113" s="35">
        <f t="shared" si="28"/>
        <v>90</v>
      </c>
      <c r="G113" s="36">
        <f t="shared" si="21"/>
        <v>46.295460025379462</v>
      </c>
      <c r="H113" s="36">
        <f t="shared" si="22"/>
        <v>873.83907840022766</v>
      </c>
      <c r="I113" s="747">
        <f t="shared" si="29"/>
        <v>26903.436936827427</v>
      </c>
      <c r="J113" s="747"/>
      <c r="K113" s="678" t="str">
        <f t="shared" ca="1" si="24"/>
        <v/>
      </c>
      <c r="L113" s="697" t="str">
        <f t="shared" ca="1" si="25"/>
        <v/>
      </c>
      <c r="M113" s="678" t="str">
        <f t="shared" ca="1" si="26"/>
        <v/>
      </c>
      <c r="O113" s="680" t="str">
        <f t="shared" ca="1" si="20"/>
        <v/>
      </c>
      <c r="P113" s="692" t="str">
        <f t="shared" ca="1" si="18"/>
        <v/>
      </c>
      <c r="Q113" s="692" t="str">
        <f t="shared" ca="1" si="19"/>
        <v/>
      </c>
    </row>
    <row r="114" spans="4:17">
      <c r="D114" s="64">
        <f t="shared" ca="1" si="23"/>
        <v>7</v>
      </c>
      <c r="E114" s="226">
        <f t="shared" ca="1" si="27"/>
        <v>49126</v>
      </c>
      <c r="F114" s="35">
        <f t="shared" si="28"/>
        <v>91</v>
      </c>
      <c r="G114" s="36">
        <f t="shared" si="21"/>
        <v>44.83906156137909</v>
      </c>
      <c r="H114" s="36">
        <f t="shared" si="22"/>
        <v>875.29547686422791</v>
      </c>
      <c r="I114" s="747">
        <f t="shared" si="29"/>
        <v>26028.141459963201</v>
      </c>
      <c r="J114" s="747"/>
      <c r="K114" s="678" t="str">
        <f t="shared" ca="1" si="24"/>
        <v/>
      </c>
      <c r="L114" s="697" t="str">
        <f t="shared" ca="1" si="25"/>
        <v/>
      </c>
      <c r="M114" s="678" t="str">
        <f t="shared" ca="1" si="26"/>
        <v/>
      </c>
      <c r="O114" s="680" t="str">
        <f t="shared" ca="1" si="20"/>
        <v/>
      </c>
      <c r="P114" s="692" t="str">
        <f t="shared" ca="1" si="18"/>
        <v/>
      </c>
      <c r="Q114" s="692" t="str">
        <f t="shared" ca="1" si="19"/>
        <v/>
      </c>
    </row>
    <row r="115" spans="4:17">
      <c r="D115" s="64">
        <f t="shared" ca="1" si="23"/>
        <v>8</v>
      </c>
      <c r="E115" s="226">
        <f t="shared" ca="1" si="27"/>
        <v>49157</v>
      </c>
      <c r="F115" s="35">
        <f t="shared" si="28"/>
        <v>92</v>
      </c>
      <c r="G115" s="36">
        <f t="shared" si="21"/>
        <v>43.380235766605367</v>
      </c>
      <c r="H115" s="36">
        <f t="shared" si="22"/>
        <v>876.75430265900184</v>
      </c>
      <c r="I115" s="747">
        <f t="shared" si="29"/>
        <v>25151.387157304198</v>
      </c>
      <c r="J115" s="747"/>
      <c r="K115" s="678" t="str">
        <f t="shared" ca="1" si="24"/>
        <v/>
      </c>
      <c r="L115" s="697" t="str">
        <f t="shared" ca="1" si="25"/>
        <v/>
      </c>
      <c r="M115" s="678" t="str">
        <f t="shared" ca="1" si="26"/>
        <v/>
      </c>
      <c r="O115" s="680" t="str">
        <f t="shared" ca="1" si="20"/>
        <v/>
      </c>
      <c r="P115" s="692" t="str">
        <f t="shared" ca="1" si="18"/>
        <v/>
      </c>
      <c r="Q115" s="692" t="str">
        <f t="shared" ca="1" si="19"/>
        <v/>
      </c>
    </row>
    <row r="116" spans="4:17">
      <c r="D116" s="64">
        <f t="shared" ca="1" si="23"/>
        <v>9</v>
      </c>
      <c r="E116" s="226">
        <f t="shared" ca="1" si="27"/>
        <v>49188</v>
      </c>
      <c r="F116" s="35">
        <f t="shared" si="28"/>
        <v>93</v>
      </c>
      <c r="G116" s="36">
        <f t="shared" si="21"/>
        <v>41.918978595507042</v>
      </c>
      <c r="H116" s="36">
        <f t="shared" si="22"/>
        <v>878.21555983010001</v>
      </c>
      <c r="I116" s="747">
        <f t="shared" si="29"/>
        <v>24273.171597474098</v>
      </c>
      <c r="J116" s="747"/>
      <c r="K116" s="678" t="str">
        <f t="shared" ca="1" si="24"/>
        <v/>
      </c>
      <c r="L116" s="697" t="str">
        <f t="shared" ca="1" si="25"/>
        <v/>
      </c>
      <c r="M116" s="678" t="str">
        <f t="shared" ca="1" si="26"/>
        <v/>
      </c>
      <c r="O116" s="680" t="str">
        <f t="shared" ca="1" si="20"/>
        <v/>
      </c>
      <c r="P116" s="692" t="str">
        <f t="shared" ca="1" si="18"/>
        <v/>
      </c>
      <c r="Q116" s="692" t="str">
        <f t="shared" ca="1" si="19"/>
        <v/>
      </c>
    </row>
    <row r="117" spans="4:17">
      <c r="D117" s="64">
        <f t="shared" ca="1" si="23"/>
        <v>10</v>
      </c>
      <c r="E117" s="226">
        <f t="shared" ca="1" si="27"/>
        <v>49218</v>
      </c>
      <c r="F117" s="35">
        <f t="shared" si="28"/>
        <v>94</v>
      </c>
      <c r="G117" s="36">
        <f t="shared" si="21"/>
        <v>40.455285995790206</v>
      </c>
      <c r="H117" s="36">
        <f t="shared" si="22"/>
        <v>879.67925242981687</v>
      </c>
      <c r="I117" s="747">
        <f t="shared" si="29"/>
        <v>23393.49234504428</v>
      </c>
      <c r="J117" s="747"/>
      <c r="K117" s="678" t="str">
        <f t="shared" ca="1" si="24"/>
        <v/>
      </c>
      <c r="L117" s="697" t="str">
        <f t="shared" ca="1" si="25"/>
        <v/>
      </c>
      <c r="M117" s="678" t="str">
        <f t="shared" ca="1" si="26"/>
        <v/>
      </c>
      <c r="O117" s="680" t="str">
        <f t="shared" ca="1" si="20"/>
        <v/>
      </c>
      <c r="P117" s="692" t="str">
        <f t="shared" ca="1" si="18"/>
        <v/>
      </c>
      <c r="Q117" s="692" t="str">
        <f t="shared" ca="1" si="19"/>
        <v/>
      </c>
    </row>
    <row r="118" spans="4:17">
      <c r="D118" s="64">
        <f t="shared" ca="1" si="23"/>
        <v>11</v>
      </c>
      <c r="E118" s="226">
        <f t="shared" ca="1" si="27"/>
        <v>49249</v>
      </c>
      <c r="F118" s="35">
        <f t="shared" si="28"/>
        <v>95</v>
      </c>
      <c r="G118" s="36">
        <f t="shared" si="21"/>
        <v>38.989153908407175</v>
      </c>
      <c r="H118" s="36">
        <f t="shared" si="22"/>
        <v>881.1453845172</v>
      </c>
      <c r="I118" s="747">
        <f t="shared" si="29"/>
        <v>22512.34696052708</v>
      </c>
      <c r="J118" s="747"/>
      <c r="K118" s="678" t="str">
        <f t="shared" ca="1" si="24"/>
        <v/>
      </c>
      <c r="L118" s="697" t="str">
        <f t="shared" ca="1" si="25"/>
        <v/>
      </c>
      <c r="M118" s="678" t="str">
        <f t="shared" ca="1" si="26"/>
        <v/>
      </c>
      <c r="O118" s="680" t="str">
        <f t="shared" ca="1" si="20"/>
        <v/>
      </c>
      <c r="P118" s="692" t="str">
        <f t="shared" ca="1" si="18"/>
        <v/>
      </c>
      <c r="Q118" s="692" t="str">
        <f t="shared" ca="1" si="19"/>
        <v/>
      </c>
    </row>
    <row r="119" spans="4:17">
      <c r="D119" s="64">
        <f t="shared" ca="1" si="23"/>
        <v>12</v>
      </c>
      <c r="E119" s="226">
        <f t="shared" ca="1" si="27"/>
        <v>49279</v>
      </c>
      <c r="F119" s="35">
        <f t="shared" si="28"/>
        <v>96</v>
      </c>
      <c r="G119" s="36">
        <f t="shared" si="21"/>
        <v>37.520578267545176</v>
      </c>
      <c r="H119" s="36">
        <f t="shared" si="22"/>
        <v>882.6139601580619</v>
      </c>
      <c r="I119" s="747">
        <f t="shared" si="29"/>
        <v>21629.733000369019</v>
      </c>
      <c r="J119" s="747"/>
      <c r="K119" s="678">
        <f t="shared" ca="1" si="24"/>
        <v>546.63735697182801</v>
      </c>
      <c r="L119" s="697">
        <f t="shared" ca="1" si="25"/>
        <v>2034</v>
      </c>
      <c r="M119" s="678">
        <f t="shared" ca="1" si="26"/>
        <v>10494.977104135456</v>
      </c>
      <c r="O119" s="680" t="str">
        <f t="shared" ca="1" si="20"/>
        <v/>
      </c>
      <c r="P119" s="692" t="str">
        <f t="shared" ca="1" si="18"/>
        <v/>
      </c>
      <c r="Q119" s="692" t="str">
        <f t="shared" ca="1" si="19"/>
        <v/>
      </c>
    </row>
    <row r="120" spans="4:17">
      <c r="D120" s="64">
        <f t="shared" ca="1" si="23"/>
        <v>1</v>
      </c>
      <c r="E120" s="226">
        <f t="shared" ca="1" si="27"/>
        <v>49310</v>
      </c>
      <c r="F120" s="35">
        <f t="shared" si="28"/>
        <v>97</v>
      </c>
      <c r="G120" s="36">
        <f t="shared" si="21"/>
        <v>36.049555000615072</v>
      </c>
      <c r="H120" s="36">
        <f t="shared" si="22"/>
        <v>884.08498342499206</v>
      </c>
      <c r="I120" s="747">
        <f t="shared" si="29"/>
        <v>20745.648016944026</v>
      </c>
      <c r="J120" s="747"/>
      <c r="K120" s="678" t="str">
        <f t="shared" ca="1" si="24"/>
        <v/>
      </c>
      <c r="L120" s="697" t="str">
        <f t="shared" ca="1" si="25"/>
        <v/>
      </c>
      <c r="M120" s="678" t="str">
        <f t="shared" ca="1" si="26"/>
        <v/>
      </c>
      <c r="O120" s="680" t="str">
        <f t="shared" ca="1" si="20"/>
        <v/>
      </c>
      <c r="P120" s="692" t="str">
        <f t="shared" ca="1" si="18"/>
        <v/>
      </c>
      <c r="Q120" s="692" t="str">
        <f t="shared" ca="1" si="19"/>
        <v/>
      </c>
    </row>
    <row r="121" spans="4:17">
      <c r="D121" s="64">
        <f t="shared" ca="1" si="23"/>
        <v>2</v>
      </c>
      <c r="E121" s="226">
        <f t="shared" ca="1" si="27"/>
        <v>49341</v>
      </c>
      <c r="F121" s="35">
        <f t="shared" si="28"/>
        <v>98</v>
      </c>
      <c r="G121" s="36">
        <f t="shared" si="21"/>
        <v>34.576080028240078</v>
      </c>
      <c r="H121" s="36">
        <f t="shared" si="22"/>
        <v>885.55845839736696</v>
      </c>
      <c r="I121" s="747">
        <f t="shared" si="29"/>
        <v>19860.089558546657</v>
      </c>
      <c r="J121" s="747"/>
      <c r="K121" s="678" t="str">
        <f t="shared" ca="1" si="24"/>
        <v/>
      </c>
      <c r="L121" s="697" t="str">
        <f t="shared" ca="1" si="25"/>
        <v/>
      </c>
      <c r="M121" s="678" t="str">
        <f t="shared" ca="1" si="26"/>
        <v/>
      </c>
      <c r="O121" s="680" t="str">
        <f t="shared" ca="1" si="20"/>
        <v/>
      </c>
      <c r="P121" s="692" t="str">
        <f t="shared" ca="1" si="18"/>
        <v/>
      </c>
      <c r="Q121" s="692" t="str">
        <f t="shared" ca="1" si="19"/>
        <v/>
      </c>
    </row>
    <row r="122" spans="4:17">
      <c r="D122" s="64">
        <f t="shared" ca="1" si="23"/>
        <v>3</v>
      </c>
      <c r="E122" s="226">
        <f t="shared" ca="1" si="27"/>
        <v>49369</v>
      </c>
      <c r="F122" s="35">
        <f t="shared" si="28"/>
        <v>99</v>
      </c>
      <c r="G122" s="36">
        <f t="shared" si="21"/>
        <v>33.100149264244465</v>
      </c>
      <c r="H122" s="36">
        <f t="shared" si="22"/>
        <v>887.0343891613627</v>
      </c>
      <c r="I122" s="747">
        <f t="shared" si="29"/>
        <v>18973.055169385294</v>
      </c>
      <c r="J122" s="747"/>
      <c r="K122" s="678" t="str">
        <f t="shared" ca="1" si="24"/>
        <v/>
      </c>
      <c r="L122" s="697" t="str">
        <f t="shared" ca="1" si="25"/>
        <v/>
      </c>
      <c r="M122" s="678" t="str">
        <f t="shared" ca="1" si="26"/>
        <v/>
      </c>
      <c r="O122" s="680" t="str">
        <f t="shared" ca="1" si="20"/>
        <v/>
      </c>
      <c r="P122" s="692" t="str">
        <f t="shared" ca="1" si="18"/>
        <v/>
      </c>
      <c r="Q122" s="692" t="str">
        <f t="shared" ca="1" si="19"/>
        <v/>
      </c>
    </row>
    <row r="123" spans="4:17">
      <c r="D123" s="64">
        <f t="shared" ca="1" si="23"/>
        <v>4</v>
      </c>
      <c r="E123" s="226">
        <f t="shared" ca="1" si="27"/>
        <v>49400</v>
      </c>
      <c r="F123" s="35">
        <f t="shared" si="28"/>
        <v>100</v>
      </c>
      <c r="G123" s="36">
        <f t="shared" si="21"/>
        <v>31.6217586156422</v>
      </c>
      <c r="H123" s="36">
        <f t="shared" si="22"/>
        <v>888.51277980996474</v>
      </c>
      <c r="I123" s="747">
        <f t="shared" si="29"/>
        <v>18084.54238957533</v>
      </c>
      <c r="J123" s="747"/>
      <c r="K123" s="678" t="str">
        <f t="shared" ca="1" si="24"/>
        <v/>
      </c>
      <c r="L123" s="697" t="str">
        <f t="shared" ca="1" si="25"/>
        <v/>
      </c>
      <c r="M123" s="678" t="str">
        <f t="shared" ca="1" si="26"/>
        <v/>
      </c>
      <c r="O123" s="680" t="str">
        <f t="shared" ca="1" si="20"/>
        <v/>
      </c>
      <c r="P123" s="692" t="str">
        <f t="shared" ca="1" si="18"/>
        <v/>
      </c>
      <c r="Q123" s="692" t="str">
        <f t="shared" ca="1" si="19"/>
        <v/>
      </c>
    </row>
    <row r="124" spans="4:17">
      <c r="D124" s="64">
        <f t="shared" ca="1" si="23"/>
        <v>5</v>
      </c>
      <c r="E124" s="226">
        <f t="shared" ca="1" si="27"/>
        <v>49430</v>
      </c>
      <c r="F124" s="35">
        <f t="shared" si="28"/>
        <v>101</v>
      </c>
      <c r="G124" s="36">
        <f t="shared" si="21"/>
        <v>30.140903982625588</v>
      </c>
      <c r="H124" s="36">
        <f t="shared" si="22"/>
        <v>889.99363444298137</v>
      </c>
      <c r="I124" s="747">
        <f t="shared" si="29"/>
        <v>17194.548755132349</v>
      </c>
      <c r="J124" s="747"/>
      <c r="K124" s="678" t="str">
        <f t="shared" ca="1" si="24"/>
        <v/>
      </c>
      <c r="L124" s="697" t="str">
        <f t="shared" ca="1" si="25"/>
        <v/>
      </c>
      <c r="M124" s="678" t="str">
        <f t="shared" ca="1" si="26"/>
        <v/>
      </c>
      <c r="O124" s="680" t="str">
        <f t="shared" ca="1" si="20"/>
        <v/>
      </c>
      <c r="P124" s="692" t="str">
        <f t="shared" ca="1" si="18"/>
        <v/>
      </c>
      <c r="Q124" s="692" t="str">
        <f t="shared" ca="1" si="19"/>
        <v/>
      </c>
    </row>
    <row r="125" spans="4:17">
      <c r="D125" s="64">
        <f t="shared" ca="1" si="23"/>
        <v>6</v>
      </c>
      <c r="E125" s="226">
        <f t="shared" ca="1" si="27"/>
        <v>49461</v>
      </c>
      <c r="F125" s="35">
        <f t="shared" si="28"/>
        <v>102</v>
      </c>
      <c r="G125" s="36">
        <f t="shared" si="21"/>
        <v>28.657581258553954</v>
      </c>
      <c r="H125" s="36">
        <f t="shared" si="22"/>
        <v>891.47695716705311</v>
      </c>
      <c r="I125" s="747">
        <f t="shared" si="29"/>
        <v>16303.071797965296</v>
      </c>
      <c r="J125" s="747"/>
      <c r="K125" s="678" t="str">
        <f t="shared" ca="1" si="24"/>
        <v/>
      </c>
      <c r="L125" s="697" t="str">
        <f t="shared" ca="1" si="25"/>
        <v/>
      </c>
      <c r="M125" s="678" t="str">
        <f t="shared" ca="1" si="26"/>
        <v/>
      </c>
      <c r="O125" s="680" t="str">
        <f t="shared" ca="1" si="20"/>
        <v/>
      </c>
      <c r="P125" s="692" t="str">
        <f t="shared" ca="1" si="18"/>
        <v/>
      </c>
      <c r="Q125" s="692" t="str">
        <f t="shared" ca="1" si="19"/>
        <v/>
      </c>
    </row>
    <row r="126" spans="4:17">
      <c r="D126" s="64">
        <f t="shared" ca="1" si="23"/>
        <v>7</v>
      </c>
      <c r="E126" s="226">
        <f t="shared" ca="1" si="27"/>
        <v>49491</v>
      </c>
      <c r="F126" s="35">
        <f t="shared" si="28"/>
        <v>103</v>
      </c>
      <c r="G126" s="36">
        <f t="shared" si="21"/>
        <v>27.171786329942197</v>
      </c>
      <c r="H126" s="36">
        <f t="shared" si="22"/>
        <v>892.96275209566488</v>
      </c>
      <c r="I126" s="747">
        <f t="shared" si="29"/>
        <v>15410.109045869631</v>
      </c>
      <c r="J126" s="747"/>
      <c r="K126" s="678" t="str">
        <f t="shared" ca="1" si="24"/>
        <v/>
      </c>
      <c r="L126" s="697" t="str">
        <f t="shared" ca="1" si="25"/>
        <v/>
      </c>
      <c r="M126" s="678" t="str">
        <f t="shared" ca="1" si="26"/>
        <v/>
      </c>
      <c r="O126" s="680" t="str">
        <f t="shared" ca="1" si="20"/>
        <v/>
      </c>
      <c r="P126" s="692" t="str">
        <f t="shared" ca="1" si="18"/>
        <v/>
      </c>
      <c r="Q126" s="692" t="str">
        <f t="shared" ca="1" si="19"/>
        <v/>
      </c>
    </row>
    <row r="127" spans="4:17">
      <c r="D127" s="64">
        <f t="shared" ca="1" si="23"/>
        <v>8</v>
      </c>
      <c r="E127" s="226">
        <f t="shared" ca="1" si="27"/>
        <v>49522</v>
      </c>
      <c r="F127" s="35">
        <f t="shared" si="28"/>
        <v>104</v>
      </c>
      <c r="G127" s="36">
        <f t="shared" si="21"/>
        <v>25.683515076449424</v>
      </c>
      <c r="H127" s="36">
        <f t="shared" si="22"/>
        <v>894.45102334915759</v>
      </c>
      <c r="I127" s="747">
        <f t="shared" si="29"/>
        <v>14515.658022520473</v>
      </c>
      <c r="J127" s="747"/>
      <c r="K127" s="678" t="str">
        <f t="shared" ca="1" si="24"/>
        <v/>
      </c>
      <c r="L127" s="697" t="str">
        <f t="shared" ca="1" si="25"/>
        <v/>
      </c>
      <c r="M127" s="678" t="str">
        <f t="shared" ca="1" si="26"/>
        <v/>
      </c>
      <c r="O127" s="680" t="str">
        <f t="shared" ca="1" si="20"/>
        <v/>
      </c>
      <c r="P127" s="692" t="str">
        <f t="shared" ca="1" si="18"/>
        <v/>
      </c>
      <c r="Q127" s="692" t="str">
        <f t="shared" ca="1" si="19"/>
        <v/>
      </c>
    </row>
    <row r="128" spans="4:17">
      <c r="D128" s="64">
        <f t="shared" ca="1" si="23"/>
        <v>9</v>
      </c>
      <c r="E128" s="226">
        <f t="shared" ca="1" si="27"/>
        <v>49553</v>
      </c>
      <c r="F128" s="35">
        <f t="shared" si="28"/>
        <v>105</v>
      </c>
      <c r="G128" s="36">
        <f t="shared" si="21"/>
        <v>24.192763370867496</v>
      </c>
      <c r="H128" s="36">
        <f t="shared" si="22"/>
        <v>895.94177505473965</v>
      </c>
      <c r="I128" s="747">
        <f t="shared" si="29"/>
        <v>13619.716247465733</v>
      </c>
      <c r="J128" s="747"/>
      <c r="K128" s="678" t="str">
        <f t="shared" ca="1" si="24"/>
        <v/>
      </c>
      <c r="L128" s="697" t="str">
        <f t="shared" ca="1" si="25"/>
        <v/>
      </c>
      <c r="M128" s="678" t="str">
        <f t="shared" ca="1" si="26"/>
        <v/>
      </c>
      <c r="O128" s="680" t="str">
        <f t="shared" ca="1" si="20"/>
        <v/>
      </c>
      <c r="P128" s="692" t="str">
        <f t="shared" ca="1" si="18"/>
        <v/>
      </c>
      <c r="Q128" s="692" t="str">
        <f t="shared" ca="1" si="19"/>
        <v/>
      </c>
    </row>
    <row r="129" spans="4:17">
      <c r="D129" s="64">
        <f t="shared" ca="1" si="23"/>
        <v>10</v>
      </c>
      <c r="E129" s="226">
        <f t="shared" ca="1" si="27"/>
        <v>49583</v>
      </c>
      <c r="F129" s="35">
        <f t="shared" si="28"/>
        <v>106</v>
      </c>
      <c r="G129" s="36">
        <f t="shared" si="21"/>
        <v>22.699527079109597</v>
      </c>
      <c r="H129" s="36">
        <f t="shared" si="22"/>
        <v>897.43501134649762</v>
      </c>
      <c r="I129" s="747">
        <f t="shared" si="29"/>
        <v>12722.281236119235</v>
      </c>
      <c r="J129" s="747"/>
      <c r="K129" s="678" t="str">
        <f t="shared" ca="1" si="24"/>
        <v/>
      </c>
      <c r="L129" s="697" t="str">
        <f t="shared" ca="1" si="25"/>
        <v/>
      </c>
      <c r="M129" s="678" t="str">
        <f t="shared" ca="1" si="26"/>
        <v/>
      </c>
      <c r="O129" s="680" t="str">
        <f t="shared" ca="1" si="20"/>
        <v/>
      </c>
      <c r="P129" s="692" t="str">
        <f t="shared" ca="1" si="18"/>
        <v/>
      </c>
      <c r="Q129" s="692" t="str">
        <f t="shared" ca="1" si="19"/>
        <v/>
      </c>
    </row>
    <row r="130" spans="4:17">
      <c r="D130" s="64">
        <f t="shared" ca="1" si="23"/>
        <v>11</v>
      </c>
      <c r="E130" s="226">
        <f t="shared" ca="1" si="27"/>
        <v>49614</v>
      </c>
      <c r="F130" s="35">
        <f t="shared" si="28"/>
        <v>107</v>
      </c>
      <c r="G130" s="36">
        <f t="shared" si="21"/>
        <v>21.203802060198768</v>
      </c>
      <c r="H130" s="36">
        <f t="shared" si="22"/>
        <v>898.93073636540817</v>
      </c>
      <c r="I130" s="747">
        <f t="shared" si="29"/>
        <v>11823.350499753828</v>
      </c>
      <c r="J130" s="747"/>
      <c r="K130" s="678" t="str">
        <f t="shared" ca="1" si="24"/>
        <v/>
      </c>
      <c r="L130" s="697" t="str">
        <f t="shared" ca="1" si="25"/>
        <v/>
      </c>
      <c r="M130" s="678" t="str">
        <f t="shared" ca="1" si="26"/>
        <v/>
      </c>
      <c r="O130" s="680" t="str">
        <f t="shared" ca="1" si="20"/>
        <v/>
      </c>
      <c r="P130" s="692" t="str">
        <f t="shared" ca="1" si="18"/>
        <v/>
      </c>
      <c r="Q130" s="692" t="str">
        <f t="shared" ca="1" si="19"/>
        <v/>
      </c>
    </row>
    <row r="131" spans="4:17">
      <c r="D131" s="64">
        <f t="shared" ca="1" si="23"/>
        <v>12</v>
      </c>
      <c r="E131" s="226">
        <f t="shared" ca="1" si="27"/>
        <v>49644</v>
      </c>
      <c r="F131" s="35">
        <f t="shared" si="28"/>
        <v>108</v>
      </c>
      <c r="G131" s="36">
        <f t="shared" si="21"/>
        <v>19.705584166256422</v>
      </c>
      <c r="H131" s="36">
        <f t="shared" si="22"/>
        <v>900.42895425935069</v>
      </c>
      <c r="I131" s="747">
        <f t="shared" si="29"/>
        <v>10922.921545494477</v>
      </c>
      <c r="J131" s="747"/>
      <c r="K131" s="678">
        <f t="shared" ca="1" si="24"/>
        <v>334.80300623274525</v>
      </c>
      <c r="L131" s="697">
        <f t="shared" ca="1" si="25"/>
        <v>2035</v>
      </c>
      <c r="M131" s="678">
        <f t="shared" ca="1" si="26"/>
        <v>10706.81145487454</v>
      </c>
      <c r="O131" s="680" t="str">
        <f t="shared" ca="1" si="20"/>
        <v/>
      </c>
      <c r="P131" s="692" t="str">
        <f t="shared" ca="1" si="18"/>
        <v/>
      </c>
      <c r="Q131" s="692" t="str">
        <f t="shared" ca="1" si="19"/>
        <v/>
      </c>
    </row>
    <row r="132" spans="4:17">
      <c r="D132" s="64">
        <f t="shared" ca="1" si="23"/>
        <v>1</v>
      </c>
      <c r="E132" s="226">
        <f t="shared" ca="1" si="27"/>
        <v>49675</v>
      </c>
      <c r="F132" s="35">
        <f t="shared" si="28"/>
        <v>109</v>
      </c>
      <c r="G132" s="36">
        <f t="shared" si="21"/>
        <v>18.204869242490837</v>
      </c>
      <c r="H132" s="36">
        <f t="shared" si="22"/>
        <v>901.92966918311606</v>
      </c>
      <c r="I132" s="747">
        <f t="shared" si="29"/>
        <v>10020.99187631136</v>
      </c>
      <c r="J132" s="747"/>
      <c r="K132" s="678" t="str">
        <f t="shared" ca="1" si="24"/>
        <v/>
      </c>
      <c r="L132" s="697" t="str">
        <f t="shared" ca="1" si="25"/>
        <v/>
      </c>
      <c r="M132" s="678" t="str">
        <f t="shared" ca="1" si="26"/>
        <v/>
      </c>
      <c r="O132" s="680" t="str">
        <f t="shared" ca="1" si="20"/>
        <v/>
      </c>
      <c r="P132" s="692" t="str">
        <f t="shared" ca="1" si="18"/>
        <v/>
      </c>
      <c r="Q132" s="692" t="str">
        <f t="shared" ca="1" si="19"/>
        <v/>
      </c>
    </row>
    <row r="133" spans="4:17">
      <c r="D133" s="64">
        <f t="shared" ca="1" si="23"/>
        <v>2</v>
      </c>
      <c r="E133" s="226">
        <f t="shared" ca="1" si="27"/>
        <v>49706</v>
      </c>
      <c r="F133" s="35">
        <f t="shared" si="28"/>
        <v>110</v>
      </c>
      <c r="G133" s="36">
        <f t="shared" si="21"/>
        <v>16.701653127185637</v>
      </c>
      <c r="H133" s="36">
        <f t="shared" si="22"/>
        <v>903.43288529842152</v>
      </c>
      <c r="I133" s="747">
        <f t="shared" si="29"/>
        <v>9117.5589910129383</v>
      </c>
      <c r="J133" s="747"/>
      <c r="K133" s="678" t="str">
        <f t="shared" ca="1" si="24"/>
        <v/>
      </c>
      <c r="L133" s="697" t="str">
        <f t="shared" ca="1" si="25"/>
        <v/>
      </c>
      <c r="M133" s="678" t="str">
        <f t="shared" ca="1" si="26"/>
        <v/>
      </c>
      <c r="O133" s="680" t="str">
        <f t="shared" ca="1" si="20"/>
        <v/>
      </c>
      <c r="P133" s="692" t="str">
        <f t="shared" ca="1" si="18"/>
        <v/>
      </c>
      <c r="Q133" s="692" t="str">
        <f t="shared" ca="1" si="19"/>
        <v/>
      </c>
    </row>
    <row r="134" spans="4:17">
      <c r="D134" s="64">
        <f t="shared" ca="1" si="23"/>
        <v>3</v>
      </c>
      <c r="E134" s="226">
        <f t="shared" ca="1" si="27"/>
        <v>49735</v>
      </c>
      <c r="F134" s="35">
        <f t="shared" si="28"/>
        <v>111</v>
      </c>
      <c r="G134" s="36">
        <f t="shared" si="21"/>
        <v>15.195931651688271</v>
      </c>
      <c r="H134" s="36">
        <f t="shared" si="22"/>
        <v>904.93860677391876</v>
      </c>
      <c r="I134" s="747">
        <f t="shared" si="29"/>
        <v>8212.6203842390205</v>
      </c>
      <c r="J134" s="747"/>
      <c r="K134" s="678" t="str">
        <f t="shared" ca="1" si="24"/>
        <v/>
      </c>
      <c r="L134" s="697" t="str">
        <f t="shared" ca="1" si="25"/>
        <v/>
      </c>
      <c r="M134" s="678" t="str">
        <f t="shared" ca="1" si="26"/>
        <v/>
      </c>
      <c r="O134" s="680" t="str">
        <f t="shared" ca="1" si="20"/>
        <v/>
      </c>
      <c r="P134" s="692" t="str">
        <f t="shared" ca="1" si="18"/>
        <v/>
      </c>
      <c r="Q134" s="692" t="str">
        <f t="shared" ca="1" si="19"/>
        <v/>
      </c>
    </row>
    <row r="135" spans="4:17">
      <c r="D135" s="64">
        <f t="shared" ca="1" si="23"/>
        <v>4</v>
      </c>
      <c r="E135" s="226">
        <f t="shared" ca="1" si="27"/>
        <v>49766</v>
      </c>
      <c r="F135" s="35">
        <f t="shared" si="28"/>
        <v>112</v>
      </c>
      <c r="G135" s="36">
        <f t="shared" si="21"/>
        <v>13.687700640398404</v>
      </c>
      <c r="H135" s="36">
        <f t="shared" si="22"/>
        <v>906.44683778520869</v>
      </c>
      <c r="I135" s="747">
        <f t="shared" si="29"/>
        <v>7306.1735464538115</v>
      </c>
      <c r="J135" s="747"/>
      <c r="K135" s="678" t="str">
        <f t="shared" ca="1" si="24"/>
        <v/>
      </c>
      <c r="L135" s="697" t="str">
        <f t="shared" ca="1" si="25"/>
        <v/>
      </c>
      <c r="M135" s="678" t="str">
        <f t="shared" ca="1" si="26"/>
        <v/>
      </c>
      <c r="O135" s="680" t="str">
        <f t="shared" ca="1" si="20"/>
        <v/>
      </c>
      <c r="P135" s="692" t="str">
        <f t="shared" ca="1" si="18"/>
        <v/>
      </c>
      <c r="Q135" s="692" t="str">
        <f t="shared" ca="1" si="19"/>
        <v/>
      </c>
    </row>
    <row r="136" spans="4:17">
      <c r="D136" s="64">
        <f t="shared" ca="1" si="23"/>
        <v>5</v>
      </c>
      <c r="E136" s="226">
        <f t="shared" ca="1" si="27"/>
        <v>49796</v>
      </c>
      <c r="F136" s="35">
        <f t="shared" si="28"/>
        <v>113</v>
      </c>
      <c r="G136" s="36">
        <f t="shared" si="21"/>
        <v>12.176955910756392</v>
      </c>
      <c r="H136" s="36">
        <f t="shared" si="22"/>
        <v>907.95758251485074</v>
      </c>
      <c r="I136" s="747">
        <f t="shared" si="29"/>
        <v>6398.2159639389611</v>
      </c>
      <c r="J136" s="747"/>
      <c r="K136" s="678" t="str">
        <f t="shared" ca="1" si="24"/>
        <v/>
      </c>
      <c r="L136" s="697" t="str">
        <f t="shared" ca="1" si="25"/>
        <v/>
      </c>
      <c r="M136" s="678" t="str">
        <f t="shared" ca="1" si="26"/>
        <v/>
      </c>
      <c r="O136" s="680" t="str">
        <f t="shared" ca="1" si="20"/>
        <v/>
      </c>
      <c r="P136" s="692" t="str">
        <f t="shared" ca="1" si="18"/>
        <v/>
      </c>
      <c r="Q136" s="692" t="str">
        <f t="shared" ca="1" si="19"/>
        <v/>
      </c>
    </row>
    <row r="137" spans="4:17">
      <c r="D137" s="64">
        <f t="shared" ca="1" si="23"/>
        <v>6</v>
      </c>
      <c r="E137" s="226">
        <f t="shared" ca="1" si="27"/>
        <v>49827</v>
      </c>
      <c r="F137" s="35">
        <f t="shared" si="28"/>
        <v>114</v>
      </c>
      <c r="G137" s="36">
        <f t="shared" si="21"/>
        <v>10.663693273231642</v>
      </c>
      <c r="H137" s="36">
        <f t="shared" si="22"/>
        <v>909.47084515237543</v>
      </c>
      <c r="I137" s="747">
        <f t="shared" si="29"/>
        <v>5488.7451187865854</v>
      </c>
      <c r="J137" s="747"/>
      <c r="K137" s="678" t="str">
        <f t="shared" ca="1" si="24"/>
        <v/>
      </c>
      <c r="L137" s="697" t="str">
        <f t="shared" ca="1" si="25"/>
        <v/>
      </c>
      <c r="M137" s="678" t="str">
        <f t="shared" ca="1" si="26"/>
        <v/>
      </c>
      <c r="O137" s="680" t="str">
        <f t="shared" ca="1" si="20"/>
        <v/>
      </c>
      <c r="P137" s="692" t="str">
        <f t="shared" ca="1" si="18"/>
        <v/>
      </c>
      <c r="Q137" s="692" t="str">
        <f t="shared" ca="1" si="19"/>
        <v/>
      </c>
    </row>
    <row r="138" spans="4:17">
      <c r="D138" s="64">
        <f t="shared" ca="1" si="23"/>
        <v>7</v>
      </c>
      <c r="E138" s="226">
        <f t="shared" ca="1" si="27"/>
        <v>49857</v>
      </c>
      <c r="F138" s="35">
        <f t="shared" si="28"/>
        <v>115</v>
      </c>
      <c r="G138" s="36">
        <f t="shared" si="21"/>
        <v>9.1479085313110176</v>
      </c>
      <c r="H138" s="36">
        <f t="shared" si="22"/>
        <v>910.98662989429613</v>
      </c>
      <c r="I138" s="747">
        <f t="shared" si="29"/>
        <v>4577.7584888922893</v>
      </c>
      <c r="J138" s="747"/>
      <c r="K138" s="678" t="str">
        <f t="shared" ca="1" si="24"/>
        <v/>
      </c>
      <c r="L138" s="697" t="str">
        <f t="shared" ca="1" si="25"/>
        <v/>
      </c>
      <c r="M138" s="678" t="str">
        <f t="shared" ca="1" si="26"/>
        <v/>
      </c>
      <c r="O138" s="680" t="str">
        <f t="shared" ca="1" si="20"/>
        <v/>
      </c>
      <c r="P138" s="692" t="str">
        <f t="shared" ref="P138:P145" ca="1" si="30">IFERROR(INDEX($K$24:$L$384,MATCH(O138,$L$24:$L$384,0),1),0)</f>
        <v/>
      </c>
      <c r="Q138" s="692" t="str">
        <f t="shared" ref="Q138:Q145" ca="1" si="31">IFERROR(INDEX($L$24:$M$384,MATCH(O138,$L$24:$L$384,0),2),0)</f>
        <v/>
      </c>
    </row>
    <row r="139" spans="4:17">
      <c r="D139" s="64">
        <f t="shared" ca="1" si="23"/>
        <v>8</v>
      </c>
      <c r="E139" s="226">
        <f t="shared" ca="1" si="27"/>
        <v>49888</v>
      </c>
      <c r="F139" s="35">
        <f t="shared" si="28"/>
        <v>116</v>
      </c>
      <c r="G139" s="36">
        <f t="shared" si="21"/>
        <v>7.6295974814871883</v>
      </c>
      <c r="H139" s="36">
        <f t="shared" si="22"/>
        <v>912.50494094411988</v>
      </c>
      <c r="I139" s="747">
        <f t="shared" si="29"/>
        <v>3665.2535479481694</v>
      </c>
      <c r="J139" s="747"/>
      <c r="K139" s="678" t="str">
        <f t="shared" ca="1" si="24"/>
        <v/>
      </c>
      <c r="L139" s="697" t="str">
        <f t="shared" ca="1" si="25"/>
        <v/>
      </c>
      <c r="M139" s="678" t="str">
        <f t="shared" ca="1" si="26"/>
        <v/>
      </c>
      <c r="O139" s="680" t="str">
        <f t="shared" ref="O139:O145" ca="1" si="32">IFERROR(IF(O138+1&lt;YEAR($G$20)+($G$17/12),O138+1,""),"")</f>
        <v/>
      </c>
      <c r="P139" s="692" t="str">
        <f t="shared" ca="1" si="30"/>
        <v/>
      </c>
      <c r="Q139" s="692" t="str">
        <f t="shared" ca="1" si="31"/>
        <v/>
      </c>
    </row>
    <row r="140" spans="4:17">
      <c r="D140" s="64">
        <f t="shared" ca="1" si="23"/>
        <v>9</v>
      </c>
      <c r="E140" s="226">
        <f t="shared" ca="1" si="27"/>
        <v>49919</v>
      </c>
      <c r="F140" s="35">
        <f t="shared" si="28"/>
        <v>117</v>
      </c>
      <c r="G140" s="36">
        <f t="shared" si="21"/>
        <v>6.1087559132469886</v>
      </c>
      <c r="H140" s="36">
        <f t="shared" si="22"/>
        <v>914.02578251236002</v>
      </c>
      <c r="I140" s="747">
        <f t="shared" si="29"/>
        <v>2751.2277654358095</v>
      </c>
      <c r="J140" s="747"/>
      <c r="K140" s="678" t="str">
        <f t="shared" ca="1" si="24"/>
        <v/>
      </c>
      <c r="L140" s="697" t="str">
        <f t="shared" ca="1" si="25"/>
        <v/>
      </c>
      <c r="M140" s="678" t="str">
        <f t="shared" ca="1" si="26"/>
        <v/>
      </c>
      <c r="O140" s="680" t="str">
        <f t="shared" ca="1" si="32"/>
        <v/>
      </c>
      <c r="P140" s="692" t="str">
        <f t="shared" ca="1" si="30"/>
        <v/>
      </c>
      <c r="Q140" s="692" t="str">
        <f t="shared" ca="1" si="31"/>
        <v/>
      </c>
    </row>
    <row r="141" spans="4:17">
      <c r="D141" s="64">
        <f t="shared" ca="1" si="23"/>
        <v>10</v>
      </c>
      <c r="E141" s="226">
        <f t="shared" ca="1" si="27"/>
        <v>49949</v>
      </c>
      <c r="F141" s="35">
        <f t="shared" si="28"/>
        <v>118</v>
      </c>
      <c r="G141" s="36">
        <f t="shared" si="21"/>
        <v>4.5853796090597223</v>
      </c>
      <c r="H141" s="36">
        <f t="shared" si="22"/>
        <v>915.54915881654733</v>
      </c>
      <c r="I141" s="747">
        <f t="shared" si="29"/>
        <v>1835.6786066192622</v>
      </c>
      <c r="J141" s="747"/>
      <c r="K141" s="678" t="str">
        <f t="shared" ca="1" si="24"/>
        <v/>
      </c>
      <c r="L141" s="697" t="str">
        <f t="shared" ca="1" si="25"/>
        <v/>
      </c>
      <c r="M141" s="678" t="str">
        <f t="shared" ca="1" si="26"/>
        <v/>
      </c>
      <c r="O141" s="680" t="str">
        <f t="shared" ca="1" si="32"/>
        <v/>
      </c>
      <c r="P141" s="692" t="str">
        <f t="shared" ca="1" si="30"/>
        <v/>
      </c>
      <c r="Q141" s="692" t="str">
        <f t="shared" ca="1" si="31"/>
        <v/>
      </c>
    </row>
    <row r="142" spans="4:17">
      <c r="D142" s="64">
        <f t="shared" ca="1" si="23"/>
        <v>11</v>
      </c>
      <c r="E142" s="226">
        <f t="shared" ca="1" si="27"/>
        <v>49980</v>
      </c>
      <c r="F142" s="35">
        <f t="shared" si="28"/>
        <v>119</v>
      </c>
      <c r="G142" s="36">
        <f t="shared" si="21"/>
        <v>3.0594643443654759</v>
      </c>
      <c r="H142" s="36">
        <f t="shared" si="22"/>
        <v>917.0750740812415</v>
      </c>
      <c r="I142" s="747">
        <f t="shared" si="29"/>
        <v>918.60353253802066</v>
      </c>
      <c r="J142" s="747"/>
      <c r="K142" s="678" t="str">
        <f t="shared" ca="1" si="24"/>
        <v/>
      </c>
      <c r="L142" s="697" t="str">
        <f t="shared" ca="1" si="25"/>
        <v/>
      </c>
      <c r="M142" s="678" t="str">
        <f t="shared" ca="1" si="26"/>
        <v/>
      </c>
      <c r="O142" s="680" t="str">
        <f t="shared" ca="1" si="32"/>
        <v/>
      </c>
      <c r="P142" s="692" t="str">
        <f t="shared" ca="1" si="30"/>
        <v/>
      </c>
      <c r="Q142" s="692" t="str">
        <f t="shared" ca="1" si="31"/>
        <v/>
      </c>
    </row>
    <row r="143" spans="4:17">
      <c r="D143" s="64">
        <f t="shared" ca="1" si="23"/>
        <v>12</v>
      </c>
      <c r="E143" s="226">
        <f t="shared" ca="1" si="27"/>
        <v>50010</v>
      </c>
      <c r="F143" s="35">
        <f t="shared" si="28"/>
        <v>120</v>
      </c>
      <c r="G143" s="36">
        <f t="shared" si="21"/>
        <v>1.5310058875634063</v>
      </c>
      <c r="H143" s="36">
        <f t="shared" si="22"/>
        <v>918.60353253804362</v>
      </c>
      <c r="I143" s="747">
        <f t="shared" si="29"/>
        <v>-2.2964741219766438E-11</v>
      </c>
      <c r="J143" s="747"/>
      <c r="K143" s="678">
        <f t="shared" ca="1" si="24"/>
        <v>118.69291561278499</v>
      </c>
      <c r="L143" s="697">
        <f t="shared" ca="1" si="25"/>
        <v>2036</v>
      </c>
      <c r="M143" s="678">
        <f t="shared" ca="1" si="26"/>
        <v>10922.921545494499</v>
      </c>
      <c r="O143" s="680" t="str">
        <f t="shared" ca="1" si="32"/>
        <v/>
      </c>
      <c r="P143" s="692" t="str">
        <f t="shared" ca="1" si="30"/>
        <v/>
      </c>
      <c r="Q143" s="692" t="str">
        <f t="shared" ca="1" si="31"/>
        <v/>
      </c>
    </row>
    <row r="144" spans="4:17">
      <c r="D144" s="64" t="str">
        <f t="shared" si="23"/>
        <v/>
      </c>
      <c r="E144" s="226" t="str">
        <f t="shared" si="27"/>
        <v/>
      </c>
      <c r="F144" s="35" t="str">
        <f t="shared" si="28"/>
        <v/>
      </c>
      <c r="G144" s="36" t="str">
        <f t="shared" si="21"/>
        <v/>
      </c>
      <c r="H144" s="36" t="str">
        <f t="shared" si="22"/>
        <v/>
      </c>
      <c r="I144" s="747" t="str">
        <f t="shared" si="29"/>
        <v/>
      </c>
      <c r="J144" s="747"/>
      <c r="K144" s="678" t="str">
        <f t="shared" si="24"/>
        <v/>
      </c>
      <c r="L144" s="697" t="str">
        <f t="shared" si="25"/>
        <v/>
      </c>
      <c r="M144" s="678" t="str">
        <f t="shared" si="26"/>
        <v/>
      </c>
      <c r="O144" s="680" t="str">
        <f t="shared" ca="1" si="32"/>
        <v/>
      </c>
      <c r="P144" s="692" t="str">
        <f t="shared" ca="1" si="30"/>
        <v/>
      </c>
      <c r="Q144" s="692" t="str">
        <f t="shared" ca="1" si="31"/>
        <v/>
      </c>
    </row>
    <row r="145" spans="4:17">
      <c r="D145" s="64" t="str">
        <f t="shared" si="23"/>
        <v/>
      </c>
      <c r="E145" s="226" t="str">
        <f t="shared" si="27"/>
        <v/>
      </c>
      <c r="F145" s="35" t="str">
        <f t="shared" si="28"/>
        <v/>
      </c>
      <c r="G145" s="36" t="str">
        <f t="shared" si="21"/>
        <v/>
      </c>
      <c r="H145" s="36" t="str">
        <f t="shared" si="22"/>
        <v/>
      </c>
      <c r="I145" s="747" t="str">
        <f t="shared" si="29"/>
        <v/>
      </c>
      <c r="J145" s="747"/>
      <c r="K145" s="678" t="str">
        <f t="shared" si="24"/>
        <v/>
      </c>
      <c r="L145" s="697" t="str">
        <f t="shared" si="25"/>
        <v/>
      </c>
      <c r="M145" s="678" t="str">
        <f t="shared" si="26"/>
        <v/>
      </c>
      <c r="O145" s="680" t="str">
        <f t="shared" ca="1" si="32"/>
        <v/>
      </c>
      <c r="P145" s="692" t="str">
        <f t="shared" ca="1" si="30"/>
        <v/>
      </c>
      <c r="Q145" s="692" t="str">
        <f t="shared" ca="1" si="31"/>
        <v/>
      </c>
    </row>
    <row r="146" spans="4:17">
      <c r="D146" s="64" t="str">
        <f t="shared" si="23"/>
        <v/>
      </c>
      <c r="E146" s="226" t="str">
        <f t="shared" si="27"/>
        <v/>
      </c>
      <c r="F146" s="35" t="str">
        <f t="shared" si="28"/>
        <v/>
      </c>
      <c r="G146" s="36" t="str">
        <f t="shared" si="21"/>
        <v/>
      </c>
      <c r="H146" s="36" t="str">
        <f t="shared" si="22"/>
        <v/>
      </c>
      <c r="I146" s="747" t="str">
        <f t="shared" si="29"/>
        <v/>
      </c>
      <c r="J146" s="747"/>
      <c r="K146" s="678" t="str">
        <f t="shared" si="24"/>
        <v/>
      </c>
      <c r="L146" s="697" t="str">
        <f t="shared" si="25"/>
        <v/>
      </c>
      <c r="M146" s="678" t="str">
        <f t="shared" si="26"/>
        <v/>
      </c>
    </row>
    <row r="147" spans="4:17">
      <c r="D147" s="64" t="str">
        <f t="shared" si="23"/>
        <v/>
      </c>
      <c r="E147" s="226" t="str">
        <f t="shared" si="27"/>
        <v/>
      </c>
      <c r="F147" s="35" t="str">
        <f t="shared" si="28"/>
        <v/>
      </c>
      <c r="G147" s="36" t="str">
        <f t="shared" si="21"/>
        <v/>
      </c>
      <c r="H147" s="36" t="str">
        <f t="shared" si="22"/>
        <v/>
      </c>
      <c r="I147" s="747" t="str">
        <f t="shared" si="29"/>
        <v/>
      </c>
      <c r="J147" s="747"/>
      <c r="K147" s="678" t="str">
        <f t="shared" si="24"/>
        <v/>
      </c>
      <c r="L147" s="697" t="str">
        <f t="shared" si="25"/>
        <v/>
      </c>
      <c r="M147" s="678" t="str">
        <f t="shared" si="26"/>
        <v/>
      </c>
    </row>
    <row r="148" spans="4:17">
      <c r="D148" s="64" t="str">
        <f t="shared" si="23"/>
        <v/>
      </c>
      <c r="E148" s="226" t="str">
        <f t="shared" si="27"/>
        <v/>
      </c>
      <c r="F148" s="35" t="str">
        <f t="shared" si="28"/>
        <v/>
      </c>
      <c r="G148" s="36" t="str">
        <f t="shared" si="21"/>
        <v/>
      </c>
      <c r="H148" s="36" t="str">
        <f t="shared" si="22"/>
        <v/>
      </c>
      <c r="I148" s="747" t="str">
        <f t="shared" si="29"/>
        <v/>
      </c>
      <c r="J148" s="747"/>
      <c r="K148" s="678" t="str">
        <f t="shared" si="24"/>
        <v/>
      </c>
      <c r="L148" s="697" t="str">
        <f t="shared" si="25"/>
        <v/>
      </c>
      <c r="M148" s="678" t="str">
        <f t="shared" si="26"/>
        <v/>
      </c>
    </row>
    <row r="149" spans="4:17">
      <c r="D149" s="64" t="str">
        <f t="shared" si="23"/>
        <v/>
      </c>
      <c r="E149" s="226" t="str">
        <f t="shared" si="27"/>
        <v/>
      </c>
      <c r="F149" s="35" t="str">
        <f t="shared" si="28"/>
        <v/>
      </c>
      <c r="G149" s="36" t="str">
        <f t="shared" si="21"/>
        <v/>
      </c>
      <c r="H149" s="36" t="str">
        <f t="shared" si="22"/>
        <v/>
      </c>
      <c r="I149" s="747" t="str">
        <f t="shared" si="29"/>
        <v/>
      </c>
      <c r="J149" s="747"/>
      <c r="K149" s="678" t="str">
        <f t="shared" si="24"/>
        <v/>
      </c>
      <c r="L149" s="697" t="str">
        <f t="shared" si="25"/>
        <v/>
      </c>
      <c r="M149" s="678" t="str">
        <f t="shared" si="26"/>
        <v/>
      </c>
    </row>
    <row r="150" spans="4:17">
      <c r="D150" s="64" t="str">
        <f t="shared" si="23"/>
        <v/>
      </c>
      <c r="E150" s="226" t="str">
        <f t="shared" si="27"/>
        <v/>
      </c>
      <c r="F150" s="35" t="str">
        <f t="shared" si="28"/>
        <v/>
      </c>
      <c r="G150" s="36" t="str">
        <f t="shared" si="21"/>
        <v/>
      </c>
      <c r="H150" s="36" t="str">
        <f t="shared" si="22"/>
        <v/>
      </c>
      <c r="I150" s="747" t="str">
        <f t="shared" si="29"/>
        <v/>
      </c>
      <c r="J150" s="747"/>
      <c r="K150" s="678" t="str">
        <f t="shared" si="24"/>
        <v/>
      </c>
      <c r="L150" s="697" t="str">
        <f t="shared" si="25"/>
        <v/>
      </c>
      <c r="M150" s="678" t="str">
        <f t="shared" si="26"/>
        <v/>
      </c>
    </row>
    <row r="151" spans="4:17">
      <c r="D151" s="64" t="str">
        <f t="shared" si="23"/>
        <v/>
      </c>
      <c r="E151" s="226" t="str">
        <f t="shared" si="27"/>
        <v/>
      </c>
      <c r="F151" s="35" t="str">
        <f t="shared" si="28"/>
        <v/>
      </c>
      <c r="G151" s="36" t="str">
        <f t="shared" si="21"/>
        <v/>
      </c>
      <c r="H151" s="36" t="str">
        <f t="shared" si="22"/>
        <v/>
      </c>
      <c r="I151" s="747" t="str">
        <f t="shared" si="29"/>
        <v/>
      </c>
      <c r="J151" s="747"/>
      <c r="K151" s="678" t="str">
        <f t="shared" si="24"/>
        <v/>
      </c>
      <c r="L151" s="697" t="str">
        <f t="shared" si="25"/>
        <v/>
      </c>
      <c r="M151" s="678" t="str">
        <f t="shared" si="26"/>
        <v/>
      </c>
    </row>
    <row r="152" spans="4:17">
      <c r="D152" s="64" t="str">
        <f t="shared" si="23"/>
        <v/>
      </c>
      <c r="E152" s="226" t="str">
        <f t="shared" si="27"/>
        <v/>
      </c>
      <c r="F152" s="35" t="str">
        <f t="shared" si="28"/>
        <v/>
      </c>
      <c r="G152" s="36" t="str">
        <f t="shared" ref="G152:G215" si="33">IFERROR(IF(F152&lt;&gt;"",-IPMT($G$16/12,F152,$G$17,$G$13),""),0)</f>
        <v/>
      </c>
      <c r="H152" s="36" t="str">
        <f t="shared" ref="H152:H215" si="34">IFERROR(IF(F152&lt;&gt;"",-PPMT($G$16/12,F152,$G$17,$G$13),""),0)</f>
        <v/>
      </c>
      <c r="I152" s="747" t="str">
        <f t="shared" si="29"/>
        <v/>
      </c>
      <c r="J152" s="747"/>
      <c r="K152" s="678" t="str">
        <f t="shared" si="24"/>
        <v/>
      </c>
      <c r="L152" s="697" t="str">
        <f t="shared" si="25"/>
        <v/>
      </c>
      <c r="M152" s="678" t="str">
        <f t="shared" si="26"/>
        <v/>
      </c>
    </row>
    <row r="153" spans="4:17">
      <c r="D153" s="64" t="str">
        <f t="shared" ref="D153:D216" si="35">IF(E153="","",MONTH(E153))</f>
        <v/>
      </c>
      <c r="E153" s="226" t="str">
        <f t="shared" si="27"/>
        <v/>
      </c>
      <c r="F153" s="35" t="str">
        <f t="shared" si="28"/>
        <v/>
      </c>
      <c r="G153" s="36" t="str">
        <f t="shared" si="33"/>
        <v/>
      </c>
      <c r="H153" s="36" t="str">
        <f t="shared" si="34"/>
        <v/>
      </c>
      <c r="I153" s="747" t="str">
        <f t="shared" si="29"/>
        <v/>
      </c>
      <c r="J153" s="747"/>
      <c r="K153" s="678" t="str">
        <f t="shared" ref="K153:K216" si="36">IF(D153=12,G153+G152+G151+G150+G149+G148+G147+G146+G145+G144+G143+G142,"")</f>
        <v/>
      </c>
      <c r="L153" s="697" t="str">
        <f t="shared" ref="L153:L216" si="37">IF(D153=12,YEAR(E153),"")</f>
        <v/>
      </c>
      <c r="M153" s="678" t="str">
        <f t="shared" ref="M153:M216" si="38">IF(D153=12,H153+H152+H151+H150+H149+H148+H147+H146+H145+H144+H143+H142,"")</f>
        <v/>
      </c>
    </row>
    <row r="154" spans="4:17">
      <c r="D154" s="64" t="str">
        <f t="shared" si="35"/>
        <v/>
      </c>
      <c r="E154" s="226" t="str">
        <f t="shared" ref="E154:E217" si="39">IFERROR(IF($G$17&lt;=F153,"",DATE(YEAR(E153),MONTH(E153)+1,DAY(E153))),"")</f>
        <v/>
      </c>
      <c r="F154" s="35" t="str">
        <f t="shared" ref="F154:F217" si="40">IF(OR(F153="",F153=$G$17),"",IF(F153&lt;$G$17,F153+1,0))</f>
        <v/>
      </c>
      <c r="G154" s="36" t="str">
        <f t="shared" si="33"/>
        <v/>
      </c>
      <c r="H154" s="36" t="str">
        <f t="shared" si="34"/>
        <v/>
      </c>
      <c r="I154" s="747" t="str">
        <f t="shared" ref="I154:I217" si="41">IF(F154&lt;&gt;"",I153-H154,"")</f>
        <v/>
      </c>
      <c r="J154" s="747"/>
      <c r="K154" s="678" t="str">
        <f t="shared" si="36"/>
        <v/>
      </c>
      <c r="L154" s="697" t="str">
        <f t="shared" si="37"/>
        <v/>
      </c>
      <c r="M154" s="678" t="str">
        <f t="shared" si="38"/>
        <v/>
      </c>
    </row>
    <row r="155" spans="4:17">
      <c r="D155" s="64" t="str">
        <f t="shared" si="35"/>
        <v/>
      </c>
      <c r="E155" s="226" t="str">
        <f t="shared" si="39"/>
        <v/>
      </c>
      <c r="F155" s="35" t="str">
        <f t="shared" si="40"/>
        <v/>
      </c>
      <c r="G155" s="36" t="str">
        <f t="shared" si="33"/>
        <v/>
      </c>
      <c r="H155" s="36" t="str">
        <f t="shared" si="34"/>
        <v/>
      </c>
      <c r="I155" s="747" t="str">
        <f t="shared" si="41"/>
        <v/>
      </c>
      <c r="J155" s="747"/>
      <c r="K155" s="678" t="str">
        <f t="shared" si="36"/>
        <v/>
      </c>
      <c r="L155" s="697" t="str">
        <f t="shared" si="37"/>
        <v/>
      </c>
      <c r="M155" s="678" t="str">
        <f t="shared" si="38"/>
        <v/>
      </c>
    </row>
    <row r="156" spans="4:17">
      <c r="D156" s="64" t="str">
        <f t="shared" si="35"/>
        <v/>
      </c>
      <c r="E156" s="226" t="str">
        <f t="shared" si="39"/>
        <v/>
      </c>
      <c r="F156" s="35" t="str">
        <f t="shared" si="40"/>
        <v/>
      </c>
      <c r="G156" s="36" t="str">
        <f t="shared" si="33"/>
        <v/>
      </c>
      <c r="H156" s="36" t="str">
        <f t="shared" si="34"/>
        <v/>
      </c>
      <c r="I156" s="747" t="str">
        <f t="shared" si="41"/>
        <v/>
      </c>
      <c r="J156" s="747"/>
      <c r="K156" s="678" t="str">
        <f t="shared" si="36"/>
        <v/>
      </c>
      <c r="L156" s="697" t="str">
        <f t="shared" si="37"/>
        <v/>
      </c>
      <c r="M156" s="678" t="str">
        <f t="shared" si="38"/>
        <v/>
      </c>
    </row>
    <row r="157" spans="4:17">
      <c r="D157" s="64" t="str">
        <f t="shared" si="35"/>
        <v/>
      </c>
      <c r="E157" s="226" t="str">
        <f t="shared" si="39"/>
        <v/>
      </c>
      <c r="F157" s="35" t="str">
        <f t="shared" si="40"/>
        <v/>
      </c>
      <c r="G157" s="36" t="str">
        <f t="shared" si="33"/>
        <v/>
      </c>
      <c r="H157" s="36" t="str">
        <f t="shared" si="34"/>
        <v/>
      </c>
      <c r="I157" s="747" t="str">
        <f t="shared" si="41"/>
        <v/>
      </c>
      <c r="J157" s="747"/>
      <c r="K157" s="678" t="str">
        <f t="shared" si="36"/>
        <v/>
      </c>
      <c r="L157" s="697" t="str">
        <f t="shared" si="37"/>
        <v/>
      </c>
      <c r="M157" s="678" t="str">
        <f t="shared" si="38"/>
        <v/>
      </c>
    </row>
    <row r="158" spans="4:17">
      <c r="D158" s="64" t="str">
        <f t="shared" si="35"/>
        <v/>
      </c>
      <c r="E158" s="226" t="str">
        <f t="shared" si="39"/>
        <v/>
      </c>
      <c r="F158" s="35" t="str">
        <f t="shared" si="40"/>
        <v/>
      </c>
      <c r="G158" s="36" t="str">
        <f t="shared" si="33"/>
        <v/>
      </c>
      <c r="H158" s="36" t="str">
        <f t="shared" si="34"/>
        <v/>
      </c>
      <c r="I158" s="747" t="str">
        <f t="shared" si="41"/>
        <v/>
      </c>
      <c r="J158" s="747"/>
      <c r="K158" s="678" t="str">
        <f t="shared" si="36"/>
        <v/>
      </c>
      <c r="L158" s="697" t="str">
        <f t="shared" si="37"/>
        <v/>
      </c>
      <c r="M158" s="678" t="str">
        <f t="shared" si="38"/>
        <v/>
      </c>
    </row>
    <row r="159" spans="4:17">
      <c r="D159" s="64" t="str">
        <f t="shared" si="35"/>
        <v/>
      </c>
      <c r="E159" s="226" t="str">
        <f t="shared" si="39"/>
        <v/>
      </c>
      <c r="F159" s="35" t="str">
        <f t="shared" si="40"/>
        <v/>
      </c>
      <c r="G159" s="36" t="str">
        <f t="shared" si="33"/>
        <v/>
      </c>
      <c r="H159" s="36" t="str">
        <f t="shared" si="34"/>
        <v/>
      </c>
      <c r="I159" s="747" t="str">
        <f t="shared" si="41"/>
        <v/>
      </c>
      <c r="J159" s="747"/>
      <c r="K159" s="678" t="str">
        <f t="shared" si="36"/>
        <v/>
      </c>
      <c r="L159" s="697" t="str">
        <f t="shared" si="37"/>
        <v/>
      </c>
      <c r="M159" s="678" t="str">
        <f t="shared" si="38"/>
        <v/>
      </c>
    </row>
    <row r="160" spans="4:17">
      <c r="D160" s="64" t="str">
        <f t="shared" si="35"/>
        <v/>
      </c>
      <c r="E160" s="226" t="str">
        <f t="shared" si="39"/>
        <v/>
      </c>
      <c r="F160" s="35" t="str">
        <f t="shared" si="40"/>
        <v/>
      </c>
      <c r="G160" s="36" t="str">
        <f t="shared" si="33"/>
        <v/>
      </c>
      <c r="H160" s="36" t="str">
        <f t="shared" si="34"/>
        <v/>
      </c>
      <c r="I160" s="747" t="str">
        <f t="shared" si="41"/>
        <v/>
      </c>
      <c r="J160" s="747"/>
      <c r="K160" s="678" t="str">
        <f t="shared" si="36"/>
        <v/>
      </c>
      <c r="L160" s="697" t="str">
        <f t="shared" si="37"/>
        <v/>
      </c>
      <c r="M160" s="678" t="str">
        <f t="shared" si="38"/>
        <v/>
      </c>
    </row>
    <row r="161" spans="4:13">
      <c r="D161" s="64" t="str">
        <f t="shared" si="35"/>
        <v/>
      </c>
      <c r="E161" s="226" t="str">
        <f t="shared" si="39"/>
        <v/>
      </c>
      <c r="F161" s="35" t="str">
        <f t="shared" si="40"/>
        <v/>
      </c>
      <c r="G161" s="36" t="str">
        <f t="shared" si="33"/>
        <v/>
      </c>
      <c r="H161" s="36" t="str">
        <f t="shared" si="34"/>
        <v/>
      </c>
      <c r="I161" s="747" t="str">
        <f t="shared" si="41"/>
        <v/>
      </c>
      <c r="J161" s="747"/>
      <c r="K161" s="678" t="str">
        <f t="shared" si="36"/>
        <v/>
      </c>
      <c r="L161" s="697" t="str">
        <f t="shared" si="37"/>
        <v/>
      </c>
      <c r="M161" s="678" t="str">
        <f t="shared" si="38"/>
        <v/>
      </c>
    </row>
    <row r="162" spans="4:13">
      <c r="D162" s="64" t="str">
        <f t="shared" si="35"/>
        <v/>
      </c>
      <c r="E162" s="226" t="str">
        <f t="shared" si="39"/>
        <v/>
      </c>
      <c r="F162" s="35" t="str">
        <f t="shared" si="40"/>
        <v/>
      </c>
      <c r="G162" s="36" t="str">
        <f t="shared" si="33"/>
        <v/>
      </c>
      <c r="H162" s="36" t="str">
        <f t="shared" si="34"/>
        <v/>
      </c>
      <c r="I162" s="747" t="str">
        <f t="shared" si="41"/>
        <v/>
      </c>
      <c r="J162" s="747"/>
      <c r="K162" s="678" t="str">
        <f t="shared" si="36"/>
        <v/>
      </c>
      <c r="L162" s="697" t="str">
        <f t="shared" si="37"/>
        <v/>
      </c>
      <c r="M162" s="678" t="str">
        <f t="shared" si="38"/>
        <v/>
      </c>
    </row>
    <row r="163" spans="4:13">
      <c r="D163" s="64" t="str">
        <f t="shared" si="35"/>
        <v/>
      </c>
      <c r="E163" s="226" t="str">
        <f t="shared" si="39"/>
        <v/>
      </c>
      <c r="F163" s="35" t="str">
        <f t="shared" si="40"/>
        <v/>
      </c>
      <c r="G163" s="36" t="str">
        <f t="shared" si="33"/>
        <v/>
      </c>
      <c r="H163" s="36" t="str">
        <f t="shared" si="34"/>
        <v/>
      </c>
      <c r="I163" s="747" t="str">
        <f t="shared" si="41"/>
        <v/>
      </c>
      <c r="J163" s="747"/>
      <c r="K163" s="678" t="str">
        <f t="shared" si="36"/>
        <v/>
      </c>
      <c r="L163" s="697" t="str">
        <f t="shared" si="37"/>
        <v/>
      </c>
      <c r="M163" s="678" t="str">
        <f t="shared" si="38"/>
        <v/>
      </c>
    </row>
    <row r="164" spans="4:13">
      <c r="D164" s="64" t="str">
        <f t="shared" si="35"/>
        <v/>
      </c>
      <c r="E164" s="226" t="str">
        <f t="shared" si="39"/>
        <v/>
      </c>
      <c r="F164" s="35" t="str">
        <f t="shared" si="40"/>
        <v/>
      </c>
      <c r="G164" s="36" t="str">
        <f t="shared" si="33"/>
        <v/>
      </c>
      <c r="H164" s="36" t="str">
        <f t="shared" si="34"/>
        <v/>
      </c>
      <c r="I164" s="747" t="str">
        <f t="shared" si="41"/>
        <v/>
      </c>
      <c r="J164" s="747"/>
      <c r="K164" s="678" t="str">
        <f t="shared" si="36"/>
        <v/>
      </c>
      <c r="L164" s="697" t="str">
        <f t="shared" si="37"/>
        <v/>
      </c>
      <c r="M164" s="678" t="str">
        <f t="shared" si="38"/>
        <v/>
      </c>
    </row>
    <row r="165" spans="4:13">
      <c r="D165" s="64" t="str">
        <f t="shared" si="35"/>
        <v/>
      </c>
      <c r="E165" s="226" t="str">
        <f t="shared" si="39"/>
        <v/>
      </c>
      <c r="F165" s="35" t="str">
        <f t="shared" si="40"/>
        <v/>
      </c>
      <c r="G165" s="36" t="str">
        <f t="shared" si="33"/>
        <v/>
      </c>
      <c r="H165" s="36" t="str">
        <f t="shared" si="34"/>
        <v/>
      </c>
      <c r="I165" s="747" t="str">
        <f t="shared" si="41"/>
        <v/>
      </c>
      <c r="J165" s="747"/>
      <c r="K165" s="678" t="str">
        <f t="shared" si="36"/>
        <v/>
      </c>
      <c r="L165" s="697" t="str">
        <f t="shared" si="37"/>
        <v/>
      </c>
      <c r="M165" s="678" t="str">
        <f t="shared" si="38"/>
        <v/>
      </c>
    </row>
    <row r="166" spans="4:13">
      <c r="D166" s="64" t="str">
        <f t="shared" si="35"/>
        <v/>
      </c>
      <c r="E166" s="226" t="str">
        <f t="shared" si="39"/>
        <v/>
      </c>
      <c r="F166" s="35" t="str">
        <f t="shared" si="40"/>
        <v/>
      </c>
      <c r="G166" s="36" t="str">
        <f t="shared" si="33"/>
        <v/>
      </c>
      <c r="H166" s="36" t="str">
        <f t="shared" si="34"/>
        <v/>
      </c>
      <c r="I166" s="747" t="str">
        <f t="shared" si="41"/>
        <v/>
      </c>
      <c r="J166" s="747"/>
      <c r="K166" s="678" t="str">
        <f t="shared" si="36"/>
        <v/>
      </c>
      <c r="L166" s="697" t="str">
        <f t="shared" si="37"/>
        <v/>
      </c>
      <c r="M166" s="678" t="str">
        <f t="shared" si="38"/>
        <v/>
      </c>
    </row>
    <row r="167" spans="4:13">
      <c r="D167" s="64" t="str">
        <f t="shared" si="35"/>
        <v/>
      </c>
      <c r="E167" s="226" t="str">
        <f t="shared" si="39"/>
        <v/>
      </c>
      <c r="F167" s="35" t="str">
        <f t="shared" si="40"/>
        <v/>
      </c>
      <c r="G167" s="36" t="str">
        <f t="shared" si="33"/>
        <v/>
      </c>
      <c r="H167" s="36" t="str">
        <f t="shared" si="34"/>
        <v/>
      </c>
      <c r="I167" s="747" t="str">
        <f t="shared" si="41"/>
        <v/>
      </c>
      <c r="J167" s="747"/>
      <c r="K167" s="678" t="str">
        <f t="shared" si="36"/>
        <v/>
      </c>
      <c r="L167" s="697" t="str">
        <f t="shared" si="37"/>
        <v/>
      </c>
      <c r="M167" s="678" t="str">
        <f t="shared" si="38"/>
        <v/>
      </c>
    </row>
    <row r="168" spans="4:13">
      <c r="D168" s="64" t="str">
        <f t="shared" si="35"/>
        <v/>
      </c>
      <c r="E168" s="226" t="str">
        <f t="shared" si="39"/>
        <v/>
      </c>
      <c r="F168" s="35" t="str">
        <f t="shared" si="40"/>
        <v/>
      </c>
      <c r="G168" s="36" t="str">
        <f t="shared" si="33"/>
        <v/>
      </c>
      <c r="H168" s="36" t="str">
        <f t="shared" si="34"/>
        <v/>
      </c>
      <c r="I168" s="747" t="str">
        <f t="shared" si="41"/>
        <v/>
      </c>
      <c r="J168" s="747"/>
      <c r="K168" s="678" t="str">
        <f t="shared" si="36"/>
        <v/>
      </c>
      <c r="L168" s="697" t="str">
        <f t="shared" si="37"/>
        <v/>
      </c>
      <c r="M168" s="678" t="str">
        <f t="shared" si="38"/>
        <v/>
      </c>
    </row>
    <row r="169" spans="4:13">
      <c r="D169" s="64" t="str">
        <f t="shared" si="35"/>
        <v/>
      </c>
      <c r="E169" s="226" t="str">
        <f t="shared" si="39"/>
        <v/>
      </c>
      <c r="F169" s="35" t="str">
        <f t="shared" si="40"/>
        <v/>
      </c>
      <c r="G169" s="36" t="str">
        <f t="shared" si="33"/>
        <v/>
      </c>
      <c r="H169" s="36" t="str">
        <f t="shared" si="34"/>
        <v/>
      </c>
      <c r="I169" s="747" t="str">
        <f t="shared" si="41"/>
        <v/>
      </c>
      <c r="J169" s="747"/>
      <c r="K169" s="678" t="str">
        <f t="shared" si="36"/>
        <v/>
      </c>
      <c r="L169" s="697" t="str">
        <f t="shared" si="37"/>
        <v/>
      </c>
      <c r="M169" s="678" t="str">
        <f t="shared" si="38"/>
        <v/>
      </c>
    </row>
    <row r="170" spans="4:13">
      <c r="D170" s="64" t="str">
        <f t="shared" si="35"/>
        <v/>
      </c>
      <c r="E170" s="226" t="str">
        <f t="shared" si="39"/>
        <v/>
      </c>
      <c r="F170" s="35" t="str">
        <f t="shared" si="40"/>
        <v/>
      </c>
      <c r="G170" s="36" t="str">
        <f t="shared" si="33"/>
        <v/>
      </c>
      <c r="H170" s="36" t="str">
        <f t="shared" si="34"/>
        <v/>
      </c>
      <c r="I170" s="747" t="str">
        <f t="shared" si="41"/>
        <v/>
      </c>
      <c r="J170" s="747"/>
      <c r="K170" s="678" t="str">
        <f t="shared" si="36"/>
        <v/>
      </c>
      <c r="L170" s="697" t="str">
        <f t="shared" si="37"/>
        <v/>
      </c>
      <c r="M170" s="678" t="str">
        <f t="shared" si="38"/>
        <v/>
      </c>
    </row>
    <row r="171" spans="4:13">
      <c r="D171" s="64" t="str">
        <f t="shared" si="35"/>
        <v/>
      </c>
      <c r="E171" s="226" t="str">
        <f t="shared" si="39"/>
        <v/>
      </c>
      <c r="F171" s="35" t="str">
        <f t="shared" si="40"/>
        <v/>
      </c>
      <c r="G171" s="36" t="str">
        <f t="shared" si="33"/>
        <v/>
      </c>
      <c r="H171" s="36" t="str">
        <f t="shared" si="34"/>
        <v/>
      </c>
      <c r="I171" s="747" t="str">
        <f t="shared" si="41"/>
        <v/>
      </c>
      <c r="J171" s="747"/>
      <c r="K171" s="678" t="str">
        <f t="shared" si="36"/>
        <v/>
      </c>
      <c r="L171" s="697" t="str">
        <f t="shared" si="37"/>
        <v/>
      </c>
      <c r="M171" s="678" t="str">
        <f t="shared" si="38"/>
        <v/>
      </c>
    </row>
    <row r="172" spans="4:13">
      <c r="D172" s="64" t="str">
        <f t="shared" si="35"/>
        <v/>
      </c>
      <c r="E172" s="226" t="str">
        <f t="shared" si="39"/>
        <v/>
      </c>
      <c r="F172" s="35" t="str">
        <f t="shared" si="40"/>
        <v/>
      </c>
      <c r="G172" s="36" t="str">
        <f t="shared" si="33"/>
        <v/>
      </c>
      <c r="H172" s="36" t="str">
        <f t="shared" si="34"/>
        <v/>
      </c>
      <c r="I172" s="747" t="str">
        <f t="shared" si="41"/>
        <v/>
      </c>
      <c r="J172" s="747"/>
      <c r="K172" s="678" t="str">
        <f t="shared" si="36"/>
        <v/>
      </c>
      <c r="L172" s="697" t="str">
        <f t="shared" si="37"/>
        <v/>
      </c>
      <c r="M172" s="678" t="str">
        <f t="shared" si="38"/>
        <v/>
      </c>
    </row>
    <row r="173" spans="4:13">
      <c r="D173" s="64" t="str">
        <f t="shared" si="35"/>
        <v/>
      </c>
      <c r="E173" s="226" t="str">
        <f t="shared" si="39"/>
        <v/>
      </c>
      <c r="F173" s="35" t="str">
        <f t="shared" si="40"/>
        <v/>
      </c>
      <c r="G173" s="36" t="str">
        <f t="shared" si="33"/>
        <v/>
      </c>
      <c r="H173" s="36" t="str">
        <f t="shared" si="34"/>
        <v/>
      </c>
      <c r="I173" s="747" t="str">
        <f t="shared" si="41"/>
        <v/>
      </c>
      <c r="J173" s="747"/>
      <c r="K173" s="678" t="str">
        <f t="shared" si="36"/>
        <v/>
      </c>
      <c r="L173" s="697" t="str">
        <f t="shared" si="37"/>
        <v/>
      </c>
      <c r="M173" s="678" t="str">
        <f t="shared" si="38"/>
        <v/>
      </c>
    </row>
    <row r="174" spans="4:13">
      <c r="D174" s="64" t="str">
        <f t="shared" si="35"/>
        <v/>
      </c>
      <c r="E174" s="226" t="str">
        <f t="shared" si="39"/>
        <v/>
      </c>
      <c r="F174" s="35" t="str">
        <f t="shared" si="40"/>
        <v/>
      </c>
      <c r="G174" s="36" t="str">
        <f t="shared" si="33"/>
        <v/>
      </c>
      <c r="H174" s="36" t="str">
        <f t="shared" si="34"/>
        <v/>
      </c>
      <c r="I174" s="747" t="str">
        <f t="shared" si="41"/>
        <v/>
      </c>
      <c r="J174" s="747"/>
      <c r="K174" s="678" t="str">
        <f t="shared" si="36"/>
        <v/>
      </c>
      <c r="L174" s="697" t="str">
        <f t="shared" si="37"/>
        <v/>
      </c>
      <c r="M174" s="678" t="str">
        <f t="shared" si="38"/>
        <v/>
      </c>
    </row>
    <row r="175" spans="4:13">
      <c r="D175" s="64" t="str">
        <f t="shared" si="35"/>
        <v/>
      </c>
      <c r="E175" s="226" t="str">
        <f t="shared" si="39"/>
        <v/>
      </c>
      <c r="F175" s="35" t="str">
        <f t="shared" si="40"/>
        <v/>
      </c>
      <c r="G175" s="36" t="str">
        <f t="shared" si="33"/>
        <v/>
      </c>
      <c r="H175" s="36" t="str">
        <f t="shared" si="34"/>
        <v/>
      </c>
      <c r="I175" s="747" t="str">
        <f t="shared" si="41"/>
        <v/>
      </c>
      <c r="J175" s="747"/>
      <c r="K175" s="678" t="str">
        <f t="shared" si="36"/>
        <v/>
      </c>
      <c r="L175" s="697" t="str">
        <f t="shared" si="37"/>
        <v/>
      </c>
      <c r="M175" s="678" t="str">
        <f t="shared" si="38"/>
        <v/>
      </c>
    </row>
    <row r="176" spans="4:13">
      <c r="D176" s="64" t="str">
        <f t="shared" si="35"/>
        <v/>
      </c>
      <c r="E176" s="226" t="str">
        <f t="shared" si="39"/>
        <v/>
      </c>
      <c r="F176" s="35" t="str">
        <f t="shared" si="40"/>
        <v/>
      </c>
      <c r="G176" s="36" t="str">
        <f t="shared" si="33"/>
        <v/>
      </c>
      <c r="H176" s="36" t="str">
        <f t="shared" si="34"/>
        <v/>
      </c>
      <c r="I176" s="747" t="str">
        <f t="shared" si="41"/>
        <v/>
      </c>
      <c r="J176" s="747"/>
      <c r="K176" s="678" t="str">
        <f t="shared" si="36"/>
        <v/>
      </c>
      <c r="L176" s="697" t="str">
        <f t="shared" si="37"/>
        <v/>
      </c>
      <c r="M176" s="678" t="str">
        <f t="shared" si="38"/>
        <v/>
      </c>
    </row>
    <row r="177" spans="4:13">
      <c r="D177" s="64" t="str">
        <f t="shared" si="35"/>
        <v/>
      </c>
      <c r="E177" s="226" t="str">
        <f t="shared" si="39"/>
        <v/>
      </c>
      <c r="F177" s="35" t="str">
        <f t="shared" si="40"/>
        <v/>
      </c>
      <c r="G177" s="36" t="str">
        <f t="shared" si="33"/>
        <v/>
      </c>
      <c r="H177" s="36" t="str">
        <f t="shared" si="34"/>
        <v/>
      </c>
      <c r="I177" s="747" t="str">
        <f t="shared" si="41"/>
        <v/>
      </c>
      <c r="J177" s="747"/>
      <c r="K177" s="678" t="str">
        <f t="shared" si="36"/>
        <v/>
      </c>
      <c r="L177" s="697" t="str">
        <f t="shared" si="37"/>
        <v/>
      </c>
      <c r="M177" s="678" t="str">
        <f t="shared" si="38"/>
        <v/>
      </c>
    </row>
    <row r="178" spans="4:13">
      <c r="D178" s="64" t="str">
        <f t="shared" si="35"/>
        <v/>
      </c>
      <c r="E178" s="226" t="str">
        <f t="shared" si="39"/>
        <v/>
      </c>
      <c r="F178" s="35" t="str">
        <f t="shared" si="40"/>
        <v/>
      </c>
      <c r="G178" s="36" t="str">
        <f t="shared" si="33"/>
        <v/>
      </c>
      <c r="H178" s="36" t="str">
        <f t="shared" si="34"/>
        <v/>
      </c>
      <c r="I178" s="747" t="str">
        <f t="shared" si="41"/>
        <v/>
      </c>
      <c r="J178" s="747"/>
      <c r="K178" s="678" t="str">
        <f t="shared" si="36"/>
        <v/>
      </c>
      <c r="L178" s="697" t="str">
        <f t="shared" si="37"/>
        <v/>
      </c>
      <c r="M178" s="678" t="str">
        <f t="shared" si="38"/>
        <v/>
      </c>
    </row>
    <row r="179" spans="4:13">
      <c r="D179" s="64" t="str">
        <f t="shared" si="35"/>
        <v/>
      </c>
      <c r="E179" s="226" t="str">
        <f t="shared" si="39"/>
        <v/>
      </c>
      <c r="F179" s="35" t="str">
        <f t="shared" si="40"/>
        <v/>
      </c>
      <c r="G179" s="36" t="str">
        <f t="shared" si="33"/>
        <v/>
      </c>
      <c r="H179" s="36" t="str">
        <f t="shared" si="34"/>
        <v/>
      </c>
      <c r="I179" s="747" t="str">
        <f t="shared" si="41"/>
        <v/>
      </c>
      <c r="J179" s="747"/>
      <c r="K179" s="678" t="str">
        <f t="shared" si="36"/>
        <v/>
      </c>
      <c r="L179" s="697" t="str">
        <f t="shared" si="37"/>
        <v/>
      </c>
      <c r="M179" s="678" t="str">
        <f t="shared" si="38"/>
        <v/>
      </c>
    </row>
    <row r="180" spans="4:13">
      <c r="D180" s="64" t="str">
        <f t="shared" si="35"/>
        <v/>
      </c>
      <c r="E180" s="226" t="str">
        <f t="shared" si="39"/>
        <v/>
      </c>
      <c r="F180" s="35" t="str">
        <f t="shared" si="40"/>
        <v/>
      </c>
      <c r="G180" s="36" t="str">
        <f t="shared" si="33"/>
        <v/>
      </c>
      <c r="H180" s="36" t="str">
        <f t="shared" si="34"/>
        <v/>
      </c>
      <c r="I180" s="747" t="str">
        <f t="shared" si="41"/>
        <v/>
      </c>
      <c r="J180" s="747"/>
      <c r="K180" s="678" t="str">
        <f t="shared" si="36"/>
        <v/>
      </c>
      <c r="L180" s="697" t="str">
        <f t="shared" si="37"/>
        <v/>
      </c>
      <c r="M180" s="678" t="str">
        <f t="shared" si="38"/>
        <v/>
      </c>
    </row>
    <row r="181" spans="4:13">
      <c r="D181" s="64" t="str">
        <f t="shared" si="35"/>
        <v/>
      </c>
      <c r="E181" s="226" t="str">
        <f t="shared" si="39"/>
        <v/>
      </c>
      <c r="F181" s="35" t="str">
        <f t="shared" si="40"/>
        <v/>
      </c>
      <c r="G181" s="36" t="str">
        <f t="shared" si="33"/>
        <v/>
      </c>
      <c r="H181" s="36" t="str">
        <f t="shared" si="34"/>
        <v/>
      </c>
      <c r="I181" s="747" t="str">
        <f t="shared" si="41"/>
        <v/>
      </c>
      <c r="J181" s="747"/>
      <c r="K181" s="678" t="str">
        <f t="shared" si="36"/>
        <v/>
      </c>
      <c r="L181" s="697" t="str">
        <f t="shared" si="37"/>
        <v/>
      </c>
      <c r="M181" s="678" t="str">
        <f t="shared" si="38"/>
        <v/>
      </c>
    </row>
    <row r="182" spans="4:13">
      <c r="D182" s="64" t="str">
        <f t="shared" si="35"/>
        <v/>
      </c>
      <c r="E182" s="226" t="str">
        <f t="shared" si="39"/>
        <v/>
      </c>
      <c r="F182" s="35" t="str">
        <f t="shared" si="40"/>
        <v/>
      </c>
      <c r="G182" s="36" t="str">
        <f t="shared" si="33"/>
        <v/>
      </c>
      <c r="H182" s="36" t="str">
        <f t="shared" si="34"/>
        <v/>
      </c>
      <c r="I182" s="747" t="str">
        <f t="shared" si="41"/>
        <v/>
      </c>
      <c r="J182" s="747"/>
      <c r="K182" s="678" t="str">
        <f t="shared" si="36"/>
        <v/>
      </c>
      <c r="L182" s="697" t="str">
        <f t="shared" si="37"/>
        <v/>
      </c>
      <c r="M182" s="678" t="str">
        <f t="shared" si="38"/>
        <v/>
      </c>
    </row>
    <row r="183" spans="4:13">
      <c r="D183" s="64" t="str">
        <f t="shared" si="35"/>
        <v/>
      </c>
      <c r="E183" s="226" t="str">
        <f t="shared" si="39"/>
        <v/>
      </c>
      <c r="F183" s="35" t="str">
        <f t="shared" si="40"/>
        <v/>
      </c>
      <c r="G183" s="36" t="str">
        <f t="shared" si="33"/>
        <v/>
      </c>
      <c r="H183" s="36" t="str">
        <f t="shared" si="34"/>
        <v/>
      </c>
      <c r="I183" s="747" t="str">
        <f t="shared" si="41"/>
        <v/>
      </c>
      <c r="J183" s="747"/>
      <c r="K183" s="678" t="str">
        <f t="shared" si="36"/>
        <v/>
      </c>
      <c r="L183" s="697" t="str">
        <f t="shared" si="37"/>
        <v/>
      </c>
      <c r="M183" s="678" t="str">
        <f t="shared" si="38"/>
        <v/>
      </c>
    </row>
    <row r="184" spans="4:13">
      <c r="D184" s="64" t="str">
        <f t="shared" si="35"/>
        <v/>
      </c>
      <c r="E184" s="226" t="str">
        <f t="shared" si="39"/>
        <v/>
      </c>
      <c r="F184" s="35" t="str">
        <f t="shared" si="40"/>
        <v/>
      </c>
      <c r="G184" s="36" t="str">
        <f t="shared" si="33"/>
        <v/>
      </c>
      <c r="H184" s="36" t="str">
        <f t="shared" si="34"/>
        <v/>
      </c>
      <c r="I184" s="747" t="str">
        <f t="shared" si="41"/>
        <v/>
      </c>
      <c r="J184" s="747"/>
      <c r="K184" s="678" t="str">
        <f t="shared" si="36"/>
        <v/>
      </c>
      <c r="L184" s="697" t="str">
        <f t="shared" si="37"/>
        <v/>
      </c>
      <c r="M184" s="678" t="str">
        <f t="shared" si="38"/>
        <v/>
      </c>
    </row>
    <row r="185" spans="4:13">
      <c r="D185" s="64" t="str">
        <f t="shared" si="35"/>
        <v/>
      </c>
      <c r="E185" s="226" t="str">
        <f t="shared" si="39"/>
        <v/>
      </c>
      <c r="F185" s="35" t="str">
        <f t="shared" si="40"/>
        <v/>
      </c>
      <c r="G185" s="36" t="str">
        <f t="shared" si="33"/>
        <v/>
      </c>
      <c r="H185" s="36" t="str">
        <f t="shared" si="34"/>
        <v/>
      </c>
      <c r="I185" s="747" t="str">
        <f t="shared" si="41"/>
        <v/>
      </c>
      <c r="J185" s="747"/>
      <c r="K185" s="678" t="str">
        <f t="shared" si="36"/>
        <v/>
      </c>
      <c r="L185" s="697" t="str">
        <f t="shared" si="37"/>
        <v/>
      </c>
      <c r="M185" s="678" t="str">
        <f t="shared" si="38"/>
        <v/>
      </c>
    </row>
    <row r="186" spans="4:13">
      <c r="D186" s="64" t="str">
        <f t="shared" si="35"/>
        <v/>
      </c>
      <c r="E186" s="226" t="str">
        <f t="shared" si="39"/>
        <v/>
      </c>
      <c r="F186" s="35" t="str">
        <f t="shared" si="40"/>
        <v/>
      </c>
      <c r="G186" s="36" t="str">
        <f t="shared" si="33"/>
        <v/>
      </c>
      <c r="H186" s="36" t="str">
        <f t="shared" si="34"/>
        <v/>
      </c>
      <c r="I186" s="747" t="str">
        <f t="shared" si="41"/>
        <v/>
      </c>
      <c r="J186" s="747"/>
      <c r="K186" s="678" t="str">
        <f t="shared" si="36"/>
        <v/>
      </c>
      <c r="L186" s="697" t="str">
        <f t="shared" si="37"/>
        <v/>
      </c>
      <c r="M186" s="678" t="str">
        <f t="shared" si="38"/>
        <v/>
      </c>
    </row>
    <row r="187" spans="4:13">
      <c r="D187" s="64" t="str">
        <f t="shared" si="35"/>
        <v/>
      </c>
      <c r="E187" s="226" t="str">
        <f t="shared" si="39"/>
        <v/>
      </c>
      <c r="F187" s="35" t="str">
        <f t="shared" si="40"/>
        <v/>
      </c>
      <c r="G187" s="36" t="str">
        <f t="shared" si="33"/>
        <v/>
      </c>
      <c r="H187" s="36" t="str">
        <f t="shared" si="34"/>
        <v/>
      </c>
      <c r="I187" s="747" t="str">
        <f t="shared" si="41"/>
        <v/>
      </c>
      <c r="J187" s="747"/>
      <c r="K187" s="678" t="str">
        <f t="shared" si="36"/>
        <v/>
      </c>
      <c r="L187" s="697" t="str">
        <f t="shared" si="37"/>
        <v/>
      </c>
      <c r="M187" s="678" t="str">
        <f t="shared" si="38"/>
        <v/>
      </c>
    </row>
    <row r="188" spans="4:13">
      <c r="D188" s="64" t="str">
        <f t="shared" si="35"/>
        <v/>
      </c>
      <c r="E188" s="226" t="str">
        <f t="shared" si="39"/>
        <v/>
      </c>
      <c r="F188" s="35" t="str">
        <f t="shared" si="40"/>
        <v/>
      </c>
      <c r="G188" s="36" t="str">
        <f t="shared" si="33"/>
        <v/>
      </c>
      <c r="H188" s="36" t="str">
        <f t="shared" si="34"/>
        <v/>
      </c>
      <c r="I188" s="747" t="str">
        <f t="shared" si="41"/>
        <v/>
      </c>
      <c r="J188" s="747"/>
      <c r="K188" s="678" t="str">
        <f t="shared" si="36"/>
        <v/>
      </c>
      <c r="L188" s="697" t="str">
        <f t="shared" si="37"/>
        <v/>
      </c>
      <c r="M188" s="678" t="str">
        <f t="shared" si="38"/>
        <v/>
      </c>
    </row>
    <row r="189" spans="4:13">
      <c r="D189" s="64" t="str">
        <f t="shared" si="35"/>
        <v/>
      </c>
      <c r="E189" s="226" t="str">
        <f t="shared" si="39"/>
        <v/>
      </c>
      <c r="F189" s="35" t="str">
        <f t="shared" si="40"/>
        <v/>
      </c>
      <c r="G189" s="36" t="str">
        <f t="shared" si="33"/>
        <v/>
      </c>
      <c r="H189" s="36" t="str">
        <f t="shared" si="34"/>
        <v/>
      </c>
      <c r="I189" s="747" t="str">
        <f t="shared" si="41"/>
        <v/>
      </c>
      <c r="J189" s="747"/>
      <c r="K189" s="678" t="str">
        <f t="shared" si="36"/>
        <v/>
      </c>
      <c r="L189" s="697" t="str">
        <f t="shared" si="37"/>
        <v/>
      </c>
      <c r="M189" s="678" t="str">
        <f t="shared" si="38"/>
        <v/>
      </c>
    </row>
    <row r="190" spans="4:13">
      <c r="D190" s="64" t="str">
        <f t="shared" si="35"/>
        <v/>
      </c>
      <c r="E190" s="226" t="str">
        <f t="shared" si="39"/>
        <v/>
      </c>
      <c r="F190" s="35" t="str">
        <f t="shared" si="40"/>
        <v/>
      </c>
      <c r="G190" s="36" t="str">
        <f t="shared" si="33"/>
        <v/>
      </c>
      <c r="H190" s="36" t="str">
        <f t="shared" si="34"/>
        <v/>
      </c>
      <c r="I190" s="747" t="str">
        <f t="shared" si="41"/>
        <v/>
      </c>
      <c r="J190" s="747"/>
      <c r="K190" s="678" t="str">
        <f t="shared" si="36"/>
        <v/>
      </c>
      <c r="L190" s="697" t="str">
        <f t="shared" si="37"/>
        <v/>
      </c>
      <c r="M190" s="678" t="str">
        <f t="shared" si="38"/>
        <v/>
      </c>
    </row>
    <row r="191" spans="4:13">
      <c r="D191" s="64" t="str">
        <f t="shared" si="35"/>
        <v/>
      </c>
      <c r="E191" s="226" t="str">
        <f t="shared" si="39"/>
        <v/>
      </c>
      <c r="F191" s="35" t="str">
        <f t="shared" si="40"/>
        <v/>
      </c>
      <c r="G191" s="36" t="str">
        <f t="shared" si="33"/>
        <v/>
      </c>
      <c r="H191" s="36" t="str">
        <f t="shared" si="34"/>
        <v/>
      </c>
      <c r="I191" s="747" t="str">
        <f t="shared" si="41"/>
        <v/>
      </c>
      <c r="J191" s="747"/>
      <c r="K191" s="678" t="str">
        <f t="shared" si="36"/>
        <v/>
      </c>
      <c r="L191" s="697" t="str">
        <f t="shared" si="37"/>
        <v/>
      </c>
      <c r="M191" s="678" t="str">
        <f t="shared" si="38"/>
        <v/>
      </c>
    </row>
    <row r="192" spans="4:13">
      <c r="D192" s="64" t="str">
        <f t="shared" si="35"/>
        <v/>
      </c>
      <c r="E192" s="226" t="str">
        <f t="shared" si="39"/>
        <v/>
      </c>
      <c r="F192" s="35" t="str">
        <f t="shared" si="40"/>
        <v/>
      </c>
      <c r="G192" s="36" t="str">
        <f t="shared" si="33"/>
        <v/>
      </c>
      <c r="H192" s="36" t="str">
        <f t="shared" si="34"/>
        <v/>
      </c>
      <c r="I192" s="747" t="str">
        <f t="shared" si="41"/>
        <v/>
      </c>
      <c r="J192" s="747"/>
      <c r="K192" s="678" t="str">
        <f t="shared" si="36"/>
        <v/>
      </c>
      <c r="L192" s="697" t="str">
        <f t="shared" si="37"/>
        <v/>
      </c>
      <c r="M192" s="678" t="str">
        <f t="shared" si="38"/>
        <v/>
      </c>
    </row>
    <row r="193" spans="4:13">
      <c r="D193" s="64" t="str">
        <f t="shared" si="35"/>
        <v/>
      </c>
      <c r="E193" s="226" t="str">
        <f t="shared" si="39"/>
        <v/>
      </c>
      <c r="F193" s="35" t="str">
        <f t="shared" si="40"/>
        <v/>
      </c>
      <c r="G193" s="36" t="str">
        <f t="shared" si="33"/>
        <v/>
      </c>
      <c r="H193" s="36" t="str">
        <f t="shared" si="34"/>
        <v/>
      </c>
      <c r="I193" s="747" t="str">
        <f t="shared" si="41"/>
        <v/>
      </c>
      <c r="J193" s="747"/>
      <c r="K193" s="678" t="str">
        <f t="shared" si="36"/>
        <v/>
      </c>
      <c r="L193" s="697" t="str">
        <f t="shared" si="37"/>
        <v/>
      </c>
      <c r="M193" s="678" t="str">
        <f t="shared" si="38"/>
        <v/>
      </c>
    </row>
    <row r="194" spans="4:13">
      <c r="D194" s="64" t="str">
        <f t="shared" si="35"/>
        <v/>
      </c>
      <c r="E194" s="226" t="str">
        <f t="shared" si="39"/>
        <v/>
      </c>
      <c r="F194" s="35" t="str">
        <f t="shared" si="40"/>
        <v/>
      </c>
      <c r="G194" s="36" t="str">
        <f t="shared" si="33"/>
        <v/>
      </c>
      <c r="H194" s="36" t="str">
        <f t="shared" si="34"/>
        <v/>
      </c>
      <c r="I194" s="747" t="str">
        <f t="shared" si="41"/>
        <v/>
      </c>
      <c r="J194" s="747"/>
      <c r="K194" s="678" t="str">
        <f t="shared" si="36"/>
        <v/>
      </c>
      <c r="L194" s="697" t="str">
        <f t="shared" si="37"/>
        <v/>
      </c>
      <c r="M194" s="678" t="str">
        <f t="shared" si="38"/>
        <v/>
      </c>
    </row>
    <row r="195" spans="4:13">
      <c r="D195" s="64" t="str">
        <f t="shared" si="35"/>
        <v/>
      </c>
      <c r="E195" s="226" t="str">
        <f t="shared" si="39"/>
        <v/>
      </c>
      <c r="F195" s="35" t="str">
        <f t="shared" si="40"/>
        <v/>
      </c>
      <c r="G195" s="36" t="str">
        <f t="shared" si="33"/>
        <v/>
      </c>
      <c r="H195" s="36" t="str">
        <f t="shared" si="34"/>
        <v/>
      </c>
      <c r="I195" s="747" t="str">
        <f t="shared" si="41"/>
        <v/>
      </c>
      <c r="J195" s="747"/>
      <c r="K195" s="678" t="str">
        <f t="shared" si="36"/>
        <v/>
      </c>
      <c r="L195" s="697" t="str">
        <f t="shared" si="37"/>
        <v/>
      </c>
      <c r="M195" s="678" t="str">
        <f t="shared" si="38"/>
        <v/>
      </c>
    </row>
    <row r="196" spans="4:13">
      <c r="D196" s="64" t="str">
        <f t="shared" si="35"/>
        <v/>
      </c>
      <c r="E196" s="226" t="str">
        <f t="shared" si="39"/>
        <v/>
      </c>
      <c r="F196" s="35" t="str">
        <f t="shared" si="40"/>
        <v/>
      </c>
      <c r="G196" s="36" t="str">
        <f t="shared" si="33"/>
        <v/>
      </c>
      <c r="H196" s="36" t="str">
        <f t="shared" si="34"/>
        <v/>
      </c>
      <c r="I196" s="747" t="str">
        <f t="shared" si="41"/>
        <v/>
      </c>
      <c r="J196" s="747"/>
      <c r="K196" s="678" t="str">
        <f t="shared" si="36"/>
        <v/>
      </c>
      <c r="L196" s="697" t="str">
        <f t="shared" si="37"/>
        <v/>
      </c>
      <c r="M196" s="678" t="str">
        <f t="shared" si="38"/>
        <v/>
      </c>
    </row>
    <row r="197" spans="4:13">
      <c r="D197" s="64" t="str">
        <f t="shared" si="35"/>
        <v/>
      </c>
      <c r="E197" s="226" t="str">
        <f t="shared" si="39"/>
        <v/>
      </c>
      <c r="F197" s="35" t="str">
        <f t="shared" si="40"/>
        <v/>
      </c>
      <c r="G197" s="36" t="str">
        <f t="shared" si="33"/>
        <v/>
      </c>
      <c r="H197" s="36" t="str">
        <f t="shared" si="34"/>
        <v/>
      </c>
      <c r="I197" s="747" t="str">
        <f t="shared" si="41"/>
        <v/>
      </c>
      <c r="J197" s="747"/>
      <c r="K197" s="678" t="str">
        <f t="shared" si="36"/>
        <v/>
      </c>
      <c r="L197" s="697" t="str">
        <f t="shared" si="37"/>
        <v/>
      </c>
      <c r="M197" s="678" t="str">
        <f t="shared" si="38"/>
        <v/>
      </c>
    </row>
    <row r="198" spans="4:13">
      <c r="D198" s="64" t="str">
        <f t="shared" si="35"/>
        <v/>
      </c>
      <c r="E198" s="226" t="str">
        <f t="shared" si="39"/>
        <v/>
      </c>
      <c r="F198" s="35" t="str">
        <f t="shared" si="40"/>
        <v/>
      </c>
      <c r="G198" s="36" t="str">
        <f t="shared" si="33"/>
        <v/>
      </c>
      <c r="H198" s="36" t="str">
        <f t="shared" si="34"/>
        <v/>
      </c>
      <c r="I198" s="747" t="str">
        <f t="shared" si="41"/>
        <v/>
      </c>
      <c r="J198" s="747"/>
      <c r="K198" s="678" t="str">
        <f t="shared" si="36"/>
        <v/>
      </c>
      <c r="L198" s="697" t="str">
        <f t="shared" si="37"/>
        <v/>
      </c>
      <c r="M198" s="678" t="str">
        <f t="shared" si="38"/>
        <v/>
      </c>
    </row>
    <row r="199" spans="4:13">
      <c r="D199" s="64" t="str">
        <f t="shared" si="35"/>
        <v/>
      </c>
      <c r="E199" s="226" t="str">
        <f t="shared" si="39"/>
        <v/>
      </c>
      <c r="F199" s="35" t="str">
        <f t="shared" si="40"/>
        <v/>
      </c>
      <c r="G199" s="36" t="str">
        <f t="shared" si="33"/>
        <v/>
      </c>
      <c r="H199" s="36" t="str">
        <f t="shared" si="34"/>
        <v/>
      </c>
      <c r="I199" s="747" t="str">
        <f t="shared" si="41"/>
        <v/>
      </c>
      <c r="J199" s="747"/>
      <c r="K199" s="678" t="str">
        <f t="shared" si="36"/>
        <v/>
      </c>
      <c r="L199" s="697" t="str">
        <f t="shared" si="37"/>
        <v/>
      </c>
      <c r="M199" s="678" t="str">
        <f t="shared" si="38"/>
        <v/>
      </c>
    </row>
    <row r="200" spans="4:13">
      <c r="D200" s="64" t="str">
        <f t="shared" si="35"/>
        <v/>
      </c>
      <c r="E200" s="226" t="str">
        <f t="shared" si="39"/>
        <v/>
      </c>
      <c r="F200" s="35" t="str">
        <f t="shared" si="40"/>
        <v/>
      </c>
      <c r="G200" s="36" t="str">
        <f t="shared" si="33"/>
        <v/>
      </c>
      <c r="H200" s="36" t="str">
        <f t="shared" si="34"/>
        <v/>
      </c>
      <c r="I200" s="747" t="str">
        <f t="shared" si="41"/>
        <v/>
      </c>
      <c r="J200" s="747"/>
      <c r="K200" s="678" t="str">
        <f t="shared" si="36"/>
        <v/>
      </c>
      <c r="L200" s="697" t="str">
        <f t="shared" si="37"/>
        <v/>
      </c>
      <c r="M200" s="678" t="str">
        <f t="shared" si="38"/>
        <v/>
      </c>
    </row>
    <row r="201" spans="4:13">
      <c r="D201" s="64" t="str">
        <f t="shared" si="35"/>
        <v/>
      </c>
      <c r="E201" s="226" t="str">
        <f t="shared" si="39"/>
        <v/>
      </c>
      <c r="F201" s="35" t="str">
        <f t="shared" si="40"/>
        <v/>
      </c>
      <c r="G201" s="36" t="str">
        <f t="shared" si="33"/>
        <v/>
      </c>
      <c r="H201" s="36" t="str">
        <f t="shared" si="34"/>
        <v/>
      </c>
      <c r="I201" s="747" t="str">
        <f t="shared" si="41"/>
        <v/>
      </c>
      <c r="J201" s="747"/>
      <c r="K201" s="678" t="str">
        <f t="shared" si="36"/>
        <v/>
      </c>
      <c r="L201" s="697" t="str">
        <f t="shared" si="37"/>
        <v/>
      </c>
      <c r="M201" s="678" t="str">
        <f t="shared" si="38"/>
        <v/>
      </c>
    </row>
    <row r="202" spans="4:13">
      <c r="D202" s="64" t="str">
        <f t="shared" si="35"/>
        <v/>
      </c>
      <c r="E202" s="226" t="str">
        <f t="shared" si="39"/>
        <v/>
      </c>
      <c r="F202" s="35" t="str">
        <f t="shared" si="40"/>
        <v/>
      </c>
      <c r="G202" s="36" t="str">
        <f t="shared" si="33"/>
        <v/>
      </c>
      <c r="H202" s="36" t="str">
        <f t="shared" si="34"/>
        <v/>
      </c>
      <c r="I202" s="747" t="str">
        <f t="shared" si="41"/>
        <v/>
      </c>
      <c r="J202" s="747"/>
      <c r="K202" s="678" t="str">
        <f t="shared" si="36"/>
        <v/>
      </c>
      <c r="L202" s="697" t="str">
        <f t="shared" si="37"/>
        <v/>
      </c>
      <c r="M202" s="678" t="str">
        <f t="shared" si="38"/>
        <v/>
      </c>
    </row>
    <row r="203" spans="4:13">
      <c r="D203" s="64" t="str">
        <f t="shared" si="35"/>
        <v/>
      </c>
      <c r="E203" s="226" t="str">
        <f t="shared" si="39"/>
        <v/>
      </c>
      <c r="F203" s="35" t="str">
        <f t="shared" si="40"/>
        <v/>
      </c>
      <c r="G203" s="36" t="str">
        <f t="shared" si="33"/>
        <v/>
      </c>
      <c r="H203" s="36" t="str">
        <f t="shared" si="34"/>
        <v/>
      </c>
      <c r="I203" s="747" t="str">
        <f t="shared" si="41"/>
        <v/>
      </c>
      <c r="J203" s="747"/>
      <c r="K203" s="678" t="str">
        <f t="shared" si="36"/>
        <v/>
      </c>
      <c r="L203" s="697" t="str">
        <f t="shared" si="37"/>
        <v/>
      </c>
      <c r="M203" s="678" t="str">
        <f t="shared" si="38"/>
        <v/>
      </c>
    </row>
    <row r="204" spans="4:13">
      <c r="D204" s="64" t="str">
        <f t="shared" si="35"/>
        <v/>
      </c>
      <c r="E204" s="226" t="str">
        <f t="shared" si="39"/>
        <v/>
      </c>
      <c r="F204" s="35" t="str">
        <f t="shared" si="40"/>
        <v/>
      </c>
      <c r="G204" s="36" t="str">
        <f t="shared" si="33"/>
        <v/>
      </c>
      <c r="H204" s="36" t="str">
        <f t="shared" si="34"/>
        <v/>
      </c>
      <c r="I204" s="747" t="str">
        <f t="shared" si="41"/>
        <v/>
      </c>
      <c r="J204" s="747"/>
      <c r="K204" s="678" t="str">
        <f t="shared" si="36"/>
        <v/>
      </c>
      <c r="L204" s="697" t="str">
        <f t="shared" si="37"/>
        <v/>
      </c>
      <c r="M204" s="678" t="str">
        <f t="shared" si="38"/>
        <v/>
      </c>
    </row>
    <row r="205" spans="4:13">
      <c r="D205" s="64" t="str">
        <f t="shared" si="35"/>
        <v/>
      </c>
      <c r="E205" s="226" t="str">
        <f t="shared" si="39"/>
        <v/>
      </c>
      <c r="F205" s="35" t="str">
        <f t="shared" si="40"/>
        <v/>
      </c>
      <c r="G205" s="36" t="str">
        <f t="shared" si="33"/>
        <v/>
      </c>
      <c r="H205" s="36" t="str">
        <f t="shared" si="34"/>
        <v/>
      </c>
      <c r="I205" s="747" t="str">
        <f t="shared" si="41"/>
        <v/>
      </c>
      <c r="J205" s="747"/>
      <c r="K205" s="678" t="str">
        <f t="shared" si="36"/>
        <v/>
      </c>
      <c r="L205" s="697" t="str">
        <f t="shared" si="37"/>
        <v/>
      </c>
      <c r="M205" s="678" t="str">
        <f t="shared" si="38"/>
        <v/>
      </c>
    </row>
    <row r="206" spans="4:13">
      <c r="D206" s="64" t="str">
        <f t="shared" si="35"/>
        <v/>
      </c>
      <c r="E206" s="226" t="str">
        <f t="shared" si="39"/>
        <v/>
      </c>
      <c r="F206" s="35" t="str">
        <f t="shared" si="40"/>
        <v/>
      </c>
      <c r="G206" s="36" t="str">
        <f t="shared" si="33"/>
        <v/>
      </c>
      <c r="H206" s="36" t="str">
        <f t="shared" si="34"/>
        <v/>
      </c>
      <c r="I206" s="747" t="str">
        <f t="shared" si="41"/>
        <v/>
      </c>
      <c r="J206" s="747"/>
      <c r="K206" s="678" t="str">
        <f t="shared" si="36"/>
        <v/>
      </c>
      <c r="L206" s="697" t="str">
        <f t="shared" si="37"/>
        <v/>
      </c>
      <c r="M206" s="678" t="str">
        <f t="shared" si="38"/>
        <v/>
      </c>
    </row>
    <row r="207" spans="4:13">
      <c r="D207" s="64" t="str">
        <f t="shared" si="35"/>
        <v/>
      </c>
      <c r="E207" s="226" t="str">
        <f t="shared" si="39"/>
        <v/>
      </c>
      <c r="F207" s="35" t="str">
        <f t="shared" si="40"/>
        <v/>
      </c>
      <c r="G207" s="36" t="str">
        <f t="shared" si="33"/>
        <v/>
      </c>
      <c r="H207" s="36" t="str">
        <f t="shared" si="34"/>
        <v/>
      </c>
      <c r="I207" s="747" t="str">
        <f t="shared" si="41"/>
        <v/>
      </c>
      <c r="J207" s="747"/>
      <c r="K207" s="678" t="str">
        <f t="shared" si="36"/>
        <v/>
      </c>
      <c r="L207" s="697" t="str">
        <f t="shared" si="37"/>
        <v/>
      </c>
      <c r="M207" s="678" t="str">
        <f t="shared" si="38"/>
        <v/>
      </c>
    </row>
    <row r="208" spans="4:13">
      <c r="D208" s="64" t="str">
        <f t="shared" si="35"/>
        <v/>
      </c>
      <c r="E208" s="226" t="str">
        <f t="shared" si="39"/>
        <v/>
      </c>
      <c r="F208" s="35" t="str">
        <f t="shared" si="40"/>
        <v/>
      </c>
      <c r="G208" s="36" t="str">
        <f t="shared" si="33"/>
        <v/>
      </c>
      <c r="H208" s="36" t="str">
        <f t="shared" si="34"/>
        <v/>
      </c>
      <c r="I208" s="747" t="str">
        <f t="shared" si="41"/>
        <v/>
      </c>
      <c r="J208" s="747"/>
      <c r="K208" s="678" t="str">
        <f t="shared" si="36"/>
        <v/>
      </c>
      <c r="L208" s="697" t="str">
        <f t="shared" si="37"/>
        <v/>
      </c>
      <c r="M208" s="678" t="str">
        <f t="shared" si="38"/>
        <v/>
      </c>
    </row>
    <row r="209" spans="4:13">
      <c r="D209" s="64" t="str">
        <f t="shared" si="35"/>
        <v/>
      </c>
      <c r="E209" s="226" t="str">
        <f t="shared" si="39"/>
        <v/>
      </c>
      <c r="F209" s="35" t="str">
        <f t="shared" si="40"/>
        <v/>
      </c>
      <c r="G209" s="36" t="str">
        <f t="shared" si="33"/>
        <v/>
      </c>
      <c r="H209" s="36" t="str">
        <f t="shared" si="34"/>
        <v/>
      </c>
      <c r="I209" s="747" t="str">
        <f t="shared" si="41"/>
        <v/>
      </c>
      <c r="J209" s="747"/>
      <c r="K209" s="678" t="str">
        <f t="shared" si="36"/>
        <v/>
      </c>
      <c r="L209" s="697" t="str">
        <f t="shared" si="37"/>
        <v/>
      </c>
      <c r="M209" s="678" t="str">
        <f t="shared" si="38"/>
        <v/>
      </c>
    </row>
    <row r="210" spans="4:13">
      <c r="D210" s="64" t="str">
        <f t="shared" si="35"/>
        <v/>
      </c>
      <c r="E210" s="226" t="str">
        <f t="shared" si="39"/>
        <v/>
      </c>
      <c r="F210" s="35" t="str">
        <f t="shared" si="40"/>
        <v/>
      </c>
      <c r="G210" s="36" t="str">
        <f t="shared" si="33"/>
        <v/>
      </c>
      <c r="H210" s="36" t="str">
        <f t="shared" si="34"/>
        <v/>
      </c>
      <c r="I210" s="747" t="str">
        <f t="shared" si="41"/>
        <v/>
      </c>
      <c r="J210" s="747"/>
      <c r="K210" s="678" t="str">
        <f t="shared" si="36"/>
        <v/>
      </c>
      <c r="L210" s="697" t="str">
        <f t="shared" si="37"/>
        <v/>
      </c>
      <c r="M210" s="678" t="str">
        <f t="shared" si="38"/>
        <v/>
      </c>
    </row>
    <row r="211" spans="4:13">
      <c r="D211" s="64" t="str">
        <f t="shared" si="35"/>
        <v/>
      </c>
      <c r="E211" s="226" t="str">
        <f t="shared" si="39"/>
        <v/>
      </c>
      <c r="F211" s="35" t="str">
        <f t="shared" si="40"/>
        <v/>
      </c>
      <c r="G211" s="36" t="str">
        <f t="shared" si="33"/>
        <v/>
      </c>
      <c r="H211" s="36" t="str">
        <f t="shared" si="34"/>
        <v/>
      </c>
      <c r="I211" s="747" t="str">
        <f t="shared" si="41"/>
        <v/>
      </c>
      <c r="J211" s="747"/>
      <c r="K211" s="678" t="str">
        <f t="shared" si="36"/>
        <v/>
      </c>
      <c r="L211" s="697" t="str">
        <f t="shared" si="37"/>
        <v/>
      </c>
      <c r="M211" s="678" t="str">
        <f t="shared" si="38"/>
        <v/>
      </c>
    </row>
    <row r="212" spans="4:13">
      <c r="D212" s="64" t="str">
        <f t="shared" si="35"/>
        <v/>
      </c>
      <c r="E212" s="226" t="str">
        <f t="shared" si="39"/>
        <v/>
      </c>
      <c r="F212" s="35" t="str">
        <f t="shared" si="40"/>
        <v/>
      </c>
      <c r="G212" s="36" t="str">
        <f t="shared" si="33"/>
        <v/>
      </c>
      <c r="H212" s="36" t="str">
        <f t="shared" si="34"/>
        <v/>
      </c>
      <c r="I212" s="747" t="str">
        <f t="shared" si="41"/>
        <v/>
      </c>
      <c r="J212" s="747"/>
      <c r="K212" s="678" t="str">
        <f t="shared" si="36"/>
        <v/>
      </c>
      <c r="L212" s="697" t="str">
        <f t="shared" si="37"/>
        <v/>
      </c>
      <c r="M212" s="678" t="str">
        <f t="shared" si="38"/>
        <v/>
      </c>
    </row>
    <row r="213" spans="4:13">
      <c r="D213" s="64" t="str">
        <f t="shared" si="35"/>
        <v/>
      </c>
      <c r="E213" s="226" t="str">
        <f t="shared" si="39"/>
        <v/>
      </c>
      <c r="F213" s="35" t="str">
        <f t="shared" si="40"/>
        <v/>
      </c>
      <c r="G213" s="36" t="str">
        <f t="shared" si="33"/>
        <v/>
      </c>
      <c r="H213" s="36" t="str">
        <f t="shared" si="34"/>
        <v/>
      </c>
      <c r="I213" s="747" t="str">
        <f t="shared" si="41"/>
        <v/>
      </c>
      <c r="J213" s="747"/>
      <c r="K213" s="678" t="str">
        <f t="shared" si="36"/>
        <v/>
      </c>
      <c r="L213" s="697" t="str">
        <f t="shared" si="37"/>
        <v/>
      </c>
      <c r="M213" s="678" t="str">
        <f t="shared" si="38"/>
        <v/>
      </c>
    </row>
    <row r="214" spans="4:13">
      <c r="D214" s="64" t="str">
        <f t="shared" si="35"/>
        <v/>
      </c>
      <c r="E214" s="226" t="str">
        <f t="shared" si="39"/>
        <v/>
      </c>
      <c r="F214" s="35" t="str">
        <f t="shared" si="40"/>
        <v/>
      </c>
      <c r="G214" s="36" t="str">
        <f t="shared" si="33"/>
        <v/>
      </c>
      <c r="H214" s="36" t="str">
        <f t="shared" si="34"/>
        <v/>
      </c>
      <c r="I214" s="747" t="str">
        <f t="shared" si="41"/>
        <v/>
      </c>
      <c r="J214" s="747"/>
      <c r="K214" s="678" t="str">
        <f t="shared" si="36"/>
        <v/>
      </c>
      <c r="L214" s="697" t="str">
        <f t="shared" si="37"/>
        <v/>
      </c>
      <c r="M214" s="678" t="str">
        <f t="shared" si="38"/>
        <v/>
      </c>
    </row>
    <row r="215" spans="4:13">
      <c r="D215" s="64" t="str">
        <f t="shared" si="35"/>
        <v/>
      </c>
      <c r="E215" s="226" t="str">
        <f t="shared" si="39"/>
        <v/>
      </c>
      <c r="F215" s="35" t="str">
        <f t="shared" si="40"/>
        <v/>
      </c>
      <c r="G215" s="36" t="str">
        <f t="shared" si="33"/>
        <v/>
      </c>
      <c r="H215" s="36" t="str">
        <f t="shared" si="34"/>
        <v/>
      </c>
      <c r="I215" s="747" t="str">
        <f t="shared" si="41"/>
        <v/>
      </c>
      <c r="J215" s="747"/>
      <c r="K215" s="678" t="str">
        <f t="shared" si="36"/>
        <v/>
      </c>
      <c r="L215" s="697" t="str">
        <f t="shared" si="37"/>
        <v/>
      </c>
      <c r="M215" s="678" t="str">
        <f t="shared" si="38"/>
        <v/>
      </c>
    </row>
    <row r="216" spans="4:13">
      <c r="D216" s="64" t="str">
        <f t="shared" si="35"/>
        <v/>
      </c>
      <c r="E216" s="226" t="str">
        <f t="shared" si="39"/>
        <v/>
      </c>
      <c r="F216" s="35" t="str">
        <f t="shared" si="40"/>
        <v/>
      </c>
      <c r="G216" s="36" t="str">
        <f t="shared" ref="G216:G279" si="42">IFERROR(IF(F216&lt;&gt;"",-IPMT($G$16/12,F216,$G$17,$G$13),""),0)</f>
        <v/>
      </c>
      <c r="H216" s="36" t="str">
        <f t="shared" ref="H216:H279" si="43">IFERROR(IF(F216&lt;&gt;"",-PPMT($G$16/12,F216,$G$17,$G$13),""),0)</f>
        <v/>
      </c>
      <c r="I216" s="747" t="str">
        <f t="shared" si="41"/>
        <v/>
      </c>
      <c r="J216" s="747"/>
      <c r="K216" s="678" t="str">
        <f t="shared" si="36"/>
        <v/>
      </c>
      <c r="L216" s="697" t="str">
        <f t="shared" si="37"/>
        <v/>
      </c>
      <c r="M216" s="678" t="str">
        <f t="shared" si="38"/>
        <v/>
      </c>
    </row>
    <row r="217" spans="4:13">
      <c r="D217" s="64" t="str">
        <f t="shared" ref="D217:D280" si="44">IF(E217="","",MONTH(E217))</f>
        <v/>
      </c>
      <c r="E217" s="226" t="str">
        <f t="shared" si="39"/>
        <v/>
      </c>
      <c r="F217" s="35" t="str">
        <f t="shared" si="40"/>
        <v/>
      </c>
      <c r="G217" s="36" t="str">
        <f t="shared" si="42"/>
        <v/>
      </c>
      <c r="H217" s="36" t="str">
        <f t="shared" si="43"/>
        <v/>
      </c>
      <c r="I217" s="747" t="str">
        <f t="shared" si="41"/>
        <v/>
      </c>
      <c r="J217" s="747"/>
      <c r="K217" s="678" t="str">
        <f t="shared" ref="K217:K280" si="45">IF(D217=12,G217+G216+G215+G214+G213+G212+G211+G210+G209+G208+G207+G206,"")</f>
        <v/>
      </c>
      <c r="L217" s="697" t="str">
        <f t="shared" ref="L217:L280" si="46">IF(D217=12,YEAR(E217),"")</f>
        <v/>
      </c>
      <c r="M217" s="678" t="str">
        <f t="shared" ref="M217:M280" si="47">IF(D217=12,H217+H216+H215+H214+H213+H212+H211+H210+H209+H208+H207+H206,"")</f>
        <v/>
      </c>
    </row>
    <row r="218" spans="4:13">
      <c r="D218" s="64" t="str">
        <f t="shared" si="44"/>
        <v/>
      </c>
      <c r="E218" s="226" t="str">
        <f t="shared" ref="E218:E281" si="48">IFERROR(IF($G$17&lt;=F217,"",DATE(YEAR(E217),MONTH(E217)+1,DAY(E217))),"")</f>
        <v/>
      </c>
      <c r="F218" s="35" t="str">
        <f t="shared" ref="F218:F281" si="49">IF(OR(F217="",F217=$G$17),"",IF(F217&lt;$G$17,F217+1,0))</f>
        <v/>
      </c>
      <c r="G218" s="36" t="str">
        <f t="shared" si="42"/>
        <v/>
      </c>
      <c r="H218" s="36" t="str">
        <f t="shared" si="43"/>
        <v/>
      </c>
      <c r="I218" s="747" t="str">
        <f t="shared" ref="I218:I281" si="50">IF(F218&lt;&gt;"",I217-H218,"")</f>
        <v/>
      </c>
      <c r="J218" s="747"/>
      <c r="K218" s="678" t="str">
        <f t="shared" si="45"/>
        <v/>
      </c>
      <c r="L218" s="697" t="str">
        <f t="shared" si="46"/>
        <v/>
      </c>
      <c r="M218" s="678" t="str">
        <f t="shared" si="47"/>
        <v/>
      </c>
    </row>
    <row r="219" spans="4:13">
      <c r="D219" s="64" t="str">
        <f t="shared" si="44"/>
        <v/>
      </c>
      <c r="E219" s="226" t="str">
        <f t="shared" si="48"/>
        <v/>
      </c>
      <c r="F219" s="35" t="str">
        <f t="shared" si="49"/>
        <v/>
      </c>
      <c r="G219" s="36" t="str">
        <f t="shared" si="42"/>
        <v/>
      </c>
      <c r="H219" s="36" t="str">
        <f t="shared" si="43"/>
        <v/>
      </c>
      <c r="I219" s="747" t="str">
        <f t="shared" si="50"/>
        <v/>
      </c>
      <c r="J219" s="747"/>
      <c r="K219" s="678" t="str">
        <f t="shared" si="45"/>
        <v/>
      </c>
      <c r="L219" s="697" t="str">
        <f t="shared" si="46"/>
        <v/>
      </c>
      <c r="M219" s="678" t="str">
        <f t="shared" si="47"/>
        <v/>
      </c>
    </row>
    <row r="220" spans="4:13">
      <c r="D220" s="64" t="str">
        <f t="shared" si="44"/>
        <v/>
      </c>
      <c r="E220" s="226" t="str">
        <f t="shared" si="48"/>
        <v/>
      </c>
      <c r="F220" s="35" t="str">
        <f t="shared" si="49"/>
        <v/>
      </c>
      <c r="G220" s="36" t="str">
        <f t="shared" si="42"/>
        <v/>
      </c>
      <c r="H220" s="36" t="str">
        <f t="shared" si="43"/>
        <v/>
      </c>
      <c r="I220" s="747" t="str">
        <f t="shared" si="50"/>
        <v/>
      </c>
      <c r="J220" s="747"/>
      <c r="K220" s="678" t="str">
        <f t="shared" si="45"/>
        <v/>
      </c>
      <c r="L220" s="697" t="str">
        <f t="shared" si="46"/>
        <v/>
      </c>
      <c r="M220" s="678" t="str">
        <f t="shared" si="47"/>
        <v/>
      </c>
    </row>
    <row r="221" spans="4:13">
      <c r="D221" s="64" t="str">
        <f t="shared" si="44"/>
        <v/>
      </c>
      <c r="E221" s="226" t="str">
        <f t="shared" si="48"/>
        <v/>
      </c>
      <c r="F221" s="35" t="str">
        <f t="shared" si="49"/>
        <v/>
      </c>
      <c r="G221" s="36" t="str">
        <f t="shared" si="42"/>
        <v/>
      </c>
      <c r="H221" s="36" t="str">
        <f t="shared" si="43"/>
        <v/>
      </c>
      <c r="I221" s="747" t="str">
        <f t="shared" si="50"/>
        <v/>
      </c>
      <c r="J221" s="747"/>
      <c r="K221" s="678" t="str">
        <f t="shared" si="45"/>
        <v/>
      </c>
      <c r="L221" s="697" t="str">
        <f t="shared" si="46"/>
        <v/>
      </c>
      <c r="M221" s="678" t="str">
        <f t="shared" si="47"/>
        <v/>
      </c>
    </row>
    <row r="222" spans="4:13">
      <c r="D222" s="64" t="str">
        <f t="shared" si="44"/>
        <v/>
      </c>
      <c r="E222" s="226" t="str">
        <f t="shared" si="48"/>
        <v/>
      </c>
      <c r="F222" s="35" t="str">
        <f t="shared" si="49"/>
        <v/>
      </c>
      <c r="G222" s="36" t="str">
        <f t="shared" si="42"/>
        <v/>
      </c>
      <c r="H222" s="36" t="str">
        <f t="shared" si="43"/>
        <v/>
      </c>
      <c r="I222" s="747" t="str">
        <f t="shared" si="50"/>
        <v/>
      </c>
      <c r="J222" s="747"/>
      <c r="K222" s="678" t="str">
        <f t="shared" si="45"/>
        <v/>
      </c>
      <c r="L222" s="697" t="str">
        <f t="shared" si="46"/>
        <v/>
      </c>
      <c r="M222" s="678" t="str">
        <f t="shared" si="47"/>
        <v/>
      </c>
    </row>
    <row r="223" spans="4:13">
      <c r="D223" s="64" t="str">
        <f t="shared" si="44"/>
        <v/>
      </c>
      <c r="E223" s="226" t="str">
        <f t="shared" si="48"/>
        <v/>
      </c>
      <c r="F223" s="35" t="str">
        <f t="shared" si="49"/>
        <v/>
      </c>
      <c r="G223" s="36" t="str">
        <f t="shared" si="42"/>
        <v/>
      </c>
      <c r="H223" s="36" t="str">
        <f t="shared" si="43"/>
        <v/>
      </c>
      <c r="I223" s="747" t="str">
        <f t="shared" si="50"/>
        <v/>
      </c>
      <c r="J223" s="747"/>
      <c r="K223" s="678" t="str">
        <f t="shared" si="45"/>
        <v/>
      </c>
      <c r="L223" s="697" t="str">
        <f t="shared" si="46"/>
        <v/>
      </c>
      <c r="M223" s="678" t="str">
        <f t="shared" si="47"/>
        <v/>
      </c>
    </row>
    <row r="224" spans="4:13">
      <c r="D224" s="64" t="str">
        <f t="shared" si="44"/>
        <v/>
      </c>
      <c r="E224" s="226" t="str">
        <f t="shared" si="48"/>
        <v/>
      </c>
      <c r="F224" s="35" t="str">
        <f t="shared" si="49"/>
        <v/>
      </c>
      <c r="G224" s="36" t="str">
        <f t="shared" si="42"/>
        <v/>
      </c>
      <c r="H224" s="36" t="str">
        <f t="shared" si="43"/>
        <v/>
      </c>
      <c r="I224" s="747" t="str">
        <f t="shared" si="50"/>
        <v/>
      </c>
      <c r="J224" s="747"/>
      <c r="K224" s="678" t="str">
        <f t="shared" si="45"/>
        <v/>
      </c>
      <c r="L224" s="697" t="str">
        <f t="shared" si="46"/>
        <v/>
      </c>
      <c r="M224" s="678" t="str">
        <f t="shared" si="47"/>
        <v/>
      </c>
    </row>
    <row r="225" spans="4:13">
      <c r="D225" s="64" t="str">
        <f t="shared" si="44"/>
        <v/>
      </c>
      <c r="E225" s="226" t="str">
        <f t="shared" si="48"/>
        <v/>
      </c>
      <c r="F225" s="35" t="str">
        <f t="shared" si="49"/>
        <v/>
      </c>
      <c r="G225" s="36" t="str">
        <f t="shared" si="42"/>
        <v/>
      </c>
      <c r="H225" s="36" t="str">
        <f t="shared" si="43"/>
        <v/>
      </c>
      <c r="I225" s="747" t="str">
        <f t="shared" si="50"/>
        <v/>
      </c>
      <c r="J225" s="747"/>
      <c r="K225" s="678" t="str">
        <f t="shared" si="45"/>
        <v/>
      </c>
      <c r="L225" s="697" t="str">
        <f t="shared" si="46"/>
        <v/>
      </c>
      <c r="M225" s="678" t="str">
        <f t="shared" si="47"/>
        <v/>
      </c>
    </row>
    <row r="226" spans="4:13">
      <c r="D226" s="64" t="str">
        <f t="shared" si="44"/>
        <v/>
      </c>
      <c r="E226" s="226" t="str">
        <f t="shared" si="48"/>
        <v/>
      </c>
      <c r="F226" s="35" t="str">
        <f t="shared" si="49"/>
        <v/>
      </c>
      <c r="G226" s="36" t="str">
        <f t="shared" si="42"/>
        <v/>
      </c>
      <c r="H226" s="36" t="str">
        <f t="shared" si="43"/>
        <v/>
      </c>
      <c r="I226" s="747" t="str">
        <f t="shared" si="50"/>
        <v/>
      </c>
      <c r="J226" s="747"/>
      <c r="K226" s="678" t="str">
        <f t="shared" si="45"/>
        <v/>
      </c>
      <c r="L226" s="697" t="str">
        <f t="shared" si="46"/>
        <v/>
      </c>
      <c r="M226" s="678" t="str">
        <f t="shared" si="47"/>
        <v/>
      </c>
    </row>
    <row r="227" spans="4:13">
      <c r="D227" s="64" t="str">
        <f t="shared" si="44"/>
        <v/>
      </c>
      <c r="E227" s="226" t="str">
        <f t="shared" si="48"/>
        <v/>
      </c>
      <c r="F227" s="35" t="str">
        <f t="shared" si="49"/>
        <v/>
      </c>
      <c r="G227" s="36" t="str">
        <f t="shared" si="42"/>
        <v/>
      </c>
      <c r="H227" s="36" t="str">
        <f t="shared" si="43"/>
        <v/>
      </c>
      <c r="I227" s="747" t="str">
        <f t="shared" si="50"/>
        <v/>
      </c>
      <c r="J227" s="747"/>
      <c r="K227" s="678" t="str">
        <f t="shared" si="45"/>
        <v/>
      </c>
      <c r="L227" s="697" t="str">
        <f t="shared" si="46"/>
        <v/>
      </c>
      <c r="M227" s="678" t="str">
        <f t="shared" si="47"/>
        <v/>
      </c>
    </row>
    <row r="228" spans="4:13">
      <c r="D228" s="64" t="str">
        <f t="shared" si="44"/>
        <v/>
      </c>
      <c r="E228" s="226" t="str">
        <f t="shared" si="48"/>
        <v/>
      </c>
      <c r="F228" s="35" t="str">
        <f t="shared" si="49"/>
        <v/>
      </c>
      <c r="G228" s="36" t="str">
        <f t="shared" si="42"/>
        <v/>
      </c>
      <c r="H228" s="36" t="str">
        <f t="shared" si="43"/>
        <v/>
      </c>
      <c r="I228" s="747" t="str">
        <f t="shared" si="50"/>
        <v/>
      </c>
      <c r="J228" s="747"/>
      <c r="K228" s="678" t="str">
        <f t="shared" si="45"/>
        <v/>
      </c>
      <c r="L228" s="697" t="str">
        <f t="shared" si="46"/>
        <v/>
      </c>
      <c r="M228" s="678" t="str">
        <f t="shared" si="47"/>
        <v/>
      </c>
    </row>
    <row r="229" spans="4:13">
      <c r="D229" s="64" t="str">
        <f t="shared" si="44"/>
        <v/>
      </c>
      <c r="E229" s="226" t="str">
        <f t="shared" si="48"/>
        <v/>
      </c>
      <c r="F229" s="35" t="str">
        <f t="shared" si="49"/>
        <v/>
      </c>
      <c r="G229" s="36" t="str">
        <f t="shared" si="42"/>
        <v/>
      </c>
      <c r="H229" s="36" t="str">
        <f t="shared" si="43"/>
        <v/>
      </c>
      <c r="I229" s="747" t="str">
        <f t="shared" si="50"/>
        <v/>
      </c>
      <c r="J229" s="747"/>
      <c r="K229" s="678" t="str">
        <f t="shared" si="45"/>
        <v/>
      </c>
      <c r="L229" s="697" t="str">
        <f t="shared" si="46"/>
        <v/>
      </c>
      <c r="M229" s="678" t="str">
        <f t="shared" si="47"/>
        <v/>
      </c>
    </row>
    <row r="230" spans="4:13">
      <c r="D230" s="64" t="str">
        <f t="shared" si="44"/>
        <v/>
      </c>
      <c r="E230" s="226" t="str">
        <f t="shared" si="48"/>
        <v/>
      </c>
      <c r="F230" s="35" t="str">
        <f t="shared" si="49"/>
        <v/>
      </c>
      <c r="G230" s="36" t="str">
        <f t="shared" si="42"/>
        <v/>
      </c>
      <c r="H230" s="36" t="str">
        <f t="shared" si="43"/>
        <v/>
      </c>
      <c r="I230" s="747" t="str">
        <f t="shared" si="50"/>
        <v/>
      </c>
      <c r="J230" s="747"/>
      <c r="K230" s="678" t="str">
        <f t="shared" si="45"/>
        <v/>
      </c>
      <c r="L230" s="697" t="str">
        <f t="shared" si="46"/>
        <v/>
      </c>
      <c r="M230" s="678" t="str">
        <f t="shared" si="47"/>
        <v/>
      </c>
    </row>
    <row r="231" spans="4:13">
      <c r="D231" s="64" t="str">
        <f t="shared" si="44"/>
        <v/>
      </c>
      <c r="E231" s="226" t="str">
        <f t="shared" si="48"/>
        <v/>
      </c>
      <c r="F231" s="35" t="str">
        <f t="shared" si="49"/>
        <v/>
      </c>
      <c r="G231" s="36" t="str">
        <f t="shared" si="42"/>
        <v/>
      </c>
      <c r="H231" s="36" t="str">
        <f t="shared" si="43"/>
        <v/>
      </c>
      <c r="I231" s="747" t="str">
        <f t="shared" si="50"/>
        <v/>
      </c>
      <c r="J231" s="747"/>
      <c r="K231" s="678" t="str">
        <f t="shared" si="45"/>
        <v/>
      </c>
      <c r="L231" s="697" t="str">
        <f t="shared" si="46"/>
        <v/>
      </c>
      <c r="M231" s="678" t="str">
        <f t="shared" si="47"/>
        <v/>
      </c>
    </row>
    <row r="232" spans="4:13">
      <c r="D232" s="64" t="str">
        <f t="shared" si="44"/>
        <v/>
      </c>
      <c r="E232" s="226" t="str">
        <f t="shared" si="48"/>
        <v/>
      </c>
      <c r="F232" s="35" t="str">
        <f t="shared" si="49"/>
        <v/>
      </c>
      <c r="G232" s="36" t="str">
        <f t="shared" si="42"/>
        <v/>
      </c>
      <c r="H232" s="36" t="str">
        <f t="shared" si="43"/>
        <v/>
      </c>
      <c r="I232" s="747" t="str">
        <f t="shared" si="50"/>
        <v/>
      </c>
      <c r="J232" s="747"/>
      <c r="K232" s="678" t="str">
        <f t="shared" si="45"/>
        <v/>
      </c>
      <c r="L232" s="697" t="str">
        <f t="shared" si="46"/>
        <v/>
      </c>
      <c r="M232" s="678" t="str">
        <f t="shared" si="47"/>
        <v/>
      </c>
    </row>
    <row r="233" spans="4:13">
      <c r="D233" s="64" t="str">
        <f t="shared" si="44"/>
        <v/>
      </c>
      <c r="E233" s="226" t="str">
        <f t="shared" si="48"/>
        <v/>
      </c>
      <c r="F233" s="35" t="str">
        <f t="shared" si="49"/>
        <v/>
      </c>
      <c r="G233" s="36" t="str">
        <f t="shared" si="42"/>
        <v/>
      </c>
      <c r="H233" s="36" t="str">
        <f t="shared" si="43"/>
        <v/>
      </c>
      <c r="I233" s="747" t="str">
        <f t="shared" si="50"/>
        <v/>
      </c>
      <c r="J233" s="747"/>
      <c r="K233" s="678" t="str">
        <f t="shared" si="45"/>
        <v/>
      </c>
      <c r="L233" s="697" t="str">
        <f t="shared" si="46"/>
        <v/>
      </c>
      <c r="M233" s="678" t="str">
        <f t="shared" si="47"/>
        <v/>
      </c>
    </row>
    <row r="234" spans="4:13">
      <c r="D234" s="64" t="str">
        <f t="shared" si="44"/>
        <v/>
      </c>
      <c r="E234" s="226" t="str">
        <f t="shared" si="48"/>
        <v/>
      </c>
      <c r="F234" s="35" t="str">
        <f t="shared" si="49"/>
        <v/>
      </c>
      <c r="G234" s="36" t="str">
        <f t="shared" si="42"/>
        <v/>
      </c>
      <c r="H234" s="36" t="str">
        <f t="shared" si="43"/>
        <v/>
      </c>
      <c r="I234" s="747" t="str">
        <f t="shared" si="50"/>
        <v/>
      </c>
      <c r="J234" s="747"/>
      <c r="K234" s="678" t="str">
        <f t="shared" si="45"/>
        <v/>
      </c>
      <c r="L234" s="697" t="str">
        <f t="shared" si="46"/>
        <v/>
      </c>
      <c r="M234" s="678" t="str">
        <f t="shared" si="47"/>
        <v/>
      </c>
    </row>
    <row r="235" spans="4:13">
      <c r="D235" s="64" t="str">
        <f t="shared" si="44"/>
        <v/>
      </c>
      <c r="E235" s="226" t="str">
        <f t="shared" si="48"/>
        <v/>
      </c>
      <c r="F235" s="35" t="str">
        <f t="shared" si="49"/>
        <v/>
      </c>
      <c r="G235" s="36" t="str">
        <f t="shared" si="42"/>
        <v/>
      </c>
      <c r="H235" s="36" t="str">
        <f t="shared" si="43"/>
        <v/>
      </c>
      <c r="I235" s="747" t="str">
        <f t="shared" si="50"/>
        <v/>
      </c>
      <c r="J235" s="747"/>
      <c r="K235" s="678" t="str">
        <f t="shared" si="45"/>
        <v/>
      </c>
      <c r="L235" s="697" t="str">
        <f t="shared" si="46"/>
        <v/>
      </c>
      <c r="M235" s="678" t="str">
        <f t="shared" si="47"/>
        <v/>
      </c>
    </row>
    <row r="236" spans="4:13">
      <c r="D236" s="64" t="str">
        <f t="shared" si="44"/>
        <v/>
      </c>
      <c r="E236" s="226" t="str">
        <f t="shared" si="48"/>
        <v/>
      </c>
      <c r="F236" s="35" t="str">
        <f t="shared" si="49"/>
        <v/>
      </c>
      <c r="G236" s="36" t="str">
        <f t="shared" si="42"/>
        <v/>
      </c>
      <c r="H236" s="36" t="str">
        <f t="shared" si="43"/>
        <v/>
      </c>
      <c r="I236" s="747" t="str">
        <f t="shared" si="50"/>
        <v/>
      </c>
      <c r="J236" s="747"/>
      <c r="K236" s="678" t="str">
        <f t="shared" si="45"/>
        <v/>
      </c>
      <c r="L236" s="697" t="str">
        <f t="shared" si="46"/>
        <v/>
      </c>
      <c r="M236" s="678" t="str">
        <f t="shared" si="47"/>
        <v/>
      </c>
    </row>
    <row r="237" spans="4:13">
      <c r="D237" s="64" t="str">
        <f t="shared" si="44"/>
        <v/>
      </c>
      <c r="E237" s="226" t="str">
        <f t="shared" si="48"/>
        <v/>
      </c>
      <c r="F237" s="35" t="str">
        <f t="shared" si="49"/>
        <v/>
      </c>
      <c r="G237" s="36" t="str">
        <f t="shared" si="42"/>
        <v/>
      </c>
      <c r="H237" s="36" t="str">
        <f t="shared" si="43"/>
        <v/>
      </c>
      <c r="I237" s="747" t="str">
        <f t="shared" si="50"/>
        <v/>
      </c>
      <c r="J237" s="747"/>
      <c r="K237" s="678" t="str">
        <f t="shared" si="45"/>
        <v/>
      </c>
      <c r="L237" s="697" t="str">
        <f t="shared" si="46"/>
        <v/>
      </c>
      <c r="M237" s="678" t="str">
        <f t="shared" si="47"/>
        <v/>
      </c>
    </row>
    <row r="238" spans="4:13">
      <c r="D238" s="64" t="str">
        <f t="shared" si="44"/>
        <v/>
      </c>
      <c r="E238" s="226" t="str">
        <f t="shared" si="48"/>
        <v/>
      </c>
      <c r="F238" s="35" t="str">
        <f t="shared" si="49"/>
        <v/>
      </c>
      <c r="G238" s="36" t="str">
        <f t="shared" si="42"/>
        <v/>
      </c>
      <c r="H238" s="36" t="str">
        <f t="shared" si="43"/>
        <v/>
      </c>
      <c r="I238" s="747" t="str">
        <f t="shared" si="50"/>
        <v/>
      </c>
      <c r="J238" s="747"/>
      <c r="K238" s="678" t="str">
        <f t="shared" si="45"/>
        <v/>
      </c>
      <c r="L238" s="697" t="str">
        <f t="shared" si="46"/>
        <v/>
      </c>
      <c r="M238" s="678" t="str">
        <f t="shared" si="47"/>
        <v/>
      </c>
    </row>
    <row r="239" spans="4:13">
      <c r="D239" s="64" t="str">
        <f t="shared" si="44"/>
        <v/>
      </c>
      <c r="E239" s="226" t="str">
        <f t="shared" si="48"/>
        <v/>
      </c>
      <c r="F239" s="35" t="str">
        <f t="shared" si="49"/>
        <v/>
      </c>
      <c r="G239" s="36" t="str">
        <f t="shared" si="42"/>
        <v/>
      </c>
      <c r="H239" s="36" t="str">
        <f t="shared" si="43"/>
        <v/>
      </c>
      <c r="I239" s="747" t="str">
        <f t="shared" si="50"/>
        <v/>
      </c>
      <c r="J239" s="747"/>
      <c r="K239" s="678" t="str">
        <f t="shared" si="45"/>
        <v/>
      </c>
      <c r="L239" s="697" t="str">
        <f t="shared" si="46"/>
        <v/>
      </c>
      <c r="M239" s="678" t="str">
        <f t="shared" si="47"/>
        <v/>
      </c>
    </row>
    <row r="240" spans="4:13">
      <c r="D240" s="64" t="str">
        <f t="shared" si="44"/>
        <v/>
      </c>
      <c r="E240" s="226" t="str">
        <f t="shared" si="48"/>
        <v/>
      </c>
      <c r="F240" s="35" t="str">
        <f t="shared" si="49"/>
        <v/>
      </c>
      <c r="G240" s="36" t="str">
        <f t="shared" si="42"/>
        <v/>
      </c>
      <c r="H240" s="36" t="str">
        <f t="shared" si="43"/>
        <v/>
      </c>
      <c r="I240" s="747" t="str">
        <f t="shared" si="50"/>
        <v/>
      </c>
      <c r="J240" s="747"/>
      <c r="K240" s="678" t="str">
        <f t="shared" si="45"/>
        <v/>
      </c>
      <c r="L240" s="697" t="str">
        <f t="shared" si="46"/>
        <v/>
      </c>
      <c r="M240" s="678" t="str">
        <f t="shared" si="47"/>
        <v/>
      </c>
    </row>
    <row r="241" spans="4:13">
      <c r="D241" s="64" t="str">
        <f t="shared" si="44"/>
        <v/>
      </c>
      <c r="E241" s="226" t="str">
        <f t="shared" si="48"/>
        <v/>
      </c>
      <c r="F241" s="35" t="str">
        <f t="shared" si="49"/>
        <v/>
      </c>
      <c r="G241" s="36" t="str">
        <f t="shared" si="42"/>
        <v/>
      </c>
      <c r="H241" s="36" t="str">
        <f t="shared" si="43"/>
        <v/>
      </c>
      <c r="I241" s="747" t="str">
        <f t="shared" si="50"/>
        <v/>
      </c>
      <c r="J241" s="747"/>
      <c r="K241" s="678" t="str">
        <f t="shared" si="45"/>
        <v/>
      </c>
      <c r="L241" s="697" t="str">
        <f t="shared" si="46"/>
        <v/>
      </c>
      <c r="M241" s="678" t="str">
        <f t="shared" si="47"/>
        <v/>
      </c>
    </row>
    <row r="242" spans="4:13">
      <c r="D242" s="64" t="str">
        <f t="shared" si="44"/>
        <v/>
      </c>
      <c r="E242" s="226" t="str">
        <f t="shared" si="48"/>
        <v/>
      </c>
      <c r="F242" s="35" t="str">
        <f t="shared" si="49"/>
        <v/>
      </c>
      <c r="G242" s="36" t="str">
        <f t="shared" si="42"/>
        <v/>
      </c>
      <c r="H242" s="36" t="str">
        <f t="shared" si="43"/>
        <v/>
      </c>
      <c r="I242" s="747" t="str">
        <f t="shared" si="50"/>
        <v/>
      </c>
      <c r="J242" s="747"/>
      <c r="K242" s="678" t="str">
        <f t="shared" si="45"/>
        <v/>
      </c>
      <c r="L242" s="697" t="str">
        <f t="shared" si="46"/>
        <v/>
      </c>
      <c r="M242" s="678" t="str">
        <f t="shared" si="47"/>
        <v/>
      </c>
    </row>
    <row r="243" spans="4:13">
      <c r="D243" s="64" t="str">
        <f t="shared" si="44"/>
        <v/>
      </c>
      <c r="E243" s="226" t="str">
        <f t="shared" si="48"/>
        <v/>
      </c>
      <c r="F243" s="35" t="str">
        <f t="shared" si="49"/>
        <v/>
      </c>
      <c r="G243" s="36" t="str">
        <f t="shared" si="42"/>
        <v/>
      </c>
      <c r="H243" s="36" t="str">
        <f t="shared" si="43"/>
        <v/>
      </c>
      <c r="I243" s="747" t="str">
        <f t="shared" si="50"/>
        <v/>
      </c>
      <c r="J243" s="747"/>
      <c r="K243" s="678" t="str">
        <f t="shared" si="45"/>
        <v/>
      </c>
      <c r="L243" s="697" t="str">
        <f t="shared" si="46"/>
        <v/>
      </c>
      <c r="M243" s="678" t="str">
        <f t="shared" si="47"/>
        <v/>
      </c>
    </row>
    <row r="244" spans="4:13">
      <c r="D244" s="64" t="str">
        <f t="shared" si="44"/>
        <v/>
      </c>
      <c r="E244" s="226" t="str">
        <f t="shared" si="48"/>
        <v/>
      </c>
      <c r="F244" s="35" t="str">
        <f t="shared" si="49"/>
        <v/>
      </c>
      <c r="G244" s="36" t="str">
        <f t="shared" si="42"/>
        <v/>
      </c>
      <c r="H244" s="36" t="str">
        <f t="shared" si="43"/>
        <v/>
      </c>
      <c r="I244" s="747" t="str">
        <f t="shared" si="50"/>
        <v/>
      </c>
      <c r="J244" s="747"/>
      <c r="K244" s="678" t="str">
        <f t="shared" si="45"/>
        <v/>
      </c>
      <c r="L244" s="697" t="str">
        <f t="shared" si="46"/>
        <v/>
      </c>
      <c r="M244" s="678" t="str">
        <f t="shared" si="47"/>
        <v/>
      </c>
    </row>
    <row r="245" spans="4:13">
      <c r="D245" s="64" t="str">
        <f t="shared" si="44"/>
        <v/>
      </c>
      <c r="E245" s="226" t="str">
        <f t="shared" si="48"/>
        <v/>
      </c>
      <c r="F245" s="35" t="str">
        <f t="shared" si="49"/>
        <v/>
      </c>
      <c r="G245" s="36" t="str">
        <f t="shared" si="42"/>
        <v/>
      </c>
      <c r="H245" s="36" t="str">
        <f t="shared" si="43"/>
        <v/>
      </c>
      <c r="I245" s="747" t="str">
        <f t="shared" si="50"/>
        <v/>
      </c>
      <c r="J245" s="747"/>
      <c r="K245" s="678" t="str">
        <f t="shared" si="45"/>
        <v/>
      </c>
      <c r="L245" s="697" t="str">
        <f t="shared" si="46"/>
        <v/>
      </c>
      <c r="M245" s="678" t="str">
        <f t="shared" si="47"/>
        <v/>
      </c>
    </row>
    <row r="246" spans="4:13">
      <c r="D246" s="64" t="str">
        <f t="shared" si="44"/>
        <v/>
      </c>
      <c r="E246" s="226" t="str">
        <f t="shared" si="48"/>
        <v/>
      </c>
      <c r="F246" s="35" t="str">
        <f t="shared" si="49"/>
        <v/>
      </c>
      <c r="G246" s="36" t="str">
        <f t="shared" si="42"/>
        <v/>
      </c>
      <c r="H246" s="36" t="str">
        <f t="shared" si="43"/>
        <v/>
      </c>
      <c r="I246" s="747" t="str">
        <f t="shared" si="50"/>
        <v/>
      </c>
      <c r="J246" s="747"/>
      <c r="K246" s="678" t="str">
        <f t="shared" si="45"/>
        <v/>
      </c>
      <c r="L246" s="697" t="str">
        <f t="shared" si="46"/>
        <v/>
      </c>
      <c r="M246" s="678" t="str">
        <f t="shared" si="47"/>
        <v/>
      </c>
    </row>
    <row r="247" spans="4:13">
      <c r="D247" s="64" t="str">
        <f t="shared" si="44"/>
        <v/>
      </c>
      <c r="E247" s="226" t="str">
        <f t="shared" si="48"/>
        <v/>
      </c>
      <c r="F247" s="35" t="str">
        <f t="shared" si="49"/>
        <v/>
      </c>
      <c r="G247" s="36" t="str">
        <f t="shared" si="42"/>
        <v/>
      </c>
      <c r="H247" s="36" t="str">
        <f t="shared" si="43"/>
        <v/>
      </c>
      <c r="I247" s="747" t="str">
        <f t="shared" si="50"/>
        <v/>
      </c>
      <c r="J247" s="747"/>
      <c r="K247" s="678" t="str">
        <f t="shared" si="45"/>
        <v/>
      </c>
      <c r="L247" s="697" t="str">
        <f t="shared" si="46"/>
        <v/>
      </c>
      <c r="M247" s="678" t="str">
        <f t="shared" si="47"/>
        <v/>
      </c>
    </row>
    <row r="248" spans="4:13">
      <c r="D248" s="64" t="str">
        <f t="shared" si="44"/>
        <v/>
      </c>
      <c r="E248" s="226" t="str">
        <f t="shared" si="48"/>
        <v/>
      </c>
      <c r="F248" s="35" t="str">
        <f t="shared" si="49"/>
        <v/>
      </c>
      <c r="G248" s="36" t="str">
        <f t="shared" si="42"/>
        <v/>
      </c>
      <c r="H248" s="36" t="str">
        <f t="shared" si="43"/>
        <v/>
      </c>
      <c r="I248" s="747" t="str">
        <f t="shared" si="50"/>
        <v/>
      </c>
      <c r="J248" s="747"/>
      <c r="K248" s="678" t="str">
        <f t="shared" si="45"/>
        <v/>
      </c>
      <c r="L248" s="697" t="str">
        <f t="shared" si="46"/>
        <v/>
      </c>
      <c r="M248" s="678" t="str">
        <f t="shared" si="47"/>
        <v/>
      </c>
    </row>
    <row r="249" spans="4:13">
      <c r="D249" s="64" t="str">
        <f t="shared" si="44"/>
        <v/>
      </c>
      <c r="E249" s="226" t="str">
        <f t="shared" si="48"/>
        <v/>
      </c>
      <c r="F249" s="35" t="str">
        <f t="shared" si="49"/>
        <v/>
      </c>
      <c r="G249" s="36" t="str">
        <f t="shared" si="42"/>
        <v/>
      </c>
      <c r="H249" s="36" t="str">
        <f t="shared" si="43"/>
        <v/>
      </c>
      <c r="I249" s="747" t="str">
        <f t="shared" si="50"/>
        <v/>
      </c>
      <c r="J249" s="747"/>
      <c r="K249" s="678" t="str">
        <f t="shared" si="45"/>
        <v/>
      </c>
      <c r="L249" s="697" t="str">
        <f t="shared" si="46"/>
        <v/>
      </c>
      <c r="M249" s="678" t="str">
        <f t="shared" si="47"/>
        <v/>
      </c>
    </row>
    <row r="250" spans="4:13">
      <c r="D250" s="64" t="str">
        <f t="shared" si="44"/>
        <v/>
      </c>
      <c r="E250" s="226" t="str">
        <f t="shared" si="48"/>
        <v/>
      </c>
      <c r="F250" s="35" t="str">
        <f t="shared" si="49"/>
        <v/>
      </c>
      <c r="G250" s="36" t="str">
        <f t="shared" si="42"/>
        <v/>
      </c>
      <c r="H250" s="36" t="str">
        <f t="shared" si="43"/>
        <v/>
      </c>
      <c r="I250" s="747" t="str">
        <f t="shared" si="50"/>
        <v/>
      </c>
      <c r="J250" s="747"/>
      <c r="K250" s="678" t="str">
        <f t="shared" si="45"/>
        <v/>
      </c>
      <c r="L250" s="697" t="str">
        <f t="shared" si="46"/>
        <v/>
      </c>
      <c r="M250" s="678" t="str">
        <f t="shared" si="47"/>
        <v/>
      </c>
    </row>
    <row r="251" spans="4:13">
      <c r="D251" s="64" t="str">
        <f t="shared" si="44"/>
        <v/>
      </c>
      <c r="E251" s="226" t="str">
        <f t="shared" si="48"/>
        <v/>
      </c>
      <c r="F251" s="35" t="str">
        <f t="shared" si="49"/>
        <v/>
      </c>
      <c r="G251" s="36" t="str">
        <f t="shared" si="42"/>
        <v/>
      </c>
      <c r="H251" s="36" t="str">
        <f t="shared" si="43"/>
        <v/>
      </c>
      <c r="I251" s="747" t="str">
        <f t="shared" si="50"/>
        <v/>
      </c>
      <c r="J251" s="747"/>
      <c r="K251" s="678" t="str">
        <f t="shared" si="45"/>
        <v/>
      </c>
      <c r="L251" s="697" t="str">
        <f t="shared" si="46"/>
        <v/>
      </c>
      <c r="M251" s="678" t="str">
        <f t="shared" si="47"/>
        <v/>
      </c>
    </row>
    <row r="252" spans="4:13">
      <c r="D252" s="64" t="str">
        <f t="shared" si="44"/>
        <v/>
      </c>
      <c r="E252" s="226" t="str">
        <f t="shared" si="48"/>
        <v/>
      </c>
      <c r="F252" s="35" t="str">
        <f t="shared" si="49"/>
        <v/>
      </c>
      <c r="G252" s="36" t="str">
        <f t="shared" si="42"/>
        <v/>
      </c>
      <c r="H252" s="36" t="str">
        <f t="shared" si="43"/>
        <v/>
      </c>
      <c r="I252" s="747" t="str">
        <f t="shared" si="50"/>
        <v/>
      </c>
      <c r="J252" s="747"/>
      <c r="K252" s="678" t="str">
        <f t="shared" si="45"/>
        <v/>
      </c>
      <c r="L252" s="697" t="str">
        <f t="shared" si="46"/>
        <v/>
      </c>
      <c r="M252" s="678" t="str">
        <f t="shared" si="47"/>
        <v/>
      </c>
    </row>
    <row r="253" spans="4:13">
      <c r="D253" s="64" t="str">
        <f t="shared" si="44"/>
        <v/>
      </c>
      <c r="E253" s="226" t="str">
        <f t="shared" si="48"/>
        <v/>
      </c>
      <c r="F253" s="35" t="str">
        <f t="shared" si="49"/>
        <v/>
      </c>
      <c r="G253" s="36" t="str">
        <f t="shared" si="42"/>
        <v/>
      </c>
      <c r="H253" s="36" t="str">
        <f t="shared" si="43"/>
        <v/>
      </c>
      <c r="I253" s="747" t="str">
        <f t="shared" si="50"/>
        <v/>
      </c>
      <c r="J253" s="747"/>
      <c r="K253" s="678" t="str">
        <f t="shared" si="45"/>
        <v/>
      </c>
      <c r="L253" s="697" t="str">
        <f t="shared" si="46"/>
        <v/>
      </c>
      <c r="M253" s="678" t="str">
        <f t="shared" si="47"/>
        <v/>
      </c>
    </row>
    <row r="254" spans="4:13">
      <c r="D254" s="64" t="str">
        <f t="shared" si="44"/>
        <v/>
      </c>
      <c r="E254" s="226" t="str">
        <f t="shared" si="48"/>
        <v/>
      </c>
      <c r="F254" s="35" t="str">
        <f t="shared" si="49"/>
        <v/>
      </c>
      <c r="G254" s="36" t="str">
        <f t="shared" si="42"/>
        <v/>
      </c>
      <c r="H254" s="36" t="str">
        <f t="shared" si="43"/>
        <v/>
      </c>
      <c r="I254" s="747" t="str">
        <f t="shared" si="50"/>
        <v/>
      </c>
      <c r="J254" s="747"/>
      <c r="K254" s="678" t="str">
        <f t="shared" si="45"/>
        <v/>
      </c>
      <c r="L254" s="697" t="str">
        <f t="shared" si="46"/>
        <v/>
      </c>
      <c r="M254" s="678" t="str">
        <f t="shared" si="47"/>
        <v/>
      </c>
    </row>
    <row r="255" spans="4:13">
      <c r="D255" s="64" t="str">
        <f t="shared" si="44"/>
        <v/>
      </c>
      <c r="E255" s="226" t="str">
        <f t="shared" si="48"/>
        <v/>
      </c>
      <c r="F255" s="35" t="str">
        <f t="shared" si="49"/>
        <v/>
      </c>
      <c r="G255" s="36" t="str">
        <f t="shared" si="42"/>
        <v/>
      </c>
      <c r="H255" s="36" t="str">
        <f t="shared" si="43"/>
        <v/>
      </c>
      <c r="I255" s="747" t="str">
        <f t="shared" si="50"/>
        <v/>
      </c>
      <c r="J255" s="747"/>
      <c r="K255" s="678" t="str">
        <f t="shared" si="45"/>
        <v/>
      </c>
      <c r="L255" s="697" t="str">
        <f t="shared" si="46"/>
        <v/>
      </c>
      <c r="M255" s="678" t="str">
        <f t="shared" si="47"/>
        <v/>
      </c>
    </row>
    <row r="256" spans="4:13">
      <c r="D256" s="64" t="str">
        <f t="shared" si="44"/>
        <v/>
      </c>
      <c r="E256" s="226" t="str">
        <f t="shared" si="48"/>
        <v/>
      </c>
      <c r="F256" s="35" t="str">
        <f t="shared" si="49"/>
        <v/>
      </c>
      <c r="G256" s="36" t="str">
        <f t="shared" si="42"/>
        <v/>
      </c>
      <c r="H256" s="36" t="str">
        <f t="shared" si="43"/>
        <v/>
      </c>
      <c r="I256" s="747" t="str">
        <f t="shared" si="50"/>
        <v/>
      </c>
      <c r="J256" s="747"/>
      <c r="K256" s="678" t="str">
        <f t="shared" si="45"/>
        <v/>
      </c>
      <c r="L256" s="697" t="str">
        <f t="shared" si="46"/>
        <v/>
      </c>
      <c r="M256" s="678" t="str">
        <f t="shared" si="47"/>
        <v/>
      </c>
    </row>
    <row r="257" spans="4:13">
      <c r="D257" s="64" t="str">
        <f t="shared" si="44"/>
        <v/>
      </c>
      <c r="E257" s="226" t="str">
        <f t="shared" si="48"/>
        <v/>
      </c>
      <c r="F257" s="35" t="str">
        <f t="shared" si="49"/>
        <v/>
      </c>
      <c r="G257" s="36" t="str">
        <f t="shared" si="42"/>
        <v/>
      </c>
      <c r="H257" s="36" t="str">
        <f t="shared" si="43"/>
        <v/>
      </c>
      <c r="I257" s="747" t="str">
        <f t="shared" si="50"/>
        <v/>
      </c>
      <c r="J257" s="747"/>
      <c r="K257" s="678" t="str">
        <f t="shared" si="45"/>
        <v/>
      </c>
      <c r="L257" s="697" t="str">
        <f t="shared" si="46"/>
        <v/>
      </c>
      <c r="M257" s="678" t="str">
        <f t="shared" si="47"/>
        <v/>
      </c>
    </row>
    <row r="258" spans="4:13">
      <c r="D258" s="64" t="str">
        <f t="shared" si="44"/>
        <v/>
      </c>
      <c r="E258" s="226" t="str">
        <f t="shared" si="48"/>
        <v/>
      </c>
      <c r="F258" s="35" t="str">
        <f t="shared" si="49"/>
        <v/>
      </c>
      <c r="G258" s="36" t="str">
        <f t="shared" si="42"/>
        <v/>
      </c>
      <c r="H258" s="36" t="str">
        <f t="shared" si="43"/>
        <v/>
      </c>
      <c r="I258" s="747" t="str">
        <f t="shared" si="50"/>
        <v/>
      </c>
      <c r="J258" s="747"/>
      <c r="K258" s="678" t="str">
        <f t="shared" si="45"/>
        <v/>
      </c>
      <c r="L258" s="697" t="str">
        <f t="shared" si="46"/>
        <v/>
      </c>
      <c r="M258" s="678" t="str">
        <f t="shared" si="47"/>
        <v/>
      </c>
    </row>
    <row r="259" spans="4:13">
      <c r="D259" s="64" t="str">
        <f t="shared" si="44"/>
        <v/>
      </c>
      <c r="E259" s="226" t="str">
        <f t="shared" si="48"/>
        <v/>
      </c>
      <c r="F259" s="35" t="str">
        <f t="shared" si="49"/>
        <v/>
      </c>
      <c r="G259" s="36" t="str">
        <f t="shared" si="42"/>
        <v/>
      </c>
      <c r="H259" s="36" t="str">
        <f t="shared" si="43"/>
        <v/>
      </c>
      <c r="I259" s="747" t="str">
        <f t="shared" si="50"/>
        <v/>
      </c>
      <c r="J259" s="747"/>
      <c r="K259" s="678" t="str">
        <f t="shared" si="45"/>
        <v/>
      </c>
      <c r="L259" s="697" t="str">
        <f t="shared" si="46"/>
        <v/>
      </c>
      <c r="M259" s="678" t="str">
        <f t="shared" si="47"/>
        <v/>
      </c>
    </row>
    <row r="260" spans="4:13">
      <c r="D260" s="64" t="str">
        <f t="shared" si="44"/>
        <v/>
      </c>
      <c r="E260" s="226" t="str">
        <f t="shared" si="48"/>
        <v/>
      </c>
      <c r="F260" s="35" t="str">
        <f t="shared" si="49"/>
        <v/>
      </c>
      <c r="G260" s="36" t="str">
        <f t="shared" si="42"/>
        <v/>
      </c>
      <c r="H260" s="36" t="str">
        <f t="shared" si="43"/>
        <v/>
      </c>
      <c r="I260" s="747" t="str">
        <f t="shared" si="50"/>
        <v/>
      </c>
      <c r="J260" s="747"/>
      <c r="K260" s="678" t="str">
        <f t="shared" si="45"/>
        <v/>
      </c>
      <c r="L260" s="697" t="str">
        <f t="shared" si="46"/>
        <v/>
      </c>
      <c r="M260" s="678" t="str">
        <f t="shared" si="47"/>
        <v/>
      </c>
    </row>
    <row r="261" spans="4:13">
      <c r="D261" s="64" t="str">
        <f t="shared" si="44"/>
        <v/>
      </c>
      <c r="E261" s="226" t="str">
        <f t="shared" si="48"/>
        <v/>
      </c>
      <c r="F261" s="35" t="str">
        <f t="shared" si="49"/>
        <v/>
      </c>
      <c r="G261" s="36" t="str">
        <f t="shared" si="42"/>
        <v/>
      </c>
      <c r="H261" s="36" t="str">
        <f t="shared" si="43"/>
        <v/>
      </c>
      <c r="I261" s="747" t="str">
        <f t="shared" si="50"/>
        <v/>
      </c>
      <c r="J261" s="747"/>
      <c r="K261" s="678" t="str">
        <f t="shared" si="45"/>
        <v/>
      </c>
      <c r="L261" s="697" t="str">
        <f t="shared" si="46"/>
        <v/>
      </c>
      <c r="M261" s="678" t="str">
        <f t="shared" si="47"/>
        <v/>
      </c>
    </row>
    <row r="262" spans="4:13">
      <c r="D262" s="64" t="str">
        <f t="shared" si="44"/>
        <v/>
      </c>
      <c r="E262" s="226" t="str">
        <f t="shared" si="48"/>
        <v/>
      </c>
      <c r="F262" s="35" t="str">
        <f t="shared" si="49"/>
        <v/>
      </c>
      <c r="G262" s="36" t="str">
        <f t="shared" si="42"/>
        <v/>
      </c>
      <c r="H262" s="36" t="str">
        <f t="shared" si="43"/>
        <v/>
      </c>
      <c r="I262" s="747" t="str">
        <f t="shared" si="50"/>
        <v/>
      </c>
      <c r="J262" s="747"/>
      <c r="K262" s="678" t="str">
        <f t="shared" si="45"/>
        <v/>
      </c>
      <c r="L262" s="697" t="str">
        <f t="shared" si="46"/>
        <v/>
      </c>
      <c r="M262" s="678" t="str">
        <f t="shared" si="47"/>
        <v/>
      </c>
    </row>
    <row r="263" spans="4:13">
      <c r="D263" s="64" t="str">
        <f t="shared" si="44"/>
        <v/>
      </c>
      <c r="E263" s="226" t="str">
        <f t="shared" si="48"/>
        <v/>
      </c>
      <c r="F263" s="35" t="str">
        <f t="shared" si="49"/>
        <v/>
      </c>
      <c r="G263" s="36" t="str">
        <f t="shared" si="42"/>
        <v/>
      </c>
      <c r="H263" s="36" t="str">
        <f t="shared" si="43"/>
        <v/>
      </c>
      <c r="I263" s="747" t="str">
        <f t="shared" si="50"/>
        <v/>
      </c>
      <c r="J263" s="747"/>
      <c r="K263" s="678" t="str">
        <f t="shared" si="45"/>
        <v/>
      </c>
      <c r="L263" s="697" t="str">
        <f t="shared" si="46"/>
        <v/>
      </c>
      <c r="M263" s="678" t="str">
        <f t="shared" si="47"/>
        <v/>
      </c>
    </row>
    <row r="264" spans="4:13">
      <c r="D264" s="64" t="str">
        <f t="shared" si="44"/>
        <v/>
      </c>
      <c r="E264" s="226" t="str">
        <f t="shared" si="48"/>
        <v/>
      </c>
      <c r="F264" s="35" t="str">
        <f t="shared" si="49"/>
        <v/>
      </c>
      <c r="G264" s="36" t="str">
        <f t="shared" si="42"/>
        <v/>
      </c>
      <c r="H264" s="36" t="str">
        <f t="shared" si="43"/>
        <v/>
      </c>
      <c r="I264" s="747" t="str">
        <f t="shared" si="50"/>
        <v/>
      </c>
      <c r="J264" s="747"/>
      <c r="K264" s="678" t="str">
        <f t="shared" si="45"/>
        <v/>
      </c>
      <c r="L264" s="697" t="str">
        <f t="shared" si="46"/>
        <v/>
      </c>
      <c r="M264" s="678" t="str">
        <f t="shared" si="47"/>
        <v/>
      </c>
    </row>
    <row r="265" spans="4:13">
      <c r="D265" s="64" t="str">
        <f t="shared" si="44"/>
        <v/>
      </c>
      <c r="E265" s="226" t="str">
        <f t="shared" si="48"/>
        <v/>
      </c>
      <c r="F265" s="35" t="str">
        <f t="shared" si="49"/>
        <v/>
      </c>
      <c r="G265" s="36" t="str">
        <f t="shared" si="42"/>
        <v/>
      </c>
      <c r="H265" s="36" t="str">
        <f t="shared" si="43"/>
        <v/>
      </c>
      <c r="I265" s="747" t="str">
        <f t="shared" si="50"/>
        <v/>
      </c>
      <c r="J265" s="747"/>
      <c r="K265" s="678" t="str">
        <f t="shared" si="45"/>
        <v/>
      </c>
      <c r="L265" s="697" t="str">
        <f t="shared" si="46"/>
        <v/>
      </c>
      <c r="M265" s="678" t="str">
        <f t="shared" si="47"/>
        <v/>
      </c>
    </row>
    <row r="266" spans="4:13">
      <c r="D266" s="64" t="str">
        <f t="shared" si="44"/>
        <v/>
      </c>
      <c r="E266" s="226" t="str">
        <f t="shared" si="48"/>
        <v/>
      </c>
      <c r="F266" s="35" t="str">
        <f t="shared" si="49"/>
        <v/>
      </c>
      <c r="G266" s="36" t="str">
        <f t="shared" si="42"/>
        <v/>
      </c>
      <c r="H266" s="36" t="str">
        <f t="shared" si="43"/>
        <v/>
      </c>
      <c r="I266" s="747" t="str">
        <f t="shared" si="50"/>
        <v/>
      </c>
      <c r="J266" s="747"/>
      <c r="K266" s="678" t="str">
        <f t="shared" si="45"/>
        <v/>
      </c>
      <c r="L266" s="697" t="str">
        <f t="shared" si="46"/>
        <v/>
      </c>
      <c r="M266" s="678" t="str">
        <f t="shared" si="47"/>
        <v/>
      </c>
    </row>
    <row r="267" spans="4:13">
      <c r="D267" s="64" t="str">
        <f t="shared" si="44"/>
        <v/>
      </c>
      <c r="E267" s="226" t="str">
        <f t="shared" si="48"/>
        <v/>
      </c>
      <c r="F267" s="35" t="str">
        <f t="shared" si="49"/>
        <v/>
      </c>
      <c r="G267" s="36" t="str">
        <f t="shared" si="42"/>
        <v/>
      </c>
      <c r="H267" s="36" t="str">
        <f t="shared" si="43"/>
        <v/>
      </c>
      <c r="I267" s="747" t="str">
        <f t="shared" si="50"/>
        <v/>
      </c>
      <c r="J267" s="747"/>
      <c r="K267" s="678" t="str">
        <f t="shared" si="45"/>
        <v/>
      </c>
      <c r="L267" s="697" t="str">
        <f t="shared" si="46"/>
        <v/>
      </c>
      <c r="M267" s="678" t="str">
        <f t="shared" si="47"/>
        <v/>
      </c>
    </row>
    <row r="268" spans="4:13">
      <c r="D268" s="64" t="str">
        <f t="shared" si="44"/>
        <v/>
      </c>
      <c r="E268" s="226" t="str">
        <f t="shared" si="48"/>
        <v/>
      </c>
      <c r="F268" s="35" t="str">
        <f t="shared" si="49"/>
        <v/>
      </c>
      <c r="G268" s="36" t="str">
        <f t="shared" si="42"/>
        <v/>
      </c>
      <c r="H268" s="36" t="str">
        <f t="shared" si="43"/>
        <v/>
      </c>
      <c r="I268" s="747" t="str">
        <f t="shared" si="50"/>
        <v/>
      </c>
      <c r="J268" s="747"/>
      <c r="K268" s="678" t="str">
        <f t="shared" si="45"/>
        <v/>
      </c>
      <c r="L268" s="697" t="str">
        <f t="shared" si="46"/>
        <v/>
      </c>
      <c r="M268" s="678" t="str">
        <f t="shared" si="47"/>
        <v/>
      </c>
    </row>
    <row r="269" spans="4:13">
      <c r="D269" s="64" t="str">
        <f t="shared" si="44"/>
        <v/>
      </c>
      <c r="E269" s="226" t="str">
        <f t="shared" si="48"/>
        <v/>
      </c>
      <c r="F269" s="35" t="str">
        <f t="shared" si="49"/>
        <v/>
      </c>
      <c r="G269" s="36" t="str">
        <f t="shared" si="42"/>
        <v/>
      </c>
      <c r="H269" s="36" t="str">
        <f t="shared" si="43"/>
        <v/>
      </c>
      <c r="I269" s="747" t="str">
        <f t="shared" si="50"/>
        <v/>
      </c>
      <c r="J269" s="747"/>
      <c r="K269" s="678" t="str">
        <f t="shared" si="45"/>
        <v/>
      </c>
      <c r="L269" s="697" t="str">
        <f t="shared" si="46"/>
        <v/>
      </c>
      <c r="M269" s="678" t="str">
        <f t="shared" si="47"/>
        <v/>
      </c>
    </row>
    <row r="270" spans="4:13">
      <c r="D270" s="64" t="str">
        <f t="shared" si="44"/>
        <v/>
      </c>
      <c r="E270" s="226" t="str">
        <f t="shared" si="48"/>
        <v/>
      </c>
      <c r="F270" s="35" t="str">
        <f t="shared" si="49"/>
        <v/>
      </c>
      <c r="G270" s="36" t="str">
        <f t="shared" si="42"/>
        <v/>
      </c>
      <c r="H270" s="36" t="str">
        <f t="shared" si="43"/>
        <v/>
      </c>
      <c r="I270" s="747" t="str">
        <f t="shared" si="50"/>
        <v/>
      </c>
      <c r="J270" s="747"/>
      <c r="K270" s="678" t="str">
        <f t="shared" si="45"/>
        <v/>
      </c>
      <c r="L270" s="697" t="str">
        <f t="shared" si="46"/>
        <v/>
      </c>
      <c r="M270" s="678" t="str">
        <f t="shared" si="47"/>
        <v/>
      </c>
    </row>
    <row r="271" spans="4:13">
      <c r="D271" s="64" t="str">
        <f t="shared" si="44"/>
        <v/>
      </c>
      <c r="E271" s="226" t="str">
        <f t="shared" si="48"/>
        <v/>
      </c>
      <c r="F271" s="35" t="str">
        <f t="shared" si="49"/>
        <v/>
      </c>
      <c r="G271" s="36" t="str">
        <f t="shared" si="42"/>
        <v/>
      </c>
      <c r="H271" s="36" t="str">
        <f t="shared" si="43"/>
        <v/>
      </c>
      <c r="I271" s="747" t="str">
        <f t="shared" si="50"/>
        <v/>
      </c>
      <c r="J271" s="747"/>
      <c r="K271" s="678" t="str">
        <f t="shared" si="45"/>
        <v/>
      </c>
      <c r="L271" s="697" t="str">
        <f t="shared" si="46"/>
        <v/>
      </c>
      <c r="M271" s="678" t="str">
        <f t="shared" si="47"/>
        <v/>
      </c>
    </row>
    <row r="272" spans="4:13">
      <c r="D272" s="64" t="str">
        <f t="shared" si="44"/>
        <v/>
      </c>
      <c r="E272" s="226" t="str">
        <f t="shared" si="48"/>
        <v/>
      </c>
      <c r="F272" s="35" t="str">
        <f t="shared" si="49"/>
        <v/>
      </c>
      <c r="G272" s="36" t="str">
        <f t="shared" si="42"/>
        <v/>
      </c>
      <c r="H272" s="36" t="str">
        <f t="shared" si="43"/>
        <v/>
      </c>
      <c r="I272" s="747" t="str">
        <f t="shared" si="50"/>
        <v/>
      </c>
      <c r="J272" s="747"/>
      <c r="K272" s="678" t="str">
        <f t="shared" si="45"/>
        <v/>
      </c>
      <c r="L272" s="697" t="str">
        <f t="shared" si="46"/>
        <v/>
      </c>
      <c r="M272" s="678" t="str">
        <f t="shared" si="47"/>
        <v/>
      </c>
    </row>
    <row r="273" spans="4:13">
      <c r="D273" s="64" t="str">
        <f t="shared" si="44"/>
        <v/>
      </c>
      <c r="E273" s="226" t="str">
        <f t="shared" si="48"/>
        <v/>
      </c>
      <c r="F273" s="35" t="str">
        <f t="shared" si="49"/>
        <v/>
      </c>
      <c r="G273" s="36" t="str">
        <f t="shared" si="42"/>
        <v/>
      </c>
      <c r="H273" s="36" t="str">
        <f t="shared" si="43"/>
        <v/>
      </c>
      <c r="I273" s="747" t="str">
        <f t="shared" si="50"/>
        <v/>
      </c>
      <c r="J273" s="747"/>
      <c r="K273" s="678" t="str">
        <f t="shared" si="45"/>
        <v/>
      </c>
      <c r="L273" s="697" t="str">
        <f t="shared" si="46"/>
        <v/>
      </c>
      <c r="M273" s="678" t="str">
        <f t="shared" si="47"/>
        <v/>
      </c>
    </row>
    <row r="274" spans="4:13">
      <c r="D274" s="64" t="str">
        <f t="shared" si="44"/>
        <v/>
      </c>
      <c r="E274" s="226" t="str">
        <f t="shared" si="48"/>
        <v/>
      </c>
      <c r="F274" s="35" t="str">
        <f t="shared" si="49"/>
        <v/>
      </c>
      <c r="G274" s="36" t="str">
        <f t="shared" si="42"/>
        <v/>
      </c>
      <c r="H274" s="36" t="str">
        <f t="shared" si="43"/>
        <v/>
      </c>
      <c r="I274" s="747" t="str">
        <f t="shared" si="50"/>
        <v/>
      </c>
      <c r="J274" s="747"/>
      <c r="K274" s="678" t="str">
        <f t="shared" si="45"/>
        <v/>
      </c>
      <c r="L274" s="697" t="str">
        <f t="shared" si="46"/>
        <v/>
      </c>
      <c r="M274" s="678" t="str">
        <f t="shared" si="47"/>
        <v/>
      </c>
    </row>
    <row r="275" spans="4:13">
      <c r="D275" s="64" t="str">
        <f t="shared" si="44"/>
        <v/>
      </c>
      <c r="E275" s="226" t="str">
        <f t="shared" si="48"/>
        <v/>
      </c>
      <c r="F275" s="35" t="str">
        <f t="shared" si="49"/>
        <v/>
      </c>
      <c r="G275" s="36" t="str">
        <f t="shared" si="42"/>
        <v/>
      </c>
      <c r="H275" s="36" t="str">
        <f t="shared" si="43"/>
        <v/>
      </c>
      <c r="I275" s="747" t="str">
        <f t="shared" si="50"/>
        <v/>
      </c>
      <c r="J275" s="747"/>
      <c r="K275" s="678" t="str">
        <f t="shared" si="45"/>
        <v/>
      </c>
      <c r="L275" s="697" t="str">
        <f t="shared" si="46"/>
        <v/>
      </c>
      <c r="M275" s="678" t="str">
        <f t="shared" si="47"/>
        <v/>
      </c>
    </row>
    <row r="276" spans="4:13">
      <c r="D276" s="64" t="str">
        <f t="shared" si="44"/>
        <v/>
      </c>
      <c r="E276" s="226" t="str">
        <f t="shared" si="48"/>
        <v/>
      </c>
      <c r="F276" s="35" t="str">
        <f t="shared" si="49"/>
        <v/>
      </c>
      <c r="G276" s="36" t="str">
        <f t="shared" si="42"/>
        <v/>
      </c>
      <c r="H276" s="36" t="str">
        <f t="shared" si="43"/>
        <v/>
      </c>
      <c r="I276" s="747" t="str">
        <f t="shared" si="50"/>
        <v/>
      </c>
      <c r="J276" s="747"/>
      <c r="K276" s="678" t="str">
        <f t="shared" si="45"/>
        <v/>
      </c>
      <c r="L276" s="697" t="str">
        <f t="shared" si="46"/>
        <v/>
      </c>
      <c r="M276" s="678" t="str">
        <f t="shared" si="47"/>
        <v/>
      </c>
    </row>
    <row r="277" spans="4:13">
      <c r="D277" s="64" t="str">
        <f t="shared" si="44"/>
        <v/>
      </c>
      <c r="E277" s="226" t="str">
        <f t="shared" si="48"/>
        <v/>
      </c>
      <c r="F277" s="35" t="str">
        <f t="shared" si="49"/>
        <v/>
      </c>
      <c r="G277" s="36" t="str">
        <f t="shared" si="42"/>
        <v/>
      </c>
      <c r="H277" s="36" t="str">
        <f t="shared" si="43"/>
        <v/>
      </c>
      <c r="I277" s="747" t="str">
        <f t="shared" si="50"/>
        <v/>
      </c>
      <c r="J277" s="747"/>
      <c r="K277" s="678" t="str">
        <f t="shared" si="45"/>
        <v/>
      </c>
      <c r="L277" s="697" t="str">
        <f t="shared" si="46"/>
        <v/>
      </c>
      <c r="M277" s="678" t="str">
        <f t="shared" si="47"/>
        <v/>
      </c>
    </row>
    <row r="278" spans="4:13">
      <c r="D278" s="64" t="str">
        <f t="shared" si="44"/>
        <v/>
      </c>
      <c r="E278" s="226" t="str">
        <f t="shared" si="48"/>
        <v/>
      </c>
      <c r="F278" s="35" t="str">
        <f t="shared" si="49"/>
        <v/>
      </c>
      <c r="G278" s="36" t="str">
        <f t="shared" si="42"/>
        <v/>
      </c>
      <c r="H278" s="36" t="str">
        <f t="shared" si="43"/>
        <v/>
      </c>
      <c r="I278" s="747" t="str">
        <f t="shared" si="50"/>
        <v/>
      </c>
      <c r="J278" s="747"/>
      <c r="K278" s="678" t="str">
        <f t="shared" si="45"/>
        <v/>
      </c>
      <c r="L278" s="697" t="str">
        <f t="shared" si="46"/>
        <v/>
      </c>
      <c r="M278" s="678" t="str">
        <f t="shared" si="47"/>
        <v/>
      </c>
    </row>
    <row r="279" spans="4:13">
      <c r="D279" s="64" t="str">
        <f t="shared" si="44"/>
        <v/>
      </c>
      <c r="E279" s="226" t="str">
        <f t="shared" si="48"/>
        <v/>
      </c>
      <c r="F279" s="35" t="str">
        <f t="shared" si="49"/>
        <v/>
      </c>
      <c r="G279" s="36" t="str">
        <f t="shared" si="42"/>
        <v/>
      </c>
      <c r="H279" s="36" t="str">
        <f t="shared" si="43"/>
        <v/>
      </c>
      <c r="I279" s="747" t="str">
        <f t="shared" si="50"/>
        <v/>
      </c>
      <c r="J279" s="747"/>
      <c r="K279" s="678" t="str">
        <f t="shared" si="45"/>
        <v/>
      </c>
      <c r="L279" s="697" t="str">
        <f t="shared" si="46"/>
        <v/>
      </c>
      <c r="M279" s="678" t="str">
        <f t="shared" si="47"/>
        <v/>
      </c>
    </row>
    <row r="280" spans="4:13">
      <c r="D280" s="64" t="str">
        <f t="shared" si="44"/>
        <v/>
      </c>
      <c r="E280" s="226" t="str">
        <f t="shared" si="48"/>
        <v/>
      </c>
      <c r="F280" s="35" t="str">
        <f t="shared" si="49"/>
        <v/>
      </c>
      <c r="G280" s="36" t="str">
        <f t="shared" ref="G280:G343" si="51">IFERROR(IF(F280&lt;&gt;"",-IPMT($G$16/12,F280,$G$17,$G$13),""),0)</f>
        <v/>
      </c>
      <c r="H280" s="36" t="str">
        <f t="shared" ref="H280:H343" si="52">IFERROR(IF(F280&lt;&gt;"",-PPMT($G$16/12,F280,$G$17,$G$13),""),0)</f>
        <v/>
      </c>
      <c r="I280" s="747" t="str">
        <f t="shared" si="50"/>
        <v/>
      </c>
      <c r="J280" s="747"/>
      <c r="K280" s="678" t="str">
        <f t="shared" si="45"/>
        <v/>
      </c>
      <c r="L280" s="697" t="str">
        <f t="shared" si="46"/>
        <v/>
      </c>
      <c r="M280" s="678" t="str">
        <f t="shared" si="47"/>
        <v/>
      </c>
    </row>
    <row r="281" spans="4:13">
      <c r="D281" s="64" t="str">
        <f t="shared" ref="D281:D344" si="53">IF(E281="","",MONTH(E281))</f>
        <v/>
      </c>
      <c r="E281" s="226" t="str">
        <f t="shared" si="48"/>
        <v/>
      </c>
      <c r="F281" s="35" t="str">
        <f t="shared" si="49"/>
        <v/>
      </c>
      <c r="G281" s="36" t="str">
        <f t="shared" si="51"/>
        <v/>
      </c>
      <c r="H281" s="36" t="str">
        <f t="shared" si="52"/>
        <v/>
      </c>
      <c r="I281" s="747" t="str">
        <f t="shared" si="50"/>
        <v/>
      </c>
      <c r="J281" s="747"/>
      <c r="K281" s="678" t="str">
        <f t="shared" ref="K281:K344" si="54">IF(D281=12,G281+G280+G279+G278+G277+G276+G275+G274+G273+G272+G271+G270,"")</f>
        <v/>
      </c>
      <c r="L281" s="697" t="str">
        <f t="shared" ref="L281:L344" si="55">IF(D281=12,YEAR(E281),"")</f>
        <v/>
      </c>
      <c r="M281" s="678" t="str">
        <f t="shared" ref="M281:M344" si="56">IF(D281=12,H281+H280+H279+H278+H277+H276+H275+H274+H273+H272+H271+H270,"")</f>
        <v/>
      </c>
    </row>
    <row r="282" spans="4:13">
      <c r="D282" s="64" t="str">
        <f t="shared" si="53"/>
        <v/>
      </c>
      <c r="E282" s="226" t="str">
        <f t="shared" ref="E282:E345" si="57">IFERROR(IF($G$17&lt;=F281,"",DATE(YEAR(E281),MONTH(E281)+1,DAY(E281))),"")</f>
        <v/>
      </c>
      <c r="F282" s="35" t="str">
        <f t="shared" ref="F282:F345" si="58">IF(OR(F281="",F281=$G$17),"",IF(F281&lt;$G$17,F281+1,0))</f>
        <v/>
      </c>
      <c r="G282" s="36" t="str">
        <f t="shared" si="51"/>
        <v/>
      </c>
      <c r="H282" s="36" t="str">
        <f t="shared" si="52"/>
        <v/>
      </c>
      <c r="I282" s="747" t="str">
        <f t="shared" ref="I282:I345" si="59">IF(F282&lt;&gt;"",I281-H282,"")</f>
        <v/>
      </c>
      <c r="J282" s="747"/>
      <c r="K282" s="678" t="str">
        <f t="shared" si="54"/>
        <v/>
      </c>
      <c r="L282" s="697" t="str">
        <f t="shared" si="55"/>
        <v/>
      </c>
      <c r="M282" s="678" t="str">
        <f t="shared" si="56"/>
        <v/>
      </c>
    </row>
    <row r="283" spans="4:13">
      <c r="D283" s="64" t="str">
        <f t="shared" si="53"/>
        <v/>
      </c>
      <c r="E283" s="226" t="str">
        <f t="shared" si="57"/>
        <v/>
      </c>
      <c r="F283" s="35" t="str">
        <f t="shared" si="58"/>
        <v/>
      </c>
      <c r="G283" s="36" t="str">
        <f t="shared" si="51"/>
        <v/>
      </c>
      <c r="H283" s="36" t="str">
        <f t="shared" si="52"/>
        <v/>
      </c>
      <c r="I283" s="747" t="str">
        <f t="shared" si="59"/>
        <v/>
      </c>
      <c r="J283" s="747"/>
      <c r="K283" s="678" t="str">
        <f t="shared" si="54"/>
        <v/>
      </c>
      <c r="L283" s="697" t="str">
        <f t="shared" si="55"/>
        <v/>
      </c>
      <c r="M283" s="678" t="str">
        <f t="shared" si="56"/>
        <v/>
      </c>
    </row>
    <row r="284" spans="4:13">
      <c r="D284" s="64" t="str">
        <f t="shared" si="53"/>
        <v/>
      </c>
      <c r="E284" s="226" t="str">
        <f t="shared" si="57"/>
        <v/>
      </c>
      <c r="F284" s="35" t="str">
        <f t="shared" si="58"/>
        <v/>
      </c>
      <c r="G284" s="36" t="str">
        <f t="shared" si="51"/>
        <v/>
      </c>
      <c r="H284" s="36" t="str">
        <f t="shared" si="52"/>
        <v/>
      </c>
      <c r="I284" s="747" t="str">
        <f t="shared" si="59"/>
        <v/>
      </c>
      <c r="J284" s="747"/>
      <c r="K284" s="678" t="str">
        <f t="shared" si="54"/>
        <v/>
      </c>
      <c r="L284" s="697" t="str">
        <f t="shared" si="55"/>
        <v/>
      </c>
      <c r="M284" s="678" t="str">
        <f t="shared" si="56"/>
        <v/>
      </c>
    </row>
    <row r="285" spans="4:13">
      <c r="D285" s="64" t="str">
        <f t="shared" si="53"/>
        <v/>
      </c>
      <c r="E285" s="226" t="str">
        <f t="shared" si="57"/>
        <v/>
      </c>
      <c r="F285" s="35" t="str">
        <f t="shared" si="58"/>
        <v/>
      </c>
      <c r="G285" s="36" t="str">
        <f t="shared" si="51"/>
        <v/>
      </c>
      <c r="H285" s="36" t="str">
        <f t="shared" si="52"/>
        <v/>
      </c>
      <c r="I285" s="747" t="str">
        <f t="shared" si="59"/>
        <v/>
      </c>
      <c r="J285" s="747"/>
      <c r="K285" s="678" t="str">
        <f t="shared" si="54"/>
        <v/>
      </c>
      <c r="L285" s="697" t="str">
        <f t="shared" si="55"/>
        <v/>
      </c>
      <c r="M285" s="678" t="str">
        <f t="shared" si="56"/>
        <v/>
      </c>
    </row>
    <row r="286" spans="4:13">
      <c r="D286" s="64" t="str">
        <f t="shared" si="53"/>
        <v/>
      </c>
      <c r="E286" s="226" t="str">
        <f t="shared" si="57"/>
        <v/>
      </c>
      <c r="F286" s="35" t="str">
        <f t="shared" si="58"/>
        <v/>
      </c>
      <c r="G286" s="36" t="str">
        <f t="shared" si="51"/>
        <v/>
      </c>
      <c r="H286" s="36" t="str">
        <f t="shared" si="52"/>
        <v/>
      </c>
      <c r="I286" s="747" t="str">
        <f t="shared" si="59"/>
        <v/>
      </c>
      <c r="J286" s="747"/>
      <c r="K286" s="678" t="str">
        <f t="shared" si="54"/>
        <v/>
      </c>
      <c r="L286" s="697" t="str">
        <f t="shared" si="55"/>
        <v/>
      </c>
      <c r="M286" s="678" t="str">
        <f t="shared" si="56"/>
        <v/>
      </c>
    </row>
    <row r="287" spans="4:13">
      <c r="D287" s="64" t="str">
        <f t="shared" si="53"/>
        <v/>
      </c>
      <c r="E287" s="226" t="str">
        <f t="shared" si="57"/>
        <v/>
      </c>
      <c r="F287" s="35" t="str">
        <f t="shared" si="58"/>
        <v/>
      </c>
      <c r="G287" s="36" t="str">
        <f t="shared" si="51"/>
        <v/>
      </c>
      <c r="H287" s="36" t="str">
        <f t="shared" si="52"/>
        <v/>
      </c>
      <c r="I287" s="747" t="str">
        <f t="shared" si="59"/>
        <v/>
      </c>
      <c r="J287" s="747"/>
      <c r="K287" s="678" t="str">
        <f t="shared" si="54"/>
        <v/>
      </c>
      <c r="L287" s="697" t="str">
        <f t="shared" si="55"/>
        <v/>
      </c>
      <c r="M287" s="678" t="str">
        <f t="shared" si="56"/>
        <v/>
      </c>
    </row>
    <row r="288" spans="4:13">
      <c r="D288" s="64" t="str">
        <f t="shared" si="53"/>
        <v/>
      </c>
      <c r="E288" s="226" t="str">
        <f t="shared" si="57"/>
        <v/>
      </c>
      <c r="F288" s="35" t="str">
        <f t="shared" si="58"/>
        <v/>
      </c>
      <c r="G288" s="36" t="str">
        <f t="shared" si="51"/>
        <v/>
      </c>
      <c r="H288" s="36" t="str">
        <f t="shared" si="52"/>
        <v/>
      </c>
      <c r="I288" s="747" t="str">
        <f t="shared" si="59"/>
        <v/>
      </c>
      <c r="J288" s="747"/>
      <c r="K288" s="678" t="str">
        <f t="shared" si="54"/>
        <v/>
      </c>
      <c r="L288" s="697" t="str">
        <f t="shared" si="55"/>
        <v/>
      </c>
      <c r="M288" s="678" t="str">
        <f t="shared" si="56"/>
        <v/>
      </c>
    </row>
    <row r="289" spans="4:13">
      <c r="D289" s="64" t="str">
        <f t="shared" si="53"/>
        <v/>
      </c>
      <c r="E289" s="226" t="str">
        <f t="shared" si="57"/>
        <v/>
      </c>
      <c r="F289" s="35" t="str">
        <f t="shared" si="58"/>
        <v/>
      </c>
      <c r="G289" s="36" t="str">
        <f t="shared" si="51"/>
        <v/>
      </c>
      <c r="H289" s="36" t="str">
        <f t="shared" si="52"/>
        <v/>
      </c>
      <c r="I289" s="747" t="str">
        <f t="shared" si="59"/>
        <v/>
      </c>
      <c r="J289" s="747"/>
      <c r="K289" s="678" t="str">
        <f t="shared" si="54"/>
        <v/>
      </c>
      <c r="L289" s="697" t="str">
        <f t="shared" si="55"/>
        <v/>
      </c>
      <c r="M289" s="678" t="str">
        <f t="shared" si="56"/>
        <v/>
      </c>
    </row>
    <row r="290" spans="4:13">
      <c r="D290" s="64" t="str">
        <f t="shared" si="53"/>
        <v/>
      </c>
      <c r="E290" s="226" t="str">
        <f t="shared" si="57"/>
        <v/>
      </c>
      <c r="F290" s="35" t="str">
        <f t="shared" si="58"/>
        <v/>
      </c>
      <c r="G290" s="36" t="str">
        <f t="shared" si="51"/>
        <v/>
      </c>
      <c r="H290" s="36" t="str">
        <f t="shared" si="52"/>
        <v/>
      </c>
      <c r="I290" s="747" t="str">
        <f t="shared" si="59"/>
        <v/>
      </c>
      <c r="J290" s="747"/>
      <c r="K290" s="678" t="str">
        <f t="shared" si="54"/>
        <v/>
      </c>
      <c r="L290" s="697" t="str">
        <f t="shared" si="55"/>
        <v/>
      </c>
      <c r="M290" s="678" t="str">
        <f t="shared" si="56"/>
        <v/>
      </c>
    </row>
    <row r="291" spans="4:13">
      <c r="D291" s="64" t="str">
        <f t="shared" si="53"/>
        <v/>
      </c>
      <c r="E291" s="226" t="str">
        <f t="shared" si="57"/>
        <v/>
      </c>
      <c r="F291" s="35" t="str">
        <f t="shared" si="58"/>
        <v/>
      </c>
      <c r="G291" s="36" t="str">
        <f t="shared" si="51"/>
        <v/>
      </c>
      <c r="H291" s="36" t="str">
        <f t="shared" si="52"/>
        <v/>
      </c>
      <c r="I291" s="747" t="str">
        <f t="shared" si="59"/>
        <v/>
      </c>
      <c r="J291" s="747"/>
      <c r="K291" s="678" t="str">
        <f t="shared" si="54"/>
        <v/>
      </c>
      <c r="L291" s="697" t="str">
        <f t="shared" si="55"/>
        <v/>
      </c>
      <c r="M291" s="678" t="str">
        <f t="shared" si="56"/>
        <v/>
      </c>
    </row>
    <row r="292" spans="4:13">
      <c r="D292" s="64" t="str">
        <f t="shared" si="53"/>
        <v/>
      </c>
      <c r="E292" s="226" t="str">
        <f t="shared" si="57"/>
        <v/>
      </c>
      <c r="F292" s="35" t="str">
        <f t="shared" si="58"/>
        <v/>
      </c>
      <c r="G292" s="36" t="str">
        <f t="shared" si="51"/>
        <v/>
      </c>
      <c r="H292" s="36" t="str">
        <f t="shared" si="52"/>
        <v/>
      </c>
      <c r="I292" s="747" t="str">
        <f t="shared" si="59"/>
        <v/>
      </c>
      <c r="J292" s="747"/>
      <c r="K292" s="678" t="str">
        <f t="shared" si="54"/>
        <v/>
      </c>
      <c r="L292" s="697" t="str">
        <f t="shared" si="55"/>
        <v/>
      </c>
      <c r="M292" s="678" t="str">
        <f t="shared" si="56"/>
        <v/>
      </c>
    </row>
    <row r="293" spans="4:13">
      <c r="D293" s="64" t="str">
        <f t="shared" si="53"/>
        <v/>
      </c>
      <c r="E293" s="226" t="str">
        <f t="shared" si="57"/>
        <v/>
      </c>
      <c r="F293" s="35" t="str">
        <f t="shared" si="58"/>
        <v/>
      </c>
      <c r="G293" s="36" t="str">
        <f t="shared" si="51"/>
        <v/>
      </c>
      <c r="H293" s="36" t="str">
        <f t="shared" si="52"/>
        <v/>
      </c>
      <c r="I293" s="747" t="str">
        <f t="shared" si="59"/>
        <v/>
      </c>
      <c r="J293" s="747"/>
      <c r="K293" s="678" t="str">
        <f t="shared" si="54"/>
        <v/>
      </c>
      <c r="L293" s="697" t="str">
        <f t="shared" si="55"/>
        <v/>
      </c>
      <c r="M293" s="678" t="str">
        <f t="shared" si="56"/>
        <v/>
      </c>
    </row>
    <row r="294" spans="4:13">
      <c r="D294" s="64" t="str">
        <f t="shared" si="53"/>
        <v/>
      </c>
      <c r="E294" s="226" t="str">
        <f t="shared" si="57"/>
        <v/>
      </c>
      <c r="F294" s="35" t="str">
        <f t="shared" si="58"/>
        <v/>
      </c>
      <c r="G294" s="36" t="str">
        <f t="shared" si="51"/>
        <v/>
      </c>
      <c r="H294" s="36" t="str">
        <f t="shared" si="52"/>
        <v/>
      </c>
      <c r="I294" s="747" t="str">
        <f t="shared" si="59"/>
        <v/>
      </c>
      <c r="J294" s="747"/>
      <c r="K294" s="678" t="str">
        <f t="shared" si="54"/>
        <v/>
      </c>
      <c r="L294" s="697" t="str">
        <f t="shared" si="55"/>
        <v/>
      </c>
      <c r="M294" s="678" t="str">
        <f t="shared" si="56"/>
        <v/>
      </c>
    </row>
    <row r="295" spans="4:13">
      <c r="D295" s="64" t="str">
        <f t="shared" si="53"/>
        <v/>
      </c>
      <c r="E295" s="226" t="str">
        <f t="shared" si="57"/>
        <v/>
      </c>
      <c r="F295" s="35" t="str">
        <f t="shared" si="58"/>
        <v/>
      </c>
      <c r="G295" s="36" t="str">
        <f t="shared" si="51"/>
        <v/>
      </c>
      <c r="H295" s="36" t="str">
        <f t="shared" si="52"/>
        <v/>
      </c>
      <c r="I295" s="747" t="str">
        <f t="shared" si="59"/>
        <v/>
      </c>
      <c r="J295" s="747"/>
      <c r="K295" s="678" t="str">
        <f t="shared" si="54"/>
        <v/>
      </c>
      <c r="L295" s="697" t="str">
        <f t="shared" si="55"/>
        <v/>
      </c>
      <c r="M295" s="678" t="str">
        <f t="shared" si="56"/>
        <v/>
      </c>
    </row>
    <row r="296" spans="4:13">
      <c r="D296" s="64" t="str">
        <f t="shared" si="53"/>
        <v/>
      </c>
      <c r="E296" s="226" t="str">
        <f t="shared" si="57"/>
        <v/>
      </c>
      <c r="F296" s="35" t="str">
        <f t="shared" si="58"/>
        <v/>
      </c>
      <c r="G296" s="36" t="str">
        <f t="shared" si="51"/>
        <v/>
      </c>
      <c r="H296" s="36" t="str">
        <f t="shared" si="52"/>
        <v/>
      </c>
      <c r="I296" s="747" t="str">
        <f t="shared" si="59"/>
        <v/>
      </c>
      <c r="J296" s="747"/>
      <c r="K296" s="678" t="str">
        <f t="shared" si="54"/>
        <v/>
      </c>
      <c r="L296" s="697" t="str">
        <f t="shared" si="55"/>
        <v/>
      </c>
      <c r="M296" s="678" t="str">
        <f t="shared" si="56"/>
        <v/>
      </c>
    </row>
    <row r="297" spans="4:13">
      <c r="D297" s="64" t="str">
        <f t="shared" si="53"/>
        <v/>
      </c>
      <c r="E297" s="226" t="str">
        <f t="shared" si="57"/>
        <v/>
      </c>
      <c r="F297" s="35" t="str">
        <f t="shared" si="58"/>
        <v/>
      </c>
      <c r="G297" s="36" t="str">
        <f t="shared" si="51"/>
        <v/>
      </c>
      <c r="H297" s="36" t="str">
        <f t="shared" si="52"/>
        <v/>
      </c>
      <c r="I297" s="747" t="str">
        <f t="shared" si="59"/>
        <v/>
      </c>
      <c r="J297" s="747"/>
      <c r="K297" s="678" t="str">
        <f t="shared" si="54"/>
        <v/>
      </c>
      <c r="L297" s="697" t="str">
        <f t="shared" si="55"/>
        <v/>
      </c>
      <c r="M297" s="678" t="str">
        <f t="shared" si="56"/>
        <v/>
      </c>
    </row>
    <row r="298" spans="4:13">
      <c r="D298" s="64" t="str">
        <f t="shared" si="53"/>
        <v/>
      </c>
      <c r="E298" s="226" t="str">
        <f t="shared" si="57"/>
        <v/>
      </c>
      <c r="F298" s="35" t="str">
        <f t="shared" si="58"/>
        <v/>
      </c>
      <c r="G298" s="36" t="str">
        <f t="shared" si="51"/>
        <v/>
      </c>
      <c r="H298" s="36" t="str">
        <f t="shared" si="52"/>
        <v/>
      </c>
      <c r="I298" s="747" t="str">
        <f t="shared" si="59"/>
        <v/>
      </c>
      <c r="J298" s="747"/>
      <c r="K298" s="678" t="str">
        <f t="shared" si="54"/>
        <v/>
      </c>
      <c r="L298" s="697" t="str">
        <f t="shared" si="55"/>
        <v/>
      </c>
      <c r="M298" s="678" t="str">
        <f t="shared" si="56"/>
        <v/>
      </c>
    </row>
    <row r="299" spans="4:13">
      <c r="D299" s="64" t="str">
        <f t="shared" si="53"/>
        <v/>
      </c>
      <c r="E299" s="226" t="str">
        <f t="shared" si="57"/>
        <v/>
      </c>
      <c r="F299" s="35" t="str">
        <f t="shared" si="58"/>
        <v/>
      </c>
      <c r="G299" s="36" t="str">
        <f t="shared" si="51"/>
        <v/>
      </c>
      <c r="H299" s="36" t="str">
        <f t="shared" si="52"/>
        <v/>
      </c>
      <c r="I299" s="747" t="str">
        <f t="shared" si="59"/>
        <v/>
      </c>
      <c r="J299" s="747"/>
      <c r="K299" s="678" t="str">
        <f t="shared" si="54"/>
        <v/>
      </c>
      <c r="L299" s="697" t="str">
        <f t="shared" si="55"/>
        <v/>
      </c>
      <c r="M299" s="678" t="str">
        <f t="shared" si="56"/>
        <v/>
      </c>
    </row>
    <row r="300" spans="4:13">
      <c r="D300" s="64" t="str">
        <f t="shared" si="53"/>
        <v/>
      </c>
      <c r="E300" s="226" t="str">
        <f t="shared" si="57"/>
        <v/>
      </c>
      <c r="F300" s="35" t="str">
        <f t="shared" si="58"/>
        <v/>
      </c>
      <c r="G300" s="36" t="str">
        <f t="shared" si="51"/>
        <v/>
      </c>
      <c r="H300" s="36" t="str">
        <f t="shared" si="52"/>
        <v/>
      </c>
      <c r="I300" s="747" t="str">
        <f t="shared" si="59"/>
        <v/>
      </c>
      <c r="J300" s="747"/>
      <c r="K300" s="678" t="str">
        <f t="shared" si="54"/>
        <v/>
      </c>
      <c r="L300" s="697" t="str">
        <f t="shared" si="55"/>
        <v/>
      </c>
      <c r="M300" s="678" t="str">
        <f t="shared" si="56"/>
        <v/>
      </c>
    </row>
    <row r="301" spans="4:13">
      <c r="D301" s="64" t="str">
        <f t="shared" si="53"/>
        <v/>
      </c>
      <c r="E301" s="226" t="str">
        <f t="shared" si="57"/>
        <v/>
      </c>
      <c r="F301" s="35" t="str">
        <f t="shared" si="58"/>
        <v/>
      </c>
      <c r="G301" s="36" t="str">
        <f t="shared" si="51"/>
        <v/>
      </c>
      <c r="H301" s="36" t="str">
        <f t="shared" si="52"/>
        <v/>
      </c>
      <c r="I301" s="747" t="str">
        <f t="shared" si="59"/>
        <v/>
      </c>
      <c r="J301" s="747"/>
      <c r="K301" s="678" t="str">
        <f t="shared" si="54"/>
        <v/>
      </c>
      <c r="L301" s="697" t="str">
        <f t="shared" si="55"/>
        <v/>
      </c>
      <c r="M301" s="678" t="str">
        <f t="shared" si="56"/>
        <v/>
      </c>
    </row>
    <row r="302" spans="4:13">
      <c r="D302" s="64" t="str">
        <f t="shared" si="53"/>
        <v/>
      </c>
      <c r="E302" s="226" t="str">
        <f t="shared" si="57"/>
        <v/>
      </c>
      <c r="F302" s="35" t="str">
        <f t="shared" si="58"/>
        <v/>
      </c>
      <c r="G302" s="36" t="str">
        <f t="shared" si="51"/>
        <v/>
      </c>
      <c r="H302" s="36" t="str">
        <f t="shared" si="52"/>
        <v/>
      </c>
      <c r="I302" s="747" t="str">
        <f t="shared" si="59"/>
        <v/>
      </c>
      <c r="J302" s="747"/>
      <c r="K302" s="678" t="str">
        <f t="shared" si="54"/>
        <v/>
      </c>
      <c r="L302" s="697" t="str">
        <f t="shared" si="55"/>
        <v/>
      </c>
      <c r="M302" s="678" t="str">
        <f t="shared" si="56"/>
        <v/>
      </c>
    </row>
    <row r="303" spans="4:13">
      <c r="D303" s="64" t="str">
        <f t="shared" si="53"/>
        <v/>
      </c>
      <c r="E303" s="226" t="str">
        <f t="shared" si="57"/>
        <v/>
      </c>
      <c r="F303" s="35" t="str">
        <f t="shared" si="58"/>
        <v/>
      </c>
      <c r="G303" s="36" t="str">
        <f t="shared" si="51"/>
        <v/>
      </c>
      <c r="H303" s="36" t="str">
        <f t="shared" si="52"/>
        <v/>
      </c>
      <c r="I303" s="747" t="str">
        <f t="shared" si="59"/>
        <v/>
      </c>
      <c r="J303" s="747"/>
      <c r="K303" s="678" t="str">
        <f t="shared" si="54"/>
        <v/>
      </c>
      <c r="L303" s="697" t="str">
        <f t="shared" si="55"/>
        <v/>
      </c>
      <c r="M303" s="678" t="str">
        <f t="shared" si="56"/>
        <v/>
      </c>
    </row>
    <row r="304" spans="4:13">
      <c r="D304" s="64" t="str">
        <f t="shared" si="53"/>
        <v/>
      </c>
      <c r="E304" s="226" t="str">
        <f t="shared" si="57"/>
        <v/>
      </c>
      <c r="F304" s="35" t="str">
        <f t="shared" si="58"/>
        <v/>
      </c>
      <c r="G304" s="36" t="str">
        <f t="shared" si="51"/>
        <v/>
      </c>
      <c r="H304" s="36" t="str">
        <f t="shared" si="52"/>
        <v/>
      </c>
      <c r="I304" s="747" t="str">
        <f t="shared" si="59"/>
        <v/>
      </c>
      <c r="J304" s="747"/>
      <c r="K304" s="678" t="str">
        <f t="shared" si="54"/>
        <v/>
      </c>
      <c r="L304" s="697" t="str">
        <f t="shared" si="55"/>
        <v/>
      </c>
      <c r="M304" s="678" t="str">
        <f t="shared" si="56"/>
        <v/>
      </c>
    </row>
    <row r="305" spans="4:13">
      <c r="D305" s="64" t="str">
        <f t="shared" si="53"/>
        <v/>
      </c>
      <c r="E305" s="226" t="str">
        <f t="shared" si="57"/>
        <v/>
      </c>
      <c r="F305" s="35" t="str">
        <f t="shared" si="58"/>
        <v/>
      </c>
      <c r="G305" s="36" t="str">
        <f t="shared" si="51"/>
        <v/>
      </c>
      <c r="H305" s="36" t="str">
        <f t="shared" si="52"/>
        <v/>
      </c>
      <c r="I305" s="747" t="str">
        <f t="shared" si="59"/>
        <v/>
      </c>
      <c r="J305" s="747"/>
      <c r="K305" s="678" t="str">
        <f t="shared" si="54"/>
        <v/>
      </c>
      <c r="L305" s="697" t="str">
        <f t="shared" si="55"/>
        <v/>
      </c>
      <c r="M305" s="678" t="str">
        <f t="shared" si="56"/>
        <v/>
      </c>
    </row>
    <row r="306" spans="4:13">
      <c r="D306" s="64" t="str">
        <f t="shared" si="53"/>
        <v/>
      </c>
      <c r="E306" s="226" t="str">
        <f t="shared" si="57"/>
        <v/>
      </c>
      <c r="F306" s="35" t="str">
        <f t="shared" si="58"/>
        <v/>
      </c>
      <c r="G306" s="36" t="str">
        <f t="shared" si="51"/>
        <v/>
      </c>
      <c r="H306" s="36" t="str">
        <f t="shared" si="52"/>
        <v/>
      </c>
      <c r="I306" s="747" t="str">
        <f t="shared" si="59"/>
        <v/>
      </c>
      <c r="J306" s="747"/>
      <c r="K306" s="678" t="str">
        <f t="shared" si="54"/>
        <v/>
      </c>
      <c r="L306" s="697" t="str">
        <f t="shared" si="55"/>
        <v/>
      </c>
      <c r="M306" s="678" t="str">
        <f t="shared" si="56"/>
        <v/>
      </c>
    </row>
    <row r="307" spans="4:13">
      <c r="D307" s="64" t="str">
        <f t="shared" si="53"/>
        <v/>
      </c>
      <c r="E307" s="226" t="str">
        <f t="shared" si="57"/>
        <v/>
      </c>
      <c r="F307" s="35" t="str">
        <f t="shared" si="58"/>
        <v/>
      </c>
      <c r="G307" s="36" t="str">
        <f t="shared" si="51"/>
        <v/>
      </c>
      <c r="H307" s="36" t="str">
        <f t="shared" si="52"/>
        <v/>
      </c>
      <c r="I307" s="747" t="str">
        <f t="shared" si="59"/>
        <v/>
      </c>
      <c r="J307" s="747"/>
      <c r="K307" s="678" t="str">
        <f t="shared" si="54"/>
        <v/>
      </c>
      <c r="L307" s="697" t="str">
        <f t="shared" si="55"/>
        <v/>
      </c>
      <c r="M307" s="678" t="str">
        <f t="shared" si="56"/>
        <v/>
      </c>
    </row>
    <row r="308" spans="4:13">
      <c r="D308" s="64" t="str">
        <f t="shared" si="53"/>
        <v/>
      </c>
      <c r="E308" s="226" t="str">
        <f t="shared" si="57"/>
        <v/>
      </c>
      <c r="F308" s="35" t="str">
        <f t="shared" si="58"/>
        <v/>
      </c>
      <c r="G308" s="36" t="str">
        <f t="shared" si="51"/>
        <v/>
      </c>
      <c r="H308" s="36" t="str">
        <f t="shared" si="52"/>
        <v/>
      </c>
      <c r="I308" s="747" t="str">
        <f t="shared" si="59"/>
        <v/>
      </c>
      <c r="J308" s="747"/>
      <c r="K308" s="678" t="str">
        <f t="shared" si="54"/>
        <v/>
      </c>
      <c r="L308" s="697" t="str">
        <f t="shared" si="55"/>
        <v/>
      </c>
      <c r="M308" s="678" t="str">
        <f t="shared" si="56"/>
        <v/>
      </c>
    </row>
    <row r="309" spans="4:13">
      <c r="D309" s="64" t="str">
        <f t="shared" si="53"/>
        <v/>
      </c>
      <c r="E309" s="226" t="str">
        <f t="shared" si="57"/>
        <v/>
      </c>
      <c r="F309" s="35" t="str">
        <f t="shared" si="58"/>
        <v/>
      </c>
      <c r="G309" s="36" t="str">
        <f t="shared" si="51"/>
        <v/>
      </c>
      <c r="H309" s="36" t="str">
        <f t="shared" si="52"/>
        <v/>
      </c>
      <c r="I309" s="747" t="str">
        <f t="shared" si="59"/>
        <v/>
      </c>
      <c r="J309" s="747"/>
      <c r="K309" s="678" t="str">
        <f t="shared" si="54"/>
        <v/>
      </c>
      <c r="L309" s="697" t="str">
        <f t="shared" si="55"/>
        <v/>
      </c>
      <c r="M309" s="678" t="str">
        <f t="shared" si="56"/>
        <v/>
      </c>
    </row>
    <row r="310" spans="4:13">
      <c r="D310" s="64" t="str">
        <f t="shared" si="53"/>
        <v/>
      </c>
      <c r="E310" s="226" t="str">
        <f t="shared" si="57"/>
        <v/>
      </c>
      <c r="F310" s="35" t="str">
        <f t="shared" si="58"/>
        <v/>
      </c>
      <c r="G310" s="36" t="str">
        <f t="shared" si="51"/>
        <v/>
      </c>
      <c r="H310" s="36" t="str">
        <f t="shared" si="52"/>
        <v/>
      </c>
      <c r="I310" s="747" t="str">
        <f t="shared" si="59"/>
        <v/>
      </c>
      <c r="J310" s="747"/>
      <c r="K310" s="678" t="str">
        <f t="shared" si="54"/>
        <v/>
      </c>
      <c r="L310" s="697" t="str">
        <f t="shared" si="55"/>
        <v/>
      </c>
      <c r="M310" s="678" t="str">
        <f t="shared" si="56"/>
        <v/>
      </c>
    </row>
    <row r="311" spans="4:13">
      <c r="D311" s="64" t="str">
        <f t="shared" si="53"/>
        <v/>
      </c>
      <c r="E311" s="226" t="str">
        <f t="shared" si="57"/>
        <v/>
      </c>
      <c r="F311" s="35" t="str">
        <f t="shared" si="58"/>
        <v/>
      </c>
      <c r="G311" s="36" t="str">
        <f t="shared" si="51"/>
        <v/>
      </c>
      <c r="H311" s="36" t="str">
        <f t="shared" si="52"/>
        <v/>
      </c>
      <c r="I311" s="747" t="str">
        <f t="shared" si="59"/>
        <v/>
      </c>
      <c r="J311" s="747"/>
      <c r="K311" s="678" t="str">
        <f t="shared" si="54"/>
        <v/>
      </c>
      <c r="L311" s="697" t="str">
        <f t="shared" si="55"/>
        <v/>
      </c>
      <c r="M311" s="678" t="str">
        <f t="shared" si="56"/>
        <v/>
      </c>
    </row>
    <row r="312" spans="4:13">
      <c r="D312" s="64" t="str">
        <f t="shared" si="53"/>
        <v/>
      </c>
      <c r="E312" s="226" t="str">
        <f t="shared" si="57"/>
        <v/>
      </c>
      <c r="F312" s="35" t="str">
        <f t="shared" si="58"/>
        <v/>
      </c>
      <c r="G312" s="36" t="str">
        <f t="shared" si="51"/>
        <v/>
      </c>
      <c r="H312" s="36" t="str">
        <f t="shared" si="52"/>
        <v/>
      </c>
      <c r="I312" s="747" t="str">
        <f t="shared" si="59"/>
        <v/>
      </c>
      <c r="J312" s="747"/>
      <c r="K312" s="678" t="str">
        <f t="shared" si="54"/>
        <v/>
      </c>
      <c r="L312" s="697" t="str">
        <f t="shared" si="55"/>
        <v/>
      </c>
      <c r="M312" s="678" t="str">
        <f t="shared" si="56"/>
        <v/>
      </c>
    </row>
    <row r="313" spans="4:13">
      <c r="D313" s="64" t="str">
        <f t="shared" si="53"/>
        <v/>
      </c>
      <c r="E313" s="226" t="str">
        <f t="shared" si="57"/>
        <v/>
      </c>
      <c r="F313" s="35" t="str">
        <f t="shared" si="58"/>
        <v/>
      </c>
      <c r="G313" s="36" t="str">
        <f t="shared" si="51"/>
        <v/>
      </c>
      <c r="H313" s="36" t="str">
        <f t="shared" si="52"/>
        <v/>
      </c>
      <c r="I313" s="747" t="str">
        <f t="shared" si="59"/>
        <v/>
      </c>
      <c r="J313" s="747"/>
      <c r="K313" s="678" t="str">
        <f t="shared" si="54"/>
        <v/>
      </c>
      <c r="L313" s="697" t="str">
        <f t="shared" si="55"/>
        <v/>
      </c>
      <c r="M313" s="678" t="str">
        <f t="shared" si="56"/>
        <v/>
      </c>
    </row>
    <row r="314" spans="4:13">
      <c r="D314" s="64" t="str">
        <f t="shared" si="53"/>
        <v/>
      </c>
      <c r="E314" s="226" t="str">
        <f t="shared" si="57"/>
        <v/>
      </c>
      <c r="F314" s="35" t="str">
        <f t="shared" si="58"/>
        <v/>
      </c>
      <c r="G314" s="36" t="str">
        <f t="shared" si="51"/>
        <v/>
      </c>
      <c r="H314" s="36" t="str">
        <f t="shared" si="52"/>
        <v/>
      </c>
      <c r="I314" s="747" t="str">
        <f t="shared" si="59"/>
        <v/>
      </c>
      <c r="J314" s="747"/>
      <c r="K314" s="678" t="str">
        <f t="shared" si="54"/>
        <v/>
      </c>
      <c r="L314" s="697" t="str">
        <f t="shared" si="55"/>
        <v/>
      </c>
      <c r="M314" s="678" t="str">
        <f t="shared" si="56"/>
        <v/>
      </c>
    </row>
    <row r="315" spans="4:13">
      <c r="D315" s="64" t="str">
        <f t="shared" si="53"/>
        <v/>
      </c>
      <c r="E315" s="226" t="str">
        <f t="shared" si="57"/>
        <v/>
      </c>
      <c r="F315" s="35" t="str">
        <f t="shared" si="58"/>
        <v/>
      </c>
      <c r="G315" s="36" t="str">
        <f t="shared" si="51"/>
        <v/>
      </c>
      <c r="H315" s="36" t="str">
        <f t="shared" si="52"/>
        <v/>
      </c>
      <c r="I315" s="747" t="str">
        <f t="shared" si="59"/>
        <v/>
      </c>
      <c r="J315" s="747"/>
      <c r="K315" s="678" t="str">
        <f t="shared" si="54"/>
        <v/>
      </c>
      <c r="L315" s="697" t="str">
        <f t="shared" si="55"/>
        <v/>
      </c>
      <c r="M315" s="678" t="str">
        <f t="shared" si="56"/>
        <v/>
      </c>
    </row>
    <row r="316" spans="4:13">
      <c r="D316" s="64" t="str">
        <f t="shared" si="53"/>
        <v/>
      </c>
      <c r="E316" s="226" t="str">
        <f t="shared" si="57"/>
        <v/>
      </c>
      <c r="F316" s="35" t="str">
        <f t="shared" si="58"/>
        <v/>
      </c>
      <c r="G316" s="36" t="str">
        <f t="shared" si="51"/>
        <v/>
      </c>
      <c r="H316" s="36" t="str">
        <f t="shared" si="52"/>
        <v/>
      </c>
      <c r="I316" s="747" t="str">
        <f t="shared" si="59"/>
        <v/>
      </c>
      <c r="J316" s="747"/>
      <c r="K316" s="678" t="str">
        <f t="shared" si="54"/>
        <v/>
      </c>
      <c r="L316" s="697" t="str">
        <f t="shared" si="55"/>
        <v/>
      </c>
      <c r="M316" s="678" t="str">
        <f t="shared" si="56"/>
        <v/>
      </c>
    </row>
    <row r="317" spans="4:13">
      <c r="D317" s="64" t="str">
        <f t="shared" si="53"/>
        <v/>
      </c>
      <c r="E317" s="226" t="str">
        <f t="shared" si="57"/>
        <v/>
      </c>
      <c r="F317" s="35" t="str">
        <f t="shared" si="58"/>
        <v/>
      </c>
      <c r="G317" s="36" t="str">
        <f t="shared" si="51"/>
        <v/>
      </c>
      <c r="H317" s="36" t="str">
        <f t="shared" si="52"/>
        <v/>
      </c>
      <c r="I317" s="747" t="str">
        <f t="shared" si="59"/>
        <v/>
      </c>
      <c r="J317" s="747"/>
      <c r="K317" s="678" t="str">
        <f t="shared" si="54"/>
        <v/>
      </c>
      <c r="L317" s="697" t="str">
        <f t="shared" si="55"/>
        <v/>
      </c>
      <c r="M317" s="678" t="str">
        <f t="shared" si="56"/>
        <v/>
      </c>
    </row>
    <row r="318" spans="4:13">
      <c r="D318" s="64" t="str">
        <f t="shared" si="53"/>
        <v/>
      </c>
      <c r="E318" s="226" t="str">
        <f t="shared" si="57"/>
        <v/>
      </c>
      <c r="F318" s="35" t="str">
        <f t="shared" si="58"/>
        <v/>
      </c>
      <c r="G318" s="36" t="str">
        <f t="shared" si="51"/>
        <v/>
      </c>
      <c r="H318" s="36" t="str">
        <f t="shared" si="52"/>
        <v/>
      </c>
      <c r="I318" s="747" t="str">
        <f t="shared" si="59"/>
        <v/>
      </c>
      <c r="J318" s="747"/>
      <c r="K318" s="678" t="str">
        <f t="shared" si="54"/>
        <v/>
      </c>
      <c r="L318" s="697" t="str">
        <f t="shared" si="55"/>
        <v/>
      </c>
      <c r="M318" s="678" t="str">
        <f t="shared" si="56"/>
        <v/>
      </c>
    </row>
    <row r="319" spans="4:13">
      <c r="D319" s="64" t="str">
        <f t="shared" si="53"/>
        <v/>
      </c>
      <c r="E319" s="226" t="str">
        <f t="shared" si="57"/>
        <v/>
      </c>
      <c r="F319" s="35" t="str">
        <f t="shared" si="58"/>
        <v/>
      </c>
      <c r="G319" s="36" t="str">
        <f t="shared" si="51"/>
        <v/>
      </c>
      <c r="H319" s="36" t="str">
        <f t="shared" si="52"/>
        <v/>
      </c>
      <c r="I319" s="747" t="str">
        <f t="shared" si="59"/>
        <v/>
      </c>
      <c r="J319" s="747"/>
      <c r="K319" s="678" t="str">
        <f t="shared" si="54"/>
        <v/>
      </c>
      <c r="L319" s="697" t="str">
        <f t="shared" si="55"/>
        <v/>
      </c>
      <c r="M319" s="678" t="str">
        <f t="shared" si="56"/>
        <v/>
      </c>
    </row>
    <row r="320" spans="4:13">
      <c r="D320" s="64" t="str">
        <f t="shared" si="53"/>
        <v/>
      </c>
      <c r="E320" s="226" t="str">
        <f t="shared" si="57"/>
        <v/>
      </c>
      <c r="F320" s="35" t="str">
        <f t="shared" si="58"/>
        <v/>
      </c>
      <c r="G320" s="36" t="str">
        <f t="shared" si="51"/>
        <v/>
      </c>
      <c r="H320" s="36" t="str">
        <f t="shared" si="52"/>
        <v/>
      </c>
      <c r="I320" s="747" t="str">
        <f t="shared" si="59"/>
        <v/>
      </c>
      <c r="J320" s="747"/>
      <c r="K320" s="678" t="str">
        <f t="shared" si="54"/>
        <v/>
      </c>
      <c r="L320" s="697" t="str">
        <f t="shared" si="55"/>
        <v/>
      </c>
      <c r="M320" s="678" t="str">
        <f t="shared" si="56"/>
        <v/>
      </c>
    </row>
    <row r="321" spans="4:13">
      <c r="D321" s="64" t="str">
        <f t="shared" si="53"/>
        <v/>
      </c>
      <c r="E321" s="226" t="str">
        <f t="shared" si="57"/>
        <v/>
      </c>
      <c r="F321" s="35" t="str">
        <f t="shared" si="58"/>
        <v/>
      </c>
      <c r="G321" s="36" t="str">
        <f t="shared" si="51"/>
        <v/>
      </c>
      <c r="H321" s="36" t="str">
        <f t="shared" si="52"/>
        <v/>
      </c>
      <c r="I321" s="747" t="str">
        <f t="shared" si="59"/>
        <v/>
      </c>
      <c r="J321" s="747"/>
      <c r="K321" s="678" t="str">
        <f t="shared" si="54"/>
        <v/>
      </c>
      <c r="L321" s="697" t="str">
        <f t="shared" si="55"/>
        <v/>
      </c>
      <c r="M321" s="678" t="str">
        <f t="shared" si="56"/>
        <v/>
      </c>
    </row>
    <row r="322" spans="4:13">
      <c r="D322" s="64" t="str">
        <f t="shared" si="53"/>
        <v/>
      </c>
      <c r="E322" s="226" t="str">
        <f t="shared" si="57"/>
        <v/>
      </c>
      <c r="F322" s="35" t="str">
        <f t="shared" si="58"/>
        <v/>
      </c>
      <c r="G322" s="36" t="str">
        <f t="shared" si="51"/>
        <v/>
      </c>
      <c r="H322" s="36" t="str">
        <f t="shared" si="52"/>
        <v/>
      </c>
      <c r="I322" s="747" t="str">
        <f t="shared" si="59"/>
        <v/>
      </c>
      <c r="J322" s="747"/>
      <c r="K322" s="678" t="str">
        <f t="shared" si="54"/>
        <v/>
      </c>
      <c r="L322" s="697" t="str">
        <f t="shared" si="55"/>
        <v/>
      </c>
      <c r="M322" s="678" t="str">
        <f t="shared" si="56"/>
        <v/>
      </c>
    </row>
    <row r="323" spans="4:13">
      <c r="D323" s="64" t="str">
        <f t="shared" si="53"/>
        <v/>
      </c>
      <c r="E323" s="226" t="str">
        <f t="shared" si="57"/>
        <v/>
      </c>
      <c r="F323" s="35" t="str">
        <f t="shared" si="58"/>
        <v/>
      </c>
      <c r="G323" s="36" t="str">
        <f t="shared" si="51"/>
        <v/>
      </c>
      <c r="H323" s="36" t="str">
        <f t="shared" si="52"/>
        <v/>
      </c>
      <c r="I323" s="747" t="str">
        <f t="shared" si="59"/>
        <v/>
      </c>
      <c r="J323" s="747"/>
      <c r="K323" s="678" t="str">
        <f t="shared" si="54"/>
        <v/>
      </c>
      <c r="L323" s="697" t="str">
        <f t="shared" si="55"/>
        <v/>
      </c>
      <c r="M323" s="678" t="str">
        <f t="shared" si="56"/>
        <v/>
      </c>
    </row>
    <row r="324" spans="4:13">
      <c r="D324" s="64" t="str">
        <f t="shared" si="53"/>
        <v/>
      </c>
      <c r="E324" s="226" t="str">
        <f t="shared" si="57"/>
        <v/>
      </c>
      <c r="F324" s="35" t="str">
        <f t="shared" si="58"/>
        <v/>
      </c>
      <c r="G324" s="36" t="str">
        <f t="shared" si="51"/>
        <v/>
      </c>
      <c r="H324" s="36" t="str">
        <f t="shared" si="52"/>
        <v/>
      </c>
      <c r="I324" s="747" t="str">
        <f t="shared" si="59"/>
        <v/>
      </c>
      <c r="J324" s="747"/>
      <c r="K324" s="678" t="str">
        <f t="shared" si="54"/>
        <v/>
      </c>
      <c r="L324" s="697" t="str">
        <f t="shared" si="55"/>
        <v/>
      </c>
      <c r="M324" s="678" t="str">
        <f t="shared" si="56"/>
        <v/>
      </c>
    </row>
    <row r="325" spans="4:13">
      <c r="D325" s="64" t="str">
        <f t="shared" si="53"/>
        <v/>
      </c>
      <c r="E325" s="226" t="str">
        <f t="shared" si="57"/>
        <v/>
      </c>
      <c r="F325" s="35" t="str">
        <f t="shared" si="58"/>
        <v/>
      </c>
      <c r="G325" s="36" t="str">
        <f t="shared" si="51"/>
        <v/>
      </c>
      <c r="H325" s="36" t="str">
        <f t="shared" si="52"/>
        <v/>
      </c>
      <c r="I325" s="747" t="str">
        <f t="shared" si="59"/>
        <v/>
      </c>
      <c r="J325" s="747"/>
      <c r="K325" s="678" t="str">
        <f t="shared" si="54"/>
        <v/>
      </c>
      <c r="L325" s="697" t="str">
        <f t="shared" si="55"/>
        <v/>
      </c>
      <c r="M325" s="678" t="str">
        <f t="shared" si="56"/>
        <v/>
      </c>
    </row>
    <row r="326" spans="4:13">
      <c r="D326" s="64" t="str">
        <f t="shared" si="53"/>
        <v/>
      </c>
      <c r="E326" s="226" t="str">
        <f t="shared" si="57"/>
        <v/>
      </c>
      <c r="F326" s="35" t="str">
        <f t="shared" si="58"/>
        <v/>
      </c>
      <c r="G326" s="36" t="str">
        <f t="shared" si="51"/>
        <v/>
      </c>
      <c r="H326" s="36" t="str">
        <f t="shared" si="52"/>
        <v/>
      </c>
      <c r="I326" s="747" t="str">
        <f t="shared" si="59"/>
        <v/>
      </c>
      <c r="J326" s="747"/>
      <c r="K326" s="678" t="str">
        <f t="shared" si="54"/>
        <v/>
      </c>
      <c r="L326" s="697" t="str">
        <f t="shared" si="55"/>
        <v/>
      </c>
      <c r="M326" s="678" t="str">
        <f t="shared" si="56"/>
        <v/>
      </c>
    </row>
    <row r="327" spans="4:13">
      <c r="D327" s="64" t="str">
        <f t="shared" si="53"/>
        <v/>
      </c>
      <c r="E327" s="226" t="str">
        <f t="shared" si="57"/>
        <v/>
      </c>
      <c r="F327" s="35" t="str">
        <f t="shared" si="58"/>
        <v/>
      </c>
      <c r="G327" s="36" t="str">
        <f t="shared" si="51"/>
        <v/>
      </c>
      <c r="H327" s="36" t="str">
        <f t="shared" si="52"/>
        <v/>
      </c>
      <c r="I327" s="747" t="str">
        <f t="shared" si="59"/>
        <v/>
      </c>
      <c r="J327" s="747"/>
      <c r="K327" s="678" t="str">
        <f t="shared" si="54"/>
        <v/>
      </c>
      <c r="L327" s="697" t="str">
        <f t="shared" si="55"/>
        <v/>
      </c>
      <c r="M327" s="678" t="str">
        <f t="shared" si="56"/>
        <v/>
      </c>
    </row>
    <row r="328" spans="4:13">
      <c r="D328" s="64" t="str">
        <f t="shared" si="53"/>
        <v/>
      </c>
      <c r="E328" s="226" t="str">
        <f t="shared" si="57"/>
        <v/>
      </c>
      <c r="F328" s="35" t="str">
        <f t="shared" si="58"/>
        <v/>
      </c>
      <c r="G328" s="36" t="str">
        <f t="shared" si="51"/>
        <v/>
      </c>
      <c r="H328" s="36" t="str">
        <f t="shared" si="52"/>
        <v/>
      </c>
      <c r="I328" s="747" t="str">
        <f t="shared" si="59"/>
        <v/>
      </c>
      <c r="J328" s="747"/>
      <c r="K328" s="678" t="str">
        <f t="shared" si="54"/>
        <v/>
      </c>
      <c r="L328" s="697" t="str">
        <f t="shared" si="55"/>
        <v/>
      </c>
      <c r="M328" s="678" t="str">
        <f t="shared" si="56"/>
        <v/>
      </c>
    </row>
    <row r="329" spans="4:13">
      <c r="D329" s="64" t="str">
        <f t="shared" si="53"/>
        <v/>
      </c>
      <c r="E329" s="226" t="str">
        <f t="shared" si="57"/>
        <v/>
      </c>
      <c r="F329" s="35" t="str">
        <f t="shared" si="58"/>
        <v/>
      </c>
      <c r="G329" s="36" t="str">
        <f t="shared" si="51"/>
        <v/>
      </c>
      <c r="H329" s="36" t="str">
        <f t="shared" si="52"/>
        <v/>
      </c>
      <c r="I329" s="747" t="str">
        <f t="shared" si="59"/>
        <v/>
      </c>
      <c r="J329" s="747"/>
      <c r="K329" s="678" t="str">
        <f t="shared" si="54"/>
        <v/>
      </c>
      <c r="L329" s="697" t="str">
        <f t="shared" si="55"/>
        <v/>
      </c>
      <c r="M329" s="678" t="str">
        <f t="shared" si="56"/>
        <v/>
      </c>
    </row>
    <row r="330" spans="4:13">
      <c r="D330" s="64" t="str">
        <f t="shared" si="53"/>
        <v/>
      </c>
      <c r="E330" s="226" t="str">
        <f t="shared" si="57"/>
        <v/>
      </c>
      <c r="F330" s="35" t="str">
        <f t="shared" si="58"/>
        <v/>
      </c>
      <c r="G330" s="36" t="str">
        <f t="shared" si="51"/>
        <v/>
      </c>
      <c r="H330" s="36" t="str">
        <f t="shared" si="52"/>
        <v/>
      </c>
      <c r="I330" s="747" t="str">
        <f t="shared" si="59"/>
        <v/>
      </c>
      <c r="J330" s="747"/>
      <c r="K330" s="678" t="str">
        <f t="shared" si="54"/>
        <v/>
      </c>
      <c r="L330" s="697" t="str">
        <f t="shared" si="55"/>
        <v/>
      </c>
      <c r="M330" s="678" t="str">
        <f t="shared" si="56"/>
        <v/>
      </c>
    </row>
    <row r="331" spans="4:13">
      <c r="D331" s="64" t="str">
        <f t="shared" si="53"/>
        <v/>
      </c>
      <c r="E331" s="226" t="str">
        <f t="shared" si="57"/>
        <v/>
      </c>
      <c r="F331" s="35" t="str">
        <f t="shared" si="58"/>
        <v/>
      </c>
      <c r="G331" s="36" t="str">
        <f t="shared" si="51"/>
        <v/>
      </c>
      <c r="H331" s="36" t="str">
        <f t="shared" si="52"/>
        <v/>
      </c>
      <c r="I331" s="747" t="str">
        <f t="shared" si="59"/>
        <v/>
      </c>
      <c r="J331" s="747"/>
      <c r="K331" s="678" t="str">
        <f t="shared" si="54"/>
        <v/>
      </c>
      <c r="L331" s="697" t="str">
        <f t="shared" si="55"/>
        <v/>
      </c>
      <c r="M331" s="678" t="str">
        <f t="shared" si="56"/>
        <v/>
      </c>
    </row>
    <row r="332" spans="4:13">
      <c r="D332" s="64" t="str">
        <f t="shared" si="53"/>
        <v/>
      </c>
      <c r="E332" s="226" t="str">
        <f t="shared" si="57"/>
        <v/>
      </c>
      <c r="F332" s="35" t="str">
        <f t="shared" si="58"/>
        <v/>
      </c>
      <c r="G332" s="36" t="str">
        <f t="shared" si="51"/>
        <v/>
      </c>
      <c r="H332" s="36" t="str">
        <f t="shared" si="52"/>
        <v/>
      </c>
      <c r="I332" s="747" t="str">
        <f t="shared" si="59"/>
        <v/>
      </c>
      <c r="J332" s="747"/>
      <c r="K332" s="678" t="str">
        <f t="shared" si="54"/>
        <v/>
      </c>
      <c r="L332" s="697" t="str">
        <f t="shared" si="55"/>
        <v/>
      </c>
      <c r="M332" s="678" t="str">
        <f t="shared" si="56"/>
        <v/>
      </c>
    </row>
    <row r="333" spans="4:13">
      <c r="D333" s="64" t="str">
        <f t="shared" si="53"/>
        <v/>
      </c>
      <c r="E333" s="226" t="str">
        <f t="shared" si="57"/>
        <v/>
      </c>
      <c r="F333" s="35" t="str">
        <f t="shared" si="58"/>
        <v/>
      </c>
      <c r="G333" s="36" t="str">
        <f t="shared" si="51"/>
        <v/>
      </c>
      <c r="H333" s="36" t="str">
        <f t="shared" si="52"/>
        <v/>
      </c>
      <c r="I333" s="747" t="str">
        <f t="shared" si="59"/>
        <v/>
      </c>
      <c r="J333" s="747"/>
      <c r="K333" s="678" t="str">
        <f t="shared" si="54"/>
        <v/>
      </c>
      <c r="L333" s="697" t="str">
        <f t="shared" si="55"/>
        <v/>
      </c>
      <c r="M333" s="678" t="str">
        <f t="shared" si="56"/>
        <v/>
      </c>
    </row>
    <row r="334" spans="4:13">
      <c r="D334" s="64" t="str">
        <f t="shared" si="53"/>
        <v/>
      </c>
      <c r="E334" s="226" t="str">
        <f t="shared" si="57"/>
        <v/>
      </c>
      <c r="F334" s="35" t="str">
        <f t="shared" si="58"/>
        <v/>
      </c>
      <c r="G334" s="36" t="str">
        <f t="shared" si="51"/>
        <v/>
      </c>
      <c r="H334" s="36" t="str">
        <f t="shared" si="52"/>
        <v/>
      </c>
      <c r="I334" s="747" t="str">
        <f t="shared" si="59"/>
        <v/>
      </c>
      <c r="J334" s="747"/>
      <c r="K334" s="678" t="str">
        <f t="shared" si="54"/>
        <v/>
      </c>
      <c r="L334" s="697" t="str">
        <f t="shared" si="55"/>
        <v/>
      </c>
      <c r="M334" s="678" t="str">
        <f t="shared" si="56"/>
        <v/>
      </c>
    </row>
    <row r="335" spans="4:13">
      <c r="D335" s="64" t="str">
        <f t="shared" si="53"/>
        <v/>
      </c>
      <c r="E335" s="226" t="str">
        <f t="shared" si="57"/>
        <v/>
      </c>
      <c r="F335" s="35" t="str">
        <f t="shared" si="58"/>
        <v/>
      </c>
      <c r="G335" s="36" t="str">
        <f t="shared" si="51"/>
        <v/>
      </c>
      <c r="H335" s="36" t="str">
        <f t="shared" si="52"/>
        <v/>
      </c>
      <c r="I335" s="747" t="str">
        <f t="shared" si="59"/>
        <v/>
      </c>
      <c r="J335" s="747"/>
      <c r="K335" s="678" t="str">
        <f t="shared" si="54"/>
        <v/>
      </c>
      <c r="L335" s="697" t="str">
        <f t="shared" si="55"/>
        <v/>
      </c>
      <c r="M335" s="678" t="str">
        <f t="shared" si="56"/>
        <v/>
      </c>
    </row>
    <row r="336" spans="4:13">
      <c r="D336" s="64" t="str">
        <f t="shared" si="53"/>
        <v/>
      </c>
      <c r="E336" s="226" t="str">
        <f t="shared" si="57"/>
        <v/>
      </c>
      <c r="F336" s="35" t="str">
        <f t="shared" si="58"/>
        <v/>
      </c>
      <c r="G336" s="36" t="str">
        <f t="shared" si="51"/>
        <v/>
      </c>
      <c r="H336" s="36" t="str">
        <f t="shared" si="52"/>
        <v/>
      </c>
      <c r="I336" s="747" t="str">
        <f t="shared" si="59"/>
        <v/>
      </c>
      <c r="J336" s="747"/>
      <c r="K336" s="678" t="str">
        <f t="shared" si="54"/>
        <v/>
      </c>
      <c r="L336" s="697" t="str">
        <f t="shared" si="55"/>
        <v/>
      </c>
      <c r="M336" s="678" t="str">
        <f t="shared" si="56"/>
        <v/>
      </c>
    </row>
    <row r="337" spans="4:13">
      <c r="D337" s="64" t="str">
        <f t="shared" si="53"/>
        <v/>
      </c>
      <c r="E337" s="226" t="str">
        <f t="shared" si="57"/>
        <v/>
      </c>
      <c r="F337" s="35" t="str">
        <f t="shared" si="58"/>
        <v/>
      </c>
      <c r="G337" s="36" t="str">
        <f t="shared" si="51"/>
        <v/>
      </c>
      <c r="H337" s="36" t="str">
        <f t="shared" si="52"/>
        <v/>
      </c>
      <c r="I337" s="747" t="str">
        <f t="shared" si="59"/>
        <v/>
      </c>
      <c r="J337" s="747"/>
      <c r="K337" s="678" t="str">
        <f t="shared" si="54"/>
        <v/>
      </c>
      <c r="L337" s="697" t="str">
        <f t="shared" si="55"/>
        <v/>
      </c>
      <c r="M337" s="678" t="str">
        <f t="shared" si="56"/>
        <v/>
      </c>
    </row>
    <row r="338" spans="4:13">
      <c r="D338" s="64" t="str">
        <f t="shared" si="53"/>
        <v/>
      </c>
      <c r="E338" s="226" t="str">
        <f t="shared" si="57"/>
        <v/>
      </c>
      <c r="F338" s="35" t="str">
        <f t="shared" si="58"/>
        <v/>
      </c>
      <c r="G338" s="36" t="str">
        <f t="shared" si="51"/>
        <v/>
      </c>
      <c r="H338" s="36" t="str">
        <f t="shared" si="52"/>
        <v/>
      </c>
      <c r="I338" s="747" t="str">
        <f t="shared" si="59"/>
        <v/>
      </c>
      <c r="J338" s="747"/>
      <c r="K338" s="678" t="str">
        <f t="shared" si="54"/>
        <v/>
      </c>
      <c r="L338" s="697" t="str">
        <f t="shared" si="55"/>
        <v/>
      </c>
      <c r="M338" s="678" t="str">
        <f t="shared" si="56"/>
        <v/>
      </c>
    </row>
    <row r="339" spans="4:13">
      <c r="D339" s="64" t="str">
        <f t="shared" si="53"/>
        <v/>
      </c>
      <c r="E339" s="226" t="str">
        <f t="shared" si="57"/>
        <v/>
      </c>
      <c r="F339" s="35" t="str">
        <f t="shared" si="58"/>
        <v/>
      </c>
      <c r="G339" s="36" t="str">
        <f t="shared" si="51"/>
        <v/>
      </c>
      <c r="H339" s="36" t="str">
        <f t="shared" si="52"/>
        <v/>
      </c>
      <c r="I339" s="747" t="str">
        <f t="shared" si="59"/>
        <v/>
      </c>
      <c r="J339" s="747"/>
      <c r="K339" s="678" t="str">
        <f t="shared" si="54"/>
        <v/>
      </c>
      <c r="L339" s="697" t="str">
        <f t="shared" si="55"/>
        <v/>
      </c>
      <c r="M339" s="678" t="str">
        <f t="shared" si="56"/>
        <v/>
      </c>
    </row>
    <row r="340" spans="4:13">
      <c r="D340" s="64" t="str">
        <f t="shared" si="53"/>
        <v/>
      </c>
      <c r="E340" s="226" t="str">
        <f t="shared" si="57"/>
        <v/>
      </c>
      <c r="F340" s="35" t="str">
        <f t="shared" si="58"/>
        <v/>
      </c>
      <c r="G340" s="36" t="str">
        <f t="shared" si="51"/>
        <v/>
      </c>
      <c r="H340" s="36" t="str">
        <f t="shared" si="52"/>
        <v/>
      </c>
      <c r="I340" s="747" t="str">
        <f t="shared" si="59"/>
        <v/>
      </c>
      <c r="J340" s="747"/>
      <c r="K340" s="678" t="str">
        <f t="shared" si="54"/>
        <v/>
      </c>
      <c r="L340" s="697" t="str">
        <f t="shared" si="55"/>
        <v/>
      </c>
      <c r="M340" s="678" t="str">
        <f t="shared" si="56"/>
        <v/>
      </c>
    </row>
    <row r="341" spans="4:13">
      <c r="D341" s="64" t="str">
        <f t="shared" si="53"/>
        <v/>
      </c>
      <c r="E341" s="226" t="str">
        <f t="shared" si="57"/>
        <v/>
      </c>
      <c r="F341" s="35" t="str">
        <f t="shared" si="58"/>
        <v/>
      </c>
      <c r="G341" s="36" t="str">
        <f t="shared" si="51"/>
        <v/>
      </c>
      <c r="H341" s="36" t="str">
        <f t="shared" si="52"/>
        <v/>
      </c>
      <c r="I341" s="747" t="str">
        <f t="shared" si="59"/>
        <v/>
      </c>
      <c r="J341" s="747"/>
      <c r="K341" s="678" t="str">
        <f t="shared" si="54"/>
        <v/>
      </c>
      <c r="L341" s="697" t="str">
        <f t="shared" si="55"/>
        <v/>
      </c>
      <c r="M341" s="678" t="str">
        <f t="shared" si="56"/>
        <v/>
      </c>
    </row>
    <row r="342" spans="4:13">
      <c r="D342" s="64" t="str">
        <f t="shared" si="53"/>
        <v/>
      </c>
      <c r="E342" s="226" t="str">
        <f t="shared" si="57"/>
        <v/>
      </c>
      <c r="F342" s="35" t="str">
        <f t="shared" si="58"/>
        <v/>
      </c>
      <c r="G342" s="36" t="str">
        <f t="shared" si="51"/>
        <v/>
      </c>
      <c r="H342" s="36" t="str">
        <f t="shared" si="52"/>
        <v/>
      </c>
      <c r="I342" s="747" t="str">
        <f t="shared" si="59"/>
        <v/>
      </c>
      <c r="J342" s="747"/>
      <c r="K342" s="678" t="str">
        <f t="shared" si="54"/>
        <v/>
      </c>
      <c r="L342" s="697" t="str">
        <f t="shared" si="55"/>
        <v/>
      </c>
      <c r="M342" s="678" t="str">
        <f t="shared" si="56"/>
        <v/>
      </c>
    </row>
    <row r="343" spans="4:13">
      <c r="D343" s="64" t="str">
        <f t="shared" si="53"/>
        <v/>
      </c>
      <c r="E343" s="226" t="str">
        <f t="shared" si="57"/>
        <v/>
      </c>
      <c r="F343" s="35" t="str">
        <f t="shared" si="58"/>
        <v/>
      </c>
      <c r="G343" s="36" t="str">
        <f t="shared" si="51"/>
        <v/>
      </c>
      <c r="H343" s="36" t="str">
        <f t="shared" si="52"/>
        <v/>
      </c>
      <c r="I343" s="747" t="str">
        <f t="shared" si="59"/>
        <v/>
      </c>
      <c r="J343" s="747"/>
      <c r="K343" s="678" t="str">
        <f t="shared" si="54"/>
        <v/>
      </c>
      <c r="L343" s="697" t="str">
        <f t="shared" si="55"/>
        <v/>
      </c>
      <c r="M343" s="678" t="str">
        <f t="shared" si="56"/>
        <v/>
      </c>
    </row>
    <row r="344" spans="4:13">
      <c r="D344" s="64" t="str">
        <f t="shared" si="53"/>
        <v/>
      </c>
      <c r="E344" s="226" t="str">
        <f t="shared" si="57"/>
        <v/>
      </c>
      <c r="F344" s="35" t="str">
        <f t="shared" si="58"/>
        <v/>
      </c>
      <c r="G344" s="36" t="str">
        <f t="shared" ref="G344:G384" si="60">IFERROR(IF(F344&lt;&gt;"",-IPMT($G$16/12,F344,$G$17,$G$13),""),0)</f>
        <v/>
      </c>
      <c r="H344" s="36" t="str">
        <f t="shared" ref="H344:H384" si="61">IFERROR(IF(F344&lt;&gt;"",-PPMT($G$16/12,F344,$G$17,$G$13),""),0)</f>
        <v/>
      </c>
      <c r="I344" s="747" t="str">
        <f t="shared" si="59"/>
        <v/>
      </c>
      <c r="J344" s="747"/>
      <c r="K344" s="678" t="str">
        <f t="shared" si="54"/>
        <v/>
      </c>
      <c r="L344" s="697" t="str">
        <f t="shared" si="55"/>
        <v/>
      </c>
      <c r="M344" s="678" t="str">
        <f t="shared" si="56"/>
        <v/>
      </c>
    </row>
    <row r="345" spans="4:13">
      <c r="D345" s="64" t="str">
        <f t="shared" ref="D345:D384" si="62">IF(E345="","",MONTH(E345))</f>
        <v/>
      </c>
      <c r="E345" s="226" t="str">
        <f t="shared" si="57"/>
        <v/>
      </c>
      <c r="F345" s="35" t="str">
        <f t="shared" si="58"/>
        <v/>
      </c>
      <c r="G345" s="36" t="str">
        <f t="shared" si="60"/>
        <v/>
      </c>
      <c r="H345" s="36" t="str">
        <f t="shared" si="61"/>
        <v/>
      </c>
      <c r="I345" s="747" t="str">
        <f t="shared" si="59"/>
        <v/>
      </c>
      <c r="J345" s="747"/>
      <c r="K345" s="678" t="str">
        <f t="shared" ref="K345:K384" si="63">IF(D345=12,G345+G344+G343+G342+G341+G340+G339+G338+G337+G336+G335+G334,"")</f>
        <v/>
      </c>
      <c r="L345" s="697" t="str">
        <f t="shared" ref="L345:L384" si="64">IF(D345=12,YEAR(E345),"")</f>
        <v/>
      </c>
      <c r="M345" s="678" t="str">
        <f t="shared" ref="M345:M384" si="65">IF(D345=12,H345+H344+H343+H342+H341+H340+H339+H338+H337+H336+H335+H334,"")</f>
        <v/>
      </c>
    </row>
    <row r="346" spans="4:13">
      <c r="D346" s="64" t="str">
        <f t="shared" si="62"/>
        <v/>
      </c>
      <c r="E346" s="226" t="str">
        <f t="shared" ref="E346:E384" si="66">IFERROR(IF($G$17&lt;=F345,"",DATE(YEAR(E345),MONTH(E345)+1,DAY(E345))),"")</f>
        <v/>
      </c>
      <c r="F346" s="35" t="str">
        <f t="shared" ref="F346:F384" si="67">IF(OR(F345="",F345=$G$17),"",IF(F345&lt;$G$17,F345+1,0))</f>
        <v/>
      </c>
      <c r="G346" s="36" t="str">
        <f t="shared" si="60"/>
        <v/>
      </c>
      <c r="H346" s="36" t="str">
        <f t="shared" si="61"/>
        <v/>
      </c>
      <c r="I346" s="747" t="str">
        <f t="shared" ref="I346:I384" si="68">IF(F346&lt;&gt;"",I345-H346,"")</f>
        <v/>
      </c>
      <c r="J346" s="747"/>
      <c r="K346" s="678" t="str">
        <f t="shared" si="63"/>
        <v/>
      </c>
      <c r="L346" s="697" t="str">
        <f t="shared" si="64"/>
        <v/>
      </c>
      <c r="M346" s="678" t="str">
        <f t="shared" si="65"/>
        <v/>
      </c>
    </row>
    <row r="347" spans="4:13">
      <c r="D347" s="64" t="str">
        <f t="shared" si="62"/>
        <v/>
      </c>
      <c r="E347" s="226" t="str">
        <f t="shared" si="66"/>
        <v/>
      </c>
      <c r="F347" s="35" t="str">
        <f t="shared" si="67"/>
        <v/>
      </c>
      <c r="G347" s="36" t="str">
        <f t="shared" si="60"/>
        <v/>
      </c>
      <c r="H347" s="36" t="str">
        <f t="shared" si="61"/>
        <v/>
      </c>
      <c r="I347" s="747" t="str">
        <f t="shared" si="68"/>
        <v/>
      </c>
      <c r="J347" s="747"/>
      <c r="K347" s="678" t="str">
        <f t="shared" si="63"/>
        <v/>
      </c>
      <c r="L347" s="697" t="str">
        <f t="shared" si="64"/>
        <v/>
      </c>
      <c r="M347" s="678" t="str">
        <f t="shared" si="65"/>
        <v/>
      </c>
    </row>
    <row r="348" spans="4:13">
      <c r="D348" s="64" t="str">
        <f t="shared" si="62"/>
        <v/>
      </c>
      <c r="E348" s="226" t="str">
        <f t="shared" si="66"/>
        <v/>
      </c>
      <c r="F348" s="35" t="str">
        <f t="shared" si="67"/>
        <v/>
      </c>
      <c r="G348" s="36" t="str">
        <f t="shared" si="60"/>
        <v/>
      </c>
      <c r="H348" s="36" t="str">
        <f t="shared" si="61"/>
        <v/>
      </c>
      <c r="I348" s="747" t="str">
        <f t="shared" si="68"/>
        <v/>
      </c>
      <c r="J348" s="747"/>
      <c r="K348" s="678" t="str">
        <f t="shared" si="63"/>
        <v/>
      </c>
      <c r="L348" s="697" t="str">
        <f t="shared" si="64"/>
        <v/>
      </c>
      <c r="M348" s="678" t="str">
        <f t="shared" si="65"/>
        <v/>
      </c>
    </row>
    <row r="349" spans="4:13">
      <c r="D349" s="64" t="str">
        <f t="shared" si="62"/>
        <v/>
      </c>
      <c r="E349" s="226" t="str">
        <f t="shared" si="66"/>
        <v/>
      </c>
      <c r="F349" s="35" t="str">
        <f t="shared" si="67"/>
        <v/>
      </c>
      <c r="G349" s="36" t="str">
        <f t="shared" si="60"/>
        <v/>
      </c>
      <c r="H349" s="36" t="str">
        <f t="shared" si="61"/>
        <v/>
      </c>
      <c r="I349" s="747" t="str">
        <f t="shared" si="68"/>
        <v/>
      </c>
      <c r="J349" s="747"/>
      <c r="K349" s="678" t="str">
        <f t="shared" si="63"/>
        <v/>
      </c>
      <c r="L349" s="697" t="str">
        <f t="shared" si="64"/>
        <v/>
      </c>
      <c r="M349" s="678" t="str">
        <f t="shared" si="65"/>
        <v/>
      </c>
    </row>
    <row r="350" spans="4:13">
      <c r="D350" s="64" t="str">
        <f t="shared" si="62"/>
        <v/>
      </c>
      <c r="E350" s="226" t="str">
        <f t="shared" si="66"/>
        <v/>
      </c>
      <c r="F350" s="35" t="str">
        <f t="shared" si="67"/>
        <v/>
      </c>
      <c r="G350" s="36" t="str">
        <f t="shared" si="60"/>
        <v/>
      </c>
      <c r="H350" s="36" t="str">
        <f t="shared" si="61"/>
        <v/>
      </c>
      <c r="I350" s="747" t="str">
        <f t="shared" si="68"/>
        <v/>
      </c>
      <c r="J350" s="747"/>
      <c r="K350" s="678" t="str">
        <f t="shared" si="63"/>
        <v/>
      </c>
      <c r="L350" s="697" t="str">
        <f t="shared" si="64"/>
        <v/>
      </c>
      <c r="M350" s="678" t="str">
        <f t="shared" si="65"/>
        <v/>
      </c>
    </row>
    <row r="351" spans="4:13">
      <c r="D351" s="64" t="str">
        <f t="shared" si="62"/>
        <v/>
      </c>
      <c r="E351" s="226" t="str">
        <f t="shared" si="66"/>
        <v/>
      </c>
      <c r="F351" s="35" t="str">
        <f t="shared" si="67"/>
        <v/>
      </c>
      <c r="G351" s="36" t="str">
        <f t="shared" si="60"/>
        <v/>
      </c>
      <c r="H351" s="36" t="str">
        <f t="shared" si="61"/>
        <v/>
      </c>
      <c r="I351" s="747" t="str">
        <f t="shared" si="68"/>
        <v/>
      </c>
      <c r="J351" s="747"/>
      <c r="K351" s="678" t="str">
        <f t="shared" si="63"/>
        <v/>
      </c>
      <c r="L351" s="697" t="str">
        <f t="shared" si="64"/>
        <v/>
      </c>
      <c r="M351" s="678" t="str">
        <f t="shared" si="65"/>
        <v/>
      </c>
    </row>
    <row r="352" spans="4:13">
      <c r="D352" s="64" t="str">
        <f t="shared" si="62"/>
        <v/>
      </c>
      <c r="E352" s="226" t="str">
        <f t="shared" si="66"/>
        <v/>
      </c>
      <c r="F352" s="35" t="str">
        <f t="shared" si="67"/>
        <v/>
      </c>
      <c r="G352" s="36" t="str">
        <f t="shared" si="60"/>
        <v/>
      </c>
      <c r="H352" s="36" t="str">
        <f t="shared" si="61"/>
        <v/>
      </c>
      <c r="I352" s="747" t="str">
        <f t="shared" si="68"/>
        <v/>
      </c>
      <c r="J352" s="747"/>
      <c r="K352" s="678" t="str">
        <f t="shared" si="63"/>
        <v/>
      </c>
      <c r="L352" s="697" t="str">
        <f t="shared" si="64"/>
        <v/>
      </c>
      <c r="M352" s="678" t="str">
        <f t="shared" si="65"/>
        <v/>
      </c>
    </row>
    <row r="353" spans="4:13">
      <c r="D353" s="64" t="str">
        <f t="shared" si="62"/>
        <v/>
      </c>
      <c r="E353" s="226" t="str">
        <f t="shared" si="66"/>
        <v/>
      </c>
      <c r="F353" s="35" t="str">
        <f t="shared" si="67"/>
        <v/>
      </c>
      <c r="G353" s="36" t="str">
        <f t="shared" si="60"/>
        <v/>
      </c>
      <c r="H353" s="36" t="str">
        <f t="shared" si="61"/>
        <v/>
      </c>
      <c r="I353" s="747" t="str">
        <f t="shared" si="68"/>
        <v/>
      </c>
      <c r="J353" s="747"/>
      <c r="K353" s="678" t="str">
        <f t="shared" si="63"/>
        <v/>
      </c>
      <c r="L353" s="697" t="str">
        <f t="shared" si="64"/>
        <v/>
      </c>
      <c r="M353" s="678" t="str">
        <f t="shared" si="65"/>
        <v/>
      </c>
    </row>
    <row r="354" spans="4:13">
      <c r="D354" s="64" t="str">
        <f t="shared" si="62"/>
        <v/>
      </c>
      <c r="E354" s="226" t="str">
        <f t="shared" si="66"/>
        <v/>
      </c>
      <c r="F354" s="35" t="str">
        <f t="shared" si="67"/>
        <v/>
      </c>
      <c r="G354" s="36" t="str">
        <f t="shared" si="60"/>
        <v/>
      </c>
      <c r="H354" s="36" t="str">
        <f t="shared" si="61"/>
        <v/>
      </c>
      <c r="I354" s="747" t="str">
        <f t="shared" si="68"/>
        <v/>
      </c>
      <c r="J354" s="747"/>
      <c r="K354" s="678" t="str">
        <f t="shared" si="63"/>
        <v/>
      </c>
      <c r="L354" s="697" t="str">
        <f t="shared" si="64"/>
        <v/>
      </c>
      <c r="M354" s="678" t="str">
        <f t="shared" si="65"/>
        <v/>
      </c>
    </row>
    <row r="355" spans="4:13">
      <c r="D355" s="64" t="str">
        <f t="shared" si="62"/>
        <v/>
      </c>
      <c r="E355" s="226" t="str">
        <f t="shared" si="66"/>
        <v/>
      </c>
      <c r="F355" s="35" t="str">
        <f t="shared" si="67"/>
        <v/>
      </c>
      <c r="G355" s="36" t="str">
        <f t="shared" si="60"/>
        <v/>
      </c>
      <c r="H355" s="36" t="str">
        <f t="shared" si="61"/>
        <v/>
      </c>
      <c r="I355" s="747" t="str">
        <f t="shared" si="68"/>
        <v/>
      </c>
      <c r="J355" s="747"/>
      <c r="K355" s="678" t="str">
        <f t="shared" si="63"/>
        <v/>
      </c>
      <c r="L355" s="697" t="str">
        <f t="shared" si="64"/>
        <v/>
      </c>
      <c r="M355" s="678" t="str">
        <f t="shared" si="65"/>
        <v/>
      </c>
    </row>
    <row r="356" spans="4:13">
      <c r="D356" s="64" t="str">
        <f t="shared" si="62"/>
        <v/>
      </c>
      <c r="E356" s="226" t="str">
        <f t="shared" si="66"/>
        <v/>
      </c>
      <c r="F356" s="35" t="str">
        <f t="shared" si="67"/>
        <v/>
      </c>
      <c r="G356" s="36" t="str">
        <f t="shared" si="60"/>
        <v/>
      </c>
      <c r="H356" s="36" t="str">
        <f t="shared" si="61"/>
        <v/>
      </c>
      <c r="I356" s="747" t="str">
        <f t="shared" si="68"/>
        <v/>
      </c>
      <c r="J356" s="747"/>
      <c r="K356" s="678" t="str">
        <f t="shared" si="63"/>
        <v/>
      </c>
      <c r="L356" s="697" t="str">
        <f t="shared" si="64"/>
        <v/>
      </c>
      <c r="M356" s="678" t="str">
        <f t="shared" si="65"/>
        <v/>
      </c>
    </row>
    <row r="357" spans="4:13">
      <c r="D357" s="64" t="str">
        <f t="shared" si="62"/>
        <v/>
      </c>
      <c r="E357" s="226" t="str">
        <f t="shared" si="66"/>
        <v/>
      </c>
      <c r="F357" s="35" t="str">
        <f t="shared" si="67"/>
        <v/>
      </c>
      <c r="G357" s="36" t="str">
        <f t="shared" si="60"/>
        <v/>
      </c>
      <c r="H357" s="36" t="str">
        <f t="shared" si="61"/>
        <v/>
      </c>
      <c r="I357" s="747" t="str">
        <f t="shared" si="68"/>
        <v/>
      </c>
      <c r="J357" s="747"/>
      <c r="K357" s="678" t="str">
        <f t="shared" si="63"/>
        <v/>
      </c>
      <c r="L357" s="697" t="str">
        <f t="shared" si="64"/>
        <v/>
      </c>
      <c r="M357" s="678" t="str">
        <f t="shared" si="65"/>
        <v/>
      </c>
    </row>
    <row r="358" spans="4:13">
      <c r="D358" s="64" t="str">
        <f t="shared" si="62"/>
        <v/>
      </c>
      <c r="E358" s="226" t="str">
        <f t="shared" si="66"/>
        <v/>
      </c>
      <c r="F358" s="35" t="str">
        <f t="shared" si="67"/>
        <v/>
      </c>
      <c r="G358" s="36" t="str">
        <f t="shared" si="60"/>
        <v/>
      </c>
      <c r="H358" s="36" t="str">
        <f t="shared" si="61"/>
        <v/>
      </c>
      <c r="I358" s="747" t="str">
        <f t="shared" si="68"/>
        <v/>
      </c>
      <c r="J358" s="747"/>
      <c r="K358" s="678" t="str">
        <f t="shared" si="63"/>
        <v/>
      </c>
      <c r="L358" s="697" t="str">
        <f t="shared" si="64"/>
        <v/>
      </c>
      <c r="M358" s="678" t="str">
        <f t="shared" si="65"/>
        <v/>
      </c>
    </row>
    <row r="359" spans="4:13">
      <c r="D359" s="64" t="str">
        <f t="shared" si="62"/>
        <v/>
      </c>
      <c r="E359" s="226" t="str">
        <f t="shared" si="66"/>
        <v/>
      </c>
      <c r="F359" s="35" t="str">
        <f t="shared" si="67"/>
        <v/>
      </c>
      <c r="G359" s="36" t="str">
        <f t="shared" si="60"/>
        <v/>
      </c>
      <c r="H359" s="36" t="str">
        <f t="shared" si="61"/>
        <v/>
      </c>
      <c r="I359" s="747" t="str">
        <f t="shared" si="68"/>
        <v/>
      </c>
      <c r="J359" s="747"/>
      <c r="K359" s="678" t="str">
        <f t="shared" si="63"/>
        <v/>
      </c>
      <c r="L359" s="697" t="str">
        <f t="shared" si="64"/>
        <v/>
      </c>
      <c r="M359" s="678" t="str">
        <f t="shared" si="65"/>
        <v/>
      </c>
    </row>
    <row r="360" spans="4:13">
      <c r="D360" s="64" t="str">
        <f t="shared" si="62"/>
        <v/>
      </c>
      <c r="E360" s="226" t="str">
        <f t="shared" si="66"/>
        <v/>
      </c>
      <c r="F360" s="35" t="str">
        <f t="shared" si="67"/>
        <v/>
      </c>
      <c r="G360" s="36" t="str">
        <f t="shared" si="60"/>
        <v/>
      </c>
      <c r="H360" s="36" t="str">
        <f t="shared" si="61"/>
        <v/>
      </c>
      <c r="I360" s="747" t="str">
        <f t="shared" si="68"/>
        <v/>
      </c>
      <c r="J360" s="747"/>
      <c r="K360" s="678" t="str">
        <f t="shared" si="63"/>
        <v/>
      </c>
      <c r="L360" s="697" t="str">
        <f t="shared" si="64"/>
        <v/>
      </c>
      <c r="M360" s="678" t="str">
        <f t="shared" si="65"/>
        <v/>
      </c>
    </row>
    <row r="361" spans="4:13">
      <c r="D361" s="64" t="str">
        <f t="shared" si="62"/>
        <v/>
      </c>
      <c r="E361" s="226" t="str">
        <f t="shared" si="66"/>
        <v/>
      </c>
      <c r="F361" s="35" t="str">
        <f t="shared" si="67"/>
        <v/>
      </c>
      <c r="G361" s="36" t="str">
        <f t="shared" si="60"/>
        <v/>
      </c>
      <c r="H361" s="36" t="str">
        <f t="shared" si="61"/>
        <v/>
      </c>
      <c r="I361" s="747" t="str">
        <f t="shared" si="68"/>
        <v/>
      </c>
      <c r="J361" s="747"/>
      <c r="K361" s="678" t="str">
        <f t="shared" si="63"/>
        <v/>
      </c>
      <c r="L361" s="697" t="str">
        <f t="shared" si="64"/>
        <v/>
      </c>
      <c r="M361" s="678" t="str">
        <f t="shared" si="65"/>
        <v/>
      </c>
    </row>
    <row r="362" spans="4:13">
      <c r="D362" s="64" t="str">
        <f t="shared" si="62"/>
        <v/>
      </c>
      <c r="E362" s="226" t="str">
        <f t="shared" si="66"/>
        <v/>
      </c>
      <c r="F362" s="35" t="str">
        <f t="shared" si="67"/>
        <v/>
      </c>
      <c r="G362" s="36" t="str">
        <f t="shared" si="60"/>
        <v/>
      </c>
      <c r="H362" s="36" t="str">
        <f t="shared" si="61"/>
        <v/>
      </c>
      <c r="I362" s="747" t="str">
        <f t="shared" si="68"/>
        <v/>
      </c>
      <c r="J362" s="747"/>
      <c r="K362" s="678" t="str">
        <f t="shared" si="63"/>
        <v/>
      </c>
      <c r="L362" s="697" t="str">
        <f t="shared" si="64"/>
        <v/>
      </c>
      <c r="M362" s="678" t="str">
        <f t="shared" si="65"/>
        <v/>
      </c>
    </row>
    <row r="363" spans="4:13">
      <c r="D363" s="64" t="str">
        <f t="shared" si="62"/>
        <v/>
      </c>
      <c r="E363" s="226" t="str">
        <f t="shared" si="66"/>
        <v/>
      </c>
      <c r="F363" s="35" t="str">
        <f t="shared" si="67"/>
        <v/>
      </c>
      <c r="G363" s="36" t="str">
        <f t="shared" si="60"/>
        <v/>
      </c>
      <c r="H363" s="36" t="str">
        <f t="shared" si="61"/>
        <v/>
      </c>
      <c r="I363" s="747" t="str">
        <f t="shared" si="68"/>
        <v/>
      </c>
      <c r="J363" s="747"/>
      <c r="K363" s="678" t="str">
        <f t="shared" si="63"/>
        <v/>
      </c>
      <c r="L363" s="697" t="str">
        <f t="shared" si="64"/>
        <v/>
      </c>
      <c r="M363" s="678" t="str">
        <f t="shared" si="65"/>
        <v/>
      </c>
    </row>
    <row r="364" spans="4:13">
      <c r="D364" s="64" t="str">
        <f t="shared" si="62"/>
        <v/>
      </c>
      <c r="E364" s="226" t="str">
        <f t="shared" si="66"/>
        <v/>
      </c>
      <c r="F364" s="35" t="str">
        <f t="shared" si="67"/>
        <v/>
      </c>
      <c r="G364" s="36" t="str">
        <f t="shared" si="60"/>
        <v/>
      </c>
      <c r="H364" s="36" t="str">
        <f t="shared" si="61"/>
        <v/>
      </c>
      <c r="I364" s="747" t="str">
        <f t="shared" si="68"/>
        <v/>
      </c>
      <c r="J364" s="747"/>
      <c r="K364" s="678" t="str">
        <f t="shared" si="63"/>
        <v/>
      </c>
      <c r="L364" s="697" t="str">
        <f t="shared" si="64"/>
        <v/>
      </c>
      <c r="M364" s="678" t="str">
        <f t="shared" si="65"/>
        <v/>
      </c>
    </row>
    <row r="365" spans="4:13">
      <c r="D365" s="64" t="str">
        <f t="shared" si="62"/>
        <v/>
      </c>
      <c r="E365" s="226" t="str">
        <f t="shared" si="66"/>
        <v/>
      </c>
      <c r="F365" s="35" t="str">
        <f t="shared" si="67"/>
        <v/>
      </c>
      <c r="G365" s="36" t="str">
        <f t="shared" si="60"/>
        <v/>
      </c>
      <c r="H365" s="36" t="str">
        <f t="shared" si="61"/>
        <v/>
      </c>
      <c r="I365" s="747" t="str">
        <f t="shared" si="68"/>
        <v/>
      </c>
      <c r="J365" s="747"/>
      <c r="K365" s="678" t="str">
        <f t="shared" si="63"/>
        <v/>
      </c>
      <c r="L365" s="697" t="str">
        <f t="shared" si="64"/>
        <v/>
      </c>
      <c r="M365" s="678" t="str">
        <f t="shared" si="65"/>
        <v/>
      </c>
    </row>
    <row r="366" spans="4:13">
      <c r="D366" s="64" t="str">
        <f t="shared" si="62"/>
        <v/>
      </c>
      <c r="E366" s="226" t="str">
        <f t="shared" si="66"/>
        <v/>
      </c>
      <c r="F366" s="35" t="str">
        <f t="shared" si="67"/>
        <v/>
      </c>
      <c r="G366" s="36" t="str">
        <f t="shared" si="60"/>
        <v/>
      </c>
      <c r="H366" s="36" t="str">
        <f t="shared" si="61"/>
        <v/>
      </c>
      <c r="I366" s="747" t="str">
        <f t="shared" si="68"/>
        <v/>
      </c>
      <c r="J366" s="747"/>
      <c r="K366" s="678" t="str">
        <f t="shared" si="63"/>
        <v/>
      </c>
      <c r="L366" s="697" t="str">
        <f t="shared" si="64"/>
        <v/>
      </c>
      <c r="M366" s="678" t="str">
        <f t="shared" si="65"/>
        <v/>
      </c>
    </row>
    <row r="367" spans="4:13">
      <c r="D367" s="64" t="str">
        <f t="shared" si="62"/>
        <v/>
      </c>
      <c r="E367" s="226" t="str">
        <f t="shared" si="66"/>
        <v/>
      </c>
      <c r="F367" s="35" t="str">
        <f t="shared" si="67"/>
        <v/>
      </c>
      <c r="G367" s="36" t="str">
        <f t="shared" si="60"/>
        <v/>
      </c>
      <c r="H367" s="36" t="str">
        <f t="shared" si="61"/>
        <v/>
      </c>
      <c r="I367" s="747" t="str">
        <f t="shared" si="68"/>
        <v/>
      </c>
      <c r="J367" s="747"/>
      <c r="K367" s="678" t="str">
        <f t="shared" si="63"/>
        <v/>
      </c>
      <c r="L367" s="697" t="str">
        <f t="shared" si="64"/>
        <v/>
      </c>
      <c r="M367" s="678" t="str">
        <f t="shared" si="65"/>
        <v/>
      </c>
    </row>
    <row r="368" spans="4:13">
      <c r="D368" s="64" t="str">
        <f t="shared" si="62"/>
        <v/>
      </c>
      <c r="E368" s="226" t="str">
        <f t="shared" si="66"/>
        <v/>
      </c>
      <c r="F368" s="35" t="str">
        <f t="shared" si="67"/>
        <v/>
      </c>
      <c r="G368" s="36" t="str">
        <f t="shared" si="60"/>
        <v/>
      </c>
      <c r="H368" s="36" t="str">
        <f t="shared" si="61"/>
        <v/>
      </c>
      <c r="I368" s="747" t="str">
        <f t="shared" si="68"/>
        <v/>
      </c>
      <c r="J368" s="747"/>
      <c r="K368" s="678" t="str">
        <f t="shared" si="63"/>
        <v/>
      </c>
      <c r="L368" s="697" t="str">
        <f t="shared" si="64"/>
        <v/>
      </c>
      <c r="M368" s="678" t="str">
        <f t="shared" si="65"/>
        <v/>
      </c>
    </row>
    <row r="369" spans="4:13">
      <c r="D369" s="64" t="str">
        <f t="shared" si="62"/>
        <v/>
      </c>
      <c r="E369" s="226" t="str">
        <f t="shared" si="66"/>
        <v/>
      </c>
      <c r="F369" s="35" t="str">
        <f t="shared" si="67"/>
        <v/>
      </c>
      <c r="G369" s="36" t="str">
        <f t="shared" si="60"/>
        <v/>
      </c>
      <c r="H369" s="36" t="str">
        <f t="shared" si="61"/>
        <v/>
      </c>
      <c r="I369" s="747" t="str">
        <f t="shared" si="68"/>
        <v/>
      </c>
      <c r="J369" s="747"/>
      <c r="K369" s="678" t="str">
        <f t="shared" si="63"/>
        <v/>
      </c>
      <c r="L369" s="697" t="str">
        <f t="shared" si="64"/>
        <v/>
      </c>
      <c r="M369" s="678" t="str">
        <f t="shared" si="65"/>
        <v/>
      </c>
    </row>
    <row r="370" spans="4:13">
      <c r="D370" s="64" t="str">
        <f t="shared" si="62"/>
        <v/>
      </c>
      <c r="E370" s="226" t="str">
        <f t="shared" si="66"/>
        <v/>
      </c>
      <c r="F370" s="35" t="str">
        <f t="shared" si="67"/>
        <v/>
      </c>
      <c r="G370" s="36" t="str">
        <f t="shared" si="60"/>
        <v/>
      </c>
      <c r="H370" s="36" t="str">
        <f t="shared" si="61"/>
        <v/>
      </c>
      <c r="I370" s="747" t="str">
        <f t="shared" si="68"/>
        <v/>
      </c>
      <c r="J370" s="747"/>
      <c r="K370" s="678" t="str">
        <f t="shared" si="63"/>
        <v/>
      </c>
      <c r="L370" s="697" t="str">
        <f t="shared" si="64"/>
        <v/>
      </c>
      <c r="M370" s="678" t="str">
        <f t="shared" si="65"/>
        <v/>
      </c>
    </row>
    <row r="371" spans="4:13">
      <c r="D371" s="64" t="str">
        <f t="shared" si="62"/>
        <v/>
      </c>
      <c r="E371" s="226" t="str">
        <f t="shared" si="66"/>
        <v/>
      </c>
      <c r="F371" s="35" t="str">
        <f t="shared" si="67"/>
        <v/>
      </c>
      <c r="G371" s="36" t="str">
        <f t="shared" si="60"/>
        <v/>
      </c>
      <c r="H371" s="36" t="str">
        <f t="shared" si="61"/>
        <v/>
      </c>
      <c r="I371" s="747" t="str">
        <f t="shared" si="68"/>
        <v/>
      </c>
      <c r="J371" s="747"/>
      <c r="K371" s="678" t="str">
        <f t="shared" si="63"/>
        <v/>
      </c>
      <c r="L371" s="697" t="str">
        <f t="shared" si="64"/>
        <v/>
      </c>
      <c r="M371" s="678" t="str">
        <f t="shared" si="65"/>
        <v/>
      </c>
    </row>
    <row r="372" spans="4:13">
      <c r="D372" s="64" t="str">
        <f t="shared" si="62"/>
        <v/>
      </c>
      <c r="E372" s="226" t="str">
        <f t="shared" si="66"/>
        <v/>
      </c>
      <c r="F372" s="35" t="str">
        <f t="shared" si="67"/>
        <v/>
      </c>
      <c r="G372" s="36" t="str">
        <f t="shared" si="60"/>
        <v/>
      </c>
      <c r="H372" s="36" t="str">
        <f t="shared" si="61"/>
        <v/>
      </c>
      <c r="I372" s="747" t="str">
        <f t="shared" si="68"/>
        <v/>
      </c>
      <c r="J372" s="747"/>
      <c r="K372" s="678" t="str">
        <f t="shared" si="63"/>
        <v/>
      </c>
      <c r="L372" s="697" t="str">
        <f t="shared" si="64"/>
        <v/>
      </c>
      <c r="M372" s="678" t="str">
        <f t="shared" si="65"/>
        <v/>
      </c>
    </row>
    <row r="373" spans="4:13">
      <c r="D373" s="64" t="str">
        <f t="shared" si="62"/>
        <v/>
      </c>
      <c r="E373" s="226" t="str">
        <f t="shared" si="66"/>
        <v/>
      </c>
      <c r="F373" s="35" t="str">
        <f t="shared" si="67"/>
        <v/>
      </c>
      <c r="G373" s="36" t="str">
        <f t="shared" si="60"/>
        <v/>
      </c>
      <c r="H373" s="36" t="str">
        <f t="shared" si="61"/>
        <v/>
      </c>
      <c r="I373" s="747" t="str">
        <f t="shared" si="68"/>
        <v/>
      </c>
      <c r="J373" s="747"/>
      <c r="K373" s="678" t="str">
        <f t="shared" si="63"/>
        <v/>
      </c>
      <c r="L373" s="697" t="str">
        <f t="shared" si="64"/>
        <v/>
      </c>
      <c r="M373" s="678" t="str">
        <f t="shared" si="65"/>
        <v/>
      </c>
    </row>
    <row r="374" spans="4:13">
      <c r="D374" s="64" t="str">
        <f t="shared" si="62"/>
        <v/>
      </c>
      <c r="E374" s="226" t="str">
        <f t="shared" si="66"/>
        <v/>
      </c>
      <c r="F374" s="35" t="str">
        <f t="shared" si="67"/>
        <v/>
      </c>
      <c r="G374" s="36" t="str">
        <f t="shared" si="60"/>
        <v/>
      </c>
      <c r="H374" s="36" t="str">
        <f t="shared" si="61"/>
        <v/>
      </c>
      <c r="I374" s="747" t="str">
        <f t="shared" si="68"/>
        <v/>
      </c>
      <c r="J374" s="747"/>
      <c r="K374" s="678" t="str">
        <f t="shared" si="63"/>
        <v/>
      </c>
      <c r="L374" s="697" t="str">
        <f t="shared" si="64"/>
        <v/>
      </c>
      <c r="M374" s="678" t="str">
        <f t="shared" si="65"/>
        <v/>
      </c>
    </row>
    <row r="375" spans="4:13">
      <c r="D375" s="64" t="str">
        <f t="shared" si="62"/>
        <v/>
      </c>
      <c r="E375" s="226" t="str">
        <f t="shared" si="66"/>
        <v/>
      </c>
      <c r="F375" s="35" t="str">
        <f t="shared" si="67"/>
        <v/>
      </c>
      <c r="G375" s="36" t="str">
        <f t="shared" si="60"/>
        <v/>
      </c>
      <c r="H375" s="36" t="str">
        <f t="shared" si="61"/>
        <v/>
      </c>
      <c r="I375" s="747" t="str">
        <f t="shared" si="68"/>
        <v/>
      </c>
      <c r="J375" s="747"/>
      <c r="K375" s="678" t="str">
        <f t="shared" si="63"/>
        <v/>
      </c>
      <c r="L375" s="697" t="str">
        <f t="shared" si="64"/>
        <v/>
      </c>
      <c r="M375" s="678" t="str">
        <f t="shared" si="65"/>
        <v/>
      </c>
    </row>
    <row r="376" spans="4:13">
      <c r="D376" s="64" t="str">
        <f t="shared" si="62"/>
        <v/>
      </c>
      <c r="E376" s="226" t="str">
        <f t="shared" si="66"/>
        <v/>
      </c>
      <c r="F376" s="35" t="str">
        <f t="shared" si="67"/>
        <v/>
      </c>
      <c r="G376" s="36" t="str">
        <f t="shared" si="60"/>
        <v/>
      </c>
      <c r="H376" s="36" t="str">
        <f t="shared" si="61"/>
        <v/>
      </c>
      <c r="I376" s="747" t="str">
        <f t="shared" si="68"/>
        <v/>
      </c>
      <c r="J376" s="747"/>
      <c r="K376" s="678" t="str">
        <f t="shared" si="63"/>
        <v/>
      </c>
      <c r="L376" s="697" t="str">
        <f t="shared" si="64"/>
        <v/>
      </c>
      <c r="M376" s="678" t="str">
        <f t="shared" si="65"/>
        <v/>
      </c>
    </row>
    <row r="377" spans="4:13">
      <c r="D377" s="64" t="str">
        <f t="shared" si="62"/>
        <v/>
      </c>
      <c r="E377" s="226" t="str">
        <f t="shared" si="66"/>
        <v/>
      </c>
      <c r="F377" s="35" t="str">
        <f t="shared" si="67"/>
        <v/>
      </c>
      <c r="G377" s="36" t="str">
        <f t="shared" si="60"/>
        <v/>
      </c>
      <c r="H377" s="36" t="str">
        <f t="shared" si="61"/>
        <v/>
      </c>
      <c r="I377" s="747" t="str">
        <f t="shared" si="68"/>
        <v/>
      </c>
      <c r="J377" s="747"/>
      <c r="K377" s="678" t="str">
        <f t="shared" si="63"/>
        <v/>
      </c>
      <c r="L377" s="697" t="str">
        <f t="shared" si="64"/>
        <v/>
      </c>
      <c r="M377" s="678" t="str">
        <f t="shared" si="65"/>
        <v/>
      </c>
    </row>
    <row r="378" spans="4:13">
      <c r="D378" s="64" t="str">
        <f t="shared" si="62"/>
        <v/>
      </c>
      <c r="E378" s="226" t="str">
        <f t="shared" si="66"/>
        <v/>
      </c>
      <c r="F378" s="35" t="str">
        <f t="shared" si="67"/>
        <v/>
      </c>
      <c r="G378" s="36" t="str">
        <f t="shared" si="60"/>
        <v/>
      </c>
      <c r="H378" s="36" t="str">
        <f t="shared" si="61"/>
        <v/>
      </c>
      <c r="I378" s="747" t="str">
        <f t="shared" si="68"/>
        <v/>
      </c>
      <c r="J378" s="747"/>
      <c r="K378" s="678" t="str">
        <f t="shared" si="63"/>
        <v/>
      </c>
      <c r="L378" s="697" t="str">
        <f t="shared" si="64"/>
        <v/>
      </c>
      <c r="M378" s="678" t="str">
        <f t="shared" si="65"/>
        <v/>
      </c>
    </row>
    <row r="379" spans="4:13">
      <c r="D379" s="64" t="str">
        <f t="shared" si="62"/>
        <v/>
      </c>
      <c r="E379" s="226" t="str">
        <f t="shared" si="66"/>
        <v/>
      </c>
      <c r="F379" s="35" t="str">
        <f t="shared" si="67"/>
        <v/>
      </c>
      <c r="G379" s="36" t="str">
        <f t="shared" si="60"/>
        <v/>
      </c>
      <c r="H379" s="36" t="str">
        <f t="shared" si="61"/>
        <v/>
      </c>
      <c r="I379" s="747" t="str">
        <f t="shared" si="68"/>
        <v/>
      </c>
      <c r="J379" s="747"/>
      <c r="K379" s="678" t="str">
        <f t="shared" si="63"/>
        <v/>
      </c>
      <c r="L379" s="697" t="str">
        <f t="shared" si="64"/>
        <v/>
      </c>
      <c r="M379" s="678" t="str">
        <f t="shared" si="65"/>
        <v/>
      </c>
    </row>
    <row r="380" spans="4:13">
      <c r="D380" s="64" t="str">
        <f t="shared" si="62"/>
        <v/>
      </c>
      <c r="E380" s="226" t="str">
        <f t="shared" si="66"/>
        <v/>
      </c>
      <c r="F380" s="35" t="str">
        <f t="shared" si="67"/>
        <v/>
      </c>
      <c r="G380" s="36" t="str">
        <f t="shared" si="60"/>
        <v/>
      </c>
      <c r="H380" s="36" t="str">
        <f t="shared" si="61"/>
        <v/>
      </c>
      <c r="I380" s="747" t="str">
        <f t="shared" si="68"/>
        <v/>
      </c>
      <c r="J380" s="747"/>
      <c r="K380" s="678" t="str">
        <f t="shared" si="63"/>
        <v/>
      </c>
      <c r="L380" s="697" t="str">
        <f t="shared" si="64"/>
        <v/>
      </c>
      <c r="M380" s="678" t="str">
        <f t="shared" si="65"/>
        <v/>
      </c>
    </row>
    <row r="381" spans="4:13">
      <c r="D381" s="64" t="str">
        <f t="shared" si="62"/>
        <v/>
      </c>
      <c r="E381" s="226" t="str">
        <f t="shared" si="66"/>
        <v/>
      </c>
      <c r="F381" s="35" t="str">
        <f t="shared" si="67"/>
        <v/>
      </c>
      <c r="G381" s="36" t="str">
        <f t="shared" si="60"/>
        <v/>
      </c>
      <c r="H381" s="36" t="str">
        <f t="shared" si="61"/>
        <v/>
      </c>
      <c r="I381" s="747" t="str">
        <f t="shared" si="68"/>
        <v/>
      </c>
      <c r="J381" s="747"/>
      <c r="K381" s="678" t="str">
        <f t="shared" si="63"/>
        <v/>
      </c>
      <c r="L381" s="697" t="str">
        <f t="shared" si="64"/>
        <v/>
      </c>
      <c r="M381" s="678" t="str">
        <f t="shared" si="65"/>
        <v/>
      </c>
    </row>
    <row r="382" spans="4:13">
      <c r="D382" s="64" t="str">
        <f t="shared" si="62"/>
        <v/>
      </c>
      <c r="E382" s="226" t="str">
        <f t="shared" si="66"/>
        <v/>
      </c>
      <c r="F382" s="35" t="str">
        <f t="shared" si="67"/>
        <v/>
      </c>
      <c r="G382" s="36" t="str">
        <f t="shared" si="60"/>
        <v/>
      </c>
      <c r="H382" s="36" t="str">
        <f t="shared" si="61"/>
        <v/>
      </c>
      <c r="I382" s="747" t="str">
        <f t="shared" si="68"/>
        <v/>
      </c>
      <c r="J382" s="747"/>
      <c r="K382" s="678" t="str">
        <f t="shared" si="63"/>
        <v/>
      </c>
      <c r="L382" s="697" t="str">
        <f t="shared" si="64"/>
        <v/>
      </c>
      <c r="M382" s="678" t="str">
        <f t="shared" si="65"/>
        <v/>
      </c>
    </row>
    <row r="383" spans="4:13">
      <c r="D383" s="64" t="str">
        <f t="shared" si="62"/>
        <v/>
      </c>
      <c r="E383" s="226" t="str">
        <f t="shared" si="66"/>
        <v/>
      </c>
      <c r="F383" s="35" t="str">
        <f t="shared" si="67"/>
        <v/>
      </c>
      <c r="G383" s="36" t="str">
        <f t="shared" si="60"/>
        <v/>
      </c>
      <c r="H383" s="36" t="str">
        <f t="shared" si="61"/>
        <v/>
      </c>
      <c r="I383" s="747" t="str">
        <f t="shared" si="68"/>
        <v/>
      </c>
      <c r="J383" s="747"/>
      <c r="K383" s="678" t="str">
        <f t="shared" si="63"/>
        <v/>
      </c>
      <c r="L383" s="697" t="str">
        <f t="shared" si="64"/>
        <v/>
      </c>
      <c r="M383" s="678" t="str">
        <f t="shared" si="65"/>
        <v/>
      </c>
    </row>
    <row r="384" spans="4:13">
      <c r="D384" s="64" t="str">
        <f t="shared" si="62"/>
        <v/>
      </c>
      <c r="E384" s="226" t="str">
        <f t="shared" si="66"/>
        <v/>
      </c>
      <c r="F384" s="35" t="str">
        <f t="shared" si="67"/>
        <v/>
      </c>
      <c r="G384" s="36" t="str">
        <f t="shared" si="60"/>
        <v/>
      </c>
      <c r="H384" s="36" t="str">
        <f t="shared" si="61"/>
        <v/>
      </c>
      <c r="I384" s="747" t="str">
        <f t="shared" si="68"/>
        <v/>
      </c>
      <c r="J384" s="747"/>
      <c r="K384" s="678" t="str">
        <f t="shared" si="63"/>
        <v/>
      </c>
      <c r="L384" s="697" t="str">
        <f t="shared" si="64"/>
        <v/>
      </c>
      <c r="M384" s="678" t="str">
        <f t="shared" si="65"/>
        <v/>
      </c>
    </row>
    <row r="385" spans="5:5">
      <c r="E385" s="226"/>
    </row>
    <row r="386" spans="5:5">
      <c r="E386" s="226"/>
    </row>
    <row r="387" spans="5:5">
      <c r="E387" s="226"/>
    </row>
    <row r="388" spans="5:5">
      <c r="E388" s="226"/>
    </row>
    <row r="389" spans="5:5">
      <c r="E389" s="226"/>
    </row>
    <row r="390" spans="5:5">
      <c r="E390" s="226"/>
    </row>
    <row r="391" spans="5:5">
      <c r="E391" s="226"/>
    </row>
    <row r="392" spans="5:5">
      <c r="E392" s="226"/>
    </row>
    <row r="393" spans="5:5">
      <c r="E393" s="226"/>
    </row>
  </sheetData>
  <sheetProtection selectLockedCells="1"/>
  <mergeCells count="369">
    <mergeCell ref="I21:J21"/>
    <mergeCell ref="I23:J23"/>
    <mergeCell ref="I24:J24"/>
    <mergeCell ref="I25:J25"/>
    <mergeCell ref="I26:J26"/>
    <mergeCell ref="I27:J27"/>
    <mergeCell ref="E13:F13"/>
    <mergeCell ref="I13:J13"/>
    <mergeCell ref="I17:J17"/>
    <mergeCell ref="E18:F18"/>
    <mergeCell ref="I18:J18"/>
    <mergeCell ref="I20:J20"/>
    <mergeCell ref="I34:J34"/>
    <mergeCell ref="I35:J35"/>
    <mergeCell ref="I36:J36"/>
    <mergeCell ref="I37:J37"/>
    <mergeCell ref="I38:J38"/>
    <mergeCell ref="I39:J39"/>
    <mergeCell ref="I28:J28"/>
    <mergeCell ref="I29:J29"/>
    <mergeCell ref="I30:J30"/>
    <mergeCell ref="I31:J31"/>
    <mergeCell ref="I32:J32"/>
    <mergeCell ref="I33:J33"/>
    <mergeCell ref="I46:J46"/>
    <mergeCell ref="I47:J47"/>
    <mergeCell ref="I48:J48"/>
    <mergeCell ref="I49:J49"/>
    <mergeCell ref="I50:J50"/>
    <mergeCell ref="I51:J51"/>
    <mergeCell ref="I40:J40"/>
    <mergeCell ref="I41:J41"/>
    <mergeCell ref="I42:J42"/>
    <mergeCell ref="I43:J43"/>
    <mergeCell ref="I44:J44"/>
    <mergeCell ref="I45:J45"/>
    <mergeCell ref="I58:J58"/>
    <mergeCell ref="I59:J59"/>
    <mergeCell ref="I60:J60"/>
    <mergeCell ref="I61:J61"/>
    <mergeCell ref="I62:J62"/>
    <mergeCell ref="I63:J63"/>
    <mergeCell ref="I52:J52"/>
    <mergeCell ref="I53:J53"/>
    <mergeCell ref="I54:J54"/>
    <mergeCell ref="I55:J55"/>
    <mergeCell ref="I56:J56"/>
    <mergeCell ref="I57:J57"/>
    <mergeCell ref="I70:J70"/>
    <mergeCell ref="I71:J71"/>
    <mergeCell ref="I72:J72"/>
    <mergeCell ref="I73:J73"/>
    <mergeCell ref="I74:J74"/>
    <mergeCell ref="I75:J75"/>
    <mergeCell ref="I64:J64"/>
    <mergeCell ref="I65:J65"/>
    <mergeCell ref="I66:J66"/>
    <mergeCell ref="I67:J67"/>
    <mergeCell ref="I68:J68"/>
    <mergeCell ref="I69:J69"/>
    <mergeCell ref="I82:J82"/>
    <mergeCell ref="I83:J83"/>
    <mergeCell ref="I84:J84"/>
    <mergeCell ref="I85:J85"/>
    <mergeCell ref="I86:J86"/>
    <mergeCell ref="I87:J87"/>
    <mergeCell ref="I76:J76"/>
    <mergeCell ref="I77:J77"/>
    <mergeCell ref="I78:J78"/>
    <mergeCell ref="I79:J79"/>
    <mergeCell ref="I80:J80"/>
    <mergeCell ref="I81:J81"/>
    <mergeCell ref="I94:J94"/>
    <mergeCell ref="I95:J95"/>
    <mergeCell ref="I96:J96"/>
    <mergeCell ref="I97:J97"/>
    <mergeCell ref="I98:J98"/>
    <mergeCell ref="I99:J99"/>
    <mergeCell ref="I88:J88"/>
    <mergeCell ref="I89:J89"/>
    <mergeCell ref="I90:J90"/>
    <mergeCell ref="I91:J91"/>
    <mergeCell ref="I92:J92"/>
    <mergeCell ref="I93:J93"/>
    <mergeCell ref="I106:J106"/>
    <mergeCell ref="I107:J107"/>
    <mergeCell ref="I108:J108"/>
    <mergeCell ref="I109:J109"/>
    <mergeCell ref="I110:J110"/>
    <mergeCell ref="I111:J111"/>
    <mergeCell ref="I100:J100"/>
    <mergeCell ref="I101:J101"/>
    <mergeCell ref="I102:J102"/>
    <mergeCell ref="I103:J103"/>
    <mergeCell ref="I104:J104"/>
    <mergeCell ref="I105:J105"/>
    <mergeCell ref="I118:J118"/>
    <mergeCell ref="I119:J119"/>
    <mergeCell ref="I120:J120"/>
    <mergeCell ref="I121:J121"/>
    <mergeCell ref="I122:J122"/>
    <mergeCell ref="I123:J123"/>
    <mergeCell ref="I112:J112"/>
    <mergeCell ref="I113:J113"/>
    <mergeCell ref="I114:J114"/>
    <mergeCell ref="I115:J115"/>
    <mergeCell ref="I116:J116"/>
    <mergeCell ref="I117:J117"/>
    <mergeCell ref="I130:J130"/>
    <mergeCell ref="I131:J131"/>
    <mergeCell ref="I132:J132"/>
    <mergeCell ref="I133:J133"/>
    <mergeCell ref="I134:J134"/>
    <mergeCell ref="I135:J135"/>
    <mergeCell ref="I124:J124"/>
    <mergeCell ref="I125:J125"/>
    <mergeCell ref="I126:J126"/>
    <mergeCell ref="I127:J127"/>
    <mergeCell ref="I128:J128"/>
    <mergeCell ref="I129:J129"/>
    <mergeCell ref="I142:J142"/>
    <mergeCell ref="I143:J143"/>
    <mergeCell ref="I144:J144"/>
    <mergeCell ref="I145:J145"/>
    <mergeCell ref="I146:J146"/>
    <mergeCell ref="I147:J147"/>
    <mergeCell ref="I136:J136"/>
    <mergeCell ref="I137:J137"/>
    <mergeCell ref="I138:J138"/>
    <mergeCell ref="I139:J139"/>
    <mergeCell ref="I140:J140"/>
    <mergeCell ref="I141:J141"/>
    <mergeCell ref="I154:J154"/>
    <mergeCell ref="I155:J155"/>
    <mergeCell ref="I156:J156"/>
    <mergeCell ref="I157:J157"/>
    <mergeCell ref="I158:J158"/>
    <mergeCell ref="I159:J159"/>
    <mergeCell ref="I148:J148"/>
    <mergeCell ref="I149:J149"/>
    <mergeCell ref="I150:J150"/>
    <mergeCell ref="I151:J151"/>
    <mergeCell ref="I152:J152"/>
    <mergeCell ref="I153:J153"/>
    <mergeCell ref="I166:J166"/>
    <mergeCell ref="I167:J167"/>
    <mergeCell ref="I168:J168"/>
    <mergeCell ref="I169:J169"/>
    <mergeCell ref="I170:J170"/>
    <mergeCell ref="I171:J171"/>
    <mergeCell ref="I160:J160"/>
    <mergeCell ref="I161:J161"/>
    <mergeCell ref="I162:J162"/>
    <mergeCell ref="I163:J163"/>
    <mergeCell ref="I164:J164"/>
    <mergeCell ref="I165:J165"/>
    <mergeCell ref="I178:J178"/>
    <mergeCell ref="I179:J179"/>
    <mergeCell ref="I180:J180"/>
    <mergeCell ref="I181:J181"/>
    <mergeCell ref="I182:J182"/>
    <mergeCell ref="I183:J183"/>
    <mergeCell ref="I172:J172"/>
    <mergeCell ref="I173:J173"/>
    <mergeCell ref="I174:J174"/>
    <mergeCell ref="I175:J175"/>
    <mergeCell ref="I176:J176"/>
    <mergeCell ref="I177:J177"/>
    <mergeCell ref="I190:J190"/>
    <mergeCell ref="I191:J191"/>
    <mergeCell ref="I192:J192"/>
    <mergeCell ref="I193:J193"/>
    <mergeCell ref="I194:J194"/>
    <mergeCell ref="I195:J195"/>
    <mergeCell ref="I184:J184"/>
    <mergeCell ref="I185:J185"/>
    <mergeCell ref="I186:J186"/>
    <mergeCell ref="I187:J187"/>
    <mergeCell ref="I188:J188"/>
    <mergeCell ref="I189:J189"/>
    <mergeCell ref="I202:J202"/>
    <mergeCell ref="I203:J203"/>
    <mergeCell ref="I204:J204"/>
    <mergeCell ref="I205:J205"/>
    <mergeCell ref="I206:J206"/>
    <mergeCell ref="I207:J207"/>
    <mergeCell ref="I196:J196"/>
    <mergeCell ref="I197:J197"/>
    <mergeCell ref="I198:J198"/>
    <mergeCell ref="I199:J199"/>
    <mergeCell ref="I200:J200"/>
    <mergeCell ref="I201:J201"/>
    <mergeCell ref="I214:J214"/>
    <mergeCell ref="I215:J215"/>
    <mergeCell ref="I216:J216"/>
    <mergeCell ref="I217:J217"/>
    <mergeCell ref="I218:J218"/>
    <mergeCell ref="I219:J219"/>
    <mergeCell ref="I208:J208"/>
    <mergeCell ref="I209:J209"/>
    <mergeCell ref="I210:J210"/>
    <mergeCell ref="I211:J211"/>
    <mergeCell ref="I212:J212"/>
    <mergeCell ref="I213:J213"/>
    <mergeCell ref="I226:J226"/>
    <mergeCell ref="I227:J227"/>
    <mergeCell ref="I228:J228"/>
    <mergeCell ref="I229:J229"/>
    <mergeCell ref="I230:J230"/>
    <mergeCell ref="I231:J231"/>
    <mergeCell ref="I220:J220"/>
    <mergeCell ref="I221:J221"/>
    <mergeCell ref="I222:J222"/>
    <mergeCell ref="I223:J223"/>
    <mergeCell ref="I224:J224"/>
    <mergeCell ref="I225:J225"/>
    <mergeCell ref="I238:J238"/>
    <mergeCell ref="I239:J239"/>
    <mergeCell ref="I240:J240"/>
    <mergeCell ref="I241:J241"/>
    <mergeCell ref="I242:J242"/>
    <mergeCell ref="I243:J243"/>
    <mergeCell ref="I232:J232"/>
    <mergeCell ref="I233:J233"/>
    <mergeCell ref="I234:J234"/>
    <mergeCell ref="I235:J235"/>
    <mergeCell ref="I236:J236"/>
    <mergeCell ref="I237:J237"/>
    <mergeCell ref="I250:J250"/>
    <mergeCell ref="I251:J251"/>
    <mergeCell ref="I252:J252"/>
    <mergeCell ref="I253:J253"/>
    <mergeCell ref="I254:J254"/>
    <mergeCell ref="I255:J255"/>
    <mergeCell ref="I244:J244"/>
    <mergeCell ref="I245:J245"/>
    <mergeCell ref="I246:J246"/>
    <mergeCell ref="I247:J247"/>
    <mergeCell ref="I248:J248"/>
    <mergeCell ref="I249:J249"/>
    <mergeCell ref="I262:J262"/>
    <mergeCell ref="I263:J263"/>
    <mergeCell ref="I264:J264"/>
    <mergeCell ref="I265:J265"/>
    <mergeCell ref="I266:J266"/>
    <mergeCell ref="I267:J267"/>
    <mergeCell ref="I256:J256"/>
    <mergeCell ref="I257:J257"/>
    <mergeCell ref="I258:J258"/>
    <mergeCell ref="I259:J259"/>
    <mergeCell ref="I260:J260"/>
    <mergeCell ref="I261:J261"/>
    <mergeCell ref="I274:J274"/>
    <mergeCell ref="I275:J275"/>
    <mergeCell ref="I276:J276"/>
    <mergeCell ref="I277:J277"/>
    <mergeCell ref="I278:J278"/>
    <mergeCell ref="I279:J279"/>
    <mergeCell ref="I268:J268"/>
    <mergeCell ref="I269:J269"/>
    <mergeCell ref="I270:J270"/>
    <mergeCell ref="I271:J271"/>
    <mergeCell ref="I272:J272"/>
    <mergeCell ref="I273:J273"/>
    <mergeCell ref="I286:J286"/>
    <mergeCell ref="I287:J287"/>
    <mergeCell ref="I288:J288"/>
    <mergeCell ref="I289:J289"/>
    <mergeCell ref="I290:J290"/>
    <mergeCell ref="I291:J291"/>
    <mergeCell ref="I280:J280"/>
    <mergeCell ref="I281:J281"/>
    <mergeCell ref="I282:J282"/>
    <mergeCell ref="I283:J283"/>
    <mergeCell ref="I284:J284"/>
    <mergeCell ref="I285:J285"/>
    <mergeCell ref="I298:J298"/>
    <mergeCell ref="I299:J299"/>
    <mergeCell ref="I300:J300"/>
    <mergeCell ref="I301:J301"/>
    <mergeCell ref="I302:J302"/>
    <mergeCell ref="I303:J303"/>
    <mergeCell ref="I292:J292"/>
    <mergeCell ref="I293:J293"/>
    <mergeCell ref="I294:J294"/>
    <mergeCell ref="I295:J295"/>
    <mergeCell ref="I296:J296"/>
    <mergeCell ref="I297:J297"/>
    <mergeCell ref="I310:J310"/>
    <mergeCell ref="I311:J311"/>
    <mergeCell ref="I312:J312"/>
    <mergeCell ref="I313:J313"/>
    <mergeCell ref="I314:J314"/>
    <mergeCell ref="I315:J315"/>
    <mergeCell ref="I304:J304"/>
    <mergeCell ref="I305:J305"/>
    <mergeCell ref="I306:J306"/>
    <mergeCell ref="I307:J307"/>
    <mergeCell ref="I308:J308"/>
    <mergeCell ref="I309:J309"/>
    <mergeCell ref="I322:J322"/>
    <mergeCell ref="I323:J323"/>
    <mergeCell ref="I324:J324"/>
    <mergeCell ref="I325:J325"/>
    <mergeCell ref="I326:J326"/>
    <mergeCell ref="I327:J327"/>
    <mergeCell ref="I316:J316"/>
    <mergeCell ref="I317:J317"/>
    <mergeCell ref="I318:J318"/>
    <mergeCell ref="I319:J319"/>
    <mergeCell ref="I320:J320"/>
    <mergeCell ref="I321:J321"/>
    <mergeCell ref="I334:J334"/>
    <mergeCell ref="I335:J335"/>
    <mergeCell ref="I336:J336"/>
    <mergeCell ref="I337:J337"/>
    <mergeCell ref="I338:J338"/>
    <mergeCell ref="I339:J339"/>
    <mergeCell ref="I328:J328"/>
    <mergeCell ref="I329:J329"/>
    <mergeCell ref="I330:J330"/>
    <mergeCell ref="I331:J331"/>
    <mergeCell ref="I332:J332"/>
    <mergeCell ref="I333:J333"/>
    <mergeCell ref="I346:J346"/>
    <mergeCell ref="I347:J347"/>
    <mergeCell ref="I348:J348"/>
    <mergeCell ref="I349:J349"/>
    <mergeCell ref="I350:J350"/>
    <mergeCell ref="I351:J351"/>
    <mergeCell ref="I340:J340"/>
    <mergeCell ref="I341:J341"/>
    <mergeCell ref="I342:J342"/>
    <mergeCell ref="I343:J343"/>
    <mergeCell ref="I344:J344"/>
    <mergeCell ref="I345:J345"/>
    <mergeCell ref="I358:J358"/>
    <mergeCell ref="I359:J359"/>
    <mergeCell ref="I360:J360"/>
    <mergeCell ref="I361:J361"/>
    <mergeCell ref="I362:J362"/>
    <mergeCell ref="I363:J363"/>
    <mergeCell ref="I352:J352"/>
    <mergeCell ref="I353:J353"/>
    <mergeCell ref="I354:J354"/>
    <mergeCell ref="I355:J355"/>
    <mergeCell ref="I356:J356"/>
    <mergeCell ref="I357:J357"/>
    <mergeCell ref="I370:J370"/>
    <mergeCell ref="I371:J371"/>
    <mergeCell ref="I372:J372"/>
    <mergeCell ref="I373:J373"/>
    <mergeCell ref="I374:J374"/>
    <mergeCell ref="I375:J375"/>
    <mergeCell ref="I364:J364"/>
    <mergeCell ref="I365:J365"/>
    <mergeCell ref="I366:J366"/>
    <mergeCell ref="I367:J367"/>
    <mergeCell ref="I368:J368"/>
    <mergeCell ref="I369:J369"/>
    <mergeCell ref="I382:J382"/>
    <mergeCell ref="I383:J383"/>
    <mergeCell ref="I384:J384"/>
    <mergeCell ref="I376:J376"/>
    <mergeCell ref="I377:J377"/>
    <mergeCell ref="I378:J378"/>
    <mergeCell ref="I379:J379"/>
    <mergeCell ref="I380:J380"/>
    <mergeCell ref="I381:J381"/>
  </mergeCells>
  <conditionalFormatting sqref="E18:G18">
    <cfRule type="expression" dxfId="6" priority="1">
      <formula>$E$13="Somme empruntée à titre perso"</formula>
    </cfRule>
  </conditionalFormatting>
  <conditionalFormatting sqref="G15:G18">
    <cfRule type="cellIs" dxfId="5" priority="3" operator="equal">
      <formula>""</formula>
    </cfRule>
  </conditionalFormatting>
  <conditionalFormatting sqref="L18">
    <cfRule type="cellIs" dxfId="4" priority="2" operator="equal">
      <formula>""</formula>
    </cfRule>
  </conditionalFormatting>
  <conditionalFormatting sqref="R4">
    <cfRule type="expression" dxfId="3" priority="6">
      <formula>$B$5-$R$4&gt;7</formula>
    </cfRule>
  </conditionalFormatting>
  <dataValidations count="2">
    <dataValidation type="decimal" allowBlank="1" showInputMessage="1" showErrorMessage="1" error="Merci de saisir un pourcentage cohérent" sqref="G18" xr:uid="{697B4269-FE34-4F07-B748-322F5059D99C}">
      <formula1>0</formula1>
      <formula2>1</formula2>
    </dataValidation>
    <dataValidation type="whole" allowBlank="1" showInputMessage="1" showErrorMessage="1" sqref="G15" xr:uid="{E7B064B4-4F03-4C08-BAFE-B0DE6806897C}">
      <formula1>0</formula1>
      <formula2>100000000</formula2>
    </dataValidation>
  </dataValidations>
  <pageMargins left="0.7" right="0.7" top="0.75" bottom="0.75" header="0.3" footer="0.3"/>
  <pageSetup paperSize="9" orientation="portrait" verticalDpi="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0DED-03C0-4A52-9DEA-8A21C4B6F3A9}">
  <sheetPr codeName="Feuil39">
    <tabColor theme="9" tint="-0.249977111117893"/>
  </sheetPr>
  <dimension ref="B4:AM14"/>
  <sheetViews>
    <sheetView showGridLines="0" zoomScale="123" zoomScaleNormal="123" workbookViewId="0">
      <selection activeCell="H14" sqref="H14:I14"/>
    </sheetView>
  </sheetViews>
  <sheetFormatPr baseColWidth="10" defaultRowHeight="14.4"/>
  <cols>
    <col min="2" max="2" width="11.6640625" customWidth="1"/>
    <col min="3" max="3" width="14.33203125" customWidth="1"/>
    <col min="4" max="4" width="21.44140625" customWidth="1"/>
    <col min="5" max="5" width="14.33203125" customWidth="1"/>
    <col min="6" max="7" width="1.44140625" customWidth="1"/>
    <col min="8" max="8" width="21.44140625" customWidth="1"/>
    <col min="9" max="9" width="14.33203125" customWidth="1"/>
    <col min="10" max="10" width="4" customWidth="1"/>
    <col min="11" max="11" width="20.6640625" customWidth="1"/>
    <col min="12" max="12" width="14.33203125" customWidth="1"/>
    <col min="13" max="14" width="1.44140625" customWidth="1"/>
    <col min="15" max="16" width="10.88671875" customWidth="1"/>
    <col min="17" max="17" width="21.44140625" customWidth="1"/>
    <col min="18" max="19" width="14.33203125" customWidth="1"/>
    <col min="20" max="20" width="14.33203125" style="716" customWidth="1"/>
    <col min="21" max="39" width="11.44140625" style="716"/>
  </cols>
  <sheetData>
    <row r="4" spans="2:19">
      <c r="Q4" s="2"/>
      <c r="R4" s="3"/>
      <c r="S4" s="4"/>
    </row>
    <row r="5" spans="2:19">
      <c r="B5" s="1">
        <f ca="1">TODAY()</f>
        <v>46023</v>
      </c>
    </row>
    <row r="10" spans="2:19">
      <c r="H10" s="293"/>
    </row>
    <row r="13" spans="2:19" ht="15.75" customHeight="1"/>
    <row r="14" spans="2:19" ht="15.75" customHeight="1" thickBot="1">
      <c r="D14" s="1060" t="s">
        <v>1934</v>
      </c>
      <c r="E14" s="1060"/>
      <c r="F14" s="380"/>
      <c r="G14" s="465"/>
      <c r="H14" s="1034"/>
      <c r="I14" s="1034"/>
    </row>
  </sheetData>
  <sheetProtection selectLockedCells="1"/>
  <mergeCells count="2">
    <mergeCell ref="H14:I14"/>
    <mergeCell ref="D14:E14"/>
  </mergeCells>
  <conditionalFormatting sqref="H14">
    <cfRule type="cellIs" dxfId="2" priority="2" operator="equal">
      <formula>""</formula>
    </cfRule>
  </conditionalFormatting>
  <conditionalFormatting sqref="S4">
    <cfRule type="expression" dxfId="1" priority="14">
      <formula>$B$5-$S$4&gt;7</formula>
    </cfRule>
  </conditionalFormatting>
  <dataValidations count="1">
    <dataValidation type="whole" allowBlank="1" showInputMessage="1" showErrorMessage="1" error="Merci de saisir une année de naissance cohérente" sqref="H14:I14" xr:uid="{067540C5-100B-4CE5-A696-7D10004D9764}">
      <formula1>1950</formula1>
      <formula2>2020</formula2>
    </dataValidation>
  </dataValidations>
  <pageMargins left="0.7" right="0.7" top="0.75" bottom="0.75" header="0.3" footer="0.3"/>
  <pageSetup paperSize="9" orientation="portrait" verticalDpi="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D9439-1503-41E6-BA7E-79774A7DD586}">
  <sheetPr codeName="Feuil11"/>
  <dimension ref="A4:D21"/>
  <sheetViews>
    <sheetView workbookViewId="0">
      <selection activeCell="C10" sqref="C10"/>
    </sheetView>
  </sheetViews>
  <sheetFormatPr baseColWidth="10" defaultRowHeight="14.4"/>
  <cols>
    <col min="1" max="1" width="14" customWidth="1"/>
    <col min="2" max="2" width="35.109375" bestFit="1" customWidth="1"/>
    <col min="3" max="3" width="32.33203125" customWidth="1"/>
    <col min="4" max="4" width="31.109375" customWidth="1"/>
  </cols>
  <sheetData>
    <row r="4" spans="1:4" ht="30" customHeight="1">
      <c r="A4" s="1056" t="s">
        <v>1935</v>
      </c>
      <c r="B4" s="1056"/>
      <c r="C4" s="370" t="s">
        <v>1936</v>
      </c>
      <c r="D4" s="370" t="s">
        <v>1936</v>
      </c>
    </row>
    <row r="5" spans="1:4" ht="30" customHeight="1">
      <c r="A5" s="370"/>
      <c r="B5" s="370"/>
      <c r="C5" s="370" t="s">
        <v>1951</v>
      </c>
      <c r="D5" s="370"/>
    </row>
    <row r="6" spans="1:4">
      <c r="A6" s="1064" t="s">
        <v>1937</v>
      </c>
      <c r="B6" s="717" t="s">
        <v>1940</v>
      </c>
      <c r="C6" s="373" t="s">
        <v>1952</v>
      </c>
      <c r="D6" s="373"/>
    </row>
    <row r="7" spans="1:4">
      <c r="A7" s="1064"/>
      <c r="B7" s="717" t="s">
        <v>1940</v>
      </c>
      <c r="C7" s="373" t="s">
        <v>1953</v>
      </c>
      <c r="D7" s="373"/>
    </row>
    <row r="8" spans="1:4">
      <c r="A8" s="1064"/>
      <c r="B8" s="717" t="s">
        <v>1940</v>
      </c>
      <c r="C8" s="373" t="s">
        <v>1954</v>
      </c>
      <c r="D8" s="373"/>
    </row>
    <row r="9" spans="1:4">
      <c r="A9" s="1064"/>
      <c r="B9" s="717" t="s">
        <v>1940</v>
      </c>
      <c r="C9" s="373" t="s">
        <v>1955</v>
      </c>
      <c r="D9" s="373"/>
    </row>
    <row r="10" spans="1:4">
      <c r="A10" s="1064"/>
      <c r="B10" s="717" t="s">
        <v>1940</v>
      </c>
      <c r="C10" s="373"/>
      <c r="D10" s="373"/>
    </row>
    <row r="11" spans="1:4">
      <c r="A11" s="1064"/>
      <c r="B11" s="717" t="s">
        <v>1941</v>
      </c>
      <c r="C11" s="373"/>
      <c r="D11" s="373"/>
    </row>
    <row r="12" spans="1:4">
      <c r="A12" s="1064" t="s">
        <v>1946</v>
      </c>
      <c r="B12" s="717" t="s">
        <v>1942</v>
      </c>
      <c r="C12" s="373"/>
      <c r="D12" s="373"/>
    </row>
    <row r="13" spans="1:4">
      <c r="A13" s="1064"/>
      <c r="B13" s="717" t="s">
        <v>1943</v>
      </c>
      <c r="C13" s="373"/>
      <c r="D13" s="373"/>
    </row>
    <row r="14" spans="1:4">
      <c r="A14" s="1064"/>
      <c r="B14" s="717" t="s">
        <v>1944</v>
      </c>
      <c r="C14" s="373"/>
      <c r="D14" s="373"/>
    </row>
    <row r="15" spans="1:4">
      <c r="A15" s="1064"/>
      <c r="B15" s="717" t="s">
        <v>1945</v>
      </c>
      <c r="C15" s="373"/>
      <c r="D15" s="373"/>
    </row>
    <row r="16" spans="1:4">
      <c r="A16" s="1064"/>
      <c r="B16" s="717" t="s">
        <v>1938</v>
      </c>
      <c r="C16" s="373"/>
      <c r="D16" s="373"/>
    </row>
    <row r="17" spans="1:4">
      <c r="A17" s="1064" t="s">
        <v>1947</v>
      </c>
      <c r="B17" s="717" t="s">
        <v>303</v>
      </c>
      <c r="C17" s="373"/>
      <c r="D17" s="373"/>
    </row>
    <row r="18" spans="1:4">
      <c r="A18" s="1064"/>
      <c r="B18" s="717" t="s">
        <v>1948</v>
      </c>
      <c r="C18" s="373"/>
      <c r="D18" s="373"/>
    </row>
    <row r="19" spans="1:4">
      <c r="A19" s="1064"/>
      <c r="B19" s="717" t="s">
        <v>1939</v>
      </c>
      <c r="C19" s="373"/>
      <c r="D19" s="373"/>
    </row>
    <row r="20" spans="1:4">
      <c r="A20" s="1064"/>
      <c r="B20" s="717" t="s">
        <v>1949</v>
      </c>
      <c r="C20" s="373"/>
      <c r="D20" s="373"/>
    </row>
    <row r="21" spans="1:4">
      <c r="A21" s="1064"/>
      <c r="B21" s="717" t="s">
        <v>1950</v>
      </c>
      <c r="C21" s="373"/>
      <c r="D21" s="373"/>
    </row>
  </sheetData>
  <mergeCells count="4">
    <mergeCell ref="A17:A21"/>
    <mergeCell ref="A4:B4"/>
    <mergeCell ref="A6:A11"/>
    <mergeCell ref="A12:A16"/>
  </mergeCells>
  <conditionalFormatting sqref="C6:D21">
    <cfRule type="containsBlanks" dxfId="0" priority="1">
      <formula>LEN(TRIM(C6))=0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205F10-51D9-4F98-9B5A-C4B164F8A0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34</vt:i4>
      </vt:variant>
      <vt:variant>
        <vt:lpstr>Plages nommées</vt:lpstr>
      </vt:variant>
      <vt:variant>
        <vt:i4>57</vt:i4>
      </vt:variant>
    </vt:vector>
  </HeadingPairs>
  <TitlesOfParts>
    <vt:vector size="91" baseType="lpstr">
      <vt:lpstr>Login</vt:lpstr>
      <vt:lpstr>Home</vt:lpstr>
      <vt:lpstr>Données</vt:lpstr>
      <vt:lpstr>Placement</vt:lpstr>
      <vt:lpstr>Crédit</vt:lpstr>
      <vt:lpstr>IR</vt:lpstr>
      <vt:lpstr>Impr (1)</vt:lpstr>
      <vt:lpstr>Pot ER Mode</vt:lpstr>
      <vt:lpstr>Avis IR N-2</vt:lpstr>
      <vt:lpstr>Décla N-1</vt:lpstr>
      <vt:lpstr>Synthèse décla</vt:lpstr>
      <vt:lpstr>Estimation N</vt:lpstr>
      <vt:lpstr>Synthèse</vt:lpstr>
      <vt:lpstr>Impr (2)</vt:lpstr>
      <vt:lpstr>CT à Transf</vt:lpstr>
      <vt:lpstr>BASECG</vt:lpstr>
      <vt:lpstr>NewPER</vt:lpstr>
      <vt:lpstr>SynthèsePER</vt:lpstr>
      <vt:lpstr>Sit 1</vt:lpstr>
      <vt:lpstr>Sit 2</vt:lpstr>
      <vt:lpstr>Impr (3)</vt:lpstr>
      <vt:lpstr>MEPPER</vt:lpstr>
      <vt:lpstr>MEPPER2</vt:lpstr>
      <vt:lpstr>MEPPER3</vt:lpstr>
      <vt:lpstr>Sit 1(2)</vt:lpstr>
      <vt:lpstr>Sit 2(2)</vt:lpstr>
      <vt:lpstr>TGF05</vt:lpstr>
      <vt:lpstr>Treso IS</vt:lpstr>
      <vt:lpstr>Param treso</vt:lpstr>
      <vt:lpstr>Crédit (IR)</vt:lpstr>
      <vt:lpstr>Résultat tréso</vt:lpstr>
      <vt:lpstr>Crédit (IS)</vt:lpstr>
      <vt:lpstr>Prévoyance</vt:lpstr>
      <vt:lpstr>BASE RO</vt:lpstr>
      <vt:lpstr>ABEILLE</vt:lpstr>
      <vt:lpstr>AFER</vt:lpstr>
      <vt:lpstr>AG2R_LA_MONDIALE</vt:lpstr>
      <vt:lpstr>AGEAS</vt:lpstr>
      <vt:lpstr>AGIPI</vt:lpstr>
      <vt:lpstr>ALLIANZ</vt:lpstr>
      <vt:lpstr>ALPTIS</vt:lpstr>
      <vt:lpstr>APICIL</vt:lpstr>
      <vt:lpstr>APRIL</vt:lpstr>
      <vt:lpstr>AREAS</vt:lpstr>
      <vt:lpstr>AXA</vt:lpstr>
      <vt:lpstr>BANQUE_POPULAIRE</vt:lpstr>
      <vt:lpstr>BNP</vt:lpstr>
      <vt:lpstr>CAISSE_D_EPARGNE</vt:lpstr>
      <vt:lpstr>CARDIF</vt:lpstr>
      <vt:lpstr>Celibataire_Veuf_Divorce</vt:lpstr>
      <vt:lpstr>Compagnies</vt:lpstr>
      <vt:lpstr>CREDIT_AGRICOLE</vt:lpstr>
      <vt:lpstr>CREDIT_DU_NORD</vt:lpstr>
      <vt:lpstr>CREDIT_MUTUEL</vt:lpstr>
      <vt:lpstr>EPSENS</vt:lpstr>
      <vt:lpstr>EPSOR</vt:lpstr>
      <vt:lpstr>ERES</vt:lpstr>
      <vt:lpstr>GAN</vt:lpstr>
      <vt:lpstr>GARANCE</vt:lpstr>
      <vt:lpstr>GENERALI</vt:lpstr>
      <vt:lpstr>GO_EPARGNE</vt:lpstr>
      <vt:lpstr>GROUPAMA</vt:lpstr>
      <vt:lpstr>HARMONIE_MUTUELLE</vt:lpstr>
      <vt:lpstr>HSBC</vt:lpstr>
      <vt:lpstr>LA_BANQUE_POSTALE</vt:lpstr>
      <vt:lpstr>LA_MEDICALE</vt:lpstr>
      <vt:lpstr>LCL</vt:lpstr>
      <vt:lpstr>LPA</vt:lpstr>
      <vt:lpstr>MAAF</vt:lpstr>
      <vt:lpstr>MACIF</vt:lpstr>
      <vt:lpstr>MACSF</vt:lpstr>
      <vt:lpstr>MAIF</vt:lpstr>
      <vt:lpstr>MALAKOFF_HUMANIS</vt:lpstr>
      <vt:lpstr>MAPA</vt:lpstr>
      <vt:lpstr>Marie_Pacse</vt:lpstr>
      <vt:lpstr>MATMUT</vt:lpstr>
      <vt:lpstr>MEDICIS</vt:lpstr>
      <vt:lpstr>MMA</vt:lpstr>
      <vt:lpstr>MNRA</vt:lpstr>
      <vt:lpstr>NORTIA</vt:lpstr>
      <vt:lpstr>ORADEA</vt:lpstr>
      <vt:lpstr>PREFON</vt:lpstr>
      <vt:lpstr>PREVOIR</vt:lpstr>
      <vt:lpstr>PRIMONIAL</vt:lpstr>
      <vt:lpstr>PRO_BTP</vt:lpstr>
      <vt:lpstr>Situation</vt:lpstr>
      <vt:lpstr>SMA</vt:lpstr>
      <vt:lpstr>SOCIETE_GENERALE</vt:lpstr>
      <vt:lpstr>SWISSLIFE</vt:lpstr>
      <vt:lpstr>UFF</vt:lpstr>
      <vt:lpstr>UMR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Florent Bebin</dc:creator>
  <cp:lastModifiedBy>Florent Bebin</cp:lastModifiedBy>
  <cp:lastPrinted>2023-01-01T18:48:08Z</cp:lastPrinted>
  <dcterms:created xsi:type="dcterms:W3CDTF">2022-12-23T19:43:20Z</dcterms:created>
  <dcterms:modified xsi:type="dcterms:W3CDTF">2026-01-01T16:57:22Z</dcterms:modified>
</cp:coreProperties>
</file>