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18E2D11E-8FD1-4E06-AAC5-FE28AB6F45BF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8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D32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" i="9"/>
  <c r="D4" i="9"/>
  <c r="U20" i="11"/>
  <c r="U5" i="11" s="1"/>
  <c r="AD3" i="11"/>
  <c r="AG5" i="11"/>
  <c r="AG24" i="11" s="1"/>
  <c r="AD5" i="11"/>
  <c r="AD24" i="11" s="1"/>
  <c r="AD26" i="11" s="1"/>
  <c r="AD27" i="11" s="1"/>
  <c r="R5" i="11"/>
  <c r="R24" i="11" s="1"/>
  <c r="O5" i="11"/>
  <c r="O24" i="11" s="1"/>
  <c r="AG3" i="11"/>
  <c r="AG25" i="11" s="1"/>
  <c r="AA3" i="11"/>
  <c r="AA25" i="11" s="1"/>
  <c r="X3" i="11"/>
  <c r="U3" i="11"/>
  <c r="R3" i="11"/>
  <c r="R25" i="11" s="1"/>
  <c r="O3" i="11"/>
  <c r="O25" i="11" s="1"/>
  <c r="L3" i="11"/>
  <c r="L25" i="11" s="1"/>
  <c r="I3" i="11"/>
  <c r="F3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C35" i="9"/>
  <c r="C34" i="9"/>
  <c r="C33" i="9"/>
  <c r="G38" i="9"/>
  <c r="G36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6" i="11" l="1"/>
  <c r="R27" i="11" s="1"/>
  <c r="L8" i="11" s="1"/>
  <c r="L5" i="11" s="1"/>
  <c r="L24" i="11" s="1"/>
  <c r="L26" i="11" s="1"/>
  <c r="L27" i="11" s="1"/>
  <c r="F7" i="11" s="1"/>
  <c r="C40" i="11"/>
  <c r="AG26" i="11"/>
  <c r="AG27" i="11" s="1"/>
  <c r="AA9" i="11" s="1"/>
  <c r="AA5" i="11" s="1"/>
  <c r="AA24" i="11" s="1"/>
  <c r="AA26" i="11" s="1"/>
  <c r="AA27" i="11" s="1"/>
  <c r="X8" i="11" s="1"/>
  <c r="X5" i="11" s="1"/>
  <c r="X24" i="11" s="1"/>
  <c r="X26" i="11" s="1"/>
  <c r="X27" i="11" s="1"/>
  <c r="U16" i="11" s="1"/>
  <c r="U24" i="11" s="1"/>
  <c r="U26" i="11" s="1"/>
  <c r="U27" i="11" s="1"/>
  <c r="F8" i="11" s="1"/>
  <c r="O26" i="11"/>
  <c r="O27" i="11" s="1"/>
  <c r="I6" i="11" s="1"/>
  <c r="I5" i="11" s="1"/>
  <c r="I24" i="11" s="1"/>
  <c r="I26" i="11" s="1"/>
  <c r="I27" i="11" s="1"/>
  <c r="F6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11" l="1"/>
  <c r="F24" i="11" s="1"/>
  <c r="F26" i="11" s="1"/>
  <c r="F27" i="11" s="1"/>
  <c r="C8" i="11" s="1"/>
  <c r="C35" i="11" s="1"/>
  <c r="C36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C39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5" i="11" l="1"/>
  <c r="C31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4" i="11" l="1"/>
  <c r="C26" i="11" s="1"/>
  <c r="C33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7" i="11" l="1"/>
  <c r="C32" i="11" s="1"/>
  <c r="C34" i="11" s="1"/>
  <c r="C37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<sst xmlns="http://schemas.openxmlformats.org/spreadsheetml/2006/main" count="1332" uniqueCount="163">
  <si>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</si>
  <si>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</si>
  <si>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</si>
  <si>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</si>
  <si>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</si>
  <si>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</si>
  <si>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</si>
  <si>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</si>
  <si>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</si>
  <si>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</si>
  <si>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</si>
  <si>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</si>
  <si>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</si>
  <si>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</si>
  <si>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</si>
  <si>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</si>
  <si>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</si>
  <si>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</si>
  <si>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</si>
  <si>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</si>
  <si>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</si>
  <si>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</si>
  <si>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</si>
  <si>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</si>
  <si>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</si>
  <si>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</si>
  <si>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</si>
  <si>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</si>
  <si>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</si>
  <si>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</si>
  <si>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</si>
  <si>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</si>
  <si>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</si>
  <si>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</si>
  <si>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</si>
  <si>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</si>
  <si>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</si>
  <si>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</si>
  <si>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</si>
  <si>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</si>
  <si>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</si>
  <si>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</si>
  <si>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</si>
  <si>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</si>
  <si>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</si>
  <si>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</si>
  <si>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</si>
  <si>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</si>
  <si>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</si>
  <si>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</si>
  <si>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</si>
  <si>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</si>
  <si>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</si>
  <si>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</si>
  <si>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</si>
  <si>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</si>
  <si>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</si>
  <si>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</si>
  <si>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</si>
  <si>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</si>
  <si>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</si>
  <si>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</si>
  <si>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</si>
  <si>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</si>
  <si>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</si>
  <si>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</si>
  <si>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</si>
  <si>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</si>
  <si>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</si>
  <si>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</si>
  <si>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</si>
  <si>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</si>
  <si>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</si>
  <si>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</si>
  <si>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</si>
  <si>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</si>
  <si>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</si>
  <si>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</si>
  <si>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</si>
  <si>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</si>
  <si>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</si>
  <si>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</si>
  <si>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</si>
  <si>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</si>
  <si>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</si>
  <si>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</si>
  <si>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</si>
  <si>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</si>
  <si>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</si>
  <si>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</si>
  <si>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</si>
  <si>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</si>
  <si>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</si>
  <si>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</si>
  <si>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</si>
  <si>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</si>
  <si>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</si>
  <si>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Prepreg</t>
  </si>
  <si>
    <t>Core</t>
  </si>
  <si>
    <t>Signal</t>
  </si>
  <si>
    <t>mm</t>
  </si>
  <si>
    <t>mils</t>
  </si>
  <si>
    <t>Converters</t>
  </si>
  <si>
    <t>Total GND</t>
  </si>
  <si>
    <t>Total Signal</t>
  </si>
  <si>
    <t>Total PWR</t>
  </si>
  <si>
    <t>Tot thickness</t>
  </si>
  <si>
    <t>Dielectric 1</t>
  </si>
  <si>
    <t>Int1 (GND)</t>
  </si>
  <si>
    <t>Dielectric 2</t>
  </si>
  <si>
    <t>Delectric 3</t>
  </si>
  <si>
    <t>Dielectric 4</t>
  </si>
  <si>
    <t>Dielectric 5</t>
  </si>
  <si>
    <t>Dielectric 6</t>
  </si>
  <si>
    <t>Int3 (GND)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</si>
  <si>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</si>
  <si>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</si>
  <si>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</si>
  <si>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</si>
  <si>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</si>
  <si>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</si>
  <si>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</si>
  <si>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</si>
  <si>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</si>
  <si>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</si>
  <si>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</si>
  <si>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Dieletric 12</t>
  </si>
  <si>
    <t>Int12 (GND)</t>
  </si>
  <si>
    <t>Dieltric 13</t>
  </si>
  <si>
    <t>Bottom Layer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</si>
  <si>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</si>
  <si>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</si>
  <si>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</si>
  <si>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</si>
  <si>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</si>
  <si>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</si>
  <si>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</si>
  <si>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</si>
  <si>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</si>
  <si>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</si>
  <si>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</si>
  <si>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</si>
  <si>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</si>
  <si>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</si>
  <si>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</si>
  <si>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</si>
  <si>
    <t>Diff pairs spacing</t>
  </si>
  <si>
    <t>(mils)</t>
  </si>
  <si>
    <t>(mm)</t>
  </si>
  <si>
    <t>Thickness</t>
  </si>
  <si>
    <t>50Ohm traces</t>
  </si>
  <si>
    <t>40Ohm traces</t>
  </si>
  <si>
    <t>Diff pairs width</t>
  </si>
  <si>
    <t>Top Solder</t>
  </si>
  <si>
    <t>Top Layer</t>
  </si>
  <si>
    <t>Bottom Solder</t>
  </si>
  <si>
    <t>Layer type</t>
  </si>
  <si>
    <t>Layer name</t>
  </si>
  <si>
    <t>Solder mask</t>
  </si>
  <si>
    <t>Int2 (Sign)</t>
  </si>
  <si>
    <t>Int4 (Sign)</t>
  </si>
  <si>
    <t>Int11 (Sign)</t>
  </si>
  <si>
    <t>U2 - SWR - PTH08T241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</si>
</sst>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png"/><Relationship Id="rId5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1</xdr:rowOff>
    </xdr:from>
    <xdr:to>
      <xdr:col>24</xdr:col>
      <xdr:colOff>1</xdr:colOff>
      <xdr:row>40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28</xdr:row>
      <xdr:rowOff>1</xdr:rowOff>
    </xdr:from>
    <xdr:to>
      <xdr:col>18</xdr:col>
      <xdr:colOff>1</xdr:colOff>
      <xdr:row>40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28</xdr:row>
      <xdr:rowOff>1</xdr:rowOff>
    </xdr:from>
    <xdr:to>
      <xdr:col>27</xdr:col>
      <xdr:colOff>0</xdr:colOff>
      <xdr:row>40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3</xdr:rowOff>
    </xdr:from>
    <xdr:to>
      <xdr:col>12</xdr:col>
      <xdr:colOff>0</xdr:colOff>
      <xdr:row>40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27</xdr:row>
      <xdr:rowOff>190500</xdr:rowOff>
    </xdr:from>
    <xdr:to>
      <xdr:col>6</xdr:col>
      <xdr:colOff>1</xdr:colOff>
      <xdr:row>40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28</xdr:row>
      <xdr:rowOff>1</xdr:rowOff>
    </xdr:from>
    <xdr:to>
      <xdr:col>30</xdr:col>
      <xdr:colOff>0</xdr:colOff>
      <xdr:row>40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9</xdr:col>
      <xdr:colOff>0</xdr:colOff>
      <xdr:row>40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204106</xdr:rowOff>
    </xdr:from>
    <xdr:to>
      <xdr:col>15</xdr:col>
      <xdr:colOff>2366</xdr:colOff>
      <xdr:row>40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21</xdr:col>
      <xdr:colOff>0</xdr:colOff>
      <xdr:row>40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5BA304-AEF5-886B-9032-F87861EA4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12810" y="5517931"/>
          <a:ext cx="2233449" cy="236482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8"/>
  <sheetViews>
    <sheetView topLeftCell="A7" zoomScale="115" zoomScaleNormal="115" workbookViewId="0">
      <selection activeCell="F39" sqref="F39"/>
    </sheetView>
  </sheetViews>
  <sheetFormatPr defaultColWidth="9.140625" defaultRowHeight="15" x14ac:dyDescent="0.25"/>
  <cols>
    <col min="1" max="8" width="18.7109375" style="34" customWidth="1"/>
    <col min="9" max="16384" width="9.140625" style="34"/>
  </cols>
  <sheetData>
    <row r="1" spans="1:8" x14ac:dyDescent="0.25">
      <c r="A1" s="34" t="s">
        <v>157</v>
      </c>
      <c r="B1" s="34" t="s">
        <v>156</v>
      </c>
      <c r="C1" s="34" t="s">
        <v>149</v>
      </c>
      <c r="D1" s="34" t="s">
        <v>149</v>
      </c>
      <c r="E1" s="34" t="s">
        <v>150</v>
      </c>
      <c r="F1" s="34" t="s">
        <v>151</v>
      </c>
      <c r="G1" s="34" t="s">
        <v>152</v>
      </c>
      <c r="H1" s="34" t="s">
        <v>146</v>
      </c>
    </row>
    <row r="2" spans="1:8" x14ac:dyDescent="0.25">
      <c r="C2" s="34" t="s">
        <v>147</v>
      </c>
      <c r="D2" s="34" t="s">
        <v>148</v>
      </c>
      <c r="E2" s="34" t="s">
        <v>147</v>
      </c>
      <c r="F2" s="34" t="s">
        <v>147</v>
      </c>
      <c r="G2" s="34" t="s">
        <v>147</v>
      </c>
      <c r="H2" s="34" t="s">
        <v>147</v>
      </c>
    </row>
    <row r="3" spans="1:8" x14ac:dyDescent="0.25">
      <c r="A3" s="35" t="s">
        <v>153</v>
      </c>
      <c r="B3" s="35" t="s">
        <v>158</v>
      </c>
      <c r="C3" s="35">
        <v>2</v>
      </c>
      <c r="D3" s="35">
        <f>C3*0.0254</f>
        <v>5.0799999999999998E-2</v>
      </c>
    </row>
    <row r="4" spans="1:8" x14ac:dyDescent="0.25">
      <c r="A4" s="35" t="s">
        <v>154</v>
      </c>
      <c r="B4" s="34" t="s">
        <v>99</v>
      </c>
      <c r="C4" s="35">
        <v>1.3779999999999999</v>
      </c>
      <c r="D4" s="35">
        <f>C4*0.0254</f>
        <v>3.5001199999999996E-2</v>
      </c>
      <c r="E4" s="35">
        <v>5</v>
      </c>
      <c r="F4" s="35">
        <v>7</v>
      </c>
      <c r="G4" s="35">
        <v>4</v>
      </c>
      <c r="H4" s="35">
        <v>5</v>
      </c>
    </row>
    <row r="5" spans="1:8" x14ac:dyDescent="0.25">
      <c r="A5" s="35" t="s">
        <v>107</v>
      </c>
      <c r="B5" s="34" t="s">
        <v>97</v>
      </c>
      <c r="C5" s="35">
        <v>3.8</v>
      </c>
      <c r="D5" s="35">
        <f t="shared" ref="D5:D31" si="0">C5*0.0254</f>
        <v>9.6519999999999995E-2</v>
      </c>
      <c r="E5" s="35"/>
      <c r="F5" s="35"/>
      <c r="G5" s="35"/>
      <c r="H5" s="35"/>
    </row>
    <row r="6" spans="1:8" x14ac:dyDescent="0.25">
      <c r="A6" s="35" t="s">
        <v>108</v>
      </c>
      <c r="B6" s="34" t="s">
        <v>99</v>
      </c>
      <c r="C6" s="35">
        <v>0.68899999999999995</v>
      </c>
      <c r="D6" s="35">
        <f t="shared" si="0"/>
        <v>1.7500599999999998E-2</v>
      </c>
      <c r="E6" s="35"/>
      <c r="F6" s="35"/>
      <c r="G6" s="35"/>
      <c r="H6" s="35"/>
    </row>
    <row r="7" spans="1:8" x14ac:dyDescent="0.25">
      <c r="A7" s="35" t="s">
        <v>109</v>
      </c>
      <c r="B7" s="34" t="s">
        <v>98</v>
      </c>
      <c r="C7" s="35">
        <v>4.2</v>
      </c>
      <c r="D7" s="35">
        <f t="shared" si="0"/>
        <v>0.10668</v>
      </c>
      <c r="E7" s="35"/>
      <c r="F7" s="35"/>
      <c r="G7" s="35"/>
      <c r="H7" s="35"/>
    </row>
    <row r="8" spans="1:8" x14ac:dyDescent="0.25">
      <c r="A8" s="35" t="s">
        <v>159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3</v>
      </c>
      <c r="F8" s="35">
        <v>5</v>
      </c>
      <c r="G8" s="35">
        <v>3</v>
      </c>
      <c r="H8" s="35">
        <v>5</v>
      </c>
    </row>
    <row r="9" spans="1:8" x14ac:dyDescent="0.25">
      <c r="A9" s="35" t="s">
        <v>110</v>
      </c>
      <c r="B9" s="34" t="s">
        <v>97</v>
      </c>
      <c r="C9" s="35">
        <v>3.8</v>
      </c>
      <c r="D9" s="35">
        <f t="shared" si="0"/>
        <v>9.6519999999999995E-2</v>
      </c>
      <c r="E9" s="35"/>
      <c r="F9" s="35"/>
      <c r="G9" s="35"/>
      <c r="H9" s="35"/>
    </row>
    <row r="10" spans="1:8" x14ac:dyDescent="0.25">
      <c r="A10" s="35" t="s">
        <v>114</v>
      </c>
      <c r="B10" s="34" t="s">
        <v>99</v>
      </c>
      <c r="C10" s="35">
        <v>0.68899999999999995</v>
      </c>
      <c r="D10" s="35">
        <f t="shared" si="0"/>
        <v>1.7500599999999998E-2</v>
      </c>
      <c r="E10" s="35"/>
      <c r="F10" s="35"/>
      <c r="G10" s="35"/>
      <c r="H10" s="35"/>
    </row>
    <row r="11" spans="1:8" x14ac:dyDescent="0.25">
      <c r="A11" s="35" t="s">
        <v>111</v>
      </c>
      <c r="B11" s="34" t="s">
        <v>98</v>
      </c>
      <c r="C11" s="35">
        <v>4.2</v>
      </c>
      <c r="D11" s="35">
        <f t="shared" si="0"/>
        <v>0.10668</v>
      </c>
      <c r="E11" s="35"/>
      <c r="F11" s="35"/>
      <c r="G11" s="35"/>
      <c r="H11" s="35"/>
    </row>
    <row r="12" spans="1:8" x14ac:dyDescent="0.25">
      <c r="A12" s="35" t="s">
        <v>160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3</v>
      </c>
      <c r="F12" s="35">
        <v>5</v>
      </c>
      <c r="G12" s="35">
        <v>3</v>
      </c>
      <c r="H12" s="35">
        <v>5</v>
      </c>
    </row>
    <row r="13" spans="1:8" x14ac:dyDescent="0.25">
      <c r="A13" s="35" t="s">
        <v>112</v>
      </c>
      <c r="B13" s="34" t="s">
        <v>97</v>
      </c>
      <c r="C13" s="35">
        <v>3.8</v>
      </c>
      <c r="D13" s="35">
        <f t="shared" si="0"/>
        <v>9.6519999999999995E-2</v>
      </c>
      <c r="E13" s="35"/>
      <c r="F13" s="35"/>
      <c r="G13" s="35"/>
      <c r="H13" s="35"/>
    </row>
    <row r="14" spans="1:8" x14ac:dyDescent="0.25">
      <c r="A14" s="35" t="s">
        <v>115</v>
      </c>
      <c r="B14" s="34" t="s">
        <v>99</v>
      </c>
      <c r="C14" s="35">
        <v>0.68899999999999995</v>
      </c>
      <c r="D14" s="35">
        <f t="shared" si="0"/>
        <v>1.7500599999999998E-2</v>
      </c>
      <c r="E14" s="35"/>
      <c r="F14" s="35"/>
      <c r="G14" s="35"/>
      <c r="H14" s="35"/>
    </row>
    <row r="15" spans="1:8" x14ac:dyDescent="0.25">
      <c r="A15" s="35" t="s">
        <v>113</v>
      </c>
      <c r="B15" s="34" t="s">
        <v>98</v>
      </c>
      <c r="C15" s="35">
        <v>4.2</v>
      </c>
      <c r="D15" s="35">
        <f t="shared" si="0"/>
        <v>0.10668</v>
      </c>
      <c r="E15" s="35"/>
      <c r="F15" s="35"/>
      <c r="G15" s="35"/>
      <c r="H15" s="35"/>
    </row>
    <row r="16" spans="1:8" x14ac:dyDescent="0.25">
      <c r="A16" s="35" t="s">
        <v>116</v>
      </c>
      <c r="B16" s="34" t="s">
        <v>99</v>
      </c>
      <c r="C16" s="35">
        <v>0.68899999999999995</v>
      </c>
      <c r="D16" s="35">
        <f t="shared" si="0"/>
        <v>1.7500599999999998E-2</v>
      </c>
      <c r="E16" s="35"/>
      <c r="F16" s="35"/>
      <c r="G16" s="35"/>
      <c r="H16" s="35"/>
    </row>
    <row r="17" spans="1:8" x14ac:dyDescent="0.25">
      <c r="A17" s="35" t="s">
        <v>117</v>
      </c>
      <c r="B17" s="34" t="s">
        <v>97</v>
      </c>
      <c r="C17" s="35">
        <v>3.8</v>
      </c>
      <c r="D17" s="35">
        <f t="shared" si="0"/>
        <v>9.6519999999999995E-2</v>
      </c>
      <c r="E17" s="35"/>
      <c r="F17" s="35"/>
      <c r="G17" s="35"/>
      <c r="H17" s="35"/>
    </row>
    <row r="18" spans="1:8" x14ac:dyDescent="0.25">
      <c r="A18" s="35" t="s">
        <v>118</v>
      </c>
      <c r="B18" s="34" t="s">
        <v>99</v>
      </c>
      <c r="C18" s="35">
        <v>0.68899999999999995</v>
      </c>
      <c r="D18" s="35">
        <f t="shared" si="0"/>
        <v>1.7500599999999998E-2</v>
      </c>
      <c r="E18" s="35"/>
      <c r="F18" s="35"/>
      <c r="G18" s="35"/>
      <c r="H18" s="35"/>
    </row>
    <row r="19" spans="1:8" x14ac:dyDescent="0.25">
      <c r="A19" s="35" t="s">
        <v>119</v>
      </c>
      <c r="B19" s="34" t="s">
        <v>98</v>
      </c>
      <c r="C19" s="35">
        <v>4.2</v>
      </c>
      <c r="D19" s="35">
        <f t="shared" si="0"/>
        <v>0.10668</v>
      </c>
      <c r="E19" s="35"/>
      <c r="F19" s="35"/>
      <c r="G19" s="35"/>
      <c r="H19" s="35"/>
    </row>
    <row r="20" spans="1:8" x14ac:dyDescent="0.25">
      <c r="A20" s="35" t="s">
        <v>120</v>
      </c>
      <c r="B20" s="34" t="s">
        <v>99</v>
      </c>
      <c r="C20" s="35">
        <v>0.68899999999999995</v>
      </c>
      <c r="D20" s="35">
        <f t="shared" si="0"/>
        <v>1.7500599999999998E-2</v>
      </c>
      <c r="E20" s="35"/>
      <c r="F20" s="35"/>
      <c r="G20" s="35"/>
      <c r="H20" s="35"/>
    </row>
    <row r="21" spans="1:8" x14ac:dyDescent="0.25">
      <c r="A21" s="35" t="s">
        <v>121</v>
      </c>
      <c r="B21" s="34" t="s">
        <v>97</v>
      </c>
      <c r="C21" s="35">
        <v>3.8</v>
      </c>
      <c r="D21" s="35">
        <f t="shared" si="0"/>
        <v>9.6519999999999995E-2</v>
      </c>
      <c r="E21" s="35"/>
      <c r="F21" s="35"/>
      <c r="G21" s="35"/>
      <c r="H21" s="35"/>
    </row>
    <row r="22" spans="1:8" x14ac:dyDescent="0.25">
      <c r="A22" s="35" t="s">
        <v>122</v>
      </c>
      <c r="B22" s="34" t="s">
        <v>99</v>
      </c>
      <c r="C22" s="35">
        <v>0.68899999999999995</v>
      </c>
      <c r="D22" s="35">
        <f t="shared" si="0"/>
        <v>1.7500599999999998E-2</v>
      </c>
      <c r="E22" s="35"/>
      <c r="F22" s="35"/>
      <c r="G22" s="35"/>
      <c r="H22" s="35"/>
    </row>
    <row r="23" spans="1:8" x14ac:dyDescent="0.25">
      <c r="A23" s="35" t="s">
        <v>123</v>
      </c>
      <c r="B23" s="34" t="s">
        <v>98</v>
      </c>
      <c r="C23" s="35">
        <v>4.2</v>
      </c>
      <c r="D23" s="35">
        <f t="shared" si="0"/>
        <v>0.10668</v>
      </c>
      <c r="E23" s="35"/>
      <c r="F23" s="35"/>
      <c r="G23" s="35"/>
      <c r="H23" s="35"/>
    </row>
    <row r="24" spans="1:8" x14ac:dyDescent="0.25">
      <c r="A24" s="35" t="s">
        <v>124</v>
      </c>
      <c r="B24" s="34" t="s">
        <v>99</v>
      </c>
      <c r="C24" s="35">
        <v>0.68899999999999995</v>
      </c>
      <c r="D24" s="35">
        <f t="shared" si="0"/>
        <v>1.7500599999999998E-2</v>
      </c>
      <c r="E24" s="35"/>
      <c r="F24" s="35"/>
      <c r="G24" s="35"/>
      <c r="H24" s="35"/>
    </row>
    <row r="25" spans="1:8" x14ac:dyDescent="0.25">
      <c r="A25" s="35" t="s">
        <v>125</v>
      </c>
      <c r="B25" s="34" t="s">
        <v>97</v>
      </c>
      <c r="C25" s="35">
        <v>3.8</v>
      </c>
      <c r="D25" s="35">
        <f t="shared" si="0"/>
        <v>9.6519999999999995E-2</v>
      </c>
      <c r="E25" s="35"/>
      <c r="F25" s="35"/>
      <c r="G25" s="35"/>
      <c r="H25" s="35"/>
    </row>
    <row r="26" spans="1:8" x14ac:dyDescent="0.25">
      <c r="A26" s="35" t="s">
        <v>161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3</v>
      </c>
      <c r="F26" s="35">
        <v>5</v>
      </c>
      <c r="G26" s="35">
        <v>3</v>
      </c>
      <c r="H26" s="35">
        <v>5</v>
      </c>
    </row>
    <row r="27" spans="1:8" x14ac:dyDescent="0.25">
      <c r="A27" s="35" t="s">
        <v>126</v>
      </c>
      <c r="B27" s="34" t="s">
        <v>98</v>
      </c>
      <c r="C27" s="35">
        <v>4.2</v>
      </c>
      <c r="D27" s="35">
        <f t="shared" si="0"/>
        <v>0.10668</v>
      </c>
      <c r="E27" s="35"/>
      <c r="F27" s="35"/>
      <c r="G27" s="35"/>
      <c r="H27" s="35"/>
    </row>
    <row r="28" spans="1:8" x14ac:dyDescent="0.25">
      <c r="A28" s="35" t="s">
        <v>127</v>
      </c>
      <c r="B28" s="34" t="s">
        <v>99</v>
      </c>
      <c r="C28" s="35">
        <v>0.68899999999999995</v>
      </c>
      <c r="D28" s="35">
        <f t="shared" si="0"/>
        <v>1.7500599999999998E-2</v>
      </c>
      <c r="E28" s="35"/>
      <c r="F28" s="35"/>
      <c r="G28" s="35"/>
      <c r="H28" s="35"/>
    </row>
    <row r="29" spans="1:8" x14ac:dyDescent="0.25">
      <c r="A29" s="35" t="s">
        <v>128</v>
      </c>
      <c r="B29" s="34" t="s">
        <v>97</v>
      </c>
      <c r="C29" s="35">
        <v>3.8</v>
      </c>
      <c r="D29" s="35">
        <f t="shared" si="0"/>
        <v>9.6519999999999995E-2</v>
      </c>
      <c r="E29" s="35"/>
      <c r="F29" s="35"/>
      <c r="G29" s="35"/>
      <c r="H29" s="35"/>
    </row>
    <row r="30" spans="1:8" x14ac:dyDescent="0.25">
      <c r="A30" s="35" t="s">
        <v>129</v>
      </c>
      <c r="B30" s="34" t="s">
        <v>99</v>
      </c>
      <c r="C30" s="35">
        <v>1.3779999999999999</v>
      </c>
      <c r="D30" s="35">
        <f t="shared" si="0"/>
        <v>3.5001199999999996E-2</v>
      </c>
      <c r="E30" s="35">
        <v>5</v>
      </c>
      <c r="F30" s="35">
        <v>7</v>
      </c>
      <c r="G30" s="35">
        <v>4</v>
      </c>
      <c r="H30" s="35">
        <v>5</v>
      </c>
    </row>
    <row r="31" spans="1:8" x14ac:dyDescent="0.25">
      <c r="A31" s="35" t="s">
        <v>155</v>
      </c>
      <c r="B31" s="35" t="s">
        <v>158</v>
      </c>
      <c r="C31" s="35">
        <v>2</v>
      </c>
      <c r="D31" s="35">
        <f t="shared" si="0"/>
        <v>5.0799999999999998E-2</v>
      </c>
    </row>
    <row r="32" spans="1:8" x14ac:dyDescent="0.25">
      <c r="B32" s="34" t="s">
        <v>106</v>
      </c>
      <c r="C32" s="35">
        <f>SUM(C3:C31)</f>
        <v>66.823999999999998</v>
      </c>
      <c r="D32" s="35">
        <f t="shared" ref="D32" si="1">C32*0.0254</f>
        <v>1.6973295999999998</v>
      </c>
    </row>
    <row r="33" spans="2:7" x14ac:dyDescent="0.25">
      <c r="B33" s="34" t="s">
        <v>103</v>
      </c>
      <c r="C33" s="34">
        <f>COUNTIF(B3:B31, "Signal (GND)")</f>
        <v>0</v>
      </c>
    </row>
    <row r="34" spans="2:7" x14ac:dyDescent="0.25">
      <c r="B34" s="34" t="s">
        <v>105</v>
      </c>
      <c r="C34" s="34">
        <f>COUNTIF(B3:B31, "Signal (PWR)")</f>
        <v>0</v>
      </c>
      <c r="F34" s="34" t="s">
        <v>102</v>
      </c>
      <c r="G34" s="34" t="s">
        <v>102</v>
      </c>
    </row>
    <row r="35" spans="2:7" x14ac:dyDescent="0.25">
      <c r="B35" s="34" t="s">
        <v>104</v>
      </c>
      <c r="C35" s="34">
        <f>COUNTIF(B3:B31, "Top")+COUNTIF(B3:B31, "Bot")+COUNTIF(B3:B31, "Signal")</f>
        <v>14</v>
      </c>
      <c r="F35" s="34" t="s">
        <v>100</v>
      </c>
      <c r="G35" s="34" t="s">
        <v>101</v>
      </c>
    </row>
    <row r="36" spans="2:7" x14ac:dyDescent="0.25">
      <c r="F36" s="34">
        <v>1</v>
      </c>
      <c r="G36" s="34">
        <f>F36*39.37</f>
        <v>39.369999999999997</v>
      </c>
    </row>
    <row r="37" spans="2:7" x14ac:dyDescent="0.25">
      <c r="F37" s="34" t="s">
        <v>101</v>
      </c>
      <c r="G37" s="34" t="s">
        <v>100</v>
      </c>
    </row>
    <row r="38" spans="2:7" x14ac:dyDescent="0.25">
      <c r="F38" s="34">
        <v>1</v>
      </c>
      <c r="G38" s="34">
        <f>F38*0.0254</f>
        <v>2.5399999999999999E-2</v>
      </c>
    </row>
  </sheetData>
  <phoneticPr fontId="4" type="noConversion"/>
  <conditionalFormatting sqref="A3:H31">
    <cfRule type="expression" dxfId="17" priority="253">
      <formula>$B3="Solder Mask"</formula>
    </cfRule>
    <cfRule type="expression" dxfId="16" priority="255">
      <formula>$B3="Signal"</formula>
    </cfRule>
    <cfRule type="expression" dxfId="15" priority="258">
      <formula>$B3="Prepreg"</formula>
    </cfRule>
  </conditionalFormatting>
  <conditionalFormatting sqref="A3:H32">
    <cfRule type="expression" dxfId="14" priority="245">
      <formula>$B3="Core"</formula>
    </cfRule>
  </conditionalFormatting>
  <conditionalFormatting sqref="D32">
    <cfRule type="expression" dxfId="13" priority="36">
      <formula>$B32="Bot"</formula>
    </cfRule>
    <cfRule type="expression" dxfId="12" priority="37">
      <formula>$B32="Signal"</formula>
    </cfRule>
    <cfRule type="expression" dxfId="11" priority="38">
      <formula>$B32="Signal (PWR)"</formula>
    </cfRule>
    <cfRule type="expression" dxfId="10" priority="39">
      <formula>$B32="Core"</formula>
    </cfRule>
    <cfRule type="expression" dxfId="9" priority="40">
      <formula>$B32="Signal (GND)"</formula>
    </cfRule>
    <cfRule type="expression" dxfId="8" priority="41">
      <formula>$B32="Prepreg"</formula>
    </cfRule>
    <cfRule type="expression" dxfId="7" priority="42">
      <formula>$B32="Top"</formula>
    </cfRule>
  </conditionalFormatting>
  <conditionalFormatting sqref="F34:G34">
    <cfRule type="cellIs" dxfId="6" priority="225" operator="equal">
      <formula>"Signal (PWR)"</formula>
    </cfRule>
    <cfRule type="cellIs" dxfId="5" priority="226" operator="equal">
      <formula>"Signal (GND)"</formula>
    </cfRule>
    <cfRule type="cellIs" dxfId="4" priority="227" operator="equal">
      <formula>"Core"</formula>
    </cfRule>
    <cfRule type="cellIs" dxfId="3" priority="228" operator="equal">
      <formula>"Prepreg"</formula>
    </cfRule>
    <cfRule type="cellIs" dxfId="2" priority="229" operator="equal">
      <formula>"Signal"</formula>
    </cfRule>
    <cfRule type="cellIs" dxfId="1" priority="230" operator="equal">
      <formula>"Bot"</formula>
    </cfRule>
    <cfRule type="cellIs" dxfId="0" priority="231" operator="equal">
      <formula>"Top"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78</v>
      </c>
      <c r="I1" s="38"/>
      <c r="K1" s="37" t="s">
        <v>71</v>
      </c>
      <c r="L1" s="38"/>
      <c r="N1" s="37" t="s">
        <v>80</v>
      </c>
      <c r="O1" s="38"/>
      <c r="Q1" s="37" t="s">
        <v>79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77</v>
      </c>
      <c r="F2" s="40"/>
      <c r="G2" s="10"/>
      <c r="H2" s="39" t="s">
        <v>24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  <mergeCell ref="Z1:AA1"/>
    <mergeCell ref="AC1:AD1"/>
    <mergeCell ref="AC2:AD2"/>
    <mergeCell ref="Z2:AA2"/>
    <mergeCell ref="H2:I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7" t="s">
        <v>40</v>
      </c>
      <c r="C1" s="38"/>
      <c r="E1" s="37" t="s">
        <v>78</v>
      </c>
      <c r="F1" s="38"/>
      <c r="H1" s="37" t="s">
        <v>71</v>
      </c>
      <c r="I1" s="38"/>
      <c r="K1" s="37" t="s">
        <v>80</v>
      </c>
      <c r="L1" s="38"/>
      <c r="N1" s="37" t="s">
        <v>70</v>
      </c>
      <c r="O1" s="38"/>
      <c r="Q1" s="37" t="s">
        <v>80</v>
      </c>
      <c r="R1" s="38"/>
      <c r="T1" s="37" t="s">
        <v>70</v>
      </c>
      <c r="U1" s="38"/>
      <c r="W1" s="37" t="s">
        <v>80</v>
      </c>
      <c r="X1" s="38"/>
      <c r="Z1" s="37" t="s">
        <v>41</v>
      </c>
      <c r="AA1" s="38"/>
    </row>
    <row r="2" spans="2:27" x14ac:dyDescent="0.25">
      <c r="B2" s="39" t="s">
        <v>23</v>
      </c>
      <c r="C2" s="40"/>
      <c r="D2" s="10"/>
      <c r="E2" s="39" t="s">
        <v>24</v>
      </c>
      <c r="F2" s="40"/>
      <c r="G2" s="10"/>
      <c r="H2" s="39" t="s">
        <v>25</v>
      </c>
      <c r="I2" s="40"/>
      <c r="J2" s="10"/>
      <c r="K2" s="39" t="s">
        <v>26</v>
      </c>
      <c r="L2" s="40"/>
      <c r="M2" s="10"/>
      <c r="N2" s="39" t="s">
        <v>27</v>
      </c>
      <c r="O2" s="40"/>
      <c r="P2" s="10"/>
      <c r="Q2" s="39" t="s">
        <v>28</v>
      </c>
      <c r="R2" s="40"/>
      <c r="S2" s="10"/>
      <c r="T2" s="39" t="s">
        <v>39</v>
      </c>
      <c r="U2" s="40"/>
      <c r="V2" s="10"/>
      <c r="W2" s="39" t="s">
        <v>29</v>
      </c>
      <c r="X2" s="40"/>
      <c r="Y2" s="10"/>
      <c r="Z2" s="39" t="s">
        <v>30</v>
      </c>
      <c r="AA2" s="40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86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84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  <mergeCell ref="B2:C2"/>
    <mergeCell ref="K2:L2"/>
    <mergeCell ref="N2:O2"/>
    <mergeCell ref="Q2:R2"/>
    <mergeCell ref="T2:U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88</v>
      </c>
      <c r="X1" s="38"/>
      <c r="Z1" s="37" t="s">
        <v>70</v>
      </c>
      <c r="AA1" s="38"/>
      <c r="AC1" s="37" t="s">
        <v>80</v>
      </c>
      <c r="AD1" s="38"/>
      <c r="AF1" s="37" t="s">
        <v>70</v>
      </c>
      <c r="AG1" s="38"/>
      <c r="AI1" s="37" t="s">
        <v>94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7" t="s">
        <v>40</v>
      </c>
      <c r="C1" s="38"/>
      <c r="E1" s="37" t="s">
        <v>135</v>
      </c>
      <c r="F1" s="38"/>
      <c r="H1" s="37" t="s">
        <v>137</v>
      </c>
      <c r="I1" s="38"/>
      <c r="K1" s="37" t="s">
        <v>134</v>
      </c>
      <c r="L1" s="38"/>
      <c r="N1" s="37" t="s">
        <v>142</v>
      </c>
      <c r="O1" s="38"/>
      <c r="Q1" s="37" t="s">
        <v>138</v>
      </c>
      <c r="R1" s="38"/>
      <c r="T1" s="37" t="s">
        <v>136</v>
      </c>
      <c r="U1" s="38"/>
      <c r="W1" s="37" t="s">
        <v>144</v>
      </c>
      <c r="X1" s="38"/>
      <c r="Z1" s="37" t="s">
        <v>143</v>
      </c>
      <c r="AA1" s="38"/>
      <c r="AC1" s="37" t="s">
        <v>139</v>
      </c>
      <c r="AD1" s="38"/>
      <c r="AF1" s="37" t="s">
        <v>140</v>
      </c>
      <c r="AG1" s="38"/>
      <c r="AI1" s="37" t="s">
        <v>145</v>
      </c>
      <c r="AJ1" s="38"/>
      <c r="AL1" s="37" t="s">
        <v>141</v>
      </c>
      <c r="AM1" s="38"/>
    </row>
    <row r="2" spans="2:39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28</v>
      </c>
      <c r="X2" s="40"/>
      <c r="Y2" s="10"/>
      <c r="Z2" s="39" t="s">
        <v>93</v>
      </c>
      <c r="AA2" s="40"/>
      <c r="AB2" s="10"/>
      <c r="AC2" s="39" t="s">
        <v>39</v>
      </c>
      <c r="AD2" s="40"/>
      <c r="AE2" s="10"/>
      <c r="AF2" s="39" t="s">
        <v>29</v>
      </c>
      <c r="AG2" s="40"/>
      <c r="AH2" s="10"/>
      <c r="AI2" s="39" t="s">
        <v>92</v>
      </c>
      <c r="AJ2" s="40"/>
      <c r="AK2" s="10"/>
      <c r="AL2" s="39" t="s">
        <v>30</v>
      </c>
      <c r="AM2" s="40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130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133</v>
      </c>
      <c r="C31" s="31">
        <f>C8/1000</f>
        <v>0.64462319288775649</v>
      </c>
      <c r="W31"/>
    </row>
    <row r="32" spans="2:39" x14ac:dyDescent="0.25">
      <c r="B32" s="30" t="s">
        <v>131</v>
      </c>
      <c r="C32" s="31">
        <f>C31*C26</f>
        <v>15.470956629306155</v>
      </c>
    </row>
    <row r="33" spans="2:21" x14ac:dyDescent="0.25">
      <c r="B33" s="26" t="s">
        <v>132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I1" zoomScale="85" zoomScaleNormal="85" workbookViewId="0">
      <selection activeCell="X5" sqref="X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135</v>
      </c>
      <c r="F1" s="38"/>
      <c r="H1" s="37" t="s">
        <v>137</v>
      </c>
      <c r="I1" s="38"/>
      <c r="K1" s="37" t="s">
        <v>134</v>
      </c>
      <c r="L1" s="38"/>
      <c r="N1" s="37" t="s">
        <v>142</v>
      </c>
      <c r="O1" s="38"/>
      <c r="Q1" s="37" t="s">
        <v>138</v>
      </c>
      <c r="R1" s="38"/>
      <c r="T1" s="37" t="s">
        <v>136</v>
      </c>
      <c r="U1" s="38"/>
      <c r="W1" s="37" t="s">
        <v>143</v>
      </c>
      <c r="X1" s="38"/>
      <c r="Z1" s="37" t="s">
        <v>139</v>
      </c>
      <c r="AA1" s="38"/>
      <c r="AC1" s="37" t="s">
        <v>140</v>
      </c>
      <c r="AD1" s="38"/>
      <c r="AF1" s="37" t="s">
        <v>145</v>
      </c>
      <c r="AG1" s="38"/>
      <c r="AI1" s="37" t="s">
        <v>141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130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133</v>
      </c>
      <c r="C34" s="31">
        <f>C8/1000</f>
        <v>0.6305983351488027</v>
      </c>
    </row>
    <row r="35" spans="2:21" x14ac:dyDescent="0.25">
      <c r="B35" s="30" t="s">
        <v>131</v>
      </c>
      <c r="C35" s="31">
        <f>C34*C29</f>
        <v>15.134360043571265</v>
      </c>
    </row>
    <row r="36" spans="2:21" x14ac:dyDescent="0.25">
      <c r="B36" s="26" t="s">
        <v>132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B1:C1"/>
    <mergeCell ref="E1:F1"/>
    <mergeCell ref="H1:I1"/>
    <mergeCell ref="K1:L1"/>
    <mergeCell ref="N1:O1"/>
    <mergeCell ref="Q2:R2"/>
    <mergeCell ref="T2:U2"/>
    <mergeCell ref="W2:X2"/>
    <mergeCell ref="T1:U1"/>
    <mergeCell ref="W1:X1"/>
    <mergeCell ref="Q1:R1"/>
    <mergeCell ref="B2:C2"/>
    <mergeCell ref="E2:F2"/>
    <mergeCell ref="H2:I2"/>
    <mergeCell ref="K2:L2"/>
    <mergeCell ref="N2:O2"/>
    <mergeCell ref="Z2:AA2"/>
    <mergeCell ref="AC2:AD2"/>
    <mergeCell ref="AF2:AG2"/>
    <mergeCell ref="AI2:AJ2"/>
    <mergeCell ref="AI1:AJ1"/>
    <mergeCell ref="Z1:AA1"/>
    <mergeCell ref="AC1:AD1"/>
    <mergeCell ref="AF1:AG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dimension ref="B1:AG48"/>
  <sheetViews>
    <sheetView tabSelected="1" topLeftCell="I10" zoomScaleNormal="100" workbookViewId="0">
      <selection activeCell="V33" sqref="V33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1" spans="2:33" x14ac:dyDescent="0.25">
      <c r="B1" s="37" t="s">
        <v>40</v>
      </c>
      <c r="C1" s="38"/>
      <c r="E1" s="37" t="s">
        <v>135</v>
      </c>
      <c r="F1" s="38"/>
      <c r="H1" s="37" t="s">
        <v>137</v>
      </c>
      <c r="I1" s="38"/>
      <c r="K1" s="37" t="s">
        <v>134</v>
      </c>
      <c r="L1" s="38"/>
      <c r="N1" s="37" t="s">
        <v>142</v>
      </c>
      <c r="O1" s="38"/>
      <c r="Q1" s="37" t="s">
        <v>138</v>
      </c>
      <c r="R1" s="38"/>
      <c r="T1" s="37" t="s">
        <v>162</v>
      </c>
      <c r="U1" s="38"/>
      <c r="W1" s="37" t="s">
        <v>139</v>
      </c>
      <c r="X1" s="38"/>
      <c r="Z1" s="37" t="s">
        <v>140</v>
      </c>
      <c r="AA1" s="38"/>
      <c r="AC1" s="37" t="s">
        <v>145</v>
      </c>
      <c r="AD1" s="38"/>
      <c r="AF1" s="37" t="s">
        <v>141</v>
      </c>
      <c r="AG1" s="38"/>
    </row>
    <row r="2" spans="2:33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92</v>
      </c>
      <c r="AD2" s="40"/>
      <c r="AE2" s="10"/>
      <c r="AF2" s="39" t="s">
        <v>30</v>
      </c>
      <c r="AG2" s="40"/>
    </row>
    <row r="3" spans="2:33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U4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AA4</f>
        <v>1.5</v>
      </c>
    </row>
    <row r="4" spans="2:33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1.2</v>
      </c>
      <c r="AE4" s="16"/>
      <c r="AF4" s="11" t="s">
        <v>34</v>
      </c>
      <c r="AG4" s="12">
        <v>0.75</v>
      </c>
    </row>
    <row r="5" spans="2:33" x14ac:dyDescent="0.25">
      <c r="B5" s="17" t="s">
        <v>76</v>
      </c>
      <c r="C5" s="18">
        <f>SUM(C6:C23)</f>
        <v>2970.7940934743488</v>
      </c>
      <c r="E5" s="17" t="s">
        <v>76</v>
      </c>
      <c r="F5" s="18">
        <f>SUM(F7:F23)</f>
        <v>2189.9524815517607</v>
      </c>
      <c r="H5" s="17" t="s">
        <v>76</v>
      </c>
      <c r="I5" s="18">
        <f>SUM(I6:I23)</f>
        <v>34.900000000000006</v>
      </c>
      <c r="K5" s="17" t="s">
        <v>76</v>
      </c>
      <c r="L5" s="18">
        <f>SUM(L6:L23)</f>
        <v>541.69000000000005</v>
      </c>
      <c r="N5" s="17" t="s">
        <v>76</v>
      </c>
      <c r="O5" s="18">
        <f>SUM(O6:O23)</f>
        <v>34.900000000000006</v>
      </c>
      <c r="Q5" s="17" t="s">
        <v>76</v>
      </c>
      <c r="R5" s="18">
        <f>SUM(R6:R23)</f>
        <v>506.79</v>
      </c>
      <c r="T5" s="17" t="s">
        <v>76</v>
      </c>
      <c r="U5" s="18">
        <f>SUM(U6:U23)</f>
        <v>2787.0620142602497</v>
      </c>
      <c r="W5" s="17" t="s">
        <v>76</v>
      </c>
      <c r="X5" s="18">
        <f>SUM(X6:X23)</f>
        <v>981.05</v>
      </c>
      <c r="Z5" s="17" t="s">
        <v>76</v>
      </c>
      <c r="AA5" s="18">
        <f>SUM(AA6:AA23)</f>
        <v>580.04999999999995</v>
      </c>
      <c r="AB5" s="13"/>
      <c r="AC5" s="17" t="s">
        <v>76</v>
      </c>
      <c r="AD5" s="18">
        <f>SUM(AD6:AD23)</f>
        <v>3000</v>
      </c>
      <c r="AE5" s="13"/>
      <c r="AF5" s="17" t="s">
        <v>76</v>
      </c>
      <c r="AG5" s="18">
        <f>SUM(AG6:AG23)</f>
        <v>98.47</v>
      </c>
    </row>
    <row r="6" spans="2:33" x14ac:dyDescent="0.25">
      <c r="B6" s="19" t="s">
        <v>130</v>
      </c>
      <c r="C6" s="18">
        <v>261.18</v>
      </c>
      <c r="E6" s="19" t="s">
        <v>96</v>
      </c>
      <c r="F6" s="18">
        <f>I27/I3</f>
        <v>41.058823529411775</v>
      </c>
      <c r="H6" s="19" t="s">
        <v>25</v>
      </c>
      <c r="I6" s="18">
        <f>O27/O3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91</v>
      </c>
      <c r="AD6" s="18">
        <v>3000</v>
      </c>
      <c r="AE6" s="13"/>
      <c r="AF6" s="19" t="s">
        <v>31</v>
      </c>
      <c r="AG6" s="18">
        <v>98.47</v>
      </c>
    </row>
    <row r="7" spans="2:33" x14ac:dyDescent="0.25">
      <c r="B7" s="19" t="s">
        <v>63</v>
      </c>
      <c r="C7" s="18">
        <v>2073</v>
      </c>
      <c r="E7" s="19" t="s">
        <v>83</v>
      </c>
      <c r="F7" s="18">
        <f>L27/L3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  <c r="AF7" s="19"/>
      <c r="AG7" s="18"/>
    </row>
    <row r="8" spans="2:33" x14ac:dyDescent="0.25">
      <c r="B8" s="19" t="s">
        <v>82</v>
      </c>
      <c r="C8" s="18">
        <f>F27/F3</f>
        <v>636.61409347434903</v>
      </c>
      <c r="E8" s="19" t="s">
        <v>27</v>
      </c>
      <c r="F8" s="18">
        <f>U27/U3</f>
        <v>1648.2624815517604</v>
      </c>
      <c r="H8" s="19"/>
      <c r="I8" s="18"/>
      <c r="K8" s="19" t="s">
        <v>26</v>
      </c>
      <c r="L8" s="18">
        <f>R27/R3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29</v>
      </c>
      <c r="X8" s="18">
        <f>AA27/AA3</f>
        <v>580.04999999999995</v>
      </c>
      <c r="Z8" s="19" t="s">
        <v>32</v>
      </c>
      <c r="AA8" s="18">
        <v>0.05</v>
      </c>
      <c r="AB8" s="13"/>
      <c r="AC8" s="19"/>
      <c r="AD8" s="18"/>
      <c r="AE8" s="13"/>
      <c r="AF8" s="19"/>
      <c r="AG8" s="18"/>
    </row>
    <row r="9" spans="2:33" x14ac:dyDescent="0.25">
      <c r="B9" s="19"/>
      <c r="C9" s="18"/>
      <c r="E9" s="19"/>
      <c r="F9" s="18"/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/>
      <c r="X9" s="18"/>
      <c r="Z9" s="19" t="s">
        <v>30</v>
      </c>
      <c r="AA9" s="18">
        <f>AG27/AG3</f>
        <v>98.469999999999985</v>
      </c>
      <c r="AC9" s="19"/>
      <c r="AD9" s="18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X27/X3</f>
        <v>629.5508021390375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92</v>
      </c>
      <c r="U20" s="18">
        <f>AD27/AD3</f>
        <v>1212.1212121212122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56</v>
      </c>
      <c r="U21" s="18">
        <v>100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55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90</v>
      </c>
      <c r="U23" s="20">
        <v>250</v>
      </c>
      <c r="W23" s="19"/>
      <c r="X23" s="18"/>
      <c r="Z23" s="19"/>
      <c r="AA23" s="18"/>
      <c r="AC23" s="19"/>
      <c r="AD23" s="18"/>
      <c r="AF23" s="19"/>
      <c r="AG23" s="18"/>
    </row>
    <row r="24" spans="2:33" s="13" customFormat="1" x14ac:dyDescent="0.25">
      <c r="B24" s="21" t="s">
        <v>35</v>
      </c>
      <c r="C24" s="22">
        <f>C5*C4</f>
        <v>71299.058243384367</v>
      </c>
      <c r="E24" s="21" t="s">
        <v>35</v>
      </c>
      <c r="F24" s="22">
        <f>F5*F4</f>
        <v>13139.714889310564</v>
      </c>
      <c r="H24" s="21" t="s">
        <v>35</v>
      </c>
      <c r="I24" s="22">
        <f>I5*I4</f>
        <v>209.40000000000003</v>
      </c>
      <c r="K24" s="21" t="s">
        <v>35</v>
      </c>
      <c r="L24" s="22">
        <f>L5*L4</f>
        <v>2708.4500000000003</v>
      </c>
      <c r="N24" s="21" t="s">
        <v>35</v>
      </c>
      <c r="O24" s="22">
        <f>O5*O4</f>
        <v>174.50000000000003</v>
      </c>
      <c r="Q24" s="21" t="s">
        <v>35</v>
      </c>
      <c r="R24" s="22">
        <f>R5*R4</f>
        <v>1672.4069999999999</v>
      </c>
      <c r="T24" s="21" t="s">
        <v>35</v>
      </c>
      <c r="U24" s="22">
        <f>U5*U4</f>
        <v>9197.3046470588233</v>
      </c>
      <c r="V24" s="9"/>
      <c r="W24" s="21" t="s">
        <v>35</v>
      </c>
      <c r="X24" s="22">
        <f>X5*X4</f>
        <v>1765.8899999999999</v>
      </c>
      <c r="Z24" s="21" t="s">
        <v>35</v>
      </c>
      <c r="AA24" s="22">
        <f>AA5*AA4</f>
        <v>870.07499999999993</v>
      </c>
      <c r="AC24" s="21" t="s">
        <v>35</v>
      </c>
      <c r="AD24" s="22">
        <f>AD5*AD4</f>
        <v>3600</v>
      </c>
      <c r="AF24" s="21" t="s">
        <v>35</v>
      </c>
      <c r="AG24" s="22">
        <f>AG5*AG4</f>
        <v>73.852499999999992</v>
      </c>
    </row>
    <row r="25" spans="2:33" x14ac:dyDescent="0.25">
      <c r="B25" s="23" t="s">
        <v>38</v>
      </c>
      <c r="C25" s="22">
        <v>1</v>
      </c>
      <c r="E25" s="23" t="s">
        <v>38</v>
      </c>
      <c r="F25" s="22">
        <v>0.86</v>
      </c>
      <c r="H25" s="23" t="s">
        <v>38</v>
      </c>
      <c r="I25" s="22">
        <v>0.85</v>
      </c>
      <c r="K25" s="23" t="s">
        <v>38</v>
      </c>
      <c r="L25" s="22">
        <f>L4/L3</f>
        <v>0.83333333333333337</v>
      </c>
      <c r="N25" s="23" t="s">
        <v>38</v>
      </c>
      <c r="O25" s="22">
        <f>O4/O3</f>
        <v>0.83333333333333337</v>
      </c>
      <c r="Q25" s="23" t="s">
        <v>38</v>
      </c>
      <c r="R25" s="22">
        <f>R4/R3</f>
        <v>0.65999999999999992</v>
      </c>
      <c r="T25" s="23" t="s">
        <v>38</v>
      </c>
      <c r="U25" s="22">
        <v>0.93</v>
      </c>
      <c r="V25" s="13"/>
      <c r="W25" s="23" t="s">
        <v>38</v>
      </c>
      <c r="X25" s="22">
        <v>0.85</v>
      </c>
      <c r="Z25" s="23" t="s">
        <v>38</v>
      </c>
      <c r="AA25" s="22">
        <f>AA4/AA3</f>
        <v>0.83333333333333326</v>
      </c>
      <c r="AC25" s="23" t="s">
        <v>38</v>
      </c>
      <c r="AD25" s="22">
        <v>0.9</v>
      </c>
      <c r="AF25" s="23" t="s">
        <v>38</v>
      </c>
      <c r="AG25" s="22">
        <f>AG4/AG3</f>
        <v>0.5</v>
      </c>
    </row>
    <row r="26" spans="2:33" x14ac:dyDescent="0.25">
      <c r="B26" s="23" t="s">
        <v>36</v>
      </c>
      <c r="C26" s="22">
        <f>C24/C25-C24</f>
        <v>0</v>
      </c>
      <c r="E26" s="23" t="s">
        <v>36</v>
      </c>
      <c r="F26" s="22">
        <f>F24/F25-F24</f>
        <v>2139.0233540738136</v>
      </c>
      <c r="H26" s="23" t="s">
        <v>36</v>
      </c>
      <c r="I26" s="22">
        <f>I24/I25-I24</f>
        <v>36.952941176470603</v>
      </c>
      <c r="K26" s="23" t="s">
        <v>36</v>
      </c>
      <c r="L26" s="22">
        <f>L24/L25-L24</f>
        <v>541.69000000000005</v>
      </c>
      <c r="N26" s="23" t="s">
        <v>36</v>
      </c>
      <c r="O26" s="22">
        <f>O24/O25-O24</f>
        <v>34.900000000000006</v>
      </c>
      <c r="Q26" s="23" t="s">
        <v>36</v>
      </c>
      <c r="R26" s="22">
        <f>R24/R25-R24</f>
        <v>861.54300000000035</v>
      </c>
      <c r="T26" s="23" t="s">
        <v>36</v>
      </c>
      <c r="U26" s="22">
        <f>U24/U25-U24</f>
        <v>692.27024225173955</v>
      </c>
      <c r="W26" s="23" t="s">
        <v>36</v>
      </c>
      <c r="X26" s="22">
        <f>X24/X25-X24</f>
        <v>311.62764705882364</v>
      </c>
      <c r="Z26" s="23" t="s">
        <v>36</v>
      </c>
      <c r="AA26" s="22">
        <f>AA24/AA25-AA24</f>
        <v>174.01499999999999</v>
      </c>
      <c r="AC26" s="23" t="s">
        <v>36</v>
      </c>
      <c r="AD26" s="22">
        <f>AD24/AD25-AD24</f>
        <v>400</v>
      </c>
      <c r="AF26" s="23" t="s">
        <v>36</v>
      </c>
      <c r="AG26" s="22">
        <f>AG24/AG25-AG24</f>
        <v>73.852499999999992</v>
      </c>
    </row>
    <row r="27" spans="2:33" x14ac:dyDescent="0.25">
      <c r="B27" s="24" t="s">
        <v>37</v>
      </c>
      <c r="C27" s="25">
        <f>C26+C24</f>
        <v>71299.058243384367</v>
      </c>
      <c r="E27" s="24" t="s">
        <v>37</v>
      </c>
      <c r="F27" s="25">
        <f>F26+F24</f>
        <v>15278.738243384378</v>
      </c>
      <c r="H27" s="24" t="s">
        <v>37</v>
      </c>
      <c r="I27" s="25">
        <f>I26+I24</f>
        <v>246.35294117647064</v>
      </c>
      <c r="K27" s="24" t="s">
        <v>37</v>
      </c>
      <c r="L27" s="25">
        <f>L26+L24</f>
        <v>3250.1400000000003</v>
      </c>
      <c r="N27" s="24" t="s">
        <v>37</v>
      </c>
      <c r="O27" s="25">
        <f>O26+O24</f>
        <v>209.40000000000003</v>
      </c>
      <c r="Q27" s="24" t="s">
        <v>37</v>
      </c>
      <c r="R27" s="25">
        <f>R26+R24</f>
        <v>2533.9500000000003</v>
      </c>
      <c r="T27" s="24" t="s">
        <v>37</v>
      </c>
      <c r="U27" s="25">
        <f>U26+U24</f>
        <v>9889.5748893105629</v>
      </c>
      <c r="W27" s="24" t="s">
        <v>37</v>
      </c>
      <c r="X27" s="25">
        <f>X26+X24</f>
        <v>2077.5176470588235</v>
      </c>
      <c r="Z27" s="24" t="s">
        <v>37</v>
      </c>
      <c r="AA27" s="25">
        <f>AA26+AA24</f>
        <v>1044.0899999999999</v>
      </c>
      <c r="AC27" s="24" t="s">
        <v>37</v>
      </c>
      <c r="AD27" s="25">
        <f>AD26+AD24</f>
        <v>4000</v>
      </c>
      <c r="AF27" s="24" t="s">
        <v>37</v>
      </c>
      <c r="AG27" s="25">
        <f>AG26+AG24</f>
        <v>147.70499999999998</v>
      </c>
    </row>
    <row r="29" spans="2:33" x14ac:dyDescent="0.25">
      <c r="AC29"/>
    </row>
    <row r="30" spans="2:33" x14ac:dyDescent="0.25">
      <c r="B30" s="28" t="s">
        <v>75</v>
      </c>
      <c r="C30" s="29">
        <v>24</v>
      </c>
    </row>
    <row r="31" spans="2:33" x14ac:dyDescent="0.25">
      <c r="B31" s="30" t="s">
        <v>74</v>
      </c>
      <c r="C31" s="31">
        <f>C5/1000</f>
        <v>2.9707940934743489</v>
      </c>
      <c r="F31"/>
    </row>
    <row r="32" spans="2:33" x14ac:dyDescent="0.25">
      <c r="B32" s="30" t="s">
        <v>73</v>
      </c>
      <c r="C32" s="31">
        <f>C27/1000</f>
        <v>71.299058243384366</v>
      </c>
    </row>
    <row r="33" spans="2:21" x14ac:dyDescent="0.25">
      <c r="B33" s="30" t="s">
        <v>81</v>
      </c>
      <c r="C33" s="31">
        <f>(C26+F26+L26+O26+R26+U26+X26+AA26+AD26+AG26+I26)/1000</f>
        <v>5.2658746845608482</v>
      </c>
    </row>
    <row r="34" spans="2:21" x14ac:dyDescent="0.25">
      <c r="B34" s="30" t="s">
        <v>38</v>
      </c>
      <c r="C34" s="31">
        <f>1-C33/C32</f>
        <v>0.9261438395639755</v>
      </c>
      <c r="N34"/>
      <c r="Q34"/>
    </row>
    <row r="35" spans="2:21" x14ac:dyDescent="0.25">
      <c r="B35" s="30" t="s">
        <v>133</v>
      </c>
      <c r="C35" s="31">
        <f>C8/1000</f>
        <v>0.63661409347434905</v>
      </c>
    </row>
    <row r="36" spans="2:21" x14ac:dyDescent="0.25">
      <c r="B36" s="30" t="s">
        <v>131</v>
      </c>
      <c r="C36" s="31">
        <f>C35*C30</f>
        <v>15.278738243384378</v>
      </c>
    </row>
    <row r="37" spans="2:21" x14ac:dyDescent="0.25">
      <c r="B37" s="26" t="s">
        <v>132</v>
      </c>
      <c r="C37" s="27">
        <f>1-C33/C36</f>
        <v>0.65534623339457054</v>
      </c>
    </row>
    <row r="38" spans="2:21" x14ac:dyDescent="0.25">
      <c r="D38"/>
    </row>
    <row r="40" spans="2:21" x14ac:dyDescent="0.25">
      <c r="B40" s="32" t="s">
        <v>95</v>
      </c>
      <c r="C40" s="33" t="e">
        <f>(#REF!*#REF!+AA4*AA6)/1000</f>
        <v>#REF!</v>
      </c>
    </row>
    <row r="44" spans="2:21" x14ac:dyDescent="0.25">
      <c r="U44"/>
    </row>
    <row r="46" spans="2:21" x14ac:dyDescent="0.25">
      <c r="U46"/>
    </row>
    <row r="48" spans="2:21" x14ac:dyDescent="0.25">
      <c r="S48"/>
    </row>
  </sheetData>
  <mergeCells count="22">
    <mergeCell ref="AF1:AG1"/>
    <mergeCell ref="B1:C1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T2:U2"/>
    <mergeCell ref="W2:X2"/>
    <mergeCell ref="Z2:AA2"/>
    <mergeCell ref="AC2:AD2"/>
    <mergeCell ref="AF2:AG2"/>
    <mergeCell ref="Q2:R2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2024-02-23T21:13:36Z</cp:lastPrinted>
  <dcterms:created xsi:type="dcterms:W3CDTF">2024-01-29T16:51:03Z</dcterms:created>
  <dcterms:modified xsi:type="dcterms:W3CDTF">2024-03-07T17:47:49Z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