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CE7F5325-4EA2-43D1-86F0-E502B9A8DE3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  <sheet name="Sheet11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41" i="11"/>
  <c r="D29" i="9"/>
  <c r="E29" i="9" s="1"/>
  <c r="D28" i="9"/>
  <c r="E28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3" i="9"/>
  <c r="E4" i="9"/>
  <c r="U21" i="11"/>
  <c r="AD4" i="11"/>
  <c r="AG6" i="11"/>
  <c r="AG25" i="11" s="1"/>
  <c r="AD6" i="11"/>
  <c r="AD25" i="11" s="1"/>
  <c r="AD27" i="11" s="1"/>
  <c r="AD28" i="11" s="1"/>
  <c r="R6" i="11"/>
  <c r="R25" i="11" s="1"/>
  <c r="O6" i="11"/>
  <c r="O25" i="11" s="1"/>
  <c r="AG4" i="11"/>
  <c r="AG26" i="11" s="1"/>
  <c r="AA4" i="11"/>
  <c r="AA26" i="11" s="1"/>
  <c r="X4" i="11"/>
  <c r="U4" i="11"/>
  <c r="R4" i="11"/>
  <c r="R26" i="11" s="1"/>
  <c r="O4" i="11"/>
  <c r="O26" i="11" s="1"/>
  <c r="L4" i="11"/>
  <c r="L26" i="11" s="1"/>
  <c r="I4" i="11"/>
  <c r="F4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F37" i="9"/>
  <c r="F35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7" i="11" l="1"/>
  <c r="R28" i="11" s="1"/>
  <c r="L9" i="11" s="1"/>
  <c r="L6" i="11" s="1"/>
  <c r="L25" i="11" s="1"/>
  <c r="L27" i="11" s="1"/>
  <c r="L28" i="11" s="1"/>
  <c r="F8" i="11" s="1"/>
  <c r="AG27" i="11"/>
  <c r="AG28" i="11" s="1"/>
  <c r="AA10" i="11" s="1"/>
  <c r="AA6" i="11" s="1"/>
  <c r="AA25" i="11" s="1"/>
  <c r="AA27" i="11" s="1"/>
  <c r="AA28" i="11" s="1"/>
  <c r="X9" i="11" s="1"/>
  <c r="X6" i="11" s="1"/>
  <c r="X25" i="11" s="1"/>
  <c r="X27" i="11" s="1"/>
  <c r="X28" i="11" s="1"/>
  <c r="U17" i="11" s="1"/>
  <c r="O27" i="11"/>
  <c r="O28" i="11" s="1"/>
  <c r="I7" i="11" s="1"/>
  <c r="I6" i="11" s="1"/>
  <c r="I25" i="11" s="1"/>
  <c r="I27" i="11" s="1"/>
  <c r="I28" i="11" s="1"/>
  <c r="F7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U6" i="11" l="1"/>
  <c r="U25" i="11" s="1"/>
  <c r="U27" i="11" s="1"/>
  <c r="U28" i="11" s="1"/>
  <c r="F9" i="11" s="1"/>
  <c r="F6" i="11" s="1"/>
  <c r="F25" i="11" s="1"/>
  <c r="F27" i="11" s="1"/>
  <c r="F28" i="11" s="1"/>
  <c r="C9" i="11" s="1"/>
  <c r="C36" i="11" s="1"/>
  <c r="C37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6" i="11" l="1"/>
  <c r="C32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5" i="11" l="1"/>
  <c r="C27" i="11" s="1"/>
  <c r="C34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11" l="1"/>
  <c r="C33" i="11" s="1"/>
  <c r="C35" i="11" s="1"/>
  <c r="C38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<sst xmlns="http://schemas.openxmlformats.org/spreadsheetml/2006/main" count="1355" uniqueCount="169">
  <si>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</si>
  <si>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</si>
  <si>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</si>
  <si>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</si>
  <si>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</si>
  <si>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</si>
  <si>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</si>
  <si>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</si>
  <si>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</si>
  <si>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</si>
  <si>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</si>
  <si>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</si>
  <si>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</si>
  <si>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</si>
  <si>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</si>
  <si>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</si>
  <si>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</si>
  <si>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</si>
  <si>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</si>
  <si>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</si>
  <si>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</si>
  <si>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</si>
  <si>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</si>
  <si>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</si>
  <si>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</si>
  <si>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</si>
  <si>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</si>
  <si>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</si>
  <si>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</si>
  <si>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</si>
  <si>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</si>
  <si>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</si>
  <si>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</si>
  <si>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</si>
  <si>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</si>
  <si>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</si>
  <si>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</si>
  <si>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</si>
  <si>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</si>
  <si>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</si>
  <si>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</si>
  <si>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</si>
  <si>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</si>
  <si>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</si>
  <si>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</si>
  <si>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</si>
  <si>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</si>
  <si>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</si>
  <si>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</si>
  <si>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</si>
  <si>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</si>
  <si>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</si>
  <si>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</si>
  <si>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</si>
  <si>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</si>
  <si>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</si>
  <si>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</si>
  <si>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</si>
  <si>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</si>
  <si>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</si>
  <si>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</si>
  <si>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</si>
  <si>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</si>
  <si>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</si>
  <si>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</si>
  <si>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</si>
  <si>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</si>
  <si>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</si>
  <si>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</si>
  <si>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</si>
  <si>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</si>
  <si>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</si>
  <si>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</si>
  <si>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</si>
  <si>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</si>
  <si>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</si>
  <si>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</si>
  <si>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</si>
  <si>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</si>
  <si>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</si>
  <si>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</si>
  <si>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</si>
  <si>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</si>
  <si>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</si>
  <si>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</si>
  <si>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</si>
  <si>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</si>
  <si>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</si>
  <si>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</si>
  <si>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</si>
  <si>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</si>
  <si>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</si>
  <si>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</si>
  <si>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</si>
  <si>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</si>
  <si>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</si>
  <si>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</si>
  <si>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</si>
  <si>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</si>
  <si>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</si>
  <si>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</si>
  <si>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</si>
  <si>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</si>
  <si>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</si>
  <si>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</si>
  <si>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</si>
  <si>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</si>
  <si>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</si>
  <si>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</si>
  <si>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</si>
  <si>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</si>
  <si>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</si>
  <si>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</si>
  <si>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</si>
  <si>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</si>
  <si>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</si>
  <si>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</si>
  <si>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</si>
  <si>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</si>
  <si>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</si>
  <si>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</si>
  <si>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</si>
  <si>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</si>
  <si>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</si>
  <si>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</si>
  <si>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</si>
  <si>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</si>
  <si>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</si>
  <si>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</si>
  <si>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</si>
  <si>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</si>
  <si>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</si>
  <si>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</si>
  <si>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</si>
  <si>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</si>
  <si>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</si>
  <si>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</si>
  <si>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</si>
  <si>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(mils)</t>
  </si>
  <si>
    <t>(mm)</t>
  </si>
  <si>
    <t>Thickness</t>
  </si>
  <si>
    <t>Top Solder</t>
  </si>
  <si>
    <t>Top Layer</t>
  </si>
  <si>
    <t>Bottom Solder</t>
  </si>
  <si>
    <t>Solder mask</t>
  </si>
  <si>
    <t>Int2 (Sign)</t>
  </si>
  <si>
    <t>Int4 (Sign)</t>
  </si>
  <si>
    <t>Int11 (Sign)</t>
  </si>
  <si>
    <t>U2 - SWR - PTH08T241</t>
  </si>
  <si>
    <t>Type</t>
  </si>
  <si>
    <t>Name</t>
  </si>
  <si>
    <t>Dk</t>
  </si>
  <si>
    <t>Total thickness</t>
  </si>
  <si>
    <t>Total thickness (without solder mask)</t>
  </si>
  <si>
    <t>width (mil)</t>
  </si>
  <si>
    <t>spacing (mil)</t>
  </si>
  <si>
    <t>impedance (ohm)</t>
  </si>
  <si>
    <t>deviation (%)</t>
  </si>
  <si>
    <t>50-ohm single ended</t>
  </si>
  <si>
    <t>40-ohm single ended</t>
  </si>
  <si>
    <t>top / bot layer</t>
  </si>
  <si>
    <t>inner layer</t>
  </si>
  <si>
    <t>100-ohm diff pair</t>
  </si>
  <si>
    <t>80-ohm diff pair</t>
  </si>
  <si>
    <t>Matérial</t>
  </si>
  <si>
    <t>SM-001</t>
  </si>
  <si>
    <t>CF-004</t>
  </si>
  <si>
    <t>S1170G</t>
  </si>
  <si>
    <t>S1141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</si>
</sst>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0" fillId="0" borderId="3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9" borderId="3" xfId="0" applyFill="1" applyBorder="1"/>
    <xf numFmtId="0" fontId="0" fillId="10" borderId="3" xfId="0" applyFill="1" applyBorder="1"/>
    <xf numFmtId="2" fontId="0" fillId="10" borderId="0" xfId="0" applyNumberFormat="1" applyFill="1" applyBorder="1" applyAlignment="1">
      <alignment vertical="center"/>
    </xf>
    <xf numFmtId="2" fontId="0" fillId="10" borderId="4" xfId="0" applyNumberFormat="1" applyFill="1" applyBorder="1" applyAlignment="1">
      <alignment vertical="center"/>
    </xf>
    <xf numFmtId="0" fontId="0" fillId="11" borderId="3" xfId="0" applyFill="1" applyBorder="1"/>
    <xf numFmtId="2" fontId="0" fillId="11" borderId="0" xfId="0" applyNumberFormat="1" applyFill="1" applyBorder="1" applyAlignment="1">
      <alignment vertical="center"/>
    </xf>
    <xf numFmtId="2" fontId="0" fillId="11" borderId="4" xfId="0" applyNumberFormat="1" applyFill="1" applyBorder="1" applyAlignment="1">
      <alignment vertical="center"/>
    </xf>
    <xf numFmtId="0" fontId="0" fillId="12" borderId="1" xfId="0" applyFill="1" applyBorder="1"/>
    <xf numFmtId="0" fontId="0" fillId="12" borderId="9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/>
    <xf numFmtId="0" fontId="0" fillId="12" borderId="0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2" fontId="0" fillId="12" borderId="0" xfId="0" applyNumberFormat="1" applyFill="1" applyBorder="1" applyAlignment="1">
      <alignment vertical="center"/>
    </xf>
    <xf numFmtId="2" fontId="0" fillId="12" borderId="4" xfId="0" applyNumberFormat="1" applyFill="1" applyBorder="1" applyAlignment="1">
      <alignment vertical="center"/>
    </xf>
    <xf numFmtId="2" fontId="0" fillId="9" borderId="0" xfId="0" applyNumberFormat="1" applyFill="1" applyBorder="1" applyAlignment="1">
      <alignment vertical="center"/>
    </xf>
    <xf numFmtId="2" fontId="0" fillId="9" borderId="4" xfId="0" applyNumberFormat="1" applyFill="1" applyBorder="1" applyAlignment="1">
      <alignment vertical="center"/>
    </xf>
    <xf numFmtId="0" fontId="0" fillId="13" borderId="3" xfId="0" applyFill="1" applyBorder="1"/>
    <xf numFmtId="2" fontId="0" fillId="13" borderId="0" xfId="0" applyNumberFormat="1" applyFill="1" applyBorder="1" applyAlignment="1">
      <alignment vertical="center"/>
    </xf>
    <xf numFmtId="2" fontId="0" fillId="13" borderId="4" xfId="0" applyNumberFormat="1" applyFill="1" applyBorder="1" applyAlignment="1">
      <alignment vertical="center"/>
    </xf>
    <xf numFmtId="0" fontId="0" fillId="13" borderId="5" xfId="0" applyFill="1" applyBorder="1"/>
    <xf numFmtId="2" fontId="0" fillId="13" borderId="10" xfId="0" applyNumberFormat="1" applyFill="1" applyBorder="1" applyAlignment="1">
      <alignment vertical="center"/>
    </xf>
    <xf numFmtId="2" fontId="0" fillId="13" borderId="6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12" borderId="0" xfId="0" applyNumberFormat="1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164" fontId="0" fillId="12" borderId="10" xfId="0" applyNumberFormat="1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5" xfId="0" applyFill="1" applyBorder="1" applyAlignment="1">
      <alignment vertical="center"/>
    </xf>
  </cellXfs>
  <cellStyles count="1">
    <cellStyle name="Normal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29</xdr:row>
      <xdr:rowOff>1</xdr:rowOff>
    </xdr:from>
    <xdr:to>
      <xdr:col>24</xdr:col>
      <xdr:colOff>1</xdr:colOff>
      <xdr:row>41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29</xdr:row>
      <xdr:rowOff>1</xdr:rowOff>
    </xdr:from>
    <xdr:to>
      <xdr:col>18</xdr:col>
      <xdr:colOff>1</xdr:colOff>
      <xdr:row>41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1</xdr:rowOff>
    </xdr:from>
    <xdr:to>
      <xdr:col>27</xdr:col>
      <xdr:colOff>0</xdr:colOff>
      <xdr:row>41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3</xdr:rowOff>
    </xdr:from>
    <xdr:to>
      <xdr:col>12</xdr:col>
      <xdr:colOff>0</xdr:colOff>
      <xdr:row>41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28</xdr:row>
      <xdr:rowOff>190500</xdr:rowOff>
    </xdr:from>
    <xdr:to>
      <xdr:col>6</xdr:col>
      <xdr:colOff>1</xdr:colOff>
      <xdr:row>41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1</xdr:rowOff>
    </xdr:from>
    <xdr:to>
      <xdr:col>30</xdr:col>
      <xdr:colOff>0</xdr:colOff>
      <xdr:row>41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0</xdr:colOff>
      <xdr:row>41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204106</xdr:rowOff>
    </xdr:from>
    <xdr:to>
      <xdr:col>15</xdr:col>
      <xdr:colOff>2366</xdr:colOff>
      <xdr:row>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21</xdr:col>
      <xdr:colOff>0</xdr:colOff>
      <xdr:row>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sheetPr>
    <pageSetUpPr fitToPage="1"/>
  </sheetPr>
  <dimension ref="A1:G37"/>
  <sheetViews>
    <sheetView zoomScaleNormal="100" workbookViewId="0">
      <selection activeCell="H16" sqref="H16"/>
    </sheetView>
  </sheetViews>
  <sheetFormatPr defaultColWidth="9.140625" defaultRowHeight="15" x14ac:dyDescent="0.25"/>
  <cols>
    <col min="1" max="6" width="16.7109375" style="34" customWidth="1"/>
    <col min="7" max="7" width="18.7109375" style="46" customWidth="1"/>
    <col min="8" max="11" width="18.7109375" style="34" customWidth="1"/>
    <col min="12" max="16384" width="9.140625" style="34"/>
  </cols>
  <sheetData>
    <row r="1" spans="1:7" x14ac:dyDescent="0.25">
      <c r="A1" s="70" t="s">
        <v>150</v>
      </c>
      <c r="B1" s="71" t="s">
        <v>164</v>
      </c>
      <c r="C1" s="71" t="s">
        <v>149</v>
      </c>
      <c r="D1" s="71" t="s">
        <v>140</v>
      </c>
      <c r="E1" s="71" t="s">
        <v>140</v>
      </c>
      <c r="F1" s="72" t="s">
        <v>151</v>
      </c>
      <c r="G1" s="34"/>
    </row>
    <row r="2" spans="1:7" x14ac:dyDescent="0.25">
      <c r="A2" s="73"/>
      <c r="B2" s="74"/>
      <c r="C2" s="74"/>
      <c r="D2" s="74" t="s">
        <v>138</v>
      </c>
      <c r="E2" s="74" t="s">
        <v>139</v>
      </c>
      <c r="F2" s="75"/>
      <c r="G2" s="34"/>
    </row>
    <row r="3" spans="1:7" x14ac:dyDescent="0.25">
      <c r="A3" s="41" t="s">
        <v>141</v>
      </c>
      <c r="B3" s="42" t="s">
        <v>165</v>
      </c>
      <c r="C3" s="42" t="s">
        <v>144</v>
      </c>
      <c r="D3" s="43">
        <v>2</v>
      </c>
      <c r="E3" s="43">
        <f>D3*0.0254</f>
        <v>5.0799999999999998E-2</v>
      </c>
      <c r="F3" s="44">
        <v>4</v>
      </c>
      <c r="G3" s="34"/>
    </row>
    <row r="4" spans="1:7" x14ac:dyDescent="0.25">
      <c r="A4" s="41" t="s">
        <v>142</v>
      </c>
      <c r="B4" s="42" t="s">
        <v>166</v>
      </c>
      <c r="C4" s="45" t="s">
        <v>99</v>
      </c>
      <c r="D4" s="43">
        <v>1.3779999999999999</v>
      </c>
      <c r="E4" s="43">
        <f>D4*0.0254</f>
        <v>3.5001199999999996E-2</v>
      </c>
      <c r="F4" s="44"/>
      <c r="G4" s="34"/>
    </row>
    <row r="5" spans="1:7" x14ac:dyDescent="0.25">
      <c r="A5" s="41" t="s">
        <v>103</v>
      </c>
      <c r="B5" s="42" t="s">
        <v>167</v>
      </c>
      <c r="C5" s="45" t="s">
        <v>97</v>
      </c>
      <c r="D5" s="43">
        <v>3.15</v>
      </c>
      <c r="E5" s="43">
        <f t="shared" ref="E5:E27" si="0">D5*0.0254</f>
        <v>8.0009999999999998E-2</v>
      </c>
      <c r="F5" s="44">
        <v>4.4000000000000004</v>
      </c>
      <c r="G5" s="34"/>
    </row>
    <row r="6" spans="1:7" x14ac:dyDescent="0.25">
      <c r="A6" s="41" t="s">
        <v>104</v>
      </c>
      <c r="B6" s="42" t="s">
        <v>166</v>
      </c>
      <c r="C6" s="45" t="s">
        <v>99</v>
      </c>
      <c r="D6" s="43">
        <v>0.68899999999999995</v>
      </c>
      <c r="E6" s="43">
        <f t="shared" si="0"/>
        <v>1.7500599999999998E-2</v>
      </c>
      <c r="F6" s="44"/>
      <c r="G6" s="34"/>
    </row>
    <row r="7" spans="1:7" x14ac:dyDescent="0.25">
      <c r="A7" s="41" t="s">
        <v>105</v>
      </c>
      <c r="B7" s="42" t="s">
        <v>168</v>
      </c>
      <c r="C7" s="45" t="s">
        <v>98</v>
      </c>
      <c r="D7" s="43">
        <v>7.87</v>
      </c>
      <c r="E7" s="43">
        <f t="shared" si="0"/>
        <v>0.19989799999999999</v>
      </c>
      <c r="F7" s="44">
        <v>4.5999999999999996</v>
      </c>
      <c r="G7" s="34"/>
    </row>
    <row r="8" spans="1:7" x14ac:dyDescent="0.25">
      <c r="A8" s="41" t="s">
        <v>145</v>
      </c>
      <c r="B8" s="42" t="s">
        <v>166</v>
      </c>
      <c r="C8" s="45" t="s">
        <v>99</v>
      </c>
      <c r="D8" s="43">
        <v>0.68899999999999995</v>
      </c>
      <c r="E8" s="43">
        <f t="shared" si="0"/>
        <v>1.7500599999999998E-2</v>
      </c>
      <c r="F8" s="44"/>
      <c r="G8" s="34"/>
    </row>
    <row r="9" spans="1:7" x14ac:dyDescent="0.25">
      <c r="A9" s="41" t="s">
        <v>106</v>
      </c>
      <c r="B9" s="42" t="s">
        <v>167</v>
      </c>
      <c r="C9" s="45" t="s">
        <v>97</v>
      </c>
      <c r="D9" s="43">
        <v>3.15</v>
      </c>
      <c r="E9" s="43">
        <f t="shared" si="0"/>
        <v>8.0009999999999998E-2</v>
      </c>
      <c r="F9" s="44">
        <v>4.4000000000000004</v>
      </c>
      <c r="G9" s="34"/>
    </row>
    <row r="10" spans="1:7" x14ac:dyDescent="0.25">
      <c r="A10" s="41" t="s">
        <v>110</v>
      </c>
      <c r="B10" s="42" t="s">
        <v>166</v>
      </c>
      <c r="C10" s="45" t="s">
        <v>99</v>
      </c>
      <c r="D10" s="43">
        <v>0.68899999999999995</v>
      </c>
      <c r="E10" s="43">
        <f t="shared" si="0"/>
        <v>1.7500599999999998E-2</v>
      </c>
      <c r="F10" s="44"/>
      <c r="G10" s="34"/>
    </row>
    <row r="11" spans="1:7" x14ac:dyDescent="0.25">
      <c r="A11" s="41" t="s">
        <v>107</v>
      </c>
      <c r="B11" s="42" t="s">
        <v>168</v>
      </c>
      <c r="C11" s="45" t="s">
        <v>98</v>
      </c>
      <c r="D11" s="43">
        <v>7.87</v>
      </c>
      <c r="E11" s="43">
        <f t="shared" si="0"/>
        <v>0.19989799999999999</v>
      </c>
      <c r="F11" s="44">
        <v>4.5999999999999996</v>
      </c>
      <c r="G11" s="34"/>
    </row>
    <row r="12" spans="1:7" x14ac:dyDescent="0.25">
      <c r="A12" s="41" t="s">
        <v>146</v>
      </c>
      <c r="B12" s="42" t="s">
        <v>166</v>
      </c>
      <c r="C12" s="45" t="s">
        <v>99</v>
      </c>
      <c r="D12" s="43">
        <v>0.68899999999999995</v>
      </c>
      <c r="E12" s="43">
        <f t="shared" si="0"/>
        <v>1.7500599999999998E-2</v>
      </c>
      <c r="F12" s="44"/>
      <c r="G12" s="34"/>
    </row>
    <row r="13" spans="1:7" x14ac:dyDescent="0.25">
      <c r="A13" s="41" t="s">
        <v>108</v>
      </c>
      <c r="B13" s="42" t="s">
        <v>167</v>
      </c>
      <c r="C13" s="45" t="s">
        <v>97</v>
      </c>
      <c r="D13" s="43">
        <v>3.15</v>
      </c>
      <c r="E13" s="43">
        <f t="shared" si="0"/>
        <v>8.0009999999999998E-2</v>
      </c>
      <c r="F13" s="44">
        <v>4.4000000000000004</v>
      </c>
      <c r="G13" s="34"/>
    </row>
    <row r="14" spans="1:7" x14ac:dyDescent="0.25">
      <c r="A14" s="41" t="s">
        <v>111</v>
      </c>
      <c r="B14" s="42" t="s">
        <v>166</v>
      </c>
      <c r="C14" s="45" t="s">
        <v>99</v>
      </c>
      <c r="D14" s="43">
        <v>0.68899999999999995</v>
      </c>
      <c r="E14" s="43">
        <f t="shared" si="0"/>
        <v>1.7500599999999998E-2</v>
      </c>
      <c r="F14" s="44"/>
      <c r="G14" s="34"/>
    </row>
    <row r="15" spans="1:7" x14ac:dyDescent="0.25">
      <c r="A15" s="41" t="s">
        <v>109</v>
      </c>
      <c r="B15" s="42" t="s">
        <v>168</v>
      </c>
      <c r="C15" s="45" t="s">
        <v>98</v>
      </c>
      <c r="D15" s="43">
        <v>7.87</v>
      </c>
      <c r="E15" s="43">
        <f t="shared" si="0"/>
        <v>0.19989799999999999</v>
      </c>
      <c r="F15" s="44">
        <v>4.5999999999999996</v>
      </c>
      <c r="G15" s="34"/>
    </row>
    <row r="16" spans="1:7" x14ac:dyDescent="0.25">
      <c r="A16" s="41" t="s">
        <v>112</v>
      </c>
      <c r="B16" s="42" t="s">
        <v>166</v>
      </c>
      <c r="C16" s="45" t="s">
        <v>99</v>
      </c>
      <c r="D16" s="43">
        <v>0.68899999999999995</v>
      </c>
      <c r="E16" s="43">
        <f t="shared" si="0"/>
        <v>1.7500599999999998E-2</v>
      </c>
      <c r="F16" s="44"/>
      <c r="G16" s="34"/>
    </row>
    <row r="17" spans="1:7" x14ac:dyDescent="0.25">
      <c r="A17" s="41" t="s">
        <v>113</v>
      </c>
      <c r="B17" s="42" t="s">
        <v>167</v>
      </c>
      <c r="C17" s="45" t="s">
        <v>97</v>
      </c>
      <c r="D17" s="43">
        <v>3.15</v>
      </c>
      <c r="E17" s="43">
        <f t="shared" si="0"/>
        <v>8.0009999999999998E-2</v>
      </c>
      <c r="F17" s="44">
        <v>4.4000000000000004</v>
      </c>
      <c r="G17" s="34"/>
    </row>
    <row r="18" spans="1:7" x14ac:dyDescent="0.25">
      <c r="A18" s="41" t="s">
        <v>114</v>
      </c>
      <c r="B18" s="42" t="s">
        <v>166</v>
      </c>
      <c r="C18" s="45" t="s">
        <v>99</v>
      </c>
      <c r="D18" s="43">
        <v>0.68899999999999995</v>
      </c>
      <c r="E18" s="43">
        <f t="shared" si="0"/>
        <v>1.7500599999999998E-2</v>
      </c>
      <c r="F18" s="44"/>
      <c r="G18" s="34"/>
    </row>
    <row r="19" spans="1:7" x14ac:dyDescent="0.25">
      <c r="A19" s="41" t="s">
        <v>115</v>
      </c>
      <c r="B19" s="42" t="s">
        <v>168</v>
      </c>
      <c r="C19" s="45" t="s">
        <v>98</v>
      </c>
      <c r="D19" s="43">
        <v>7.87</v>
      </c>
      <c r="E19" s="43">
        <f t="shared" si="0"/>
        <v>0.19989799999999999</v>
      </c>
      <c r="F19" s="44">
        <v>4.5999999999999996</v>
      </c>
      <c r="G19" s="34"/>
    </row>
    <row r="20" spans="1:7" x14ac:dyDescent="0.25">
      <c r="A20" s="41" t="s">
        <v>116</v>
      </c>
      <c r="B20" s="42" t="s">
        <v>166</v>
      </c>
      <c r="C20" s="45" t="s">
        <v>99</v>
      </c>
      <c r="D20" s="43">
        <v>0.68899999999999995</v>
      </c>
      <c r="E20" s="43">
        <f t="shared" si="0"/>
        <v>1.7500599999999998E-2</v>
      </c>
      <c r="F20" s="44"/>
      <c r="G20" s="34"/>
    </row>
    <row r="21" spans="1:7" x14ac:dyDescent="0.25">
      <c r="A21" s="41" t="s">
        <v>117</v>
      </c>
      <c r="B21" s="42" t="s">
        <v>167</v>
      </c>
      <c r="C21" s="45" t="s">
        <v>97</v>
      </c>
      <c r="D21" s="43">
        <v>3.15</v>
      </c>
      <c r="E21" s="43">
        <f t="shared" si="0"/>
        <v>8.0009999999999998E-2</v>
      </c>
      <c r="F21" s="44">
        <v>4.4000000000000004</v>
      </c>
      <c r="G21" s="34"/>
    </row>
    <row r="22" spans="1:7" x14ac:dyDescent="0.25">
      <c r="A22" s="41" t="s">
        <v>147</v>
      </c>
      <c r="B22" s="42" t="s">
        <v>166</v>
      </c>
      <c r="C22" s="45" t="s">
        <v>99</v>
      </c>
      <c r="D22" s="43">
        <v>0.68899999999999995</v>
      </c>
      <c r="E22" s="43">
        <f t="shared" si="0"/>
        <v>1.7500599999999998E-2</v>
      </c>
      <c r="F22" s="44"/>
      <c r="G22" s="34"/>
    </row>
    <row r="23" spans="1:7" x14ac:dyDescent="0.25">
      <c r="A23" s="41" t="s">
        <v>118</v>
      </c>
      <c r="B23" s="42" t="s">
        <v>168</v>
      </c>
      <c r="C23" s="45" t="s">
        <v>98</v>
      </c>
      <c r="D23" s="43">
        <v>7.87</v>
      </c>
      <c r="E23" s="43">
        <f t="shared" si="0"/>
        <v>0.19989799999999999</v>
      </c>
      <c r="F23" s="44">
        <v>4.5999999999999996</v>
      </c>
      <c r="G23" s="34"/>
    </row>
    <row r="24" spans="1:7" x14ac:dyDescent="0.25">
      <c r="A24" s="41" t="s">
        <v>119</v>
      </c>
      <c r="B24" s="42" t="s">
        <v>166</v>
      </c>
      <c r="C24" s="45" t="s">
        <v>99</v>
      </c>
      <c r="D24" s="43">
        <v>0.68899999999999995</v>
      </c>
      <c r="E24" s="43">
        <f t="shared" si="0"/>
        <v>1.7500599999999998E-2</v>
      </c>
      <c r="F24" s="44"/>
      <c r="G24" s="34"/>
    </row>
    <row r="25" spans="1:7" x14ac:dyDescent="0.25">
      <c r="A25" s="41" t="s">
        <v>120</v>
      </c>
      <c r="B25" s="42" t="s">
        <v>167</v>
      </c>
      <c r="C25" s="45" t="s">
        <v>97</v>
      </c>
      <c r="D25" s="43">
        <v>3.15</v>
      </c>
      <c r="E25" s="43">
        <f t="shared" si="0"/>
        <v>8.0009999999999998E-2</v>
      </c>
      <c r="F25" s="44">
        <v>4.4000000000000004</v>
      </c>
      <c r="G25" s="34"/>
    </row>
    <row r="26" spans="1:7" x14ac:dyDescent="0.25">
      <c r="A26" s="41" t="s">
        <v>121</v>
      </c>
      <c r="B26" s="42" t="s">
        <v>166</v>
      </c>
      <c r="C26" s="45" t="s">
        <v>99</v>
      </c>
      <c r="D26" s="43">
        <v>1.3779999999999999</v>
      </c>
      <c r="E26" s="43">
        <f t="shared" si="0"/>
        <v>3.5001199999999996E-2</v>
      </c>
      <c r="F26" s="44"/>
      <c r="G26" s="34"/>
    </row>
    <row r="27" spans="1:7" x14ac:dyDescent="0.25">
      <c r="A27" s="41" t="s">
        <v>143</v>
      </c>
      <c r="B27" s="42" t="s">
        <v>165</v>
      </c>
      <c r="C27" s="42" t="s">
        <v>144</v>
      </c>
      <c r="D27" s="43">
        <v>2</v>
      </c>
      <c r="E27" s="43">
        <f t="shared" si="0"/>
        <v>5.0799999999999998E-2</v>
      </c>
      <c r="F27" s="44">
        <v>4</v>
      </c>
      <c r="G27" s="34"/>
    </row>
    <row r="28" spans="1:7" x14ac:dyDescent="0.25">
      <c r="A28" s="80" t="s">
        <v>152</v>
      </c>
      <c r="B28" s="58"/>
      <c r="C28" s="58"/>
      <c r="D28" s="76">
        <f>SUM(D3:D27)</f>
        <v>71.895999999999987</v>
      </c>
      <c r="E28" s="76">
        <f t="shared" ref="E28:E29" si="1">D28*0.0254</f>
        <v>1.8261583999999995</v>
      </c>
      <c r="F28" s="61"/>
      <c r="G28" s="34"/>
    </row>
    <row r="29" spans="1:7" x14ac:dyDescent="0.25">
      <c r="A29" s="81" t="s">
        <v>153</v>
      </c>
      <c r="B29" s="77"/>
      <c r="C29" s="77"/>
      <c r="D29" s="78">
        <f>SUM(D4:D26)</f>
        <v>67.895999999999987</v>
      </c>
      <c r="E29" s="77">
        <f t="shared" si="1"/>
        <v>1.7245583999999996</v>
      </c>
      <c r="F29" s="79"/>
    </row>
    <row r="33" spans="5:6" x14ac:dyDescent="0.25">
      <c r="E33" s="34" t="s">
        <v>102</v>
      </c>
      <c r="F33" s="34" t="s">
        <v>102</v>
      </c>
    </row>
    <row r="34" spans="5:6" x14ac:dyDescent="0.25">
      <c r="E34" s="34" t="s">
        <v>100</v>
      </c>
      <c r="F34" s="34" t="s">
        <v>101</v>
      </c>
    </row>
    <row r="35" spans="5:6" x14ac:dyDescent="0.25">
      <c r="E35" s="34">
        <v>2.4</v>
      </c>
      <c r="F35" s="34">
        <f>E35*39.37</f>
        <v>94.487999999999985</v>
      </c>
    </row>
    <row r="36" spans="5:6" x14ac:dyDescent="0.25">
      <c r="E36" s="34" t="s">
        <v>101</v>
      </c>
      <c r="F36" s="34" t="s">
        <v>100</v>
      </c>
    </row>
    <row r="37" spans="5:6" x14ac:dyDescent="0.25">
      <c r="E37" s="34">
        <v>7.87</v>
      </c>
      <c r="F37" s="34">
        <f>E37*0.0254</f>
        <v>0.19989799999999999</v>
      </c>
    </row>
  </sheetData>
  <phoneticPr fontId="4" type="noConversion"/>
  <conditionalFormatting sqref="A3:F27">
    <cfRule type="expression" dxfId="21" priority="253">
      <formula>$C3="Solder Mask"</formula>
    </cfRule>
    <cfRule type="expression" dxfId="20" priority="255">
      <formula>$C3="Signal"</formula>
    </cfRule>
    <cfRule type="expression" dxfId="19" priority="258">
      <formula>$C3="Prepreg"</formula>
    </cfRule>
  </conditionalFormatting>
  <conditionalFormatting sqref="A3:F28">
    <cfRule type="expression" dxfId="18" priority="245">
      <formula>$C3="Core"</formula>
    </cfRule>
  </conditionalFormatting>
  <conditionalFormatting sqref="E28:F28">
    <cfRule type="expression" dxfId="17" priority="36">
      <formula>$C28="Bot"</formula>
    </cfRule>
    <cfRule type="expression" dxfId="16" priority="37">
      <formula>$C28="Signal"</formula>
    </cfRule>
    <cfRule type="expression" dxfId="15" priority="38">
      <formula>$C28="Signal (PWR)"</formula>
    </cfRule>
    <cfRule type="expression" dxfId="14" priority="39">
      <formula>$C28="Core"</formula>
    </cfRule>
    <cfRule type="expression" dxfId="13" priority="40">
      <formula>$C28="Signal (GND)"</formula>
    </cfRule>
    <cfRule type="expression" dxfId="12" priority="41">
      <formula>$C28="Prepreg"</formula>
    </cfRule>
    <cfRule type="expression" dxfId="11" priority="42">
      <formula>$C28="Top"</formula>
    </cfRule>
  </conditionalFormatting>
  <conditionalFormatting sqref="E33:F33">
    <cfRule type="cellIs" dxfId="10" priority="225" operator="equal">
      <formula>"Signal (PWR)"</formula>
    </cfRule>
    <cfRule type="cellIs" dxfId="9" priority="226" operator="equal">
      <formula>"Signal (GND)"</formula>
    </cfRule>
    <cfRule type="cellIs" dxfId="8" priority="227" operator="equal">
      <formula>"Core"</formula>
    </cfRule>
    <cfRule type="cellIs" dxfId="7" priority="228" operator="equal">
      <formula>"Prepreg"</formula>
    </cfRule>
    <cfRule type="cellIs" dxfId="6" priority="229" operator="equal">
      <formula>"Signal"</formula>
    </cfRule>
    <cfRule type="cellIs" dxfId="5" priority="230" operator="equal">
      <formula>"Bot"</formula>
    </cfRule>
    <cfRule type="cellIs" dxfId="4" priority="231" operator="equal">
      <formula>"Top"</formula>
    </cfRule>
  </conditionalFormatting>
  <pageMargins left="0.25" right="0.25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7CD0-8653-43DA-874A-5FC68A534B68}">
  <sheetPr>
    <pageSetUpPr fitToPage="1"/>
  </sheetPr>
  <dimension ref="A1:E27"/>
  <sheetViews>
    <sheetView workbookViewId="0">
      <selection activeCell="G27" sqref="G26:G27"/>
    </sheetView>
  </sheetViews>
  <sheetFormatPr defaultRowHeight="15" x14ac:dyDescent="0.25"/>
  <cols>
    <col min="1" max="7" width="20.7109375" customWidth="1"/>
  </cols>
  <sheetData>
    <row r="1" spans="1:5" x14ac:dyDescent="0.25">
      <c r="A1" s="54"/>
      <c r="B1" s="55" t="s">
        <v>158</v>
      </c>
      <c r="C1" s="55" t="s">
        <v>159</v>
      </c>
      <c r="D1" s="55" t="s">
        <v>162</v>
      </c>
      <c r="E1" s="56" t="s">
        <v>163</v>
      </c>
    </row>
    <row r="2" spans="1:5" x14ac:dyDescent="0.25">
      <c r="A2" s="57" t="s">
        <v>160</v>
      </c>
      <c r="B2" s="58"/>
      <c r="C2" s="58"/>
      <c r="D2" s="58"/>
      <c r="E2" s="59"/>
    </row>
    <row r="3" spans="1:5" x14ac:dyDescent="0.25">
      <c r="A3" s="48" t="s">
        <v>154</v>
      </c>
      <c r="B3" s="49">
        <v>4</v>
      </c>
      <c r="C3" s="49">
        <v>7</v>
      </c>
      <c r="D3" s="49">
        <v>3</v>
      </c>
      <c r="E3" s="50">
        <v>5</v>
      </c>
    </row>
    <row r="4" spans="1:5" x14ac:dyDescent="0.25">
      <c r="A4" s="51" t="s">
        <v>155</v>
      </c>
      <c r="B4" s="52">
        <v>12</v>
      </c>
      <c r="C4" s="52">
        <v>21</v>
      </c>
      <c r="D4" s="52">
        <v>7</v>
      </c>
      <c r="E4" s="53">
        <v>6</v>
      </c>
    </row>
    <row r="5" spans="1:5" x14ac:dyDescent="0.25">
      <c r="A5" s="47" t="s">
        <v>156</v>
      </c>
      <c r="B5" s="62">
        <v>50.5</v>
      </c>
      <c r="C5" s="62">
        <v>39.020000000000003</v>
      </c>
      <c r="D5" s="62">
        <v>99.27</v>
      </c>
      <c r="E5" s="63">
        <v>79.819999999999993</v>
      </c>
    </row>
    <row r="6" spans="1:5" x14ac:dyDescent="0.25">
      <c r="A6" s="64" t="s">
        <v>157</v>
      </c>
      <c r="B6" s="65">
        <v>1</v>
      </c>
      <c r="C6" s="65">
        <v>2.4500000000000002</v>
      </c>
      <c r="D6" s="65">
        <v>0.73</v>
      </c>
      <c r="E6" s="66">
        <v>0.23</v>
      </c>
    </row>
    <row r="7" spans="1:5" x14ac:dyDescent="0.25">
      <c r="A7" s="57" t="s">
        <v>161</v>
      </c>
      <c r="B7" s="60"/>
      <c r="C7" s="60"/>
      <c r="D7" s="60"/>
      <c r="E7" s="61"/>
    </row>
    <row r="8" spans="1:5" x14ac:dyDescent="0.25">
      <c r="A8" s="48" t="s">
        <v>154</v>
      </c>
      <c r="B8" s="49">
        <v>3</v>
      </c>
      <c r="C8" s="49">
        <v>5</v>
      </c>
      <c r="D8" s="49">
        <v>3</v>
      </c>
      <c r="E8" s="50">
        <v>4</v>
      </c>
    </row>
    <row r="9" spans="1:5" x14ac:dyDescent="0.25">
      <c r="A9" s="51" t="s">
        <v>155</v>
      </c>
      <c r="B9" s="52">
        <v>9</v>
      </c>
      <c r="C9" s="52">
        <v>15</v>
      </c>
      <c r="D9" s="52">
        <v>8</v>
      </c>
      <c r="E9" s="53">
        <v>4</v>
      </c>
    </row>
    <row r="10" spans="1:5" x14ac:dyDescent="0.25">
      <c r="A10" s="47" t="s">
        <v>156</v>
      </c>
      <c r="B10" s="62">
        <v>51.18</v>
      </c>
      <c r="C10" s="62">
        <v>40.51</v>
      </c>
      <c r="D10" s="62">
        <v>97.88</v>
      </c>
      <c r="E10" s="63">
        <v>78.39</v>
      </c>
    </row>
    <row r="11" spans="1:5" x14ac:dyDescent="0.25">
      <c r="A11" s="67" t="s">
        <v>157</v>
      </c>
      <c r="B11" s="68">
        <v>2.36</v>
      </c>
      <c r="C11" s="68">
        <v>2.4500000000000002</v>
      </c>
      <c r="D11" s="68">
        <v>2.12</v>
      </c>
      <c r="E11" s="69">
        <v>2.0099999999999998</v>
      </c>
    </row>
    <row r="12" spans="1:5" x14ac:dyDescent="0.25">
      <c r="B12" s="35"/>
      <c r="C12" s="35"/>
      <c r="D12" s="35"/>
      <c r="E12" s="35"/>
    </row>
    <row r="13" spans="1:5" x14ac:dyDescent="0.25">
      <c r="B13" s="35"/>
      <c r="C13" s="35"/>
      <c r="D13" s="35"/>
      <c r="E13" s="35"/>
    </row>
    <row r="14" spans="1:5" x14ac:dyDescent="0.25">
      <c r="B14" s="35"/>
      <c r="C14" s="35"/>
      <c r="D14" s="35"/>
      <c r="E14" s="35"/>
    </row>
    <row r="15" spans="1:5" x14ac:dyDescent="0.25">
      <c r="B15" s="35"/>
      <c r="C15" s="35"/>
      <c r="D15" s="35"/>
      <c r="E15" s="35"/>
    </row>
    <row r="16" spans="1:5" x14ac:dyDescent="0.25">
      <c r="B16" s="35"/>
      <c r="C16" s="35"/>
      <c r="D16" s="35"/>
      <c r="E16" s="35"/>
    </row>
    <row r="17" spans="2:5" x14ac:dyDescent="0.25">
      <c r="B17" s="35"/>
      <c r="C17" s="35"/>
      <c r="D17" s="35"/>
      <c r="E17" s="35"/>
    </row>
    <row r="18" spans="2:5" x14ac:dyDescent="0.25">
      <c r="B18" s="35"/>
      <c r="C18" s="35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x14ac:dyDescent="0.25">
      <c r="B22" s="35"/>
      <c r="C22" s="35"/>
      <c r="D22" s="35"/>
      <c r="E22" s="35"/>
    </row>
    <row r="23" spans="2:5" x14ac:dyDescent="0.25">
      <c r="B23" s="35"/>
      <c r="C23" s="35"/>
      <c r="D23" s="35"/>
      <c r="E23" s="35"/>
    </row>
    <row r="24" spans="2:5" x14ac:dyDescent="0.25">
      <c r="B24" s="35"/>
      <c r="C24" s="35"/>
      <c r="D24" s="35"/>
      <c r="E24" s="35"/>
    </row>
    <row r="25" spans="2:5" x14ac:dyDescent="0.25">
      <c r="B25" s="35"/>
      <c r="C25" s="35"/>
      <c r="D25" s="35"/>
      <c r="E25" s="35"/>
    </row>
    <row r="26" spans="2:5" x14ac:dyDescent="0.25">
      <c r="B26" s="35"/>
      <c r="C26" s="35"/>
      <c r="D26" s="35"/>
      <c r="E26" s="35"/>
    </row>
    <row r="27" spans="2:5" x14ac:dyDescent="0.25">
      <c r="B27" s="34"/>
      <c r="C27" s="34"/>
      <c r="D27" s="34"/>
      <c r="E27" s="34"/>
    </row>
  </sheetData>
  <conditionalFormatting sqref="B3:E27">
    <cfRule type="expression" dxfId="3" priority="2">
      <formula>$C3="Solder Mask"</formula>
    </cfRule>
    <cfRule type="expression" dxfId="2" priority="3">
      <formula>$C3="Signal"</formula>
    </cfRule>
    <cfRule type="expression" dxfId="1" priority="4">
      <formula>$C3="Prepreg"</formula>
    </cfRule>
  </conditionalFormatting>
  <conditionalFormatting sqref="B3:E27">
    <cfRule type="expression" dxfId="0" priority="1">
      <formula>$C3="Core"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136</v>
      </c>
      <c r="X1" s="40"/>
      <c r="Z1" s="39" t="s">
        <v>135</v>
      </c>
      <c r="AA1" s="40"/>
      <c r="AC1" s="39" t="s">
        <v>131</v>
      </c>
      <c r="AD1" s="40"/>
      <c r="AF1" s="39" t="s">
        <v>132</v>
      </c>
      <c r="AG1" s="40"/>
      <c r="AI1" s="39" t="s">
        <v>137</v>
      </c>
      <c r="AJ1" s="40"/>
      <c r="AL1" s="39" t="s">
        <v>133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122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125</v>
      </c>
      <c r="C31" s="31">
        <f>C8/1000</f>
        <v>0.64462319288775649</v>
      </c>
      <c r="W31"/>
    </row>
    <row r="32" spans="2:39" x14ac:dyDescent="0.25">
      <c r="B32" s="30" t="s">
        <v>123</v>
      </c>
      <c r="C32" s="31">
        <f>C31*C26</f>
        <v>15.470956629306155</v>
      </c>
    </row>
    <row r="33" spans="2:21" x14ac:dyDescent="0.25">
      <c r="B33" s="26" t="s">
        <v>124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O1" zoomScale="85" zoomScaleNormal="85" workbookViewId="0">
      <selection activeCell="C39" sqref="C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135</v>
      </c>
      <c r="X1" s="40"/>
      <c r="Z1" s="39" t="s">
        <v>131</v>
      </c>
      <c r="AA1" s="40"/>
      <c r="AC1" s="39" t="s">
        <v>132</v>
      </c>
      <c r="AD1" s="40"/>
      <c r="AF1" s="39" t="s">
        <v>137</v>
      </c>
      <c r="AG1" s="40"/>
      <c r="AI1" s="39" t="s">
        <v>133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122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125</v>
      </c>
      <c r="C34" s="31">
        <f>C8/1000</f>
        <v>0.6305983351488027</v>
      </c>
    </row>
    <row r="35" spans="2:21" x14ac:dyDescent="0.25">
      <c r="B35" s="30" t="s">
        <v>123</v>
      </c>
      <c r="C35" s="31">
        <f>C34*C29</f>
        <v>15.134360043571265</v>
      </c>
    </row>
    <row r="36" spans="2:21" x14ac:dyDescent="0.25">
      <c r="B36" s="26" t="s">
        <v>124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2:AG49"/>
  <sheetViews>
    <sheetView tabSelected="1" topLeftCell="A2" zoomScale="85" zoomScaleNormal="85" workbookViewId="0">
      <selection activeCell="D35" sqref="D3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2" spans="2:33" x14ac:dyDescent="0.25">
      <c r="B2" s="39" t="s">
        <v>40</v>
      </c>
      <c r="C2" s="40"/>
      <c r="E2" s="39" t="s">
        <v>127</v>
      </c>
      <c r="F2" s="40"/>
      <c r="H2" s="39" t="s">
        <v>129</v>
      </c>
      <c r="I2" s="40"/>
      <c r="K2" s="39" t="s">
        <v>126</v>
      </c>
      <c r="L2" s="40"/>
      <c r="N2" s="39" t="s">
        <v>134</v>
      </c>
      <c r="O2" s="40"/>
      <c r="Q2" s="39" t="s">
        <v>130</v>
      </c>
      <c r="R2" s="40"/>
      <c r="T2" s="39" t="s">
        <v>148</v>
      </c>
      <c r="U2" s="40"/>
      <c r="W2" s="39" t="s">
        <v>131</v>
      </c>
      <c r="X2" s="40"/>
      <c r="Z2" s="39" t="s">
        <v>132</v>
      </c>
      <c r="AA2" s="40"/>
      <c r="AC2" s="39" t="s">
        <v>137</v>
      </c>
      <c r="AD2" s="40"/>
      <c r="AF2" s="39" t="s">
        <v>133</v>
      </c>
      <c r="AG2" s="40"/>
    </row>
    <row r="3" spans="2:33" x14ac:dyDescent="0.25">
      <c r="B3" s="37" t="s">
        <v>23</v>
      </c>
      <c r="C3" s="38"/>
      <c r="D3" s="10"/>
      <c r="E3" s="37" t="s">
        <v>82</v>
      </c>
      <c r="F3" s="38"/>
      <c r="G3" s="10"/>
      <c r="H3" s="37" t="s">
        <v>96</v>
      </c>
      <c r="I3" s="38"/>
      <c r="J3" s="10"/>
      <c r="K3" s="37" t="s">
        <v>83</v>
      </c>
      <c r="L3" s="38"/>
      <c r="M3" s="10"/>
      <c r="N3" s="37" t="s">
        <v>25</v>
      </c>
      <c r="O3" s="38"/>
      <c r="P3" s="10"/>
      <c r="Q3" s="37" t="s">
        <v>26</v>
      </c>
      <c r="R3" s="38"/>
      <c r="S3" s="10"/>
      <c r="T3" s="37" t="s">
        <v>27</v>
      </c>
      <c r="U3" s="38"/>
      <c r="V3" s="10"/>
      <c r="W3" s="37" t="s">
        <v>39</v>
      </c>
      <c r="X3" s="38"/>
      <c r="Y3" s="10"/>
      <c r="Z3" s="37" t="s">
        <v>29</v>
      </c>
      <c r="AA3" s="38"/>
      <c r="AB3" s="10"/>
      <c r="AC3" s="37" t="s">
        <v>92</v>
      </c>
      <c r="AD3" s="38"/>
      <c r="AE3" s="10"/>
      <c r="AF3" s="37" t="s">
        <v>30</v>
      </c>
      <c r="AG3" s="38"/>
    </row>
    <row r="4" spans="2:33" x14ac:dyDescent="0.25">
      <c r="B4" s="11" t="s">
        <v>33</v>
      </c>
      <c r="C4" s="12">
        <v>24</v>
      </c>
      <c r="D4" s="13"/>
      <c r="E4" s="11" t="s">
        <v>33</v>
      </c>
      <c r="F4" s="12">
        <f>C5</f>
        <v>24</v>
      </c>
      <c r="G4" s="13"/>
      <c r="H4" s="11" t="s">
        <v>33</v>
      </c>
      <c r="I4" s="12">
        <f>F5</f>
        <v>6</v>
      </c>
      <c r="J4" s="13"/>
      <c r="K4" s="11" t="s">
        <v>33</v>
      </c>
      <c r="L4" s="12">
        <f>F5</f>
        <v>6</v>
      </c>
      <c r="M4" s="13"/>
      <c r="N4" s="11" t="s">
        <v>33</v>
      </c>
      <c r="O4" s="12">
        <f>I5</f>
        <v>6</v>
      </c>
      <c r="P4" s="13"/>
      <c r="Q4" s="11" t="s">
        <v>33</v>
      </c>
      <c r="R4" s="12">
        <f>L5</f>
        <v>5</v>
      </c>
      <c r="S4" s="13"/>
      <c r="T4" s="11" t="s">
        <v>33</v>
      </c>
      <c r="U4" s="12">
        <f>F5</f>
        <v>6</v>
      </c>
      <c r="V4" s="13"/>
      <c r="W4" s="11" t="s">
        <v>33</v>
      </c>
      <c r="X4" s="12">
        <f>U5</f>
        <v>3.3</v>
      </c>
      <c r="Y4" s="13"/>
      <c r="Z4" s="11" t="s">
        <v>33</v>
      </c>
      <c r="AA4" s="12">
        <f>X5</f>
        <v>1.8</v>
      </c>
      <c r="AB4" s="13"/>
      <c r="AC4" s="11" t="s">
        <v>33</v>
      </c>
      <c r="AD4" s="12">
        <f>U5</f>
        <v>3.3</v>
      </c>
      <c r="AE4" s="13"/>
      <c r="AF4" s="11" t="s">
        <v>33</v>
      </c>
      <c r="AG4" s="12">
        <f>AA5</f>
        <v>1.5</v>
      </c>
    </row>
    <row r="5" spans="2:33" x14ac:dyDescent="0.25">
      <c r="B5" s="11" t="s">
        <v>34</v>
      </c>
      <c r="C5" s="12">
        <v>24</v>
      </c>
      <c r="D5" s="16"/>
      <c r="E5" s="11" t="s">
        <v>34</v>
      </c>
      <c r="F5" s="12">
        <v>6</v>
      </c>
      <c r="G5" s="16"/>
      <c r="H5" s="11" t="s">
        <v>34</v>
      </c>
      <c r="I5" s="12">
        <v>6</v>
      </c>
      <c r="J5" s="16"/>
      <c r="K5" s="11" t="s">
        <v>34</v>
      </c>
      <c r="L5" s="12">
        <v>5</v>
      </c>
      <c r="M5" s="16"/>
      <c r="N5" s="11" t="s">
        <v>34</v>
      </c>
      <c r="O5" s="12">
        <v>5</v>
      </c>
      <c r="P5" s="16"/>
      <c r="Q5" s="11" t="s">
        <v>34</v>
      </c>
      <c r="R5" s="12">
        <v>3.3</v>
      </c>
      <c r="S5" s="16"/>
      <c r="T5" s="11" t="s">
        <v>34</v>
      </c>
      <c r="U5" s="12">
        <v>3.3</v>
      </c>
      <c r="V5" s="16"/>
      <c r="W5" s="11" t="s">
        <v>34</v>
      </c>
      <c r="X5" s="12">
        <v>1.8</v>
      </c>
      <c r="Y5" s="16"/>
      <c r="Z5" s="11" t="s">
        <v>34</v>
      </c>
      <c r="AA5" s="12">
        <v>1.5</v>
      </c>
      <c r="AB5" s="16"/>
      <c r="AC5" s="11" t="s">
        <v>34</v>
      </c>
      <c r="AD5" s="12">
        <v>1.2</v>
      </c>
      <c r="AE5" s="16"/>
      <c r="AF5" s="11" t="s">
        <v>34</v>
      </c>
      <c r="AG5" s="12">
        <v>0.75</v>
      </c>
    </row>
    <row r="6" spans="2:33" x14ac:dyDescent="0.25">
      <c r="B6" s="17" t="s">
        <v>76</v>
      </c>
      <c r="C6" s="18">
        <f>SUM(C7:C24)</f>
        <v>2970.7940934743488</v>
      </c>
      <c r="E6" s="17" t="s">
        <v>76</v>
      </c>
      <c r="F6" s="18">
        <f>SUM(F8:F24)</f>
        <v>2189.9524815517607</v>
      </c>
      <c r="H6" s="17" t="s">
        <v>76</v>
      </c>
      <c r="I6" s="18">
        <f>SUM(I7:I24)</f>
        <v>34.900000000000006</v>
      </c>
      <c r="K6" s="17" t="s">
        <v>76</v>
      </c>
      <c r="L6" s="18">
        <f>SUM(L7:L24)</f>
        <v>541.69000000000005</v>
      </c>
      <c r="N6" s="17" t="s">
        <v>76</v>
      </c>
      <c r="O6" s="18">
        <f>SUM(O7:O24)</f>
        <v>34.900000000000006</v>
      </c>
      <c r="Q6" s="17" t="s">
        <v>76</v>
      </c>
      <c r="R6" s="18">
        <f>SUM(R7:R24)</f>
        <v>506.79</v>
      </c>
      <c r="T6" s="17" t="s">
        <v>76</v>
      </c>
      <c r="U6" s="18">
        <f>SUM(U7:U24)</f>
        <v>2787.0620142602497</v>
      </c>
      <c r="W6" s="17" t="s">
        <v>76</v>
      </c>
      <c r="X6" s="18">
        <f>SUM(X7:X24)</f>
        <v>981.05</v>
      </c>
      <c r="Z6" s="17" t="s">
        <v>76</v>
      </c>
      <c r="AA6" s="18">
        <f>SUM(AA7:AA24)</f>
        <v>580.04999999999995</v>
      </c>
      <c r="AB6" s="13"/>
      <c r="AC6" s="17" t="s">
        <v>76</v>
      </c>
      <c r="AD6" s="18">
        <f>SUM(AD7:AD24)</f>
        <v>3000</v>
      </c>
      <c r="AE6" s="13"/>
      <c r="AF6" s="17" t="s">
        <v>76</v>
      </c>
      <c r="AG6" s="18">
        <f>SUM(AG7:AG24)</f>
        <v>98.47</v>
      </c>
    </row>
    <row r="7" spans="2:33" x14ac:dyDescent="0.25">
      <c r="B7" s="19" t="s">
        <v>122</v>
      </c>
      <c r="C7" s="18">
        <v>261.18</v>
      </c>
      <c r="E7" s="19" t="s">
        <v>96</v>
      </c>
      <c r="F7" s="18">
        <f>I28/I4</f>
        <v>41.058823529411775</v>
      </c>
      <c r="H7" s="19" t="s">
        <v>25</v>
      </c>
      <c r="I7" s="18">
        <f>O28/O4</f>
        <v>34.900000000000006</v>
      </c>
      <c r="K7" s="19" t="s">
        <v>64</v>
      </c>
      <c r="L7" s="18">
        <v>21.6</v>
      </c>
      <c r="N7" s="19" t="s">
        <v>64</v>
      </c>
      <c r="O7" s="18">
        <v>21.6</v>
      </c>
      <c r="Q7" s="19" t="s">
        <v>48</v>
      </c>
      <c r="R7" s="18">
        <v>75.760000000000005</v>
      </c>
      <c r="T7" s="19" t="s">
        <v>43</v>
      </c>
      <c r="U7" s="18">
        <v>13</v>
      </c>
      <c r="W7" s="19" t="s">
        <v>66</v>
      </c>
      <c r="X7" s="18">
        <v>58</v>
      </c>
      <c r="Z7" s="19" t="s">
        <v>46</v>
      </c>
      <c r="AA7" s="18">
        <v>300</v>
      </c>
      <c r="AB7" s="13"/>
      <c r="AC7" s="19" t="s">
        <v>91</v>
      </c>
      <c r="AD7" s="18">
        <v>3000</v>
      </c>
      <c r="AE7" s="13"/>
      <c r="AF7" s="19" t="s">
        <v>31</v>
      </c>
      <c r="AG7" s="18">
        <v>98.47</v>
      </c>
    </row>
    <row r="8" spans="2:33" x14ac:dyDescent="0.25">
      <c r="B8" s="19" t="s">
        <v>63</v>
      </c>
      <c r="C8" s="18">
        <v>2073</v>
      </c>
      <c r="E8" s="19" t="s">
        <v>83</v>
      </c>
      <c r="F8" s="18">
        <f>L28/L4</f>
        <v>541.69000000000005</v>
      </c>
      <c r="H8" s="19"/>
      <c r="I8" s="18"/>
      <c r="K8" s="19" t="s">
        <v>65</v>
      </c>
      <c r="L8" s="18">
        <v>13.3</v>
      </c>
      <c r="N8" s="19" t="s">
        <v>65</v>
      </c>
      <c r="O8" s="18">
        <v>13.3</v>
      </c>
      <c r="Q8" s="19" t="s">
        <v>49</v>
      </c>
      <c r="R8" s="18">
        <v>23.03</v>
      </c>
      <c r="T8" s="19" t="s">
        <v>44</v>
      </c>
      <c r="U8" s="18">
        <v>15</v>
      </c>
      <c r="W8" s="19" t="s">
        <v>67</v>
      </c>
      <c r="X8" s="18">
        <v>343</v>
      </c>
      <c r="Z8" s="19" t="s">
        <v>47</v>
      </c>
      <c r="AA8" s="18">
        <v>181.53</v>
      </c>
      <c r="AC8" s="19"/>
      <c r="AD8" s="18"/>
      <c r="AF8" s="19"/>
      <c r="AG8" s="18"/>
    </row>
    <row r="9" spans="2:33" x14ac:dyDescent="0.25">
      <c r="B9" s="19" t="s">
        <v>82</v>
      </c>
      <c r="C9" s="18">
        <f>F28/F4</f>
        <v>636.61409347434903</v>
      </c>
      <c r="E9" s="19" t="s">
        <v>27</v>
      </c>
      <c r="F9" s="18">
        <f>U28/U4</f>
        <v>1648.2624815517604</v>
      </c>
      <c r="H9" s="19"/>
      <c r="I9" s="18"/>
      <c r="K9" s="19" t="s">
        <v>26</v>
      </c>
      <c r="L9" s="18">
        <f>R28/R4</f>
        <v>506.79000000000008</v>
      </c>
      <c r="N9" s="19"/>
      <c r="O9" s="18"/>
      <c r="Q9" s="19" t="s">
        <v>50</v>
      </c>
      <c r="R9" s="18">
        <v>56</v>
      </c>
      <c r="T9" s="19" t="s">
        <v>45</v>
      </c>
      <c r="U9" s="18">
        <v>6.6</v>
      </c>
      <c r="W9" s="19" t="s">
        <v>29</v>
      </c>
      <c r="X9" s="18">
        <f>AA28/AA4</f>
        <v>580.04999999999995</v>
      </c>
      <c r="Z9" s="19" t="s">
        <v>32</v>
      </c>
      <c r="AA9" s="18">
        <v>0.05</v>
      </c>
      <c r="AB9" s="13"/>
      <c r="AC9" s="19"/>
      <c r="AD9" s="18"/>
      <c r="AE9" s="13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51</v>
      </c>
      <c r="R10" s="18">
        <v>318</v>
      </c>
      <c r="T10" s="19" t="s">
        <v>57</v>
      </c>
      <c r="U10" s="18">
        <v>35</v>
      </c>
      <c r="W10" s="19"/>
      <c r="X10" s="18"/>
      <c r="Z10" s="19" t="s">
        <v>30</v>
      </c>
      <c r="AA10" s="18">
        <f>AG28/AG4</f>
        <v>98.469999999999985</v>
      </c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18"/>
      <c r="N11" s="19"/>
      <c r="O11" s="18"/>
      <c r="Q11" s="19" t="s">
        <v>42</v>
      </c>
      <c r="R11" s="18">
        <v>34</v>
      </c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20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/>
      <c r="R17" s="18"/>
      <c r="T17" s="19" t="s">
        <v>39</v>
      </c>
      <c r="U17" s="18">
        <f>X28/X4</f>
        <v>629.5508021390375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20"/>
      <c r="H18" s="19"/>
      <c r="I18" s="18"/>
      <c r="K18" s="19"/>
      <c r="L18" s="18"/>
      <c r="N18" s="19"/>
      <c r="O18" s="18"/>
      <c r="Q18" s="19"/>
      <c r="R18" s="18"/>
      <c r="T18" s="19" t="s">
        <v>52</v>
      </c>
      <c r="U18" s="18">
        <v>163.63999999999999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53</v>
      </c>
      <c r="U19" s="18">
        <v>23.03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54</v>
      </c>
      <c r="U20" s="18">
        <v>100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92</v>
      </c>
      <c r="U21" s="18">
        <f>AD28/AD4</f>
        <v>1212.1212121212122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56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55</v>
      </c>
      <c r="U23" s="18">
        <v>100</v>
      </c>
      <c r="W23" s="19"/>
      <c r="X23" s="18"/>
      <c r="Z23" s="19"/>
      <c r="AA23" s="18"/>
      <c r="AC23" s="19"/>
      <c r="AD23" s="18"/>
      <c r="AF23" s="19"/>
      <c r="AG23" s="18"/>
    </row>
    <row r="24" spans="2:33" x14ac:dyDescent="0.25">
      <c r="B24" s="19"/>
      <c r="C24" s="18"/>
      <c r="E24" s="19"/>
      <c r="F24" s="18"/>
      <c r="H24" s="19"/>
      <c r="I24" s="18"/>
      <c r="K24" s="19"/>
      <c r="L24" s="18"/>
      <c r="N24" s="19"/>
      <c r="O24" s="18"/>
      <c r="Q24" s="19"/>
      <c r="R24" s="18"/>
      <c r="T24" s="19" t="s">
        <v>90</v>
      </c>
      <c r="U24" s="20">
        <v>250</v>
      </c>
      <c r="W24" s="19"/>
      <c r="X24" s="18"/>
      <c r="Z24" s="19"/>
      <c r="AA24" s="18"/>
      <c r="AC24" s="19"/>
      <c r="AD24" s="18"/>
      <c r="AF24" s="19"/>
      <c r="AG24" s="18"/>
    </row>
    <row r="25" spans="2:33" s="13" customFormat="1" x14ac:dyDescent="0.25">
      <c r="B25" s="21" t="s">
        <v>35</v>
      </c>
      <c r="C25" s="22">
        <f>C6*C5</f>
        <v>71299.058243384367</v>
      </c>
      <c r="E25" s="21" t="s">
        <v>35</v>
      </c>
      <c r="F25" s="22">
        <f>F6*F5</f>
        <v>13139.714889310564</v>
      </c>
      <c r="H25" s="21" t="s">
        <v>35</v>
      </c>
      <c r="I25" s="22">
        <f>I6*I5</f>
        <v>209.40000000000003</v>
      </c>
      <c r="K25" s="21" t="s">
        <v>35</v>
      </c>
      <c r="L25" s="22">
        <f>L6*L5</f>
        <v>2708.4500000000003</v>
      </c>
      <c r="N25" s="21" t="s">
        <v>35</v>
      </c>
      <c r="O25" s="22">
        <f>O6*O5</f>
        <v>174.50000000000003</v>
      </c>
      <c r="Q25" s="21" t="s">
        <v>35</v>
      </c>
      <c r="R25" s="22">
        <f>R6*R5</f>
        <v>1672.4069999999999</v>
      </c>
      <c r="T25" s="21" t="s">
        <v>35</v>
      </c>
      <c r="U25" s="22">
        <f>U6*U5</f>
        <v>9197.3046470588233</v>
      </c>
      <c r="V25" s="9"/>
      <c r="W25" s="21" t="s">
        <v>35</v>
      </c>
      <c r="X25" s="22">
        <f>X6*X5</f>
        <v>1765.8899999999999</v>
      </c>
      <c r="Z25" s="21" t="s">
        <v>35</v>
      </c>
      <c r="AA25" s="22">
        <f>AA6*AA5</f>
        <v>870.07499999999993</v>
      </c>
      <c r="AC25" s="21" t="s">
        <v>35</v>
      </c>
      <c r="AD25" s="22">
        <f>AD6*AD5</f>
        <v>3600</v>
      </c>
      <c r="AF25" s="21" t="s">
        <v>35</v>
      </c>
      <c r="AG25" s="22">
        <f>AG6*AG5</f>
        <v>73.852499999999992</v>
      </c>
    </row>
    <row r="26" spans="2:33" x14ac:dyDescent="0.25">
      <c r="B26" s="23" t="s">
        <v>38</v>
      </c>
      <c r="C26" s="22">
        <v>1</v>
      </c>
      <c r="E26" s="23" t="s">
        <v>38</v>
      </c>
      <c r="F26" s="22">
        <v>0.86</v>
      </c>
      <c r="H26" s="23" t="s">
        <v>38</v>
      </c>
      <c r="I26" s="22">
        <v>0.85</v>
      </c>
      <c r="K26" s="23" t="s">
        <v>38</v>
      </c>
      <c r="L26" s="22">
        <f>L5/L4</f>
        <v>0.83333333333333337</v>
      </c>
      <c r="N26" s="23" t="s">
        <v>38</v>
      </c>
      <c r="O26" s="22">
        <f>O5/O4</f>
        <v>0.83333333333333337</v>
      </c>
      <c r="Q26" s="23" t="s">
        <v>38</v>
      </c>
      <c r="R26" s="22">
        <f>R5/R4</f>
        <v>0.65999999999999992</v>
      </c>
      <c r="T26" s="23" t="s">
        <v>38</v>
      </c>
      <c r="U26" s="22">
        <v>0.93</v>
      </c>
      <c r="V26" s="13"/>
      <c r="W26" s="23" t="s">
        <v>38</v>
      </c>
      <c r="X26" s="22">
        <v>0.85</v>
      </c>
      <c r="Z26" s="23" t="s">
        <v>38</v>
      </c>
      <c r="AA26" s="22">
        <f>AA5/AA4</f>
        <v>0.83333333333333326</v>
      </c>
      <c r="AC26" s="23" t="s">
        <v>38</v>
      </c>
      <c r="AD26" s="22">
        <v>0.9</v>
      </c>
      <c r="AF26" s="23" t="s">
        <v>38</v>
      </c>
      <c r="AG26" s="22">
        <f>AG5/AG4</f>
        <v>0.5</v>
      </c>
    </row>
    <row r="27" spans="2:33" x14ac:dyDescent="0.25">
      <c r="B27" s="23" t="s">
        <v>36</v>
      </c>
      <c r="C27" s="22">
        <f>C25/C26-C25</f>
        <v>0</v>
      </c>
      <c r="E27" s="23" t="s">
        <v>36</v>
      </c>
      <c r="F27" s="22">
        <f>F25/F26-F25</f>
        <v>2139.0233540738136</v>
      </c>
      <c r="H27" s="23" t="s">
        <v>36</v>
      </c>
      <c r="I27" s="22">
        <f>I25/I26-I25</f>
        <v>36.952941176470603</v>
      </c>
      <c r="K27" s="23" t="s">
        <v>36</v>
      </c>
      <c r="L27" s="22">
        <f>L25/L26-L25</f>
        <v>541.69000000000005</v>
      </c>
      <c r="N27" s="23" t="s">
        <v>36</v>
      </c>
      <c r="O27" s="22">
        <f>O25/O26-O25</f>
        <v>34.900000000000006</v>
      </c>
      <c r="Q27" s="23" t="s">
        <v>36</v>
      </c>
      <c r="R27" s="22">
        <f>R25/R26-R25</f>
        <v>861.54300000000035</v>
      </c>
      <c r="T27" s="23" t="s">
        <v>36</v>
      </c>
      <c r="U27" s="22">
        <f>U25/U26-U25</f>
        <v>692.27024225173955</v>
      </c>
      <c r="W27" s="23" t="s">
        <v>36</v>
      </c>
      <c r="X27" s="22">
        <f>X25/X26-X25</f>
        <v>311.62764705882364</v>
      </c>
      <c r="Z27" s="23" t="s">
        <v>36</v>
      </c>
      <c r="AA27" s="22">
        <f>AA25/AA26-AA25</f>
        <v>174.01499999999999</v>
      </c>
      <c r="AC27" s="23" t="s">
        <v>36</v>
      </c>
      <c r="AD27" s="22">
        <f>AD25/AD26-AD25</f>
        <v>400</v>
      </c>
      <c r="AF27" s="23" t="s">
        <v>36</v>
      </c>
      <c r="AG27" s="22">
        <f>AG25/AG26-AG25</f>
        <v>73.852499999999992</v>
      </c>
    </row>
    <row r="28" spans="2:33" x14ac:dyDescent="0.25">
      <c r="B28" s="24" t="s">
        <v>37</v>
      </c>
      <c r="C28" s="25">
        <f>C27+C25</f>
        <v>71299.058243384367</v>
      </c>
      <c r="E28" s="24" t="s">
        <v>37</v>
      </c>
      <c r="F28" s="25">
        <f>F27+F25</f>
        <v>15278.738243384378</v>
      </c>
      <c r="H28" s="24" t="s">
        <v>37</v>
      </c>
      <c r="I28" s="25">
        <f>I27+I25</f>
        <v>246.35294117647064</v>
      </c>
      <c r="K28" s="24" t="s">
        <v>37</v>
      </c>
      <c r="L28" s="25">
        <f>L27+L25</f>
        <v>3250.1400000000003</v>
      </c>
      <c r="N28" s="24" t="s">
        <v>37</v>
      </c>
      <c r="O28" s="25">
        <f>O27+O25</f>
        <v>209.40000000000003</v>
      </c>
      <c r="Q28" s="24" t="s">
        <v>37</v>
      </c>
      <c r="R28" s="25">
        <f>R27+R25</f>
        <v>2533.9500000000003</v>
      </c>
      <c r="T28" s="24" t="s">
        <v>37</v>
      </c>
      <c r="U28" s="25">
        <f>U27+U25</f>
        <v>9889.5748893105629</v>
      </c>
      <c r="W28" s="24" t="s">
        <v>37</v>
      </c>
      <c r="X28" s="25">
        <f>X27+X25</f>
        <v>2077.5176470588235</v>
      </c>
      <c r="Z28" s="24" t="s">
        <v>37</v>
      </c>
      <c r="AA28" s="25">
        <f>AA27+AA25</f>
        <v>1044.0899999999999</v>
      </c>
      <c r="AC28" s="24" t="s">
        <v>37</v>
      </c>
      <c r="AD28" s="25">
        <f>AD27+AD25</f>
        <v>4000</v>
      </c>
      <c r="AF28" s="24" t="s">
        <v>37</v>
      </c>
      <c r="AG28" s="25">
        <f>AG27+AG25</f>
        <v>147.70499999999998</v>
      </c>
    </row>
    <row r="30" spans="2:33" x14ac:dyDescent="0.25">
      <c r="AC30"/>
    </row>
    <row r="31" spans="2:33" x14ac:dyDescent="0.25">
      <c r="B31" s="28" t="s">
        <v>75</v>
      </c>
      <c r="C31" s="29">
        <v>24</v>
      </c>
    </row>
    <row r="32" spans="2:33" x14ac:dyDescent="0.25">
      <c r="B32" s="30" t="s">
        <v>74</v>
      </c>
      <c r="C32" s="31">
        <f>C6/1000</f>
        <v>2.9707940934743489</v>
      </c>
      <c r="F32"/>
    </row>
    <row r="33" spans="2:21" x14ac:dyDescent="0.25">
      <c r="B33" s="30" t="s">
        <v>73</v>
      </c>
      <c r="C33" s="31">
        <f>C28/1000</f>
        <v>71.299058243384366</v>
      </c>
    </row>
    <row r="34" spans="2:21" x14ac:dyDescent="0.25">
      <c r="B34" s="30" t="s">
        <v>81</v>
      </c>
      <c r="C34" s="31">
        <f>(C27+F27+L27+O27+R27+U27+X27+AA27+AD27+AG27+I27)/1000</f>
        <v>5.2658746845608482</v>
      </c>
    </row>
    <row r="35" spans="2:21" x14ac:dyDescent="0.25">
      <c r="B35" s="30" t="s">
        <v>38</v>
      </c>
      <c r="C35" s="31">
        <f>1-C34/C33</f>
        <v>0.9261438395639755</v>
      </c>
      <c r="N35"/>
      <c r="Q35"/>
    </row>
    <row r="36" spans="2:21" x14ac:dyDescent="0.25">
      <c r="B36" s="30" t="s">
        <v>125</v>
      </c>
      <c r="C36" s="31">
        <f>C9/1000</f>
        <v>0.63661409347434905</v>
      </c>
    </row>
    <row r="37" spans="2:21" x14ac:dyDescent="0.25">
      <c r="B37" s="30" t="s">
        <v>123</v>
      </c>
      <c r="C37" s="31">
        <f>C36*C31</f>
        <v>15.278738243384378</v>
      </c>
    </row>
    <row r="38" spans="2:21" x14ac:dyDescent="0.25">
      <c r="B38" s="26" t="s">
        <v>124</v>
      </c>
      <c r="C38" s="27">
        <f>1-C34/C37</f>
        <v>0.65534623339457054</v>
      </c>
    </row>
    <row r="39" spans="2:21" x14ac:dyDescent="0.25">
      <c r="D39"/>
    </row>
    <row r="41" spans="2:21" x14ac:dyDescent="0.25">
      <c r="B41" s="32" t="s">
        <v>95</v>
      </c>
      <c r="C41" s="33">
        <f>(AD5*AD7+AA5*AA7+U22*U5+U23*U5+U24*U5)/1000</f>
        <v>5.5350000000000001</v>
      </c>
    </row>
    <row r="45" spans="2:21" x14ac:dyDescent="0.25">
      <c r="U45"/>
    </row>
    <row r="47" spans="2:21" x14ac:dyDescent="0.25">
      <c r="U47"/>
    </row>
    <row r="49" spans="19:19" x14ac:dyDescent="0.25">
      <c r="S49"/>
    </row>
  </sheetData>
  <mergeCells count="22">
    <mergeCell ref="Q3:R3"/>
    <mergeCell ref="B3:C3"/>
    <mergeCell ref="E3:F3"/>
    <mergeCell ref="H3:I3"/>
    <mergeCell ref="K3:L3"/>
    <mergeCell ref="N3:O3"/>
    <mergeCell ref="T3:U3"/>
    <mergeCell ref="W3:X3"/>
    <mergeCell ref="Z3:AA3"/>
    <mergeCell ref="AC3:AD3"/>
    <mergeCell ref="AF3:AG3"/>
    <mergeCell ref="AF2:AG2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2024-03-09T21:14:22Z</cp:lastPrinted>
  <dcterms:created xsi:type="dcterms:W3CDTF">2024-01-29T16:51:03Z</dcterms:created>
  <dcterms:modified xsi:type="dcterms:W3CDTF">2024-03-10T02:12:47Z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