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Home\Documents\Cycling\"/>
    </mc:Choice>
  </mc:AlternateContent>
  <xr:revisionPtr revIDLastSave="0" documentId="13_ncr:1_{9ADE8D26-C334-4F5A-BCE5-83B13AA6993F}" xr6:coauthVersionLast="45" xr6:coauthVersionMax="45" xr10:uidLastSave="{00000000-0000-0000-0000-000000000000}"/>
  <bookViews>
    <workbookView xWindow="-120" yWindow="-120" windowWidth="29040" windowHeight="15840" activeTab="6" xr2:uid="{00000000-000D-0000-FFFF-FFFF00000000}"/>
  </bookViews>
  <sheets>
    <sheet name="Ride Log" sheetId="2" r:id="rId1"/>
    <sheet name="Charts" sheetId="4" r:id="rId2"/>
    <sheet name="Data" sheetId="6" r:id="rId3"/>
    <sheet name="Plan" sheetId="7" r:id="rId4"/>
    <sheet name="Workouts" sheetId="8" r:id="rId5"/>
    <sheet name="Calendar Flat" sheetId="10" r:id="rId6"/>
    <sheet name="Calendar" sheetId="9" r:id="rId7"/>
  </sheets>
  <definedNames>
    <definedName name="_xlnm._FilterDatabase" localSheetId="2" hidden="1">Data!$A$1:$K$324</definedName>
    <definedName name="_xlnm._FilterDatabase" localSheetId="0" hidden="1">'Ride Log'!$A$1:$T$520</definedName>
  </definedNames>
  <calcPr calcId="181029"/>
  <fileRecoveryPr autoRecover="0"/>
</workbook>
</file>

<file path=xl/calcChain.xml><?xml version="1.0" encoding="utf-8"?>
<calcChain xmlns="http://schemas.openxmlformats.org/spreadsheetml/2006/main">
  <c r="A104" i="9" l="1"/>
  <c r="A102" i="9"/>
  <c r="A100" i="9"/>
  <c r="A98" i="9"/>
  <c r="A96" i="9"/>
  <c r="A94" i="9"/>
  <c r="A92" i="9"/>
  <c r="A90" i="9"/>
  <c r="A88" i="9"/>
  <c r="A86" i="9"/>
  <c r="A84" i="9"/>
  <c r="A82" i="9"/>
  <c r="A80" i="9"/>
  <c r="A78" i="9"/>
  <c r="A76" i="9"/>
  <c r="A74" i="9"/>
  <c r="A72" i="9"/>
  <c r="A70" i="9"/>
  <c r="A68" i="9"/>
  <c r="A66" i="9"/>
  <c r="A64" i="9"/>
  <c r="A62" i="9"/>
  <c r="A60" i="9"/>
  <c r="A58" i="9"/>
  <c r="A56" i="9"/>
  <c r="A54" i="9"/>
  <c r="A52" i="9"/>
  <c r="A50" i="9"/>
  <c r="A48" i="9"/>
  <c r="A46" i="9"/>
  <c r="A44" i="9"/>
  <c r="A42" i="9"/>
  <c r="A40" i="9"/>
  <c r="A38" i="9"/>
  <c r="A36" i="9"/>
  <c r="A34" i="9"/>
  <c r="A32" i="9"/>
  <c r="A30" i="9"/>
  <c r="A28" i="9"/>
  <c r="A26" i="9"/>
  <c r="A24" i="9"/>
  <c r="A22" i="9"/>
  <c r="A20" i="9"/>
  <c r="A18" i="9"/>
  <c r="A16" i="9"/>
  <c r="A14" i="9"/>
  <c r="A12" i="9"/>
  <c r="A10" i="9"/>
  <c r="A8" i="9"/>
  <c r="A6" i="9"/>
  <c r="A4" i="9"/>
  <c r="A2" i="9"/>
  <c r="G366" i="2" l="1"/>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3" i="4" l="1"/>
  <c r="F13" i="4"/>
  <c r="E13" i="4"/>
  <c r="D13" i="4"/>
  <c r="C13" i="4"/>
  <c r="G183" i="8" l="1"/>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AP366" i="2"/>
  <c r="AH366" i="2"/>
  <c r="AF366" i="2"/>
  <c r="AP365" i="2"/>
  <c r="AH365" i="2"/>
  <c r="AF365" i="2"/>
  <c r="AP364" i="2"/>
  <c r="AH364" i="2"/>
  <c r="AF364" i="2"/>
  <c r="AP363" i="2"/>
  <c r="AH363" i="2"/>
  <c r="AF363" i="2"/>
  <c r="AP362" i="2"/>
  <c r="AH362" i="2"/>
  <c r="AF362" i="2"/>
  <c r="AP361" i="2"/>
  <c r="AH361" i="2"/>
  <c r="AF361" i="2"/>
  <c r="AP360" i="2"/>
  <c r="AH360" i="2"/>
  <c r="AF360" i="2"/>
  <c r="AP359" i="2"/>
  <c r="AH359" i="2"/>
  <c r="AF359" i="2"/>
  <c r="AP358" i="2"/>
  <c r="AH358" i="2"/>
  <c r="AF358" i="2"/>
  <c r="AP357" i="2"/>
  <c r="AH357" i="2"/>
  <c r="AF357" i="2"/>
  <c r="AP356" i="2"/>
  <c r="AH356" i="2"/>
  <c r="AF356" i="2"/>
  <c r="AP355" i="2"/>
  <c r="AH355" i="2"/>
  <c r="AF355" i="2"/>
  <c r="AP354" i="2"/>
  <c r="AH354" i="2"/>
  <c r="AF354" i="2"/>
  <c r="AP353" i="2"/>
  <c r="AH353" i="2"/>
  <c r="AF353" i="2"/>
  <c r="AP352" i="2"/>
  <c r="AH352" i="2"/>
  <c r="AF352" i="2"/>
  <c r="AP351" i="2"/>
  <c r="AH351" i="2"/>
  <c r="AF351" i="2"/>
  <c r="AP350" i="2"/>
  <c r="AH350" i="2"/>
  <c r="AF350" i="2"/>
  <c r="AP349" i="2"/>
  <c r="AH349" i="2"/>
  <c r="AF349" i="2"/>
  <c r="AP348" i="2"/>
  <c r="AH348" i="2"/>
  <c r="AF348" i="2"/>
  <c r="AP347" i="2"/>
  <c r="AH347" i="2"/>
  <c r="AF347" i="2"/>
  <c r="AP346" i="2"/>
  <c r="AH346" i="2"/>
  <c r="AF346" i="2"/>
  <c r="AP345" i="2"/>
  <c r="AH345" i="2"/>
  <c r="AF345" i="2"/>
  <c r="AP344" i="2"/>
  <c r="AH344" i="2"/>
  <c r="AF344" i="2"/>
  <c r="AP343" i="2"/>
  <c r="AH343" i="2"/>
  <c r="AF343" i="2"/>
  <c r="AP342" i="2"/>
  <c r="AH342" i="2"/>
  <c r="AF342" i="2"/>
  <c r="AP341" i="2"/>
  <c r="AH341" i="2"/>
  <c r="AF341" i="2"/>
  <c r="AP340" i="2"/>
  <c r="AH340" i="2"/>
  <c r="AF340" i="2"/>
  <c r="AP339" i="2"/>
  <c r="AH339" i="2"/>
  <c r="AF339" i="2"/>
  <c r="AP338" i="2"/>
  <c r="AH338" i="2"/>
  <c r="AF338" i="2"/>
  <c r="AP337" i="2"/>
  <c r="AH337" i="2"/>
  <c r="AF337" i="2"/>
  <c r="AP336" i="2"/>
  <c r="AH336" i="2"/>
  <c r="AF336" i="2"/>
  <c r="AP335" i="2"/>
  <c r="AH335" i="2"/>
  <c r="AF335" i="2"/>
  <c r="AP334" i="2"/>
  <c r="AH334" i="2"/>
  <c r="AF334" i="2"/>
  <c r="AP333" i="2"/>
  <c r="AH333" i="2"/>
  <c r="AF333" i="2"/>
  <c r="AP332" i="2"/>
  <c r="AH332" i="2"/>
  <c r="AF332" i="2"/>
  <c r="AP331" i="2"/>
  <c r="AH331" i="2"/>
  <c r="AF331" i="2"/>
  <c r="AP330" i="2"/>
  <c r="AH330" i="2"/>
  <c r="AF330" i="2"/>
  <c r="AP329" i="2"/>
  <c r="AH329" i="2"/>
  <c r="AF329" i="2"/>
  <c r="AP328" i="2"/>
  <c r="AH328" i="2"/>
  <c r="AF328" i="2"/>
  <c r="AP327" i="2"/>
  <c r="AH327" i="2"/>
  <c r="AF327" i="2"/>
  <c r="AP326" i="2"/>
  <c r="AH326" i="2"/>
  <c r="AF326" i="2"/>
  <c r="AP325" i="2"/>
  <c r="AH325" i="2"/>
  <c r="AF325" i="2"/>
  <c r="AP324" i="2"/>
  <c r="AH324" i="2"/>
  <c r="AF324" i="2"/>
  <c r="AP323" i="2"/>
  <c r="AH323" i="2"/>
  <c r="AF323" i="2"/>
  <c r="AP322" i="2"/>
  <c r="AH322" i="2"/>
  <c r="AF322" i="2"/>
  <c r="AP321" i="2"/>
  <c r="AH321" i="2"/>
  <c r="AF321" i="2"/>
  <c r="AP320" i="2"/>
  <c r="AH320" i="2"/>
  <c r="AF320" i="2"/>
  <c r="AP319" i="2"/>
  <c r="AH319" i="2"/>
  <c r="AF319" i="2"/>
  <c r="AP318" i="2"/>
  <c r="AH318" i="2"/>
  <c r="AF318" i="2"/>
  <c r="AP317" i="2"/>
  <c r="AH317" i="2"/>
  <c r="AF317" i="2"/>
  <c r="AP316" i="2"/>
  <c r="AH316" i="2"/>
  <c r="AF316" i="2"/>
  <c r="AP315" i="2"/>
  <c r="AH315" i="2"/>
  <c r="AF315" i="2"/>
  <c r="AP314" i="2"/>
  <c r="AH314" i="2"/>
  <c r="AF314" i="2"/>
  <c r="AP313" i="2"/>
  <c r="AH313" i="2"/>
  <c r="AF313" i="2"/>
  <c r="AP312" i="2"/>
  <c r="AH312" i="2"/>
  <c r="AF312" i="2"/>
  <c r="AP311" i="2"/>
  <c r="AH311" i="2"/>
  <c r="AF311" i="2"/>
  <c r="AP310" i="2"/>
  <c r="AH310" i="2"/>
  <c r="AF310" i="2"/>
  <c r="AP309" i="2"/>
  <c r="AH309" i="2"/>
  <c r="AF309" i="2"/>
  <c r="AP308" i="2"/>
  <c r="AH308" i="2"/>
  <c r="AF308" i="2"/>
  <c r="AP307" i="2"/>
  <c r="AH307" i="2"/>
  <c r="AF307" i="2"/>
  <c r="AP306" i="2"/>
  <c r="AH306" i="2"/>
  <c r="AF306" i="2"/>
  <c r="AP305" i="2"/>
  <c r="AH305" i="2"/>
  <c r="AF305" i="2"/>
  <c r="AP304" i="2"/>
  <c r="AH304" i="2"/>
  <c r="AF304" i="2"/>
  <c r="AP303" i="2"/>
  <c r="AH303" i="2"/>
  <c r="AF303" i="2"/>
  <c r="AP302" i="2"/>
  <c r="AH302" i="2"/>
  <c r="AF302" i="2"/>
  <c r="AP301" i="2"/>
  <c r="AH301" i="2"/>
  <c r="AF301" i="2"/>
  <c r="AP300" i="2"/>
  <c r="AH300" i="2"/>
  <c r="AF300" i="2"/>
  <c r="AP299" i="2"/>
  <c r="AH299" i="2"/>
  <c r="AF299" i="2"/>
  <c r="AP298" i="2"/>
  <c r="AH298" i="2"/>
  <c r="AF298" i="2"/>
  <c r="AP297" i="2"/>
  <c r="AH297" i="2"/>
  <c r="AF297" i="2"/>
  <c r="AP296" i="2"/>
  <c r="AH296" i="2"/>
  <c r="AF296" i="2"/>
  <c r="AP295" i="2"/>
  <c r="AH295" i="2"/>
  <c r="AF295" i="2"/>
  <c r="AP294" i="2"/>
  <c r="AH294" i="2"/>
  <c r="AF294" i="2"/>
  <c r="AP293" i="2"/>
  <c r="AH293" i="2"/>
  <c r="AF293" i="2"/>
  <c r="AP292" i="2"/>
  <c r="AH292" i="2"/>
  <c r="AF292" i="2"/>
  <c r="AP291" i="2"/>
  <c r="AH291" i="2"/>
  <c r="AF291" i="2"/>
  <c r="AP290" i="2"/>
  <c r="AH290" i="2"/>
  <c r="AF290" i="2"/>
  <c r="AP289" i="2"/>
  <c r="AH289" i="2"/>
  <c r="AF289" i="2"/>
  <c r="AP288" i="2"/>
  <c r="AH288" i="2"/>
  <c r="AF288" i="2"/>
  <c r="AP287" i="2"/>
  <c r="AH287" i="2"/>
  <c r="AF287" i="2"/>
  <c r="AP286" i="2"/>
  <c r="AH286" i="2"/>
  <c r="AF286" i="2"/>
  <c r="AP285" i="2"/>
  <c r="AH285" i="2"/>
  <c r="AF285" i="2"/>
  <c r="AP284" i="2"/>
  <c r="AH284" i="2"/>
  <c r="AF284" i="2"/>
  <c r="AP283" i="2"/>
  <c r="AH283" i="2"/>
  <c r="AF283" i="2"/>
  <c r="AP282" i="2"/>
  <c r="AH282" i="2"/>
  <c r="AF282" i="2"/>
  <c r="AP281" i="2"/>
  <c r="AH281" i="2"/>
  <c r="AF281" i="2"/>
  <c r="AP280" i="2"/>
  <c r="AH280" i="2"/>
  <c r="AF280" i="2"/>
  <c r="AP279" i="2"/>
  <c r="AH279" i="2"/>
  <c r="AF279" i="2"/>
  <c r="AP278" i="2"/>
  <c r="AH278" i="2"/>
  <c r="AF278" i="2"/>
  <c r="AP277" i="2"/>
  <c r="AH277" i="2"/>
  <c r="AF277" i="2"/>
  <c r="AP276" i="2"/>
  <c r="AH276" i="2"/>
  <c r="AF276" i="2"/>
  <c r="AP275" i="2"/>
  <c r="AH275" i="2"/>
  <c r="AF275" i="2"/>
  <c r="AP274" i="2"/>
  <c r="AH274" i="2"/>
  <c r="AF274" i="2"/>
  <c r="AP273" i="2"/>
  <c r="AH273" i="2"/>
  <c r="AF273" i="2"/>
  <c r="AP272" i="2"/>
  <c r="AH272" i="2"/>
  <c r="AF272" i="2"/>
  <c r="AP271" i="2"/>
  <c r="AH271" i="2"/>
  <c r="AF271" i="2"/>
  <c r="AP270" i="2"/>
  <c r="AH270" i="2"/>
  <c r="AF270" i="2"/>
  <c r="AP269" i="2"/>
  <c r="AH269" i="2"/>
  <c r="AF269" i="2"/>
  <c r="AP268" i="2"/>
  <c r="AH268" i="2"/>
  <c r="AF268" i="2"/>
  <c r="AP267" i="2"/>
  <c r="AH267" i="2"/>
  <c r="AF267" i="2"/>
  <c r="AP266" i="2"/>
  <c r="AH266" i="2"/>
  <c r="AF266" i="2"/>
  <c r="AP265" i="2"/>
  <c r="AH265" i="2"/>
  <c r="AF265" i="2"/>
  <c r="AP264" i="2"/>
  <c r="AH264" i="2"/>
  <c r="AF264" i="2"/>
  <c r="AP263" i="2"/>
  <c r="AH263" i="2"/>
  <c r="AF263" i="2"/>
  <c r="AP262" i="2"/>
  <c r="AH262" i="2"/>
  <c r="AF262" i="2"/>
  <c r="AP261" i="2"/>
  <c r="AH261" i="2"/>
  <c r="AF261" i="2"/>
  <c r="AP260" i="2"/>
  <c r="AH260" i="2"/>
  <c r="AF260" i="2"/>
  <c r="AP259" i="2"/>
  <c r="AH259" i="2"/>
  <c r="AF259" i="2"/>
  <c r="AP258" i="2"/>
  <c r="AH258" i="2"/>
  <c r="AF258" i="2"/>
  <c r="AP257" i="2"/>
  <c r="AH257" i="2"/>
  <c r="AF257" i="2"/>
  <c r="AP256" i="2"/>
  <c r="AH256" i="2"/>
  <c r="AF256" i="2"/>
  <c r="AP255" i="2"/>
  <c r="AH255" i="2"/>
  <c r="AF255" i="2"/>
  <c r="AP254" i="2"/>
  <c r="AH254" i="2"/>
  <c r="AF254" i="2"/>
  <c r="AP253" i="2"/>
  <c r="AH253" i="2"/>
  <c r="AF253" i="2"/>
  <c r="AP252" i="2"/>
  <c r="AH252" i="2"/>
  <c r="AF252" i="2"/>
  <c r="AP251" i="2"/>
  <c r="AH251" i="2"/>
  <c r="AF251" i="2"/>
  <c r="AP250" i="2"/>
  <c r="AH250" i="2"/>
  <c r="AF250" i="2"/>
  <c r="AP249" i="2"/>
  <c r="AH249" i="2"/>
  <c r="AF249" i="2"/>
  <c r="AP248" i="2"/>
  <c r="AH248" i="2"/>
  <c r="AF248" i="2"/>
  <c r="AP247" i="2"/>
  <c r="AH247" i="2"/>
  <c r="AF247" i="2"/>
  <c r="AP246" i="2"/>
  <c r="AH246" i="2"/>
  <c r="AF246" i="2"/>
  <c r="AP245" i="2"/>
  <c r="AH245" i="2"/>
  <c r="AF245" i="2"/>
  <c r="AP244" i="2"/>
  <c r="AH244" i="2"/>
  <c r="AF244" i="2"/>
  <c r="AP243" i="2"/>
  <c r="AH243" i="2"/>
  <c r="AF243" i="2"/>
  <c r="AP242" i="2"/>
  <c r="AH242" i="2"/>
  <c r="AF242" i="2"/>
  <c r="AP241" i="2"/>
  <c r="AH241" i="2"/>
  <c r="AF241" i="2"/>
  <c r="AP240" i="2"/>
  <c r="AH240" i="2"/>
  <c r="AF240" i="2"/>
  <c r="AP239" i="2"/>
  <c r="AH239" i="2"/>
  <c r="AF239" i="2"/>
  <c r="AP238" i="2"/>
  <c r="AH238" i="2"/>
  <c r="AF238" i="2"/>
  <c r="AP237" i="2"/>
  <c r="AH237" i="2"/>
  <c r="AF237" i="2"/>
  <c r="AP236" i="2"/>
  <c r="AH236" i="2"/>
  <c r="AF236" i="2"/>
  <c r="AP235" i="2"/>
  <c r="AH235" i="2"/>
  <c r="AF235" i="2"/>
  <c r="AP234" i="2"/>
  <c r="AH234" i="2"/>
  <c r="AF234" i="2"/>
  <c r="AP233" i="2"/>
  <c r="AH233" i="2"/>
  <c r="AF233" i="2"/>
  <c r="AP232" i="2"/>
  <c r="AH232" i="2"/>
  <c r="AF232" i="2"/>
  <c r="AP231" i="2"/>
  <c r="AH231" i="2"/>
  <c r="AF231" i="2"/>
  <c r="AP230" i="2"/>
  <c r="AH230" i="2"/>
  <c r="AF230" i="2"/>
  <c r="AP229" i="2"/>
  <c r="AH229" i="2"/>
  <c r="AF229" i="2"/>
  <c r="AP228" i="2"/>
  <c r="AH228" i="2"/>
  <c r="AF228" i="2"/>
  <c r="AP227" i="2"/>
  <c r="AH227" i="2"/>
  <c r="AF227" i="2"/>
  <c r="AP226" i="2"/>
  <c r="AH226" i="2"/>
  <c r="AF226" i="2"/>
  <c r="AP225" i="2"/>
  <c r="AH225" i="2"/>
  <c r="AF225" i="2"/>
  <c r="AP224" i="2"/>
  <c r="AH224" i="2"/>
  <c r="AF224" i="2"/>
  <c r="AP223" i="2"/>
  <c r="AH223" i="2"/>
  <c r="AF223" i="2"/>
  <c r="AP222" i="2"/>
  <c r="AH222" i="2"/>
  <c r="AF222" i="2"/>
  <c r="AP221" i="2"/>
  <c r="AH221" i="2"/>
  <c r="AF221" i="2"/>
  <c r="AP220" i="2"/>
  <c r="AH220" i="2"/>
  <c r="AF220" i="2"/>
  <c r="AP219" i="2"/>
  <c r="AH219" i="2"/>
  <c r="AF219" i="2"/>
  <c r="AP218" i="2"/>
  <c r="AH218" i="2"/>
  <c r="AF218" i="2"/>
  <c r="AP217" i="2"/>
  <c r="AH217" i="2"/>
  <c r="AF217" i="2"/>
  <c r="AP216" i="2"/>
  <c r="AH216" i="2"/>
  <c r="AF216" i="2"/>
  <c r="AP215" i="2"/>
  <c r="AH215" i="2"/>
  <c r="AF215" i="2"/>
  <c r="AP214" i="2"/>
  <c r="AH214" i="2"/>
  <c r="AF214" i="2"/>
  <c r="AP213" i="2"/>
  <c r="AH213" i="2"/>
  <c r="AF213" i="2"/>
  <c r="AP212" i="2"/>
  <c r="AH212" i="2"/>
  <c r="AF212" i="2"/>
  <c r="AP211" i="2"/>
  <c r="AH211" i="2"/>
  <c r="AF211" i="2"/>
  <c r="AP210" i="2"/>
  <c r="AH210" i="2"/>
  <c r="AF210" i="2"/>
  <c r="AP209" i="2"/>
  <c r="AH209" i="2"/>
  <c r="AF209" i="2"/>
  <c r="AP208" i="2"/>
  <c r="AH208" i="2"/>
  <c r="AF208" i="2"/>
  <c r="AP207" i="2"/>
  <c r="AH207" i="2"/>
  <c r="AF207" i="2"/>
  <c r="AP206" i="2"/>
  <c r="AH206" i="2"/>
  <c r="AF206" i="2"/>
  <c r="AP205" i="2"/>
  <c r="AH205" i="2"/>
  <c r="AF205" i="2"/>
  <c r="AP204" i="2"/>
  <c r="AH204" i="2"/>
  <c r="AF204" i="2"/>
  <c r="AP203" i="2"/>
  <c r="AH203" i="2"/>
  <c r="AF203" i="2"/>
  <c r="AP202" i="2"/>
  <c r="AH202" i="2"/>
  <c r="AF202" i="2"/>
  <c r="AP201" i="2"/>
  <c r="AH201" i="2"/>
  <c r="AF201" i="2"/>
  <c r="AP200" i="2"/>
  <c r="AH200" i="2"/>
  <c r="AF200" i="2"/>
  <c r="AP199" i="2"/>
  <c r="AH199" i="2"/>
  <c r="AF199" i="2"/>
  <c r="AP198" i="2"/>
  <c r="AH198" i="2"/>
  <c r="AF198" i="2"/>
  <c r="AP197" i="2"/>
  <c r="AH197" i="2"/>
  <c r="AF197" i="2"/>
  <c r="AP196" i="2"/>
  <c r="AH196" i="2"/>
  <c r="AF196" i="2"/>
  <c r="AP195" i="2"/>
  <c r="AH195" i="2"/>
  <c r="AF195" i="2"/>
  <c r="AP194" i="2"/>
  <c r="AH194" i="2"/>
  <c r="AF194" i="2"/>
  <c r="AP193" i="2"/>
  <c r="AH193" i="2"/>
  <c r="AF193" i="2"/>
  <c r="AP192" i="2"/>
  <c r="AH192" i="2"/>
  <c r="AF192" i="2"/>
  <c r="AP191" i="2"/>
  <c r="AH191" i="2"/>
  <c r="AF191" i="2"/>
  <c r="AP190" i="2"/>
  <c r="AH190" i="2"/>
  <c r="AF190" i="2"/>
  <c r="AP189" i="2"/>
  <c r="AH189" i="2"/>
  <c r="AF189" i="2"/>
  <c r="AP188" i="2"/>
  <c r="AH188" i="2"/>
  <c r="AF188" i="2"/>
  <c r="AP187" i="2"/>
  <c r="AH187" i="2"/>
  <c r="AF187" i="2"/>
  <c r="AP186" i="2"/>
  <c r="AH186" i="2"/>
  <c r="AF186" i="2"/>
  <c r="AP185" i="2"/>
  <c r="AH185" i="2"/>
  <c r="AF185" i="2"/>
  <c r="AP184" i="2"/>
  <c r="AH184" i="2"/>
  <c r="AF184" i="2"/>
  <c r="AP183" i="2"/>
  <c r="AH183" i="2"/>
  <c r="AF183" i="2"/>
  <c r="AP182" i="2"/>
  <c r="AH182" i="2"/>
  <c r="AF182" i="2"/>
  <c r="AP181" i="2"/>
  <c r="AH181" i="2"/>
  <c r="AF181" i="2"/>
  <c r="AP180" i="2"/>
  <c r="AH180" i="2"/>
  <c r="AF180" i="2"/>
  <c r="AP179" i="2"/>
  <c r="AH179" i="2"/>
  <c r="AF179" i="2"/>
  <c r="AP178" i="2"/>
  <c r="AH178" i="2"/>
  <c r="AF178" i="2"/>
  <c r="AP177" i="2"/>
  <c r="AH177" i="2"/>
  <c r="AF177" i="2"/>
  <c r="AP176" i="2"/>
  <c r="AH176" i="2"/>
  <c r="AF176" i="2"/>
  <c r="AP175" i="2"/>
  <c r="AH175" i="2"/>
  <c r="AF175" i="2"/>
  <c r="AP174" i="2"/>
  <c r="AH174" i="2"/>
  <c r="AF174" i="2"/>
  <c r="AP173" i="2"/>
  <c r="AH173" i="2"/>
  <c r="AF173" i="2"/>
  <c r="AP172" i="2"/>
  <c r="AH172" i="2"/>
  <c r="AF172" i="2"/>
  <c r="AP171" i="2"/>
  <c r="AH171" i="2"/>
  <c r="AF171" i="2"/>
  <c r="AP170" i="2"/>
  <c r="AH170" i="2"/>
  <c r="AF170" i="2"/>
  <c r="AP169" i="2"/>
  <c r="AH169" i="2"/>
  <c r="AF169" i="2"/>
  <c r="AP168" i="2"/>
  <c r="AH168" i="2"/>
  <c r="AF168" i="2"/>
  <c r="AP167" i="2"/>
  <c r="AH167" i="2"/>
  <c r="AF167" i="2"/>
  <c r="AP166" i="2"/>
  <c r="AH166" i="2"/>
  <c r="AF166" i="2"/>
  <c r="AP165" i="2"/>
  <c r="AH165" i="2"/>
  <c r="AF165" i="2"/>
  <c r="AP164" i="2"/>
  <c r="AH164" i="2"/>
  <c r="AF164" i="2"/>
  <c r="AP163" i="2"/>
  <c r="AH163" i="2"/>
  <c r="AF163" i="2"/>
  <c r="AP162" i="2"/>
  <c r="AH162" i="2"/>
  <c r="AF162" i="2"/>
  <c r="AP161" i="2"/>
  <c r="AH161" i="2"/>
  <c r="AF161" i="2"/>
  <c r="AP160" i="2"/>
  <c r="AH160" i="2"/>
  <c r="AF160" i="2"/>
  <c r="AP159" i="2"/>
  <c r="AH159" i="2"/>
  <c r="AF159" i="2"/>
  <c r="AP158" i="2"/>
  <c r="AH158" i="2"/>
  <c r="AF158" i="2"/>
  <c r="AP157" i="2"/>
  <c r="AH157" i="2"/>
  <c r="AF157" i="2"/>
  <c r="AP156" i="2"/>
  <c r="AH156" i="2"/>
  <c r="AF156" i="2"/>
  <c r="AP155" i="2"/>
  <c r="AH155" i="2"/>
  <c r="AF155" i="2"/>
  <c r="AP154" i="2"/>
  <c r="AH154" i="2"/>
  <c r="AF154" i="2"/>
  <c r="AP153" i="2"/>
  <c r="AH153" i="2"/>
  <c r="AF153" i="2"/>
  <c r="AP152" i="2"/>
  <c r="AH152" i="2"/>
  <c r="AF152" i="2"/>
  <c r="AP151" i="2"/>
  <c r="AH151" i="2"/>
  <c r="AF151" i="2"/>
  <c r="AP150" i="2"/>
  <c r="AH150" i="2"/>
  <c r="AF150" i="2"/>
  <c r="AP149" i="2"/>
  <c r="AH149" i="2"/>
  <c r="AF149" i="2"/>
  <c r="AP148" i="2"/>
  <c r="AH148" i="2"/>
  <c r="AF148" i="2"/>
  <c r="AP147" i="2"/>
  <c r="AH147" i="2"/>
  <c r="AF147" i="2"/>
  <c r="AP146" i="2"/>
  <c r="AH146" i="2"/>
  <c r="AF146" i="2"/>
  <c r="AP145" i="2"/>
  <c r="AH145" i="2"/>
  <c r="AF145" i="2"/>
  <c r="AP144" i="2"/>
  <c r="AH144" i="2"/>
  <c r="AF144" i="2"/>
  <c r="AP143" i="2"/>
  <c r="AH143" i="2"/>
  <c r="AF143" i="2"/>
  <c r="AP142" i="2"/>
  <c r="AH142" i="2"/>
  <c r="AF142" i="2"/>
  <c r="AP141" i="2"/>
  <c r="AH141" i="2"/>
  <c r="AF141" i="2"/>
  <c r="AP140" i="2"/>
  <c r="AH140" i="2"/>
  <c r="AF140" i="2"/>
  <c r="AP139" i="2"/>
  <c r="AH139" i="2"/>
  <c r="AF139" i="2"/>
  <c r="AP138" i="2"/>
  <c r="AH138" i="2"/>
  <c r="AF138" i="2"/>
  <c r="AP137" i="2"/>
  <c r="AH137" i="2"/>
  <c r="AF137" i="2"/>
  <c r="AP136" i="2"/>
  <c r="AH136" i="2"/>
  <c r="AF136" i="2"/>
  <c r="AP135" i="2"/>
  <c r="AH135" i="2"/>
  <c r="AF135" i="2"/>
  <c r="AP134" i="2"/>
  <c r="AH134" i="2"/>
  <c r="AF134" i="2"/>
  <c r="AP133" i="2"/>
  <c r="AH133" i="2"/>
  <c r="AF133" i="2"/>
  <c r="AP132" i="2"/>
  <c r="AH132" i="2"/>
  <c r="AF132" i="2"/>
  <c r="AP131" i="2"/>
  <c r="AH131" i="2"/>
  <c r="AF131" i="2"/>
  <c r="AP130" i="2"/>
  <c r="AH130" i="2"/>
  <c r="AF130" i="2"/>
  <c r="AP129" i="2"/>
  <c r="AH129" i="2"/>
  <c r="AF129" i="2"/>
  <c r="AP128" i="2"/>
  <c r="AH128" i="2"/>
  <c r="AF128" i="2"/>
  <c r="AP127" i="2"/>
  <c r="AH127" i="2"/>
  <c r="AF127" i="2"/>
  <c r="AP126" i="2"/>
  <c r="AH126" i="2"/>
  <c r="AF126" i="2"/>
  <c r="AP125" i="2"/>
  <c r="AH125" i="2"/>
  <c r="AF125" i="2"/>
  <c r="AP124" i="2"/>
  <c r="AH124" i="2"/>
  <c r="AF124" i="2"/>
  <c r="AP123" i="2"/>
  <c r="AH123" i="2"/>
  <c r="AF123" i="2"/>
  <c r="AP122" i="2"/>
  <c r="AH122" i="2"/>
  <c r="AF122" i="2"/>
  <c r="AP121" i="2"/>
  <c r="AH121" i="2"/>
  <c r="AF121" i="2"/>
  <c r="AP120" i="2"/>
  <c r="AH120" i="2"/>
  <c r="AF120" i="2"/>
  <c r="AP119" i="2"/>
  <c r="AH119" i="2"/>
  <c r="AF119" i="2"/>
  <c r="AP118" i="2"/>
  <c r="AH118" i="2"/>
  <c r="AF118" i="2"/>
  <c r="AP117" i="2"/>
  <c r="AH117" i="2"/>
  <c r="AF117" i="2"/>
  <c r="AP116" i="2"/>
  <c r="AH116" i="2"/>
  <c r="AF116" i="2"/>
  <c r="AP115" i="2"/>
  <c r="AH115" i="2"/>
  <c r="AF115" i="2"/>
  <c r="AP114" i="2"/>
  <c r="AH114" i="2"/>
  <c r="AF114" i="2"/>
  <c r="AP113" i="2"/>
  <c r="AH113" i="2"/>
  <c r="AF113" i="2"/>
  <c r="AP112" i="2"/>
  <c r="AH112" i="2"/>
  <c r="AF112" i="2"/>
  <c r="AP111" i="2"/>
  <c r="AH111" i="2"/>
  <c r="AF111" i="2"/>
  <c r="AP110" i="2"/>
  <c r="AH110" i="2"/>
  <c r="AF110" i="2"/>
  <c r="AP109" i="2"/>
  <c r="AH109" i="2"/>
  <c r="AF109" i="2"/>
  <c r="AP108" i="2"/>
  <c r="AH108" i="2"/>
  <c r="AF108" i="2"/>
  <c r="AP107" i="2"/>
  <c r="AH107" i="2"/>
  <c r="AF107" i="2"/>
  <c r="AP106" i="2"/>
  <c r="AH106" i="2"/>
  <c r="AF106" i="2"/>
  <c r="AP105" i="2"/>
  <c r="AH105" i="2"/>
  <c r="AF105" i="2"/>
  <c r="AP104" i="2"/>
  <c r="AH104" i="2"/>
  <c r="AF104" i="2"/>
  <c r="AP103" i="2"/>
  <c r="AH103" i="2"/>
  <c r="AF103" i="2"/>
  <c r="AP102" i="2"/>
  <c r="AH102" i="2"/>
  <c r="AF102" i="2"/>
  <c r="AP101" i="2"/>
  <c r="AH101" i="2"/>
  <c r="AF101" i="2"/>
  <c r="AP100" i="2"/>
  <c r="AH100" i="2"/>
  <c r="AF100" i="2"/>
  <c r="AP99" i="2"/>
  <c r="AH99" i="2"/>
  <c r="AF99" i="2"/>
  <c r="AP98" i="2"/>
  <c r="AH98" i="2"/>
  <c r="AF98" i="2"/>
  <c r="AP97" i="2"/>
  <c r="AH97" i="2"/>
  <c r="AF97" i="2"/>
  <c r="AP96" i="2"/>
  <c r="AH96" i="2"/>
  <c r="AF96" i="2"/>
  <c r="AP95" i="2"/>
  <c r="AH95" i="2"/>
  <c r="AF95" i="2"/>
  <c r="AP94" i="2"/>
  <c r="AH94" i="2"/>
  <c r="AF94" i="2"/>
  <c r="AP93" i="2"/>
  <c r="AH93" i="2"/>
  <c r="AF93" i="2"/>
  <c r="AP92" i="2"/>
  <c r="AH92" i="2"/>
  <c r="AF92" i="2"/>
  <c r="AP91" i="2"/>
  <c r="AH91" i="2"/>
  <c r="AF91" i="2"/>
  <c r="AP90" i="2"/>
  <c r="AH90" i="2"/>
  <c r="AF90" i="2"/>
  <c r="AP89" i="2"/>
  <c r="AH89" i="2"/>
  <c r="AF89" i="2"/>
  <c r="AP88" i="2"/>
  <c r="AH88" i="2"/>
  <c r="AF88" i="2"/>
  <c r="AP87" i="2"/>
  <c r="AH87" i="2"/>
  <c r="AF87" i="2"/>
  <c r="AP86" i="2"/>
  <c r="AH86" i="2"/>
  <c r="AF86" i="2"/>
  <c r="AP85" i="2"/>
  <c r="AH85" i="2"/>
  <c r="AF85" i="2"/>
  <c r="AP84" i="2"/>
  <c r="AH84" i="2"/>
  <c r="AF84" i="2"/>
  <c r="AP83" i="2"/>
  <c r="AH83" i="2"/>
  <c r="AF83" i="2"/>
  <c r="AP82" i="2"/>
  <c r="AH82" i="2"/>
  <c r="AF82" i="2"/>
  <c r="AP81" i="2"/>
  <c r="AH81" i="2"/>
  <c r="AF81" i="2"/>
  <c r="AP80" i="2"/>
  <c r="AH80" i="2"/>
  <c r="AF80" i="2"/>
  <c r="AP79" i="2"/>
  <c r="AH79" i="2"/>
  <c r="AF79" i="2"/>
  <c r="AP78" i="2"/>
  <c r="AH78" i="2"/>
  <c r="AF78" i="2"/>
  <c r="AP77" i="2"/>
  <c r="AH77" i="2"/>
  <c r="AF77" i="2"/>
  <c r="AP76" i="2"/>
  <c r="AH76" i="2"/>
  <c r="AF76" i="2"/>
  <c r="AP75" i="2"/>
  <c r="AH75" i="2"/>
  <c r="AF75" i="2"/>
  <c r="AP74" i="2"/>
  <c r="AH74" i="2"/>
  <c r="AF74" i="2"/>
  <c r="AP73" i="2"/>
  <c r="AH73" i="2"/>
  <c r="AF73" i="2"/>
  <c r="AP72" i="2"/>
  <c r="AH72" i="2"/>
  <c r="AF72" i="2"/>
  <c r="AP71" i="2"/>
  <c r="AH71" i="2"/>
  <c r="AF71" i="2"/>
  <c r="AP70" i="2"/>
  <c r="AH70" i="2"/>
  <c r="AF70" i="2"/>
  <c r="AP69" i="2"/>
  <c r="AH69" i="2"/>
  <c r="AF69" i="2"/>
  <c r="AP68" i="2"/>
  <c r="AH68" i="2"/>
  <c r="AF68" i="2"/>
  <c r="AP67" i="2"/>
  <c r="AH67" i="2"/>
  <c r="AF67" i="2"/>
  <c r="AP66" i="2"/>
  <c r="AH66" i="2"/>
  <c r="AF66" i="2"/>
  <c r="AP65" i="2"/>
  <c r="AH65" i="2"/>
  <c r="AF65" i="2"/>
  <c r="AP64" i="2"/>
  <c r="AH64" i="2"/>
  <c r="AF64" i="2"/>
  <c r="AP63" i="2"/>
  <c r="AH63" i="2"/>
  <c r="AF63" i="2"/>
  <c r="AP62" i="2"/>
  <c r="AH62" i="2"/>
  <c r="AF62" i="2"/>
  <c r="AP61" i="2"/>
  <c r="AH61" i="2"/>
  <c r="AF61" i="2"/>
  <c r="AP60" i="2"/>
  <c r="AH60" i="2"/>
  <c r="AF60" i="2"/>
  <c r="AP59" i="2"/>
  <c r="AH59" i="2"/>
  <c r="AF59" i="2"/>
  <c r="AP58" i="2"/>
  <c r="AH58" i="2"/>
  <c r="AF58" i="2"/>
  <c r="AP57" i="2"/>
  <c r="AH57" i="2"/>
  <c r="AF57" i="2"/>
  <c r="AP56" i="2"/>
  <c r="AH56" i="2"/>
  <c r="AF56" i="2"/>
  <c r="AP55" i="2"/>
  <c r="AH55" i="2"/>
  <c r="AF55" i="2"/>
  <c r="AP54" i="2"/>
  <c r="AH54" i="2"/>
  <c r="AF54" i="2"/>
  <c r="AP53" i="2"/>
  <c r="AH53" i="2"/>
  <c r="AF53" i="2"/>
  <c r="AP52" i="2"/>
  <c r="AH52" i="2"/>
  <c r="AF52" i="2"/>
  <c r="AP51" i="2"/>
  <c r="AH51" i="2"/>
  <c r="AF51" i="2"/>
  <c r="AP50" i="2"/>
  <c r="AH50" i="2"/>
  <c r="AF50" i="2"/>
  <c r="AP49" i="2"/>
  <c r="AH49" i="2"/>
  <c r="AF49" i="2"/>
  <c r="AP48" i="2"/>
  <c r="AH48" i="2"/>
  <c r="AF48" i="2"/>
  <c r="AP47" i="2"/>
  <c r="AH47" i="2"/>
  <c r="AF47" i="2"/>
  <c r="AP46" i="2"/>
  <c r="AH46" i="2"/>
  <c r="AF46" i="2"/>
  <c r="AP45" i="2"/>
  <c r="AH45" i="2"/>
  <c r="AF45" i="2"/>
  <c r="AP44" i="2"/>
  <c r="AH44" i="2"/>
  <c r="AF44" i="2"/>
  <c r="AP43" i="2"/>
  <c r="AH43" i="2"/>
  <c r="AF43" i="2"/>
  <c r="AP42" i="2"/>
  <c r="AH42" i="2"/>
  <c r="AF42" i="2"/>
  <c r="AP41" i="2"/>
  <c r="AH41" i="2"/>
  <c r="AF41" i="2"/>
  <c r="AP40" i="2"/>
  <c r="AH40" i="2"/>
  <c r="AF40" i="2"/>
  <c r="AP39" i="2"/>
  <c r="AH39" i="2"/>
  <c r="AF39" i="2"/>
  <c r="AP38" i="2"/>
  <c r="AH38" i="2"/>
  <c r="AF38" i="2"/>
  <c r="AP37" i="2"/>
  <c r="AH37" i="2"/>
  <c r="AF37" i="2"/>
  <c r="AP36" i="2"/>
  <c r="AH36" i="2"/>
  <c r="AF36" i="2"/>
  <c r="AP35" i="2"/>
  <c r="AH35" i="2"/>
  <c r="AF35" i="2"/>
  <c r="AP34" i="2"/>
  <c r="AH34" i="2"/>
  <c r="AF34" i="2"/>
  <c r="AP33" i="2"/>
  <c r="AH33" i="2"/>
  <c r="AF33" i="2"/>
  <c r="AP32" i="2"/>
  <c r="AH32" i="2"/>
  <c r="AF32" i="2"/>
  <c r="AP31" i="2"/>
  <c r="AH31" i="2"/>
  <c r="AF31" i="2"/>
  <c r="AP30" i="2"/>
  <c r="AH30" i="2"/>
  <c r="AF30" i="2"/>
  <c r="AP29" i="2"/>
  <c r="AH29" i="2"/>
  <c r="AF29" i="2"/>
  <c r="AP28" i="2"/>
  <c r="AH28" i="2"/>
  <c r="AF28" i="2"/>
  <c r="AP27" i="2"/>
  <c r="AH27" i="2"/>
  <c r="AF27" i="2"/>
  <c r="AP26" i="2"/>
  <c r="AH26" i="2"/>
  <c r="AF26" i="2"/>
  <c r="AP25" i="2"/>
  <c r="AH25" i="2"/>
  <c r="AF25" i="2"/>
  <c r="AP24" i="2"/>
  <c r="AH24" i="2"/>
  <c r="AF24" i="2"/>
  <c r="AP23" i="2"/>
  <c r="AH23" i="2"/>
  <c r="AF23" i="2"/>
  <c r="AP22" i="2"/>
  <c r="AH22" i="2"/>
  <c r="AF22" i="2"/>
  <c r="AP21" i="2"/>
  <c r="AH21" i="2"/>
  <c r="AF21" i="2"/>
  <c r="AP20" i="2"/>
  <c r="AH20" i="2"/>
  <c r="AF20" i="2"/>
  <c r="AP19" i="2"/>
  <c r="AH19" i="2"/>
  <c r="AF19" i="2"/>
  <c r="AP18" i="2"/>
  <c r="AH18" i="2"/>
  <c r="AF18" i="2"/>
  <c r="AP17" i="2"/>
  <c r="AH17" i="2"/>
  <c r="AF17" i="2"/>
  <c r="AP16" i="2"/>
  <c r="AH16" i="2"/>
  <c r="AF16" i="2"/>
  <c r="AP15" i="2"/>
  <c r="AH15" i="2"/>
  <c r="AF15" i="2"/>
  <c r="AP14" i="2"/>
  <c r="AH14" i="2"/>
  <c r="AF14" i="2"/>
  <c r="AP13" i="2"/>
  <c r="AH13" i="2"/>
  <c r="AF13" i="2"/>
  <c r="AP12" i="2"/>
  <c r="AH12" i="2"/>
  <c r="AF12" i="2"/>
  <c r="AP11" i="2"/>
  <c r="AH11" i="2"/>
  <c r="AF11" i="2"/>
  <c r="AP10" i="2"/>
  <c r="AH10" i="2"/>
  <c r="AF10" i="2"/>
  <c r="AP9" i="2"/>
  <c r="AH9" i="2"/>
  <c r="AF9" i="2"/>
  <c r="AP8" i="2"/>
  <c r="AH8" i="2"/>
  <c r="AF8" i="2"/>
  <c r="AP7" i="2"/>
  <c r="AH7" i="2"/>
  <c r="AF7" i="2"/>
  <c r="AP6" i="2"/>
  <c r="AH6" i="2"/>
  <c r="AF6" i="2"/>
  <c r="AP5" i="2"/>
  <c r="AH5" i="2"/>
  <c r="AF5" i="2"/>
  <c r="AP4" i="2"/>
  <c r="AH4" i="2"/>
  <c r="AF4" i="2"/>
  <c r="AP3" i="2"/>
  <c r="AF3" i="2"/>
  <c r="AH3" i="2"/>
  <c r="AP2" i="2"/>
  <c r="AH2" i="2"/>
  <c r="AF2" i="2"/>
  <c r="AG2" i="2" l="1"/>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A2" i="10"/>
  <c r="B2" i="10" l="1"/>
  <c r="G2" i="9"/>
  <c r="A3" i="10"/>
  <c r="A4" i="10" l="1"/>
  <c r="H2" i="9"/>
  <c r="B4" i="9" l="1"/>
  <c r="C4" i="9" s="1"/>
  <c r="A5" i="10"/>
  <c r="D4" i="9" l="1"/>
  <c r="E4" i="9" s="1"/>
  <c r="A6" i="10"/>
  <c r="A7" i="10" l="1"/>
  <c r="F4" i="9" l="1"/>
  <c r="A8" i="10"/>
  <c r="E314" i="7"/>
  <c r="D314" i="7"/>
  <c r="C314" i="7"/>
  <c r="E313" i="7"/>
  <c r="D313" i="7"/>
  <c r="C313" i="7"/>
  <c r="E312" i="7"/>
  <c r="D312" i="7"/>
  <c r="C312" i="7"/>
  <c r="E311" i="7"/>
  <c r="D311" i="7"/>
  <c r="C311" i="7"/>
  <c r="E310" i="7"/>
  <c r="D310" i="7"/>
  <c r="C310" i="7"/>
  <c r="E309" i="7"/>
  <c r="D309" i="7"/>
  <c r="C309" i="7"/>
  <c r="E308" i="7"/>
  <c r="D308" i="7"/>
  <c r="C308" i="7"/>
  <c r="E307" i="7"/>
  <c r="D307" i="7"/>
  <c r="C307" i="7"/>
  <c r="E306" i="7"/>
  <c r="D306" i="7"/>
  <c r="C306" i="7"/>
  <c r="E305" i="7"/>
  <c r="D305" i="7"/>
  <c r="C305" i="7"/>
  <c r="E304" i="7"/>
  <c r="D304" i="7"/>
  <c r="C304" i="7"/>
  <c r="E303" i="7"/>
  <c r="D303" i="7"/>
  <c r="C303" i="7"/>
  <c r="E302" i="7"/>
  <c r="D302" i="7"/>
  <c r="C302" i="7"/>
  <c r="E301" i="7"/>
  <c r="D301" i="7"/>
  <c r="C301" i="7"/>
  <c r="E300" i="7"/>
  <c r="D300" i="7"/>
  <c r="C300" i="7"/>
  <c r="E299" i="7"/>
  <c r="D299" i="7"/>
  <c r="C299" i="7"/>
  <c r="E298" i="7"/>
  <c r="D298" i="7"/>
  <c r="C298" i="7"/>
  <c r="E297" i="7"/>
  <c r="D297" i="7"/>
  <c r="C297" i="7"/>
  <c r="E296" i="7"/>
  <c r="D296" i="7"/>
  <c r="C296" i="7"/>
  <c r="E295" i="7"/>
  <c r="D295" i="7"/>
  <c r="C295" i="7"/>
  <c r="E294" i="7"/>
  <c r="D294" i="7"/>
  <c r="C294" i="7"/>
  <c r="E293" i="7"/>
  <c r="D293" i="7"/>
  <c r="C293" i="7"/>
  <c r="E292" i="7"/>
  <c r="D292" i="7"/>
  <c r="C292" i="7"/>
  <c r="E291" i="7"/>
  <c r="D291" i="7"/>
  <c r="C291" i="7"/>
  <c r="E290" i="7"/>
  <c r="D290" i="7"/>
  <c r="C290" i="7"/>
  <c r="E289" i="7"/>
  <c r="D289" i="7"/>
  <c r="C289" i="7"/>
  <c r="E288" i="7"/>
  <c r="D288" i="7"/>
  <c r="C288" i="7"/>
  <c r="E287" i="7"/>
  <c r="D287" i="7"/>
  <c r="C287" i="7"/>
  <c r="E286" i="7"/>
  <c r="D286" i="7"/>
  <c r="C286" i="7"/>
  <c r="E285" i="7"/>
  <c r="D285" i="7"/>
  <c r="C285" i="7"/>
  <c r="E284" i="7"/>
  <c r="D284" i="7"/>
  <c r="C284" i="7"/>
  <c r="E283" i="7"/>
  <c r="D283" i="7"/>
  <c r="C283" i="7"/>
  <c r="E282" i="7"/>
  <c r="D282" i="7"/>
  <c r="C282" i="7"/>
  <c r="E281" i="7"/>
  <c r="D281" i="7"/>
  <c r="C281" i="7"/>
  <c r="E280" i="7"/>
  <c r="D280" i="7"/>
  <c r="C280" i="7"/>
  <c r="E279" i="7"/>
  <c r="D279" i="7"/>
  <c r="C279" i="7"/>
  <c r="E278" i="7"/>
  <c r="D278" i="7"/>
  <c r="C278" i="7"/>
  <c r="E277" i="7"/>
  <c r="D277" i="7"/>
  <c r="C277" i="7"/>
  <c r="E276" i="7"/>
  <c r="D276" i="7"/>
  <c r="C276" i="7"/>
  <c r="E275" i="7"/>
  <c r="D275" i="7"/>
  <c r="C275" i="7"/>
  <c r="E274" i="7"/>
  <c r="D274" i="7"/>
  <c r="C274" i="7"/>
  <c r="E273" i="7"/>
  <c r="D273" i="7"/>
  <c r="C273" i="7"/>
  <c r="E272" i="7"/>
  <c r="D272" i="7"/>
  <c r="C272" i="7"/>
  <c r="E271" i="7"/>
  <c r="D271" i="7"/>
  <c r="C271" i="7"/>
  <c r="E270" i="7"/>
  <c r="D270" i="7"/>
  <c r="C270" i="7"/>
  <c r="E269" i="7"/>
  <c r="D269" i="7"/>
  <c r="C269" i="7"/>
  <c r="E268" i="7"/>
  <c r="D268" i="7"/>
  <c r="C268" i="7"/>
  <c r="E267" i="7"/>
  <c r="D267" i="7"/>
  <c r="C267" i="7"/>
  <c r="E266" i="7"/>
  <c r="D266" i="7"/>
  <c r="C266" i="7"/>
  <c r="E265" i="7"/>
  <c r="D265" i="7"/>
  <c r="C265" i="7"/>
  <c r="E264" i="7"/>
  <c r="D264" i="7"/>
  <c r="C264" i="7"/>
  <c r="E263" i="7"/>
  <c r="D263" i="7"/>
  <c r="C263" i="7"/>
  <c r="E262" i="7"/>
  <c r="D262" i="7"/>
  <c r="C262" i="7"/>
  <c r="E261" i="7"/>
  <c r="D261" i="7"/>
  <c r="C261" i="7"/>
  <c r="E260" i="7"/>
  <c r="D260" i="7"/>
  <c r="C260" i="7"/>
  <c r="E259" i="7"/>
  <c r="D259" i="7"/>
  <c r="C259" i="7"/>
  <c r="E257" i="7"/>
  <c r="D257" i="7"/>
  <c r="C257" i="7"/>
  <c r="E256" i="7"/>
  <c r="D256" i="7"/>
  <c r="C256" i="7"/>
  <c r="E255" i="7"/>
  <c r="D255" i="7"/>
  <c r="C255" i="7"/>
  <c r="E254" i="7"/>
  <c r="D254" i="7"/>
  <c r="C254" i="7"/>
  <c r="E253" i="7"/>
  <c r="D253" i="7"/>
  <c r="C253" i="7"/>
  <c r="E252" i="7"/>
  <c r="D252" i="7"/>
  <c r="C252" i="7"/>
  <c r="E251" i="7"/>
  <c r="D251" i="7"/>
  <c r="C251" i="7"/>
  <c r="E250" i="7"/>
  <c r="D250" i="7"/>
  <c r="C250" i="7"/>
  <c r="E249" i="7"/>
  <c r="D249" i="7"/>
  <c r="C249" i="7"/>
  <c r="E248" i="7"/>
  <c r="D248" i="7"/>
  <c r="C248" i="7"/>
  <c r="E247" i="7"/>
  <c r="D247" i="7"/>
  <c r="C247" i="7"/>
  <c r="E246" i="7"/>
  <c r="D246" i="7"/>
  <c r="C246" i="7"/>
  <c r="E245" i="7"/>
  <c r="D245" i="7"/>
  <c r="C245" i="7"/>
  <c r="E244" i="7"/>
  <c r="D244" i="7"/>
  <c r="C244" i="7"/>
  <c r="E243" i="7"/>
  <c r="D243" i="7"/>
  <c r="C243" i="7"/>
  <c r="E242" i="7"/>
  <c r="D242" i="7"/>
  <c r="C242" i="7"/>
  <c r="E241" i="7"/>
  <c r="D241" i="7"/>
  <c r="C241" i="7"/>
  <c r="E240" i="7"/>
  <c r="D240" i="7"/>
  <c r="C240" i="7"/>
  <c r="E239" i="7"/>
  <c r="D239" i="7"/>
  <c r="C239" i="7"/>
  <c r="E238" i="7"/>
  <c r="D238" i="7"/>
  <c r="C238" i="7"/>
  <c r="E237" i="7"/>
  <c r="D237" i="7"/>
  <c r="C237" i="7"/>
  <c r="E236" i="7"/>
  <c r="D236" i="7"/>
  <c r="C236" i="7"/>
  <c r="E235" i="7"/>
  <c r="D235" i="7"/>
  <c r="C235" i="7"/>
  <c r="E234" i="7"/>
  <c r="D234" i="7"/>
  <c r="C234" i="7"/>
  <c r="E233" i="7"/>
  <c r="D233" i="7"/>
  <c r="C233" i="7"/>
  <c r="E232" i="7"/>
  <c r="D232" i="7"/>
  <c r="C232" i="7"/>
  <c r="E231" i="7"/>
  <c r="D231" i="7"/>
  <c r="C231" i="7"/>
  <c r="E230" i="7"/>
  <c r="D230" i="7"/>
  <c r="C230" i="7"/>
  <c r="E229" i="7"/>
  <c r="D229" i="7"/>
  <c r="C229" i="7"/>
  <c r="E228" i="7"/>
  <c r="D228" i="7"/>
  <c r="C228" i="7"/>
  <c r="E227" i="7"/>
  <c r="D227" i="7"/>
  <c r="C227" i="7"/>
  <c r="E226" i="7"/>
  <c r="D226" i="7"/>
  <c r="C226" i="7"/>
  <c r="E225" i="7"/>
  <c r="D225" i="7"/>
  <c r="C225" i="7"/>
  <c r="E224" i="7"/>
  <c r="D224" i="7"/>
  <c r="C224" i="7"/>
  <c r="E223" i="7"/>
  <c r="D223" i="7"/>
  <c r="C223" i="7"/>
  <c r="E222" i="7"/>
  <c r="D222" i="7"/>
  <c r="C222" i="7"/>
  <c r="E221" i="7"/>
  <c r="D221" i="7"/>
  <c r="C221" i="7"/>
  <c r="E220" i="7"/>
  <c r="D220" i="7"/>
  <c r="C220" i="7"/>
  <c r="E219" i="7"/>
  <c r="D219" i="7"/>
  <c r="C219" i="7"/>
  <c r="E218" i="7"/>
  <c r="D218" i="7"/>
  <c r="C218" i="7"/>
  <c r="E217" i="7"/>
  <c r="D217" i="7"/>
  <c r="C217" i="7"/>
  <c r="E216" i="7"/>
  <c r="D216" i="7"/>
  <c r="C216" i="7"/>
  <c r="E214" i="7"/>
  <c r="D214" i="7"/>
  <c r="C214" i="7"/>
  <c r="E213" i="7"/>
  <c r="D213" i="7"/>
  <c r="C213" i="7"/>
  <c r="E212" i="7"/>
  <c r="D212" i="7"/>
  <c r="C212" i="7"/>
  <c r="E211" i="7"/>
  <c r="D211" i="7"/>
  <c r="C211" i="7"/>
  <c r="E210" i="7"/>
  <c r="D210" i="7"/>
  <c r="C210" i="7"/>
  <c r="E209" i="7"/>
  <c r="D209" i="7"/>
  <c r="C209" i="7"/>
  <c r="E208" i="7"/>
  <c r="D208" i="7"/>
  <c r="C208" i="7"/>
  <c r="E207" i="7"/>
  <c r="D207" i="7"/>
  <c r="C207" i="7"/>
  <c r="E206" i="7"/>
  <c r="D206" i="7"/>
  <c r="C206" i="7"/>
  <c r="E205" i="7"/>
  <c r="D205" i="7"/>
  <c r="C205" i="7"/>
  <c r="E204" i="7"/>
  <c r="D204" i="7"/>
  <c r="C204" i="7"/>
  <c r="E203" i="7"/>
  <c r="D203" i="7"/>
  <c r="C203" i="7"/>
  <c r="E202" i="7"/>
  <c r="D202" i="7"/>
  <c r="C202" i="7"/>
  <c r="E201" i="7"/>
  <c r="D201" i="7"/>
  <c r="C201" i="7"/>
  <c r="E200" i="7"/>
  <c r="D200" i="7"/>
  <c r="C200" i="7"/>
  <c r="E199" i="7"/>
  <c r="D199" i="7"/>
  <c r="C199" i="7"/>
  <c r="E198" i="7"/>
  <c r="D198" i="7"/>
  <c r="C198" i="7"/>
  <c r="E197" i="7"/>
  <c r="D197" i="7"/>
  <c r="C197" i="7"/>
  <c r="E196" i="7"/>
  <c r="D196" i="7"/>
  <c r="C196" i="7"/>
  <c r="E195" i="7"/>
  <c r="D195" i="7"/>
  <c r="C195" i="7"/>
  <c r="E194" i="7"/>
  <c r="D194" i="7"/>
  <c r="C194" i="7"/>
  <c r="E193" i="7"/>
  <c r="D193" i="7"/>
  <c r="C193" i="7"/>
  <c r="E192" i="7"/>
  <c r="D192" i="7"/>
  <c r="C192" i="7"/>
  <c r="E191" i="7"/>
  <c r="D191" i="7"/>
  <c r="C191" i="7"/>
  <c r="E190" i="7"/>
  <c r="D190" i="7"/>
  <c r="C190" i="7"/>
  <c r="E189" i="7"/>
  <c r="D189" i="7"/>
  <c r="C189" i="7"/>
  <c r="E188" i="7"/>
  <c r="D188" i="7"/>
  <c r="C188" i="7"/>
  <c r="E187" i="7"/>
  <c r="D187" i="7"/>
  <c r="C187" i="7"/>
  <c r="E186" i="7"/>
  <c r="D186" i="7"/>
  <c r="C186" i="7"/>
  <c r="E185" i="7"/>
  <c r="D185" i="7"/>
  <c r="C185" i="7"/>
  <c r="E184" i="7"/>
  <c r="D184" i="7"/>
  <c r="C184" i="7"/>
  <c r="E183" i="7"/>
  <c r="D183" i="7"/>
  <c r="C183" i="7"/>
  <c r="E182" i="7"/>
  <c r="D182" i="7"/>
  <c r="C182" i="7"/>
  <c r="E181" i="7"/>
  <c r="D181" i="7"/>
  <c r="C181" i="7"/>
  <c r="E180" i="7"/>
  <c r="D180" i="7"/>
  <c r="C180" i="7"/>
  <c r="E179" i="7"/>
  <c r="D179" i="7"/>
  <c r="C179" i="7"/>
  <c r="E178" i="7"/>
  <c r="D178" i="7"/>
  <c r="C178" i="7"/>
  <c r="E177" i="7"/>
  <c r="D177" i="7"/>
  <c r="C177" i="7"/>
  <c r="E176" i="7"/>
  <c r="D176" i="7"/>
  <c r="C176" i="7"/>
  <c r="E175" i="7"/>
  <c r="D175" i="7"/>
  <c r="C175" i="7"/>
  <c r="E174" i="7"/>
  <c r="D174" i="7"/>
  <c r="C174" i="7"/>
  <c r="E173" i="7"/>
  <c r="D173" i="7"/>
  <c r="C173" i="7"/>
  <c r="E171" i="7"/>
  <c r="D171" i="7"/>
  <c r="C171" i="7"/>
  <c r="E170" i="7"/>
  <c r="D170" i="7"/>
  <c r="C170" i="7"/>
  <c r="E169" i="7"/>
  <c r="D169" i="7"/>
  <c r="C169" i="7"/>
  <c r="E168" i="7"/>
  <c r="D168" i="7"/>
  <c r="C168" i="7"/>
  <c r="E167" i="7"/>
  <c r="D167" i="7"/>
  <c r="C167" i="7"/>
  <c r="E166" i="7"/>
  <c r="D166" i="7"/>
  <c r="C166" i="7"/>
  <c r="E165" i="7"/>
  <c r="D165" i="7"/>
  <c r="C165" i="7"/>
  <c r="E164" i="7"/>
  <c r="D164" i="7"/>
  <c r="C164" i="7"/>
  <c r="E163" i="7"/>
  <c r="D163" i="7"/>
  <c r="C163" i="7"/>
  <c r="E162" i="7"/>
  <c r="D162" i="7"/>
  <c r="C162" i="7"/>
  <c r="E161" i="7"/>
  <c r="D161" i="7"/>
  <c r="C161" i="7"/>
  <c r="E160" i="7"/>
  <c r="D160" i="7"/>
  <c r="C160" i="7"/>
  <c r="E159" i="7"/>
  <c r="D159" i="7"/>
  <c r="C159" i="7"/>
  <c r="E158" i="7"/>
  <c r="D158" i="7"/>
  <c r="C158" i="7"/>
  <c r="E157" i="7"/>
  <c r="D157" i="7"/>
  <c r="C157" i="7"/>
  <c r="E156" i="7"/>
  <c r="D156" i="7"/>
  <c r="C156" i="7"/>
  <c r="E155" i="7"/>
  <c r="D155" i="7"/>
  <c r="C155" i="7"/>
  <c r="E154" i="7"/>
  <c r="D154" i="7"/>
  <c r="C154" i="7"/>
  <c r="E153" i="7"/>
  <c r="D153" i="7"/>
  <c r="C153" i="7"/>
  <c r="E152" i="7"/>
  <c r="D152" i="7"/>
  <c r="C152" i="7"/>
  <c r="E151" i="7"/>
  <c r="D151" i="7"/>
  <c r="C151" i="7"/>
  <c r="E150" i="7"/>
  <c r="D150" i="7"/>
  <c r="C150" i="7"/>
  <c r="E149" i="7"/>
  <c r="D149" i="7"/>
  <c r="C149" i="7"/>
  <c r="E148" i="7"/>
  <c r="D148" i="7"/>
  <c r="C148" i="7"/>
  <c r="E147" i="7"/>
  <c r="D147" i="7"/>
  <c r="C147" i="7"/>
  <c r="E146" i="7"/>
  <c r="D146" i="7"/>
  <c r="C146" i="7"/>
  <c r="E145" i="7"/>
  <c r="D145" i="7"/>
  <c r="C145" i="7"/>
  <c r="E144" i="7"/>
  <c r="D144" i="7"/>
  <c r="C144" i="7"/>
  <c r="E143" i="7"/>
  <c r="D143" i="7"/>
  <c r="C143" i="7"/>
  <c r="E142" i="7"/>
  <c r="D142" i="7"/>
  <c r="C142" i="7"/>
  <c r="E141" i="7"/>
  <c r="D141" i="7"/>
  <c r="C141" i="7"/>
  <c r="E140" i="7"/>
  <c r="D140" i="7"/>
  <c r="C140" i="7"/>
  <c r="E139" i="7"/>
  <c r="D139" i="7"/>
  <c r="C139" i="7"/>
  <c r="E138" i="7"/>
  <c r="D138" i="7"/>
  <c r="C138" i="7"/>
  <c r="E137" i="7"/>
  <c r="D137" i="7"/>
  <c r="C137" i="7"/>
  <c r="E136" i="7"/>
  <c r="D136" i="7"/>
  <c r="C136" i="7"/>
  <c r="E135" i="7"/>
  <c r="D135" i="7"/>
  <c r="C135" i="7"/>
  <c r="E134" i="7"/>
  <c r="D134" i="7"/>
  <c r="C134" i="7"/>
  <c r="E133" i="7"/>
  <c r="D133" i="7"/>
  <c r="C133" i="7"/>
  <c r="E132" i="7"/>
  <c r="D132" i="7"/>
  <c r="C132" i="7"/>
  <c r="E131" i="7"/>
  <c r="D131" i="7"/>
  <c r="C131" i="7"/>
  <c r="E130" i="7"/>
  <c r="D130" i="7"/>
  <c r="C130" i="7"/>
  <c r="E129" i="7"/>
  <c r="D129" i="7"/>
  <c r="C129" i="7"/>
  <c r="E128" i="7"/>
  <c r="D128" i="7"/>
  <c r="C128" i="7"/>
  <c r="E127" i="7"/>
  <c r="D127" i="7"/>
  <c r="C127" i="7"/>
  <c r="E126" i="7"/>
  <c r="D126" i="7"/>
  <c r="C126" i="7"/>
  <c r="E125" i="7"/>
  <c r="D125" i="7"/>
  <c r="C125" i="7"/>
  <c r="E124" i="7"/>
  <c r="D124" i="7"/>
  <c r="C124" i="7"/>
  <c r="E123" i="7"/>
  <c r="D123" i="7"/>
  <c r="C123" i="7"/>
  <c r="E122" i="7"/>
  <c r="D122" i="7"/>
  <c r="C122" i="7"/>
  <c r="E121" i="7"/>
  <c r="D121" i="7"/>
  <c r="C121" i="7"/>
  <c r="E120" i="7"/>
  <c r="D120" i="7"/>
  <c r="C120" i="7"/>
  <c r="E119" i="7"/>
  <c r="D119" i="7"/>
  <c r="C119" i="7"/>
  <c r="E118" i="7"/>
  <c r="D118" i="7"/>
  <c r="C118" i="7"/>
  <c r="E117" i="7"/>
  <c r="D117" i="7"/>
  <c r="C117" i="7"/>
  <c r="E116" i="7"/>
  <c r="D116" i="7"/>
  <c r="C116" i="7"/>
  <c r="E115" i="7"/>
  <c r="D115" i="7"/>
  <c r="C115" i="7"/>
  <c r="E114" i="7"/>
  <c r="D114" i="7"/>
  <c r="C114" i="7"/>
  <c r="E113" i="7"/>
  <c r="D113" i="7"/>
  <c r="C113" i="7"/>
  <c r="E112" i="7"/>
  <c r="D112" i="7"/>
  <c r="C112" i="7"/>
  <c r="E111" i="7"/>
  <c r="D111" i="7"/>
  <c r="C111" i="7"/>
  <c r="E110" i="7"/>
  <c r="D110" i="7"/>
  <c r="C110" i="7"/>
  <c r="E109" i="7"/>
  <c r="D109" i="7"/>
  <c r="C109" i="7"/>
  <c r="E108" i="7"/>
  <c r="D108" i="7"/>
  <c r="C108" i="7"/>
  <c r="E107" i="7"/>
  <c r="D107" i="7"/>
  <c r="C107" i="7"/>
  <c r="E106" i="7"/>
  <c r="D106" i="7"/>
  <c r="C106" i="7"/>
  <c r="E105" i="7"/>
  <c r="D105" i="7"/>
  <c r="C105" i="7"/>
  <c r="E104" i="7"/>
  <c r="D104" i="7"/>
  <c r="C104" i="7"/>
  <c r="E103" i="7"/>
  <c r="D103" i="7"/>
  <c r="C103" i="7"/>
  <c r="E102" i="7"/>
  <c r="D102" i="7"/>
  <c r="C102" i="7"/>
  <c r="E101" i="7"/>
  <c r="D101" i="7"/>
  <c r="C101" i="7"/>
  <c r="E100" i="7"/>
  <c r="D100" i="7"/>
  <c r="C100" i="7"/>
  <c r="E99" i="7"/>
  <c r="D99" i="7"/>
  <c r="C99" i="7"/>
  <c r="E98" i="7"/>
  <c r="D98" i="7"/>
  <c r="C98" i="7"/>
  <c r="E97" i="7"/>
  <c r="D97" i="7"/>
  <c r="C97" i="7"/>
  <c r="E96" i="7"/>
  <c r="D96" i="7"/>
  <c r="C96" i="7"/>
  <c r="E95" i="7"/>
  <c r="D95" i="7"/>
  <c r="C95" i="7"/>
  <c r="E94" i="7"/>
  <c r="D94" i="7"/>
  <c r="C94" i="7"/>
  <c r="E93" i="7"/>
  <c r="D93" i="7"/>
  <c r="C93" i="7"/>
  <c r="E92" i="7"/>
  <c r="D92" i="7"/>
  <c r="C92" i="7"/>
  <c r="E91" i="7"/>
  <c r="D91" i="7"/>
  <c r="C91" i="7"/>
  <c r="E90" i="7"/>
  <c r="D90" i="7"/>
  <c r="C90" i="7"/>
  <c r="E89" i="7"/>
  <c r="D89" i="7"/>
  <c r="C89" i="7"/>
  <c r="E88" i="7"/>
  <c r="D88" i="7"/>
  <c r="C88" i="7"/>
  <c r="E87" i="7"/>
  <c r="D87" i="7"/>
  <c r="C87" i="7"/>
  <c r="E86" i="7"/>
  <c r="D86" i="7"/>
  <c r="C86" i="7"/>
  <c r="E85" i="7"/>
  <c r="D85" i="7"/>
  <c r="C85" i="7"/>
  <c r="E84" i="7"/>
  <c r="D84" i="7"/>
  <c r="C84" i="7"/>
  <c r="E83" i="7"/>
  <c r="D83" i="7"/>
  <c r="C83" i="7"/>
  <c r="E82" i="7"/>
  <c r="D82" i="7"/>
  <c r="C82" i="7"/>
  <c r="E81" i="7"/>
  <c r="D81" i="7"/>
  <c r="C81" i="7"/>
  <c r="E80" i="7"/>
  <c r="D80" i="7"/>
  <c r="C80" i="7"/>
  <c r="E79" i="7"/>
  <c r="D79" i="7"/>
  <c r="C79" i="7"/>
  <c r="E78" i="7"/>
  <c r="D78" i="7"/>
  <c r="C78" i="7"/>
  <c r="E77" i="7"/>
  <c r="D77" i="7"/>
  <c r="C77" i="7"/>
  <c r="E76" i="7"/>
  <c r="D76" i="7"/>
  <c r="C76" i="7"/>
  <c r="E75" i="7"/>
  <c r="D75" i="7"/>
  <c r="C75" i="7"/>
  <c r="E74" i="7"/>
  <c r="D74" i="7"/>
  <c r="C74" i="7"/>
  <c r="E73" i="7"/>
  <c r="D73" i="7"/>
  <c r="C73" i="7"/>
  <c r="E72" i="7"/>
  <c r="D72" i="7"/>
  <c r="C72" i="7"/>
  <c r="E71" i="7"/>
  <c r="D71" i="7"/>
  <c r="C71" i="7"/>
  <c r="E70" i="7"/>
  <c r="D70" i="7"/>
  <c r="C70" i="7"/>
  <c r="E69" i="7"/>
  <c r="D69" i="7"/>
  <c r="C69" i="7"/>
  <c r="E68" i="7"/>
  <c r="D68" i="7"/>
  <c r="C68" i="7"/>
  <c r="E67" i="7"/>
  <c r="D67" i="7"/>
  <c r="C67" i="7"/>
  <c r="E66" i="7"/>
  <c r="D66" i="7"/>
  <c r="C66" i="7"/>
  <c r="E65" i="7"/>
  <c r="D65" i="7"/>
  <c r="C65" i="7"/>
  <c r="E64" i="7"/>
  <c r="D64" i="7"/>
  <c r="C64" i="7"/>
  <c r="E63" i="7"/>
  <c r="D63" i="7"/>
  <c r="C63" i="7"/>
  <c r="E62" i="7"/>
  <c r="D62" i="7"/>
  <c r="C62" i="7"/>
  <c r="E61" i="7"/>
  <c r="D61" i="7"/>
  <c r="C61" i="7"/>
  <c r="E60" i="7"/>
  <c r="D60" i="7"/>
  <c r="C60" i="7"/>
  <c r="E59" i="7"/>
  <c r="D59" i="7"/>
  <c r="C59" i="7"/>
  <c r="E58" i="7"/>
  <c r="D58" i="7"/>
  <c r="C58" i="7"/>
  <c r="E57" i="7"/>
  <c r="D57" i="7"/>
  <c r="C57" i="7"/>
  <c r="E56" i="7"/>
  <c r="D56" i="7"/>
  <c r="C56" i="7"/>
  <c r="E55" i="7"/>
  <c r="D55" i="7"/>
  <c r="C55" i="7"/>
  <c r="E54" i="7"/>
  <c r="D54" i="7"/>
  <c r="C54" i="7"/>
  <c r="E53" i="7"/>
  <c r="D53" i="7"/>
  <c r="C53" i="7"/>
  <c r="E52" i="7"/>
  <c r="D52" i="7"/>
  <c r="C52" i="7"/>
  <c r="E51" i="7"/>
  <c r="D51" i="7"/>
  <c r="C51" i="7"/>
  <c r="E50" i="7"/>
  <c r="D50" i="7"/>
  <c r="C50" i="7"/>
  <c r="E49" i="7"/>
  <c r="D49" i="7"/>
  <c r="C49" i="7"/>
  <c r="E48" i="7"/>
  <c r="D48" i="7"/>
  <c r="C48" i="7"/>
  <c r="E47" i="7"/>
  <c r="D47" i="7"/>
  <c r="C47" i="7"/>
  <c r="E46" i="7"/>
  <c r="D46" i="7"/>
  <c r="C46" i="7"/>
  <c r="E41" i="7"/>
  <c r="D41" i="7"/>
  <c r="C41" i="7"/>
  <c r="E38" i="7"/>
  <c r="D38" i="7"/>
  <c r="C38" i="7"/>
  <c r="E34" i="7"/>
  <c r="D34" i="7"/>
  <c r="C34" i="7"/>
  <c r="E31" i="7"/>
  <c r="D31" i="7"/>
  <c r="C31" i="7"/>
  <c r="E30" i="7"/>
  <c r="D30" i="7"/>
  <c r="C30" i="7"/>
  <c r="E28" i="7"/>
  <c r="D28" i="7"/>
  <c r="C28" i="7"/>
  <c r="E25" i="7"/>
  <c r="D25" i="7"/>
  <c r="C25" i="7"/>
  <c r="E24" i="7"/>
  <c r="D24" i="7"/>
  <c r="C24" i="7"/>
  <c r="E21" i="7"/>
  <c r="D21" i="7"/>
  <c r="C21" i="7"/>
  <c r="E20" i="7"/>
  <c r="D20" i="7"/>
  <c r="C20" i="7"/>
  <c r="E19" i="7"/>
  <c r="D19" i="7"/>
  <c r="C19" i="7"/>
  <c r="E18" i="7"/>
  <c r="D18" i="7"/>
  <c r="C18" i="7"/>
  <c r="E17" i="7"/>
  <c r="D17" i="7"/>
  <c r="C17" i="7"/>
  <c r="E16" i="7"/>
  <c r="D16" i="7"/>
  <c r="C16" i="7"/>
  <c r="E15" i="7"/>
  <c r="D15" i="7"/>
  <c r="C15" i="7"/>
  <c r="E14" i="7"/>
  <c r="D14" i="7"/>
  <c r="C14" i="7"/>
  <c r="E13" i="7"/>
  <c r="D13" i="7"/>
  <c r="C13" i="7"/>
  <c r="E12" i="7"/>
  <c r="D12" i="7"/>
  <c r="C12" i="7"/>
  <c r="E11" i="7"/>
  <c r="D11" i="7"/>
  <c r="C11" i="7"/>
  <c r="E10" i="7"/>
  <c r="D10" i="7"/>
  <c r="C10" i="7"/>
  <c r="E9" i="7"/>
  <c r="D9" i="7"/>
  <c r="C9" i="7"/>
  <c r="E8" i="7"/>
  <c r="D8" i="7"/>
  <c r="C8" i="7"/>
  <c r="E7" i="7"/>
  <c r="D7" i="7"/>
  <c r="C7" i="7"/>
  <c r="E6" i="7"/>
  <c r="D6" i="7"/>
  <c r="C6" i="7"/>
  <c r="E5" i="7"/>
  <c r="D5" i="7"/>
  <c r="C5" i="7"/>
  <c r="E4" i="7"/>
  <c r="D4" i="7"/>
  <c r="C4" i="7"/>
  <c r="E3" i="7"/>
  <c r="D3" i="7"/>
  <c r="C3" i="7"/>
  <c r="A9" i="10" l="1"/>
  <c r="G4" i="9"/>
  <c r="E22" i="7" l="1"/>
  <c r="D22" i="7"/>
  <c r="C22" i="7"/>
  <c r="H4" i="9"/>
  <c r="A10" i="10"/>
  <c r="A258" i="7"/>
  <c r="E23" i="7" l="1"/>
  <c r="D23" i="7"/>
  <c r="C23" i="7"/>
  <c r="A11" i="10"/>
  <c r="B6" i="9"/>
  <c r="F308" i="7"/>
  <c r="F301" i="7"/>
  <c r="F294" i="7"/>
  <c r="F287" i="7"/>
  <c r="F280" i="7"/>
  <c r="F273" i="7"/>
  <c r="F266" i="7"/>
  <c r="F259" i="7"/>
  <c r="F251" i="7"/>
  <c r="F244" i="7"/>
  <c r="F237" i="7"/>
  <c r="F230" i="7"/>
  <c r="F223" i="7"/>
  <c r="F216" i="7"/>
  <c r="A215" i="7"/>
  <c r="F208" i="7"/>
  <c r="F201" i="7"/>
  <c r="F194" i="7"/>
  <c r="F187" i="7"/>
  <c r="F180" i="7"/>
  <c r="F173" i="7"/>
  <c r="A172" i="7"/>
  <c r="F165" i="7"/>
  <c r="F158" i="7"/>
  <c r="F151" i="7"/>
  <c r="F144" i="7"/>
  <c r="F137" i="7"/>
  <c r="F130" i="7"/>
  <c r="F123" i="7"/>
  <c r="F116" i="7"/>
  <c r="F109" i="7"/>
  <c r="F102" i="7"/>
  <c r="F95" i="7"/>
  <c r="F88" i="7"/>
  <c r="F81" i="7"/>
  <c r="F74" i="7"/>
  <c r="F67" i="7"/>
  <c r="F60" i="7"/>
  <c r="F53" i="7"/>
  <c r="F46" i="7"/>
  <c r="A45" i="7"/>
  <c r="F17" i="7"/>
  <c r="F10" i="7"/>
  <c r="F3" i="7"/>
  <c r="E26" i="7" l="1"/>
  <c r="D26" i="7"/>
  <c r="C26" i="7"/>
  <c r="C6" i="9"/>
  <c r="A12" i="10"/>
  <c r="E27" i="7" l="1"/>
  <c r="D27" i="7"/>
  <c r="C27" i="7"/>
  <c r="A13" i="10"/>
  <c r="D6" i="9"/>
  <c r="E29" i="7" l="1"/>
  <c r="D29" i="7"/>
  <c r="C29" i="7"/>
  <c r="E6" i="9"/>
  <c r="A14" i="10"/>
  <c r="F24" i="7" l="1"/>
  <c r="E32" i="7"/>
  <c r="D32" i="7"/>
  <c r="C32" i="7"/>
  <c r="A15" i="10"/>
  <c r="F6" i="9"/>
  <c r="E33" i="7" l="1"/>
  <c r="D33" i="7"/>
  <c r="C33" i="7"/>
  <c r="G6" i="9"/>
  <c r="A16" i="10"/>
  <c r="E35" i="7" l="1"/>
  <c r="D35" i="7"/>
  <c r="C35" i="7"/>
  <c r="A17" i="10"/>
  <c r="H6" i="9"/>
  <c r="E36" i="7" l="1"/>
  <c r="D36" i="7"/>
  <c r="C36" i="7"/>
  <c r="B8" i="9"/>
  <c r="A18" i="10"/>
  <c r="E37" i="7" l="1"/>
  <c r="D37" i="7"/>
  <c r="C37" i="7"/>
  <c r="A19" i="10"/>
  <c r="C8" i="9"/>
  <c r="F31" i="7" l="1"/>
  <c r="E39" i="7"/>
  <c r="D39" i="7"/>
  <c r="C39" i="7"/>
  <c r="D8" i="9"/>
  <c r="A20" i="10"/>
  <c r="AJ2" i="2"/>
  <c r="AJ3" i="2" s="1"/>
  <c r="AJ4" i="2" s="1"/>
  <c r="AJ5" i="2" s="1"/>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AJ54" i="2" s="1"/>
  <c r="AJ55" i="2" s="1"/>
  <c r="AJ56" i="2" s="1"/>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AJ106" i="2" s="1"/>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J155" i="2" s="1"/>
  <c r="AJ156" i="2" s="1"/>
  <c r="AJ157" i="2" s="1"/>
  <c r="AJ158" i="2" s="1"/>
  <c r="AJ159" i="2" s="1"/>
  <c r="AJ160" i="2" s="1"/>
  <c r="AJ161" i="2" s="1"/>
  <c r="AJ162" i="2" s="1"/>
  <c r="AJ163" i="2" s="1"/>
  <c r="AJ164" i="2" s="1"/>
  <c r="AJ165" i="2" s="1"/>
  <c r="AJ166" i="2" s="1"/>
  <c r="AJ167" i="2" s="1"/>
  <c r="AJ168" i="2" s="1"/>
  <c r="AJ169" i="2" s="1"/>
  <c r="AJ170" i="2" s="1"/>
  <c r="AJ171" i="2" s="1"/>
  <c r="AJ172" i="2" s="1"/>
  <c r="AJ173" i="2" s="1"/>
  <c r="AJ174" i="2" s="1"/>
  <c r="AJ175" i="2" s="1"/>
  <c r="AJ176" i="2" s="1"/>
  <c r="AJ177" i="2" s="1"/>
  <c r="AJ178" i="2" s="1"/>
  <c r="AJ179" i="2" s="1"/>
  <c r="AJ180" i="2" s="1"/>
  <c r="AJ181" i="2" s="1"/>
  <c r="AJ182" i="2" s="1"/>
  <c r="AJ183" i="2" s="1"/>
  <c r="AJ184" i="2" s="1"/>
  <c r="AJ185" i="2" s="1"/>
  <c r="AJ186" i="2" s="1"/>
  <c r="AJ187" i="2" s="1"/>
  <c r="AJ188" i="2" s="1"/>
  <c r="AJ189" i="2" s="1"/>
  <c r="AJ190" i="2" s="1"/>
  <c r="AJ191" i="2" s="1"/>
  <c r="AJ192" i="2" s="1"/>
  <c r="AJ193" i="2" s="1"/>
  <c r="AJ194" i="2" s="1"/>
  <c r="AJ195" i="2" s="1"/>
  <c r="AJ196" i="2" s="1"/>
  <c r="AJ197" i="2" s="1"/>
  <c r="AJ198" i="2" s="1"/>
  <c r="AJ199" i="2" s="1"/>
  <c r="AJ200" i="2" s="1"/>
  <c r="AJ201" i="2" s="1"/>
  <c r="AJ202" i="2" s="1"/>
  <c r="AJ203" i="2" s="1"/>
  <c r="AJ204" i="2" s="1"/>
  <c r="AJ205" i="2" s="1"/>
  <c r="AJ206" i="2" s="1"/>
  <c r="AJ207" i="2" s="1"/>
  <c r="AJ208" i="2" s="1"/>
  <c r="AJ209" i="2" s="1"/>
  <c r="AJ210" i="2" s="1"/>
  <c r="AJ211" i="2" s="1"/>
  <c r="AJ212" i="2" s="1"/>
  <c r="AJ213" i="2" s="1"/>
  <c r="AJ214" i="2" s="1"/>
  <c r="AJ215" i="2" s="1"/>
  <c r="AJ216" i="2" s="1"/>
  <c r="AJ217" i="2" s="1"/>
  <c r="AJ218" i="2" s="1"/>
  <c r="AJ219" i="2" s="1"/>
  <c r="AJ220" i="2" s="1"/>
  <c r="AJ221" i="2" s="1"/>
  <c r="AJ222" i="2" s="1"/>
  <c r="AJ223" i="2" s="1"/>
  <c r="AJ224" i="2" s="1"/>
  <c r="AJ225" i="2" s="1"/>
  <c r="AJ226" i="2" s="1"/>
  <c r="AJ227" i="2" s="1"/>
  <c r="AJ228" i="2" s="1"/>
  <c r="AJ229" i="2" s="1"/>
  <c r="AJ230" i="2" s="1"/>
  <c r="AJ231" i="2" s="1"/>
  <c r="AJ232" i="2" s="1"/>
  <c r="AJ233" i="2" s="1"/>
  <c r="AJ234" i="2" s="1"/>
  <c r="AJ235" i="2" s="1"/>
  <c r="AJ236" i="2" s="1"/>
  <c r="AJ237" i="2" s="1"/>
  <c r="AJ238" i="2" s="1"/>
  <c r="AJ239" i="2" s="1"/>
  <c r="AJ240" i="2" s="1"/>
  <c r="AJ241" i="2" s="1"/>
  <c r="AJ242" i="2" s="1"/>
  <c r="AJ243" i="2" s="1"/>
  <c r="AJ244" i="2" s="1"/>
  <c r="AJ245" i="2" s="1"/>
  <c r="AJ246" i="2" s="1"/>
  <c r="AJ247" i="2" s="1"/>
  <c r="AJ248" i="2" s="1"/>
  <c r="AJ249" i="2" s="1"/>
  <c r="AJ250" i="2" s="1"/>
  <c r="AJ251" i="2" s="1"/>
  <c r="AJ252" i="2" s="1"/>
  <c r="AJ253" i="2" s="1"/>
  <c r="AJ254" i="2" s="1"/>
  <c r="AJ255" i="2" s="1"/>
  <c r="AJ256" i="2" s="1"/>
  <c r="AJ257" i="2" s="1"/>
  <c r="AJ258" i="2" s="1"/>
  <c r="AJ259" i="2" s="1"/>
  <c r="AJ260" i="2" s="1"/>
  <c r="AJ261" i="2" s="1"/>
  <c r="AJ262" i="2" s="1"/>
  <c r="AJ263" i="2" s="1"/>
  <c r="AJ264" i="2" s="1"/>
  <c r="AJ265" i="2" s="1"/>
  <c r="AJ266" i="2" s="1"/>
  <c r="AJ267" i="2" s="1"/>
  <c r="AJ268" i="2" s="1"/>
  <c r="AJ269" i="2" s="1"/>
  <c r="AJ270" i="2" s="1"/>
  <c r="AJ271" i="2" s="1"/>
  <c r="AJ272" i="2" s="1"/>
  <c r="AJ273" i="2" s="1"/>
  <c r="AJ274" i="2" s="1"/>
  <c r="AJ275" i="2" s="1"/>
  <c r="AJ276" i="2" s="1"/>
  <c r="AJ277" i="2" s="1"/>
  <c r="AJ278" i="2" s="1"/>
  <c r="AJ279" i="2" s="1"/>
  <c r="AJ280" i="2" s="1"/>
  <c r="AJ281" i="2" s="1"/>
  <c r="AJ282" i="2" s="1"/>
  <c r="AJ283" i="2" s="1"/>
  <c r="AJ284" i="2" s="1"/>
  <c r="AJ285" i="2" s="1"/>
  <c r="AJ286" i="2" s="1"/>
  <c r="AJ287" i="2" s="1"/>
  <c r="AJ288" i="2" s="1"/>
  <c r="AJ289" i="2" s="1"/>
  <c r="AJ290" i="2" s="1"/>
  <c r="AJ291" i="2" s="1"/>
  <c r="AJ292" i="2" s="1"/>
  <c r="AJ293" i="2" s="1"/>
  <c r="AJ294" i="2" s="1"/>
  <c r="AJ295" i="2" s="1"/>
  <c r="AJ296" i="2" s="1"/>
  <c r="AJ297" i="2" s="1"/>
  <c r="AJ298" i="2" s="1"/>
  <c r="AJ299" i="2" s="1"/>
  <c r="AJ300" i="2" s="1"/>
  <c r="AJ301" i="2" s="1"/>
  <c r="AJ302" i="2" s="1"/>
  <c r="AJ303" i="2" s="1"/>
  <c r="AJ304" i="2" s="1"/>
  <c r="AJ305" i="2" s="1"/>
  <c r="AJ306" i="2" s="1"/>
  <c r="AJ307" i="2" s="1"/>
  <c r="AJ308" i="2" s="1"/>
  <c r="AJ309" i="2" s="1"/>
  <c r="AJ310" i="2" s="1"/>
  <c r="AJ311" i="2" s="1"/>
  <c r="AJ312" i="2" s="1"/>
  <c r="AJ313" i="2" s="1"/>
  <c r="AJ314" i="2" s="1"/>
  <c r="AJ315" i="2" s="1"/>
  <c r="AJ316" i="2" s="1"/>
  <c r="AJ317" i="2" s="1"/>
  <c r="AJ318" i="2" s="1"/>
  <c r="AJ319" i="2" s="1"/>
  <c r="AJ320" i="2" s="1"/>
  <c r="AJ321" i="2" s="1"/>
  <c r="AJ322" i="2" s="1"/>
  <c r="AJ323" i="2" s="1"/>
  <c r="AJ324" i="2" s="1"/>
  <c r="AJ325" i="2" s="1"/>
  <c r="AJ326" i="2" s="1"/>
  <c r="AJ327" i="2" s="1"/>
  <c r="AJ328" i="2" s="1"/>
  <c r="AJ329" i="2" s="1"/>
  <c r="AJ330" i="2" s="1"/>
  <c r="AJ331" i="2" s="1"/>
  <c r="AJ332" i="2" s="1"/>
  <c r="AJ333" i="2" s="1"/>
  <c r="AJ334" i="2" s="1"/>
  <c r="AJ335" i="2" s="1"/>
  <c r="AJ336" i="2" s="1"/>
  <c r="AJ337" i="2" s="1"/>
  <c r="AJ338" i="2" s="1"/>
  <c r="AJ339" i="2" s="1"/>
  <c r="AJ340" i="2" s="1"/>
  <c r="AJ341" i="2" s="1"/>
  <c r="AJ342" i="2" s="1"/>
  <c r="AJ343" i="2" s="1"/>
  <c r="AJ344" i="2" s="1"/>
  <c r="AJ345" i="2" s="1"/>
  <c r="AJ346" i="2" s="1"/>
  <c r="AJ347" i="2" s="1"/>
  <c r="AJ348" i="2" s="1"/>
  <c r="AJ349" i="2" s="1"/>
  <c r="AJ350" i="2" s="1"/>
  <c r="AJ351" i="2" s="1"/>
  <c r="AJ352" i="2" s="1"/>
  <c r="AJ353" i="2" s="1"/>
  <c r="AJ354" i="2" s="1"/>
  <c r="AJ355" i="2" s="1"/>
  <c r="AJ356" i="2" s="1"/>
  <c r="AJ357" i="2" s="1"/>
  <c r="AJ358" i="2" s="1"/>
  <c r="AJ359" i="2" s="1"/>
  <c r="AJ360" i="2" s="1"/>
  <c r="AJ361" i="2" s="1"/>
  <c r="AJ362" i="2" s="1"/>
  <c r="AJ363" i="2" s="1"/>
  <c r="AJ364" i="2" s="1"/>
  <c r="AJ365" i="2" s="1"/>
  <c r="AJ366" i="2" s="1"/>
  <c r="AK2" i="2"/>
  <c r="AL2" i="2"/>
  <c r="AL3" i="2" s="1"/>
  <c r="AN2" i="2"/>
  <c r="AO2" i="2"/>
  <c r="AL4" i="2" l="1"/>
  <c r="AN4" i="2"/>
  <c r="E40" i="7"/>
  <c r="D40" i="7"/>
  <c r="C40" i="7"/>
  <c r="I2" i="2"/>
  <c r="AN3" i="2"/>
  <c r="A21" i="10"/>
  <c r="E8" i="9"/>
  <c r="K2" i="2"/>
  <c r="P2" i="2"/>
  <c r="O2" i="2"/>
  <c r="N2" i="2"/>
  <c r="AQ2" i="2"/>
  <c r="AI2" i="2"/>
  <c r="F2" i="2"/>
  <c r="E2" i="2" s="1"/>
  <c r="AL5" i="2" l="1"/>
  <c r="AN5" i="2"/>
  <c r="E42" i="7"/>
  <c r="D42" i="7"/>
  <c r="C42" i="7"/>
  <c r="F8" i="9"/>
  <c r="A22" i="10"/>
  <c r="Q2" i="2"/>
  <c r="H2" i="2"/>
  <c r="AM2" i="2"/>
  <c r="AN6" i="2" l="1"/>
  <c r="AL6" i="2"/>
  <c r="E43" i="7"/>
  <c r="D43" i="7"/>
  <c r="C43" i="7"/>
  <c r="A23" i="10"/>
  <c r="G8" i="9"/>
  <c r="AO3" i="2"/>
  <c r="K3" i="2" s="1"/>
  <c r="J2" i="2"/>
  <c r="AN7" i="2" l="1"/>
  <c r="AL7" i="2"/>
  <c r="E44" i="7"/>
  <c r="D44" i="7"/>
  <c r="C44" i="7"/>
  <c r="D2" i="2"/>
  <c r="H8" i="9"/>
  <c r="A24" i="10"/>
  <c r="A250" i="6"/>
  <c r="A251" i="6"/>
  <c r="A252" i="6" s="1"/>
  <c r="A253" i="6" s="1"/>
  <c r="A254" i="6" s="1"/>
  <c r="A255" i="6" s="1"/>
  <c r="A256" i="6" s="1"/>
  <c r="A257" i="6" s="1"/>
  <c r="A258" i="6" s="1"/>
  <c r="A259" i="6" s="1"/>
  <c r="A260" i="6" s="1"/>
  <c r="A261" i="6" s="1"/>
  <c r="A262" i="6" s="1"/>
  <c r="A263" i="6" s="1"/>
  <c r="A264" i="6" s="1"/>
  <c r="A265" i="6" s="1"/>
  <c r="A266" i="6" s="1"/>
  <c r="A267" i="6" s="1"/>
  <c r="A2" i="7" l="1"/>
  <c r="AN8" i="2"/>
  <c r="AL8" i="2"/>
  <c r="F38" i="7"/>
  <c r="A25" i="10"/>
  <c r="B10" i="9"/>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N9" i="2" l="1"/>
  <c r="AL9" i="2"/>
  <c r="C10" i="9"/>
  <c r="A26" i="10"/>
  <c r="B2" i="2"/>
  <c r="A3" i="2"/>
  <c r="B3" i="10" l="1"/>
  <c r="AN10" i="2"/>
  <c r="AL10" i="2"/>
  <c r="AG3" i="2"/>
  <c r="D3" i="2" s="1"/>
  <c r="A27" i="10"/>
  <c r="D10" i="9"/>
  <c r="P3" i="2"/>
  <c r="F3" i="2"/>
  <c r="O3" i="2"/>
  <c r="N3" i="2"/>
  <c r="AI3" i="2"/>
  <c r="AQ3" i="2"/>
  <c r="A4" i="2"/>
  <c r="B3" i="2"/>
  <c r="B4" i="10" l="1"/>
  <c r="AI4" i="2"/>
  <c r="AG4" i="2"/>
  <c r="D4" i="2" s="1"/>
  <c r="AQ4" i="2"/>
  <c r="M4" i="2" s="1"/>
  <c r="AL11" i="2"/>
  <c r="AN11" i="2"/>
  <c r="E3" i="2"/>
  <c r="E10" i="9"/>
  <c r="A28" i="10"/>
  <c r="Q3" i="2"/>
  <c r="H3" i="2"/>
  <c r="AK3" i="2"/>
  <c r="N4" i="2"/>
  <c r="F4" i="2"/>
  <c r="P4" i="2"/>
  <c r="O4" i="2"/>
  <c r="AM3" i="2"/>
  <c r="B4" i="2"/>
  <c r="A5" i="2"/>
  <c r="B5" i="10" l="1"/>
  <c r="AN12" i="2"/>
  <c r="AL12" i="2"/>
  <c r="AI5" i="2"/>
  <c r="AQ5" i="2"/>
  <c r="AG5" i="2"/>
  <c r="D5" i="2" s="1"/>
  <c r="AO4" i="2"/>
  <c r="AM4" i="2"/>
  <c r="AK4" i="2"/>
  <c r="L4" i="2"/>
  <c r="E4" i="2"/>
  <c r="A29" i="10"/>
  <c r="F10" i="9"/>
  <c r="Q4" i="2"/>
  <c r="H4" i="2"/>
  <c r="O5" i="2"/>
  <c r="N5" i="2"/>
  <c r="F5" i="2"/>
  <c r="P5" i="2"/>
  <c r="A6" i="2"/>
  <c r="B5" i="2"/>
  <c r="B6" i="10" l="1"/>
  <c r="AK5" i="2"/>
  <c r="AN13" i="2"/>
  <c r="AL13" i="2"/>
  <c r="AM5" i="2"/>
  <c r="AO5" i="2"/>
  <c r="AQ6" i="2"/>
  <c r="AG6" i="2"/>
  <c r="D6" i="2" s="1"/>
  <c r="AI6" i="2"/>
  <c r="E5" i="2"/>
  <c r="G10" i="9"/>
  <c r="A30" i="10"/>
  <c r="Q5" i="2"/>
  <c r="H5" i="2"/>
  <c r="P6" i="2"/>
  <c r="O6" i="2"/>
  <c r="N6" i="2"/>
  <c r="F6" i="2"/>
  <c r="A7" i="2"/>
  <c r="B6" i="2"/>
  <c r="AK6" i="2" l="1"/>
  <c r="B7" i="10"/>
  <c r="AO6" i="2"/>
  <c r="AM6" i="2"/>
  <c r="AN14" i="2"/>
  <c r="AL14" i="2"/>
  <c r="AI7" i="2"/>
  <c r="AK7" i="2" s="1"/>
  <c r="AQ7" i="2"/>
  <c r="M7" i="2" s="1"/>
  <c r="AG7" i="2"/>
  <c r="D7" i="2" s="1"/>
  <c r="E6" i="2"/>
  <c r="H10" i="9"/>
  <c r="A31" i="10"/>
  <c r="Q6" i="2"/>
  <c r="H6" i="2"/>
  <c r="P7" i="2"/>
  <c r="O7" i="2"/>
  <c r="N7" i="2"/>
  <c r="F7" i="2"/>
  <c r="A8" i="2"/>
  <c r="B7" i="2"/>
  <c r="L7" i="2" l="1"/>
  <c r="AO7" i="2"/>
  <c r="AM7" i="2"/>
  <c r="AQ8" i="2"/>
  <c r="AG8" i="2"/>
  <c r="D8" i="2" s="1"/>
  <c r="AI8" i="2"/>
  <c r="AK8" i="2" s="1"/>
  <c r="AL15" i="2"/>
  <c r="AN15" i="2"/>
  <c r="E7" i="2"/>
  <c r="A32" i="10"/>
  <c r="B12" i="9"/>
  <c r="Q7" i="2"/>
  <c r="H7" i="2"/>
  <c r="N8" i="2"/>
  <c r="F8" i="2"/>
  <c r="P8" i="2"/>
  <c r="O8" i="2"/>
  <c r="A9" i="2"/>
  <c r="B8" i="2"/>
  <c r="AI9" i="2" l="1"/>
  <c r="AK9" i="2" s="1"/>
  <c r="AQ9" i="2"/>
  <c r="AG9" i="2"/>
  <c r="D9" i="2" s="1"/>
  <c r="AN16" i="2"/>
  <c r="AL16" i="2"/>
  <c r="AM8" i="2"/>
  <c r="AO8" i="2"/>
  <c r="E8" i="2"/>
  <c r="C12" i="9"/>
  <c r="A33" i="10"/>
  <c r="Q8" i="2"/>
  <c r="H8" i="2"/>
  <c r="O9" i="2"/>
  <c r="N9" i="2"/>
  <c r="F9" i="2"/>
  <c r="P9" i="2"/>
  <c r="A10" i="2"/>
  <c r="B9" i="2"/>
  <c r="AO9" i="2" l="1"/>
  <c r="AM9" i="2"/>
  <c r="AN17" i="2"/>
  <c r="AL17" i="2"/>
  <c r="AQ10" i="2"/>
  <c r="AG10" i="2"/>
  <c r="D10" i="2" s="1"/>
  <c r="AI10" i="2"/>
  <c r="AK10" i="2" s="1"/>
  <c r="E9" i="2"/>
  <c r="A34" i="10"/>
  <c r="D12" i="9"/>
  <c r="Q9" i="2"/>
  <c r="H9" i="2"/>
  <c r="P10" i="2"/>
  <c r="O10" i="2"/>
  <c r="N10" i="2"/>
  <c r="F10" i="2"/>
  <c r="A11" i="2"/>
  <c r="B10" i="2"/>
  <c r="AM10" i="2" l="1"/>
  <c r="AO10" i="2"/>
  <c r="AI11" i="2"/>
  <c r="AK11" i="2" s="1"/>
  <c r="AQ11" i="2"/>
  <c r="M11" i="2" s="1"/>
  <c r="AG11" i="2"/>
  <c r="D11" i="2" s="1"/>
  <c r="AL18" i="2"/>
  <c r="AN18" i="2"/>
  <c r="E10" i="2"/>
  <c r="E12" i="9"/>
  <c r="A35" i="10"/>
  <c r="Q10" i="2"/>
  <c r="H10" i="2"/>
  <c r="P11" i="2"/>
  <c r="O11" i="2"/>
  <c r="N11" i="2"/>
  <c r="F11" i="2"/>
  <c r="A12" i="2"/>
  <c r="B11" i="2"/>
  <c r="AN19" i="2" l="1"/>
  <c r="AL19" i="2"/>
  <c r="AO11" i="2"/>
  <c r="AM11" i="2"/>
  <c r="AQ12" i="2"/>
  <c r="AG12" i="2"/>
  <c r="D12" i="2" s="1"/>
  <c r="AI12" i="2"/>
  <c r="AK12" i="2" s="1"/>
  <c r="L11" i="2"/>
  <c r="E11" i="2"/>
  <c r="A36" i="10"/>
  <c r="F12" i="9"/>
  <c r="Q11" i="2"/>
  <c r="H11" i="2"/>
  <c r="N12" i="2"/>
  <c r="F12" i="2"/>
  <c r="P12" i="2"/>
  <c r="O12" i="2"/>
  <c r="A13" i="2"/>
  <c r="B12" i="2"/>
  <c r="AN20" i="2" l="1"/>
  <c r="AL20" i="2"/>
  <c r="AI13" i="2"/>
  <c r="AK13" i="2" s="1"/>
  <c r="AG13" i="2"/>
  <c r="D13" i="2" s="1"/>
  <c r="AQ13" i="2"/>
  <c r="AM12" i="2"/>
  <c r="AO12" i="2"/>
  <c r="E12" i="2"/>
  <c r="G12" i="9"/>
  <c r="A37" i="10"/>
  <c r="Q12" i="2"/>
  <c r="H12" i="2"/>
  <c r="O13" i="2"/>
  <c r="N13" i="2"/>
  <c r="F13" i="2"/>
  <c r="P13" i="2"/>
  <c r="B13" i="2"/>
  <c r="A14" i="2"/>
  <c r="AO13" i="2" l="1"/>
  <c r="AM13" i="2"/>
  <c r="AN21" i="2"/>
  <c r="AL21" i="2"/>
  <c r="AQ14" i="2"/>
  <c r="M14" i="2" s="1"/>
  <c r="AG14" i="2"/>
  <c r="D14" i="2" s="1"/>
  <c r="AI14" i="2"/>
  <c r="AK14" i="2" s="1"/>
  <c r="E13" i="2"/>
  <c r="A38" i="10"/>
  <c r="H12" i="9"/>
  <c r="Q13" i="2"/>
  <c r="H13" i="2"/>
  <c r="P14" i="2"/>
  <c r="O14" i="2"/>
  <c r="N14" i="2"/>
  <c r="F14" i="2"/>
  <c r="B14" i="2"/>
  <c r="A15"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AO14" i="2" l="1"/>
  <c r="AM14" i="2"/>
  <c r="AI15" i="2"/>
  <c r="AK15" i="2" s="1"/>
  <c r="AG15" i="2"/>
  <c r="D15" i="2" s="1"/>
  <c r="AQ15" i="2"/>
  <c r="L14" i="2"/>
  <c r="AN22" i="2"/>
  <c r="AL22" i="2"/>
  <c r="E14" i="2"/>
  <c r="B14" i="9"/>
  <c r="A39" i="10"/>
  <c r="Q14" i="2"/>
  <c r="H14" i="2"/>
  <c r="P15" i="2"/>
  <c r="O15" i="2"/>
  <c r="F15" i="2"/>
  <c r="N15" i="2"/>
  <c r="B15" i="2"/>
  <c r="A16" i="2"/>
  <c r="AO15" i="2" l="1"/>
  <c r="AM15" i="2"/>
  <c r="AQ16" i="2"/>
  <c r="AG16" i="2"/>
  <c r="D16" i="2" s="1"/>
  <c r="AI16" i="2"/>
  <c r="AK16" i="2" s="1"/>
  <c r="AN23" i="2"/>
  <c r="AL23" i="2"/>
  <c r="E15" i="2"/>
  <c r="A40" i="10"/>
  <c r="C14" i="9"/>
  <c r="Q15" i="2"/>
  <c r="H15" i="2"/>
  <c r="N16" i="2"/>
  <c r="F16" i="2"/>
  <c r="P16" i="2"/>
  <c r="O16" i="2"/>
  <c r="A17" i="2"/>
  <c r="B16" i="2"/>
  <c r="A32" i="4"/>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B32" i="4"/>
  <c r="AN24" i="2" l="1"/>
  <c r="AL24" i="2"/>
  <c r="AI17" i="2"/>
  <c r="AK17" i="2" s="1"/>
  <c r="AG17" i="2"/>
  <c r="D17" i="2" s="1"/>
  <c r="AQ17" i="2"/>
  <c r="AM16" i="2"/>
  <c r="AO16" i="2"/>
  <c r="E16" i="2"/>
  <c r="D14" i="9"/>
  <c r="A41" i="10"/>
  <c r="Q16" i="2"/>
  <c r="H16" i="2"/>
  <c r="O17" i="2"/>
  <c r="N17" i="2"/>
  <c r="F17" i="2"/>
  <c r="P17" i="2"/>
  <c r="C31" i="4"/>
  <c r="B17" i="2"/>
  <c r="A18" i="2"/>
  <c r="B33" i="4"/>
  <c r="AO17" i="2" l="1"/>
  <c r="AM17" i="2"/>
  <c r="AN25" i="2"/>
  <c r="AL25" i="2"/>
  <c r="AQ18" i="2"/>
  <c r="AG18" i="2"/>
  <c r="D18" i="2" s="1"/>
  <c r="AI18" i="2"/>
  <c r="AK18" i="2" s="1"/>
  <c r="E17" i="2"/>
  <c r="A42" i="10"/>
  <c r="E14" i="9"/>
  <c r="Q17" i="2"/>
  <c r="H17" i="2"/>
  <c r="P18" i="2"/>
  <c r="O18" i="2"/>
  <c r="N18" i="2"/>
  <c r="F18" i="2"/>
  <c r="M18" i="2"/>
  <c r="B34" i="4"/>
  <c r="C33" i="4"/>
  <c r="C32" i="4"/>
  <c r="A19" i="2"/>
  <c r="B18" i="2"/>
  <c r="B35" i="4"/>
  <c r="AI19" i="2" l="1"/>
  <c r="AK19" i="2" s="1"/>
  <c r="AQ19" i="2"/>
  <c r="AG19" i="2"/>
  <c r="D19" i="2" s="1"/>
  <c r="AO18" i="2"/>
  <c r="AM18" i="2"/>
  <c r="AN26" i="2"/>
  <c r="AL26" i="2"/>
  <c r="L18" i="2"/>
  <c r="E18" i="2"/>
  <c r="F14" i="9"/>
  <c r="A43" i="10"/>
  <c r="Q18" i="2"/>
  <c r="H18" i="2"/>
  <c r="P19" i="2"/>
  <c r="O19" i="2"/>
  <c r="F19" i="2"/>
  <c r="N19" i="2"/>
  <c r="C34" i="4"/>
  <c r="A20" i="2"/>
  <c r="B19" i="2"/>
  <c r="B36" i="4"/>
  <c r="C35" i="4" s="1"/>
  <c r="AN27" i="2" l="1"/>
  <c r="AL27" i="2"/>
  <c r="AO19" i="2"/>
  <c r="AM19" i="2"/>
  <c r="AQ20" i="2"/>
  <c r="AG20" i="2"/>
  <c r="D20" i="2" s="1"/>
  <c r="AI20" i="2"/>
  <c r="AK20" i="2" s="1"/>
  <c r="E19" i="2"/>
  <c r="A44" i="10"/>
  <c r="G14" i="9"/>
  <c r="Q19" i="2"/>
  <c r="H19" i="2"/>
  <c r="N20" i="2"/>
  <c r="F20" i="2"/>
  <c r="P20" i="2"/>
  <c r="O20" i="2"/>
  <c r="A21" i="2"/>
  <c r="B20" i="2"/>
  <c r="B37" i="4"/>
  <c r="C36" i="4" s="1"/>
  <c r="AN28" i="2" l="1"/>
  <c r="AL28" i="2"/>
  <c r="AI21" i="2"/>
  <c r="AK21" i="2" s="1"/>
  <c r="AG21" i="2"/>
  <c r="D21" i="2" s="1"/>
  <c r="AQ21" i="2"/>
  <c r="AM20" i="2"/>
  <c r="AO20" i="2"/>
  <c r="E20" i="2"/>
  <c r="H14" i="9"/>
  <c r="A45" i="10"/>
  <c r="Q20" i="2"/>
  <c r="H20" i="2"/>
  <c r="O21" i="2"/>
  <c r="N21" i="2"/>
  <c r="F21" i="2"/>
  <c r="M21" i="2"/>
  <c r="P21" i="2"/>
  <c r="B21" i="2"/>
  <c r="A22" i="2"/>
  <c r="B38" i="4"/>
  <c r="AO21" i="2" l="1"/>
  <c r="AM21" i="2"/>
  <c r="AN29" i="2"/>
  <c r="AL29" i="2"/>
  <c r="AQ22" i="2"/>
  <c r="AG22" i="2"/>
  <c r="D22" i="2" s="1"/>
  <c r="AI22" i="2"/>
  <c r="AK22" i="2" s="1"/>
  <c r="L21" i="2"/>
  <c r="E21" i="2"/>
  <c r="A46" i="10"/>
  <c r="B16" i="9"/>
  <c r="Q21" i="2"/>
  <c r="H21" i="2"/>
  <c r="P22" i="2"/>
  <c r="O22" i="2"/>
  <c r="N22" i="2"/>
  <c r="F22" i="2"/>
  <c r="M22" i="2"/>
  <c r="C37" i="4"/>
  <c r="A23" i="2"/>
  <c r="B22" i="2"/>
  <c r="B39" i="4"/>
  <c r="AI23" i="2" l="1"/>
  <c r="AK23" i="2" s="1"/>
  <c r="AG23" i="2"/>
  <c r="D23" i="2" s="1"/>
  <c r="AQ23" i="2"/>
  <c r="AM22" i="2"/>
  <c r="AO22" i="2"/>
  <c r="L22" i="2"/>
  <c r="AN30" i="2"/>
  <c r="AL30" i="2"/>
  <c r="E22" i="2"/>
  <c r="C16" i="9"/>
  <c r="A47" i="10"/>
  <c r="Q22" i="2"/>
  <c r="H22" i="2"/>
  <c r="P23" i="2"/>
  <c r="O23" i="2"/>
  <c r="N23" i="2"/>
  <c r="F23" i="2"/>
  <c r="C38" i="4"/>
  <c r="B23" i="2"/>
  <c r="A24" i="2"/>
  <c r="B40" i="4"/>
  <c r="AQ24" i="2" l="1"/>
  <c r="M24" i="2" s="1"/>
  <c r="AG24" i="2"/>
  <c r="D24" i="2" s="1"/>
  <c r="AI24" i="2"/>
  <c r="AK24" i="2" s="1"/>
  <c r="AL31" i="2"/>
  <c r="AN31" i="2"/>
  <c r="AO23" i="2"/>
  <c r="AM23" i="2"/>
  <c r="E23" i="2"/>
  <c r="A48" i="10"/>
  <c r="D16" i="9"/>
  <c r="Q23" i="2"/>
  <c r="H23" i="2"/>
  <c r="N24" i="2"/>
  <c r="F24" i="2"/>
  <c r="P24" i="2"/>
  <c r="O24" i="2"/>
  <c r="C39" i="4"/>
  <c r="A25" i="2"/>
  <c r="B24" i="2"/>
  <c r="B41" i="4"/>
  <c r="C40" i="4" s="1"/>
  <c r="AM24" i="2" l="1"/>
  <c r="AO24" i="2"/>
  <c r="AI25" i="2"/>
  <c r="AK25" i="2" s="1"/>
  <c r="AG25" i="2"/>
  <c r="D25" i="2" s="1"/>
  <c r="AQ25" i="2"/>
  <c r="AN32" i="2"/>
  <c r="AL32" i="2"/>
  <c r="L24" i="2"/>
  <c r="E24" i="2"/>
  <c r="E16" i="9"/>
  <c r="A49" i="10"/>
  <c r="Q24" i="2"/>
  <c r="H24" i="2"/>
  <c r="O25" i="2"/>
  <c r="N25" i="2"/>
  <c r="F25" i="2"/>
  <c r="P25" i="2"/>
  <c r="A26" i="2"/>
  <c r="B25" i="2"/>
  <c r="B42" i="4"/>
  <c r="C41" i="4" s="1"/>
  <c r="AQ26" i="2" l="1"/>
  <c r="AG26" i="2"/>
  <c r="D26" i="2" s="1"/>
  <c r="AI26" i="2"/>
  <c r="AK26" i="2" s="1"/>
  <c r="AN33" i="2"/>
  <c r="AL33" i="2"/>
  <c r="AM25" i="2"/>
  <c r="AO25" i="2"/>
  <c r="E25" i="2"/>
  <c r="A50" i="10"/>
  <c r="F16" i="9"/>
  <c r="Q25" i="2"/>
  <c r="H25" i="2"/>
  <c r="P26" i="2"/>
  <c r="O26" i="2"/>
  <c r="N26" i="2"/>
  <c r="F26" i="2"/>
  <c r="A27" i="2"/>
  <c r="B26" i="2"/>
  <c r="B43" i="4"/>
  <c r="AI27" i="2" l="1"/>
  <c r="AK27" i="2" s="1"/>
  <c r="AQ27" i="2"/>
  <c r="AG27" i="2"/>
  <c r="D27" i="2" s="1"/>
  <c r="AM26" i="2"/>
  <c r="AO26" i="2"/>
  <c r="AN34" i="2"/>
  <c r="AL34" i="2"/>
  <c r="E26" i="2"/>
  <c r="G16" i="9"/>
  <c r="A51" i="10"/>
  <c r="Q26" i="2"/>
  <c r="H26" i="2"/>
  <c r="M27" i="2"/>
  <c r="P27" i="2"/>
  <c r="O27" i="2"/>
  <c r="N27" i="2"/>
  <c r="F27" i="2"/>
  <c r="C42" i="4"/>
  <c r="A28" i="2"/>
  <c r="B27" i="2"/>
  <c r="B44" i="4"/>
  <c r="AL35" i="2" l="1"/>
  <c r="AN35" i="2"/>
  <c r="AQ28" i="2"/>
  <c r="AG28" i="2"/>
  <c r="D28" i="2" s="1"/>
  <c r="AI28" i="2"/>
  <c r="AK28" i="2" s="1"/>
  <c r="AO27" i="2"/>
  <c r="AM27" i="2"/>
  <c r="L27" i="2"/>
  <c r="E27" i="2"/>
  <c r="A52" i="10"/>
  <c r="H16" i="9"/>
  <c r="Q27" i="2"/>
  <c r="H27" i="2"/>
  <c r="N28" i="2"/>
  <c r="F28" i="2"/>
  <c r="M28" i="2"/>
  <c r="P28" i="2"/>
  <c r="O28" i="2"/>
  <c r="C43" i="4"/>
  <c r="A29" i="2"/>
  <c r="B28" i="2"/>
  <c r="B45" i="4"/>
  <c r="AI29" i="2" l="1"/>
  <c r="AK29" i="2" s="1"/>
  <c r="AG29" i="2"/>
  <c r="D29" i="2" s="1"/>
  <c r="AQ29" i="2"/>
  <c r="AO28" i="2"/>
  <c r="AM28" i="2"/>
  <c r="AN36" i="2"/>
  <c r="AL36" i="2"/>
  <c r="L28" i="2"/>
  <c r="E28" i="2"/>
  <c r="B18" i="9"/>
  <c r="A53" i="10"/>
  <c r="Q28" i="2"/>
  <c r="H28" i="2"/>
  <c r="O29" i="2"/>
  <c r="N29" i="2"/>
  <c r="F29" i="2"/>
  <c r="P29" i="2"/>
  <c r="C44" i="4"/>
  <c r="A30" i="2"/>
  <c r="B29" i="2"/>
  <c r="B46" i="4"/>
  <c r="AN37" i="2" l="1"/>
  <c r="AL37" i="2"/>
  <c r="AQ30" i="2"/>
  <c r="AG30" i="2"/>
  <c r="D30" i="2" s="1"/>
  <c r="AI30" i="2"/>
  <c r="AK30" i="2" s="1"/>
  <c r="AO29" i="2"/>
  <c r="AM29" i="2"/>
  <c r="E29" i="2"/>
  <c r="A54" i="10"/>
  <c r="C18" i="9"/>
  <c r="Q29" i="2"/>
  <c r="H29" i="2"/>
  <c r="P30" i="2"/>
  <c r="O30" i="2"/>
  <c r="N30" i="2"/>
  <c r="F30" i="2"/>
  <c r="C45" i="4"/>
  <c r="B30" i="2"/>
  <c r="A31" i="2"/>
  <c r="B47" i="4"/>
  <c r="E30" i="2" l="1"/>
  <c r="AI31" i="2"/>
  <c r="AK31" i="2" s="1"/>
  <c r="AG31" i="2"/>
  <c r="D31" i="2" s="1"/>
  <c r="AQ31" i="2"/>
  <c r="M31" i="2" s="1"/>
  <c r="AM30" i="2"/>
  <c r="AO30" i="2"/>
  <c r="AN38" i="2"/>
  <c r="AL38" i="2"/>
  <c r="D18" i="9"/>
  <c r="A55" i="10"/>
  <c r="Q30" i="2"/>
  <c r="H30" i="2"/>
  <c r="P31" i="2"/>
  <c r="O31" i="2"/>
  <c r="F31" i="2"/>
  <c r="N31" i="2"/>
  <c r="C46" i="4"/>
  <c r="A32" i="2"/>
  <c r="B31" i="2"/>
  <c r="B48" i="4"/>
  <c r="AQ32" i="2" l="1"/>
  <c r="AG32" i="2"/>
  <c r="D32" i="2" s="1"/>
  <c r="AI32" i="2"/>
  <c r="AK32" i="2" s="1"/>
  <c r="AL39" i="2"/>
  <c r="AN39" i="2"/>
  <c r="AO31" i="2"/>
  <c r="AM31" i="2"/>
  <c r="L31" i="2"/>
  <c r="E31" i="2"/>
  <c r="A56" i="10"/>
  <c r="E18" i="9"/>
  <c r="Q31" i="2"/>
  <c r="H31" i="2"/>
  <c r="N32" i="2"/>
  <c r="F32" i="2"/>
  <c r="P32" i="2"/>
  <c r="O32" i="2"/>
  <c r="C47" i="4"/>
  <c r="B32" i="2"/>
  <c r="A33" i="2"/>
  <c r="B49" i="4"/>
  <c r="AO32" i="2" l="1"/>
  <c r="AM32" i="2"/>
  <c r="AI33" i="2"/>
  <c r="AK33" i="2" s="1"/>
  <c r="AG33" i="2"/>
  <c r="D33" i="2" s="1"/>
  <c r="AQ33" i="2"/>
  <c r="AN40" i="2"/>
  <c r="AL40" i="2"/>
  <c r="E32" i="2"/>
  <c r="F18" i="9"/>
  <c r="A57" i="10"/>
  <c r="Q32" i="2"/>
  <c r="H32" i="2"/>
  <c r="O33" i="2"/>
  <c r="N33" i="2"/>
  <c r="F33" i="2"/>
  <c r="P33" i="2"/>
  <c r="C48" i="4"/>
  <c r="A34" i="2"/>
  <c r="B33" i="2"/>
  <c r="B50" i="4"/>
  <c r="AO33" i="2" l="1"/>
  <c r="AM33" i="2"/>
  <c r="AQ34" i="2"/>
  <c r="AG34" i="2"/>
  <c r="D34" i="2" s="1"/>
  <c r="AI34" i="2"/>
  <c r="AK34" i="2" s="1"/>
  <c r="AL41" i="2"/>
  <c r="AN41" i="2"/>
  <c r="E33" i="2"/>
  <c r="A58" i="10"/>
  <c r="G18" i="9"/>
  <c r="Q33" i="2"/>
  <c r="H33" i="2"/>
  <c r="P34" i="2"/>
  <c r="O34" i="2"/>
  <c r="N34" i="2"/>
  <c r="F34" i="2"/>
  <c r="C49" i="4"/>
  <c r="B34" i="2"/>
  <c r="A35" i="2"/>
  <c r="B51" i="4"/>
  <c r="AN42" i="2" l="1"/>
  <c r="AL42" i="2"/>
  <c r="AO34" i="2"/>
  <c r="AM34" i="2"/>
  <c r="AI35" i="2"/>
  <c r="AK35" i="2" s="1"/>
  <c r="AQ35" i="2"/>
  <c r="M35" i="2" s="1"/>
  <c r="AG35" i="2"/>
  <c r="D35" i="2" s="1"/>
  <c r="E34" i="2"/>
  <c r="H18" i="9"/>
  <c r="A59" i="10"/>
  <c r="Q34" i="2"/>
  <c r="H34" i="2"/>
  <c r="P35" i="2"/>
  <c r="O35" i="2"/>
  <c r="F35" i="2"/>
  <c r="N35" i="2"/>
  <c r="C50" i="4"/>
  <c r="A36" i="2"/>
  <c r="B35" i="2"/>
  <c r="B52" i="4"/>
  <c r="AL43" i="2" l="1"/>
  <c r="AN43" i="2"/>
  <c r="AQ36" i="2"/>
  <c r="AG36" i="2"/>
  <c r="D36" i="2" s="1"/>
  <c r="AI36" i="2"/>
  <c r="AK36" i="2" s="1"/>
  <c r="AO35" i="2"/>
  <c r="AM35" i="2"/>
  <c r="L35" i="2"/>
  <c r="E35" i="2"/>
  <c r="A60" i="10"/>
  <c r="B20" i="9"/>
  <c r="Q35" i="2"/>
  <c r="H35" i="2"/>
  <c r="N36" i="2"/>
  <c r="F36" i="2"/>
  <c r="P36" i="2"/>
  <c r="O36" i="2"/>
  <c r="C51" i="4"/>
  <c r="A37" i="2"/>
  <c r="B36" i="2"/>
  <c r="B53" i="4"/>
  <c r="AM36" i="2" l="1"/>
  <c r="AO36" i="2"/>
  <c r="AN44" i="2"/>
  <c r="AL44" i="2"/>
  <c r="AI37" i="2"/>
  <c r="AK37" i="2" s="1"/>
  <c r="AG37" i="2"/>
  <c r="D37" i="2" s="1"/>
  <c r="AQ37" i="2"/>
  <c r="E36" i="2"/>
  <c r="C20" i="9"/>
  <c r="A61" i="10"/>
  <c r="Q36" i="2"/>
  <c r="H36" i="2"/>
  <c r="O37" i="2"/>
  <c r="N37" i="2"/>
  <c r="F37" i="2"/>
  <c r="P37" i="2"/>
  <c r="C52" i="4"/>
  <c r="B37" i="2"/>
  <c r="A38" i="2"/>
  <c r="B54" i="4"/>
  <c r="C53" i="4" s="1"/>
  <c r="AO37" i="2" l="1"/>
  <c r="AM37" i="2"/>
  <c r="AQ38" i="2"/>
  <c r="AG38" i="2"/>
  <c r="D38" i="2" s="1"/>
  <c r="AI38" i="2"/>
  <c r="AK38" i="2" s="1"/>
  <c r="AL45" i="2"/>
  <c r="AN45" i="2"/>
  <c r="E37" i="2"/>
  <c r="A62" i="10"/>
  <c r="D20" i="9"/>
  <c r="Q37" i="2"/>
  <c r="H37" i="2"/>
  <c r="P38" i="2"/>
  <c r="O38" i="2"/>
  <c r="N38" i="2"/>
  <c r="F38" i="2"/>
  <c r="B38" i="2"/>
  <c r="A39" i="2"/>
  <c r="B55" i="4"/>
  <c r="AI39" i="2" l="1"/>
  <c r="AK39" i="2" s="1"/>
  <c r="AG39" i="2"/>
  <c r="D39" i="2" s="1"/>
  <c r="AQ39" i="2"/>
  <c r="M39" i="2" s="1"/>
  <c r="AN46" i="2"/>
  <c r="AL46" i="2"/>
  <c r="AM38" i="2"/>
  <c r="AO38" i="2"/>
  <c r="E38" i="2"/>
  <c r="E20" i="9"/>
  <c r="A63" i="10"/>
  <c r="Q38" i="2"/>
  <c r="H38" i="2"/>
  <c r="P39" i="2"/>
  <c r="O39" i="2"/>
  <c r="N39" i="2"/>
  <c r="F39" i="2"/>
  <c r="C54" i="4"/>
  <c r="B39" i="2"/>
  <c r="A40" i="2"/>
  <c r="B56" i="4"/>
  <c r="AO39" i="2" l="1"/>
  <c r="AM39" i="2"/>
  <c r="AQ40" i="2"/>
  <c r="AG40" i="2"/>
  <c r="D40" i="2" s="1"/>
  <c r="AI40" i="2"/>
  <c r="AK40" i="2" s="1"/>
  <c r="AN47" i="2"/>
  <c r="AL47" i="2"/>
  <c r="L39" i="2"/>
  <c r="E39" i="2"/>
  <c r="A64" i="10"/>
  <c r="F20" i="9"/>
  <c r="Q39" i="2"/>
  <c r="H39" i="2"/>
  <c r="P40" i="2"/>
  <c r="O40" i="2"/>
  <c r="N40" i="2"/>
  <c r="F40" i="2"/>
  <c r="C55" i="4"/>
  <c r="A41" i="2"/>
  <c r="B40" i="2"/>
  <c r="B57" i="4"/>
  <c r="AO40" i="2" l="1"/>
  <c r="AM40" i="2"/>
  <c r="AN48" i="2"/>
  <c r="AL48" i="2"/>
  <c r="AI41" i="2"/>
  <c r="AK41" i="2" s="1"/>
  <c r="AG41" i="2"/>
  <c r="D41" i="2" s="1"/>
  <c r="AQ41" i="2"/>
  <c r="E40" i="2"/>
  <c r="G20" i="9"/>
  <c r="A65" i="10"/>
  <c r="Q40" i="2"/>
  <c r="H40" i="2"/>
  <c r="P41" i="2"/>
  <c r="O41" i="2"/>
  <c r="N41" i="2"/>
  <c r="F41" i="2"/>
  <c r="C56" i="4"/>
  <c r="A42" i="2"/>
  <c r="B41" i="2"/>
  <c r="B58" i="4"/>
  <c r="AO41" i="2" l="1"/>
  <c r="AM41" i="2"/>
  <c r="AQ42" i="2"/>
  <c r="M42" i="2" s="1"/>
  <c r="AG42" i="2"/>
  <c r="D42" i="2" s="1"/>
  <c r="AI42" i="2"/>
  <c r="AK42" i="2" s="1"/>
  <c r="AL49" i="2"/>
  <c r="AN49" i="2"/>
  <c r="E41" i="2"/>
  <c r="A66" i="10"/>
  <c r="H20" i="9"/>
  <c r="Q41" i="2"/>
  <c r="H41" i="2"/>
  <c r="P42" i="2"/>
  <c r="O42" i="2"/>
  <c r="F42" i="2"/>
  <c r="N42" i="2"/>
  <c r="C57" i="4"/>
  <c r="B42" i="2"/>
  <c r="A43" i="2"/>
  <c r="B59" i="4"/>
  <c r="AN50" i="2" l="1"/>
  <c r="AL50" i="2"/>
  <c r="AO42" i="2"/>
  <c r="AM42" i="2"/>
  <c r="AI43" i="2"/>
  <c r="AK43" i="2" s="1"/>
  <c r="AQ43" i="2"/>
  <c r="AG43" i="2"/>
  <c r="D43" i="2" s="1"/>
  <c r="L42" i="2"/>
  <c r="E42" i="2"/>
  <c r="B22" i="9"/>
  <c r="A67" i="10"/>
  <c r="Q42" i="2"/>
  <c r="H42" i="2"/>
  <c r="N43" i="2"/>
  <c r="F43" i="2"/>
  <c r="P43" i="2"/>
  <c r="O43" i="2"/>
  <c r="C58" i="4"/>
  <c r="A44" i="2"/>
  <c r="B43" i="2"/>
  <c r="B60" i="4"/>
  <c r="AL51" i="2" l="1"/>
  <c r="AN51" i="2"/>
  <c r="AQ44" i="2"/>
  <c r="AG44" i="2"/>
  <c r="D44" i="2" s="1"/>
  <c r="AI44" i="2"/>
  <c r="AK44" i="2" s="1"/>
  <c r="AO43" i="2"/>
  <c r="AM43" i="2"/>
  <c r="E43" i="2"/>
  <c r="A68" i="10"/>
  <c r="C22" i="9"/>
  <c r="Q43" i="2"/>
  <c r="H43" i="2"/>
  <c r="O44" i="2"/>
  <c r="N44" i="2"/>
  <c r="F44" i="2"/>
  <c r="P44" i="2"/>
  <c r="C59" i="4"/>
  <c r="B44" i="2"/>
  <c r="A45" i="2"/>
  <c r="B61" i="4"/>
  <c r="AM44" i="2" l="1"/>
  <c r="AO44" i="2"/>
  <c r="AN52" i="2"/>
  <c r="AL52" i="2"/>
  <c r="AI45" i="2"/>
  <c r="AK45" i="2" s="1"/>
  <c r="AG45" i="2"/>
  <c r="D45" i="2" s="1"/>
  <c r="AQ45" i="2"/>
  <c r="E44" i="2"/>
  <c r="D22" i="9"/>
  <c r="A69" i="10"/>
  <c r="Q44" i="2"/>
  <c r="H44" i="2"/>
  <c r="P45" i="2"/>
  <c r="O45" i="2"/>
  <c r="N45" i="2"/>
  <c r="F45" i="2"/>
  <c r="C60" i="4"/>
  <c r="A46" i="2"/>
  <c r="B45" i="2"/>
  <c r="B62" i="4"/>
  <c r="AQ46" i="2" l="1"/>
  <c r="AG46" i="2"/>
  <c r="D46" i="2" s="1"/>
  <c r="AI46" i="2"/>
  <c r="AK46" i="2" s="1"/>
  <c r="AO45" i="2"/>
  <c r="AM45" i="2"/>
  <c r="AN53" i="2"/>
  <c r="AL53" i="2"/>
  <c r="E45" i="2"/>
  <c r="A70" i="10"/>
  <c r="E22" i="9"/>
  <c r="Q45" i="2"/>
  <c r="H45" i="2"/>
  <c r="M46" i="2"/>
  <c r="P46" i="2"/>
  <c r="O46" i="2"/>
  <c r="N46" i="2"/>
  <c r="F46" i="2"/>
  <c r="C61" i="4"/>
  <c r="B46" i="2"/>
  <c r="A47" i="2"/>
  <c r="B63" i="4"/>
  <c r="C62" i="4" s="1"/>
  <c r="AI47" i="2" l="1"/>
  <c r="AK47" i="2" s="1"/>
  <c r="AG47" i="2"/>
  <c r="D47" i="2" s="1"/>
  <c r="AQ47" i="2"/>
  <c r="AN54" i="2"/>
  <c r="AL54" i="2"/>
  <c r="AM46" i="2"/>
  <c r="AO46" i="2"/>
  <c r="L46" i="2"/>
  <c r="E46" i="2"/>
  <c r="F22" i="9"/>
  <c r="A71" i="10"/>
  <c r="Q46" i="2"/>
  <c r="H46" i="2"/>
  <c r="N47" i="2"/>
  <c r="F47" i="2"/>
  <c r="P47" i="2"/>
  <c r="O47" i="2"/>
  <c r="A48" i="2"/>
  <c r="B47" i="2"/>
  <c r="B64" i="4"/>
  <c r="C63" i="4" s="1"/>
  <c r="AQ48" i="2" l="1"/>
  <c r="AG48" i="2"/>
  <c r="D48" i="2" s="1"/>
  <c r="AI48" i="2"/>
  <c r="AK48" i="2" s="1"/>
  <c r="AO47" i="2"/>
  <c r="AM47" i="2"/>
  <c r="AN55" i="2"/>
  <c r="AL55" i="2"/>
  <c r="E47" i="2"/>
  <c r="A72" i="10"/>
  <c r="G22" i="9"/>
  <c r="Q47" i="2"/>
  <c r="H47" i="2"/>
  <c r="O48" i="2"/>
  <c r="N48" i="2"/>
  <c r="F48" i="2"/>
  <c r="P48" i="2"/>
  <c r="B48" i="2"/>
  <c r="A49" i="2"/>
  <c r="B65" i="4"/>
  <c r="AI49" i="2" l="1"/>
  <c r="AK49" i="2" s="1"/>
  <c r="AG49" i="2"/>
  <c r="D49" i="2" s="1"/>
  <c r="AQ49" i="2"/>
  <c r="M49" i="2" s="1"/>
  <c r="AN56" i="2"/>
  <c r="AL56" i="2"/>
  <c r="AO48" i="2"/>
  <c r="AM48" i="2"/>
  <c r="E48" i="2"/>
  <c r="H22" i="9"/>
  <c r="A73" i="10"/>
  <c r="Q48" i="2"/>
  <c r="H48" i="2"/>
  <c r="P49" i="2"/>
  <c r="O49" i="2"/>
  <c r="N49" i="2"/>
  <c r="F49" i="2"/>
  <c r="C64" i="4"/>
  <c r="B49" i="2"/>
  <c r="A50" i="2"/>
  <c r="B66" i="4"/>
  <c r="AQ50" i="2" l="1"/>
  <c r="M50" i="2" s="1"/>
  <c r="AG50" i="2"/>
  <c r="D50" i="2" s="1"/>
  <c r="AI50" i="2"/>
  <c r="AK50" i="2" s="1"/>
  <c r="AO49" i="2"/>
  <c r="AM49" i="2"/>
  <c r="AL57" i="2"/>
  <c r="AN57" i="2"/>
  <c r="L49" i="2"/>
  <c r="E49" i="2"/>
  <c r="A74" i="10"/>
  <c r="B24" i="9"/>
  <c r="Q49" i="2"/>
  <c r="H49" i="2"/>
  <c r="P50" i="2"/>
  <c r="O50" i="2"/>
  <c r="N50" i="2"/>
  <c r="F50" i="2"/>
  <c r="C65" i="4"/>
  <c r="A51" i="2"/>
  <c r="B50" i="2"/>
  <c r="B67" i="4"/>
  <c r="AI51" i="2" l="1"/>
  <c r="AK51" i="2" s="1"/>
  <c r="AQ51" i="2"/>
  <c r="AG51" i="2"/>
  <c r="D51" i="2" s="1"/>
  <c r="AN58" i="2"/>
  <c r="AL58" i="2"/>
  <c r="AO50" i="2"/>
  <c r="AM50" i="2"/>
  <c r="L50" i="2"/>
  <c r="E50" i="2"/>
  <c r="C24" i="9"/>
  <c r="A75" i="10"/>
  <c r="Q50" i="2"/>
  <c r="H50" i="2"/>
  <c r="N51" i="2"/>
  <c r="F51" i="2"/>
  <c r="P51" i="2"/>
  <c r="O51" i="2"/>
  <c r="C66" i="4"/>
  <c r="B51" i="2"/>
  <c r="A52" i="2"/>
  <c r="B68" i="4"/>
  <c r="AL59" i="2" l="1"/>
  <c r="AN59" i="2"/>
  <c r="AO51" i="2"/>
  <c r="AM51" i="2"/>
  <c r="AQ52" i="2"/>
  <c r="AG52" i="2"/>
  <c r="D52" i="2" s="1"/>
  <c r="AI52" i="2"/>
  <c r="AK52" i="2" s="1"/>
  <c r="E51" i="2"/>
  <c r="A76" i="10"/>
  <c r="D24" i="9"/>
  <c r="Q51" i="2"/>
  <c r="H51" i="2"/>
  <c r="O52" i="2"/>
  <c r="N52" i="2"/>
  <c r="F52" i="2"/>
  <c r="M52" i="2"/>
  <c r="P52" i="2"/>
  <c r="C67" i="4"/>
  <c r="A53" i="2"/>
  <c r="B52" i="2"/>
  <c r="B69" i="4"/>
  <c r="AL60" i="2" l="1"/>
  <c r="AN60" i="2"/>
  <c r="AI53" i="2"/>
  <c r="AK53" i="2" s="1"/>
  <c r="AG53" i="2"/>
  <c r="D53" i="2" s="1"/>
  <c r="AQ53" i="2"/>
  <c r="AM52" i="2"/>
  <c r="AO52" i="2"/>
  <c r="L52" i="2"/>
  <c r="E52" i="2"/>
  <c r="E24" i="9"/>
  <c r="A77" i="10"/>
  <c r="Q52" i="2"/>
  <c r="H52" i="2"/>
  <c r="P53" i="2"/>
  <c r="O53" i="2"/>
  <c r="N53" i="2"/>
  <c r="F53" i="2"/>
  <c r="C68" i="4"/>
  <c r="B53" i="2"/>
  <c r="A54" i="2"/>
  <c r="B70" i="4"/>
  <c r="AO53" i="2" l="1"/>
  <c r="AM53" i="2"/>
  <c r="AQ54" i="2"/>
  <c r="M54" i="2" s="1"/>
  <c r="AG54" i="2"/>
  <c r="D54" i="2" s="1"/>
  <c r="AI54" i="2"/>
  <c r="AK54" i="2" s="1"/>
  <c r="AN61" i="2"/>
  <c r="AL61" i="2"/>
  <c r="E53" i="2"/>
  <c r="A78" i="10"/>
  <c r="F24" i="9"/>
  <c r="Q53" i="2"/>
  <c r="H53" i="2"/>
  <c r="P54" i="2"/>
  <c r="O54" i="2"/>
  <c r="N54" i="2"/>
  <c r="F54" i="2"/>
  <c r="C69" i="4"/>
  <c r="A55" i="2"/>
  <c r="B54" i="2"/>
  <c r="B71" i="4"/>
  <c r="C70" i="4" s="1"/>
  <c r="AO54" i="2" l="1"/>
  <c r="AM54" i="2"/>
  <c r="AN62" i="2"/>
  <c r="AL62" i="2"/>
  <c r="AI55" i="2"/>
  <c r="AK55" i="2" s="1"/>
  <c r="AG55" i="2"/>
  <c r="D55" i="2" s="1"/>
  <c r="AQ55" i="2"/>
  <c r="L54" i="2"/>
  <c r="E54" i="2"/>
  <c r="G24" i="9"/>
  <c r="A79" i="10"/>
  <c r="Q54" i="2"/>
  <c r="H54" i="2"/>
  <c r="N55" i="2"/>
  <c r="F55" i="2"/>
  <c r="P55" i="2"/>
  <c r="O55" i="2"/>
  <c r="A56" i="2"/>
  <c r="B55" i="2"/>
  <c r="B72" i="4"/>
  <c r="AO55" i="2" l="1"/>
  <c r="AM55" i="2"/>
  <c r="AQ56" i="2"/>
  <c r="M56" i="2" s="1"/>
  <c r="AG56" i="2"/>
  <c r="D56" i="2" s="1"/>
  <c r="AI56" i="2"/>
  <c r="AK56" i="2" s="1"/>
  <c r="AN63" i="2"/>
  <c r="AL63" i="2"/>
  <c r="E55" i="2"/>
  <c r="A80" i="10"/>
  <c r="H24" i="9"/>
  <c r="Q55" i="2"/>
  <c r="H55" i="2"/>
  <c r="N56" i="2"/>
  <c r="F56" i="2"/>
  <c r="P56" i="2"/>
  <c r="O56" i="2"/>
  <c r="C71" i="4"/>
  <c r="A57" i="2"/>
  <c r="B56" i="2"/>
  <c r="B73" i="4"/>
  <c r="AI57" i="2" l="1"/>
  <c r="AK57" i="2" s="1"/>
  <c r="AG57" i="2"/>
  <c r="D57" i="2" s="1"/>
  <c r="AQ57" i="2"/>
  <c r="AN64" i="2"/>
  <c r="AL64" i="2"/>
  <c r="AM56" i="2"/>
  <c r="AO56" i="2"/>
  <c r="L56" i="2"/>
  <c r="E56" i="2"/>
  <c r="B26" i="9"/>
  <c r="A81" i="10"/>
  <c r="Q56" i="2"/>
  <c r="H56" i="2"/>
  <c r="N57" i="2"/>
  <c r="F57" i="2"/>
  <c r="P57" i="2"/>
  <c r="O57" i="2"/>
  <c r="C72" i="4"/>
  <c r="B57" i="2"/>
  <c r="A58" i="2"/>
  <c r="B74" i="4"/>
  <c r="C73" i="4" s="1"/>
  <c r="AQ58" i="2" l="1"/>
  <c r="AG58" i="2"/>
  <c r="D58" i="2" s="1"/>
  <c r="AI58" i="2"/>
  <c r="AK58" i="2" s="1"/>
  <c r="AO57" i="2"/>
  <c r="AM57" i="2"/>
  <c r="AN65" i="2"/>
  <c r="AL65" i="2"/>
  <c r="E57" i="2"/>
  <c r="A82" i="10"/>
  <c r="C26" i="9"/>
  <c r="Q57" i="2"/>
  <c r="H57" i="2"/>
  <c r="N58" i="2"/>
  <c r="F58" i="2"/>
  <c r="P58" i="2"/>
  <c r="O58" i="2"/>
  <c r="A59" i="2"/>
  <c r="B58" i="2"/>
  <c r="B75" i="4"/>
  <c r="AL66" i="2" l="1"/>
  <c r="AN66" i="2"/>
  <c r="AO58" i="2"/>
  <c r="AM58" i="2"/>
  <c r="AI59" i="2"/>
  <c r="AK59" i="2" s="1"/>
  <c r="AQ59" i="2"/>
  <c r="AG59" i="2"/>
  <c r="D59" i="2" s="1"/>
  <c r="E58" i="2"/>
  <c r="D26" i="9"/>
  <c r="A83" i="10"/>
  <c r="Q58" i="2"/>
  <c r="H58" i="2"/>
  <c r="O59" i="2"/>
  <c r="N59" i="2"/>
  <c r="F59" i="2"/>
  <c r="P59" i="2"/>
  <c r="C74" i="4"/>
  <c r="B59" i="2"/>
  <c r="A60" i="2"/>
  <c r="B76" i="4"/>
  <c r="AN67" i="2" l="1"/>
  <c r="AL67" i="2"/>
  <c r="AQ60" i="2"/>
  <c r="AG60" i="2"/>
  <c r="D60" i="2" s="1"/>
  <c r="AI60" i="2"/>
  <c r="AK60" i="2" s="1"/>
  <c r="AO59" i="2"/>
  <c r="AM59" i="2"/>
  <c r="E59" i="2"/>
  <c r="A84" i="10"/>
  <c r="E26" i="9"/>
  <c r="Q59" i="2"/>
  <c r="H59" i="2"/>
  <c r="O60" i="2"/>
  <c r="N60" i="2"/>
  <c r="M60" i="2"/>
  <c r="F60" i="2"/>
  <c r="P60" i="2"/>
  <c r="C75" i="4"/>
  <c r="A61" i="2"/>
  <c r="B60" i="2"/>
  <c r="B77" i="4"/>
  <c r="AM60" i="2" l="1"/>
  <c r="AO60" i="2"/>
  <c r="AN68" i="2"/>
  <c r="AL68" i="2"/>
  <c r="AI61" i="2"/>
  <c r="AK61" i="2" s="1"/>
  <c r="AG61" i="2"/>
  <c r="D61" i="2" s="1"/>
  <c r="AQ61" i="2"/>
  <c r="L60" i="2"/>
  <c r="E60" i="2"/>
  <c r="F26" i="9"/>
  <c r="A85" i="10"/>
  <c r="Q60" i="2"/>
  <c r="H60" i="2"/>
  <c r="P61" i="2"/>
  <c r="O61" i="2"/>
  <c r="N61" i="2"/>
  <c r="F61" i="2"/>
  <c r="C76" i="4"/>
  <c r="A62" i="2"/>
  <c r="B61" i="2"/>
  <c r="B78" i="4"/>
  <c r="C77" i="4" s="1"/>
  <c r="AO61" i="2" l="1"/>
  <c r="AM61" i="2"/>
  <c r="AQ62" i="2"/>
  <c r="AG62" i="2"/>
  <c r="D62" i="2" s="1"/>
  <c r="AI62" i="2"/>
  <c r="AK62" i="2" s="1"/>
  <c r="AL69" i="2"/>
  <c r="AN69" i="2"/>
  <c r="E61" i="2"/>
  <c r="A86" i="10"/>
  <c r="G26" i="9"/>
  <c r="Q61" i="2"/>
  <c r="H61" i="2"/>
  <c r="P62" i="2"/>
  <c r="O62" i="2"/>
  <c r="F62" i="2"/>
  <c r="N62" i="2"/>
  <c r="B62" i="2"/>
  <c r="A63" i="2"/>
  <c r="B79" i="4"/>
  <c r="C78" i="4" s="1"/>
  <c r="AI63" i="2" l="1"/>
  <c r="AK63" i="2" s="1"/>
  <c r="AG63" i="2"/>
  <c r="D63" i="2" s="1"/>
  <c r="AQ63" i="2"/>
  <c r="M63" i="2" s="1"/>
  <c r="AL70" i="2"/>
  <c r="AN70" i="2"/>
  <c r="AO62" i="2"/>
  <c r="AM62" i="2"/>
  <c r="E62" i="2"/>
  <c r="H26" i="9"/>
  <c r="A87" i="10"/>
  <c r="Q62" i="2"/>
  <c r="H62" i="2"/>
  <c r="F63" i="2"/>
  <c r="P63" i="2"/>
  <c r="O63" i="2"/>
  <c r="N63" i="2"/>
  <c r="B63" i="2"/>
  <c r="A64" i="2"/>
  <c r="B80" i="4"/>
  <c r="AO63" i="2" l="1"/>
  <c r="AM63" i="2"/>
  <c r="AQ64" i="2"/>
  <c r="AG64" i="2"/>
  <c r="D64" i="2" s="1"/>
  <c r="AI64" i="2"/>
  <c r="AK64" i="2" s="1"/>
  <c r="L63" i="2"/>
  <c r="AN71" i="2"/>
  <c r="AL71" i="2"/>
  <c r="E63" i="2"/>
  <c r="A88" i="10"/>
  <c r="B28" i="9"/>
  <c r="Q63" i="2"/>
  <c r="H63" i="2"/>
  <c r="N64" i="2"/>
  <c r="F64" i="2"/>
  <c r="O64" i="2"/>
  <c r="P64" i="2"/>
  <c r="C79" i="4"/>
  <c r="A65" i="2"/>
  <c r="B64" i="2"/>
  <c r="B81" i="4"/>
  <c r="AM64" i="2" l="1"/>
  <c r="AO64" i="2"/>
  <c r="AI65" i="2"/>
  <c r="AK65" i="2" s="1"/>
  <c r="AG65" i="2"/>
  <c r="D65" i="2" s="1"/>
  <c r="AQ65" i="2"/>
  <c r="AN72" i="2"/>
  <c r="AL72" i="2"/>
  <c r="E64" i="2"/>
  <c r="C28" i="9"/>
  <c r="A89" i="10"/>
  <c r="Q64" i="2"/>
  <c r="H64" i="2"/>
  <c r="O65" i="2"/>
  <c r="N65" i="2"/>
  <c r="F65" i="2"/>
  <c r="P65" i="2"/>
  <c r="C80" i="4"/>
  <c r="A66" i="2"/>
  <c r="B65" i="2"/>
  <c r="B82" i="4"/>
  <c r="C81" i="4" s="1"/>
  <c r="AQ66" i="2" l="1"/>
  <c r="AG66" i="2"/>
  <c r="D66" i="2" s="1"/>
  <c r="AI66" i="2"/>
  <c r="AK66" i="2" s="1"/>
  <c r="AL73" i="2"/>
  <c r="AN73" i="2"/>
  <c r="AO65" i="2"/>
  <c r="AM65" i="2"/>
  <c r="E65" i="2"/>
  <c r="A90" i="10"/>
  <c r="D28" i="9"/>
  <c r="Q65" i="2"/>
  <c r="H65" i="2"/>
  <c r="P66" i="2"/>
  <c r="O66" i="2"/>
  <c r="N66" i="2"/>
  <c r="F66" i="2"/>
  <c r="A67" i="2"/>
  <c r="B66" i="2"/>
  <c r="B83" i="4"/>
  <c r="C83" i="4" s="1"/>
  <c r="AO66" i="2" l="1"/>
  <c r="AM66" i="2"/>
  <c r="AI67" i="2"/>
  <c r="AK67" i="2" s="1"/>
  <c r="AQ67" i="2"/>
  <c r="M67" i="2" s="1"/>
  <c r="AG67" i="2"/>
  <c r="D67" i="2" s="1"/>
  <c r="AN74" i="2"/>
  <c r="AL74" i="2"/>
  <c r="E66" i="2"/>
  <c r="E28" i="9"/>
  <c r="A91" i="10"/>
  <c r="Q66" i="2"/>
  <c r="H66" i="2"/>
  <c r="O67" i="2"/>
  <c r="N67" i="2"/>
  <c r="P67" i="2"/>
  <c r="F67" i="2"/>
  <c r="C82" i="4"/>
  <c r="C85" i="4" s="1"/>
  <c r="B67" i="2"/>
  <c r="A68" i="2"/>
  <c r="AN75" i="2" l="1"/>
  <c r="AL75" i="2"/>
  <c r="AO67" i="2"/>
  <c r="AM67" i="2"/>
  <c r="AQ68" i="2"/>
  <c r="AG68" i="2"/>
  <c r="D68" i="2" s="1"/>
  <c r="AI68" i="2"/>
  <c r="AK68" i="2" s="1"/>
  <c r="L67" i="2"/>
  <c r="E67" i="2"/>
  <c r="A92" i="10"/>
  <c r="F28" i="9"/>
  <c r="Q67" i="2"/>
  <c r="H67" i="2"/>
  <c r="P68" i="2"/>
  <c r="O68" i="2"/>
  <c r="N68" i="2"/>
  <c r="F68" i="2"/>
  <c r="A69" i="2"/>
  <c r="B68" i="2"/>
  <c r="AI69" i="2" l="1"/>
  <c r="AK69" i="2" s="1"/>
  <c r="AG69" i="2"/>
  <c r="D69" i="2" s="1"/>
  <c r="AQ69" i="2"/>
  <c r="AL76" i="2"/>
  <c r="AN76" i="2"/>
  <c r="AM68" i="2"/>
  <c r="AO68" i="2"/>
  <c r="E68" i="2"/>
  <c r="G28" i="9"/>
  <c r="A93" i="10"/>
  <c r="Q68" i="2"/>
  <c r="H68" i="2"/>
  <c r="P69" i="2"/>
  <c r="F69" i="2"/>
  <c r="O69" i="2"/>
  <c r="N69" i="2"/>
  <c r="A70" i="2"/>
  <c r="B69" i="2"/>
  <c r="AO69" i="2" l="1"/>
  <c r="AM69" i="2"/>
  <c r="AQ70" i="2"/>
  <c r="M70" i="2" s="1"/>
  <c r="AG70" i="2"/>
  <c r="D70" i="2" s="1"/>
  <c r="AI70" i="2"/>
  <c r="AK70" i="2" s="1"/>
  <c r="AN77" i="2"/>
  <c r="AL77" i="2"/>
  <c r="E69" i="2"/>
  <c r="A94" i="10"/>
  <c r="H28" i="9"/>
  <c r="Q69" i="2"/>
  <c r="H69" i="2"/>
  <c r="N70" i="2"/>
  <c r="P70" i="2"/>
  <c r="F70" i="2"/>
  <c r="O70" i="2"/>
  <c r="B70" i="2"/>
  <c r="A71" i="2"/>
  <c r="L70" i="2" l="1"/>
  <c r="AL78" i="2"/>
  <c r="AN78" i="2"/>
  <c r="AO70" i="2"/>
  <c r="AM70" i="2"/>
  <c r="AI71" i="2"/>
  <c r="AK71" i="2" s="1"/>
  <c r="AG71" i="2"/>
  <c r="D71" i="2" s="1"/>
  <c r="AQ71" i="2"/>
  <c r="M71" i="2" s="1"/>
  <c r="E70" i="2"/>
  <c r="B30" i="9"/>
  <c r="A95" i="10"/>
  <c r="Q70" i="2"/>
  <c r="H70" i="2"/>
  <c r="O71" i="2"/>
  <c r="N71" i="2"/>
  <c r="F71" i="2"/>
  <c r="P71" i="2"/>
  <c r="A72" i="2"/>
  <c r="B71" i="2"/>
  <c r="AN79" i="2" l="1"/>
  <c r="AL79" i="2"/>
  <c r="AQ72" i="2"/>
  <c r="AG72" i="2"/>
  <c r="D72" i="2" s="1"/>
  <c r="AI72" i="2"/>
  <c r="AK72" i="2" s="1"/>
  <c r="L71" i="2"/>
  <c r="AO71" i="2"/>
  <c r="AM71" i="2"/>
  <c r="E71" i="2"/>
  <c r="A96" i="10"/>
  <c r="C30" i="9"/>
  <c r="Q71" i="2"/>
  <c r="H71" i="2"/>
  <c r="P72" i="2"/>
  <c r="O72" i="2"/>
  <c r="F72" i="2"/>
  <c r="M72" i="2"/>
  <c r="N72" i="2"/>
  <c r="B72" i="2"/>
  <c r="A73" i="2"/>
  <c r="AO72" i="2" l="1"/>
  <c r="AM72" i="2"/>
  <c r="AI73" i="2"/>
  <c r="AK73" i="2" s="1"/>
  <c r="AG73" i="2"/>
  <c r="D73" i="2" s="1"/>
  <c r="AQ73" i="2"/>
  <c r="M73" i="2" s="1"/>
  <c r="AL80" i="2"/>
  <c r="AN80" i="2"/>
  <c r="L72" i="2"/>
  <c r="E72" i="2"/>
  <c r="D30" i="9"/>
  <c r="A97" i="10"/>
  <c r="Q72" i="2"/>
  <c r="H72" i="2"/>
  <c r="P73" i="2"/>
  <c r="O73" i="2"/>
  <c r="N73" i="2"/>
  <c r="F73" i="2"/>
  <c r="A74" i="2"/>
  <c r="B73" i="2"/>
  <c r="AQ74" i="2" l="1"/>
  <c r="AG74" i="2"/>
  <c r="D74" i="2" s="1"/>
  <c r="AI74" i="2"/>
  <c r="AK74" i="2" s="1"/>
  <c r="AN81" i="2"/>
  <c r="AL81" i="2"/>
  <c r="AO73" i="2"/>
  <c r="AM73" i="2"/>
  <c r="L73" i="2"/>
  <c r="E73" i="2"/>
  <c r="A98" i="10"/>
  <c r="E30" i="9"/>
  <c r="Q73" i="2"/>
  <c r="H73" i="2"/>
  <c r="N74" i="2"/>
  <c r="F74" i="2"/>
  <c r="M74" i="2"/>
  <c r="P74" i="2"/>
  <c r="O74" i="2"/>
  <c r="B74" i="2"/>
  <c r="A75" i="2"/>
  <c r="AO74" i="2" l="1"/>
  <c r="AM74" i="2"/>
  <c r="AI75" i="2"/>
  <c r="AK75" i="2" s="1"/>
  <c r="AQ75" i="2"/>
  <c r="M75" i="2" s="1"/>
  <c r="AG75" i="2"/>
  <c r="D75" i="2" s="1"/>
  <c r="AN82" i="2"/>
  <c r="AL82" i="2"/>
  <c r="L74" i="2"/>
  <c r="E74" i="2"/>
  <c r="F30" i="9"/>
  <c r="A99" i="10"/>
  <c r="Q74" i="2"/>
  <c r="H74" i="2"/>
  <c r="O75" i="2"/>
  <c r="N75" i="2"/>
  <c r="F75" i="2"/>
  <c r="P75" i="2"/>
  <c r="B75" i="2"/>
  <c r="A76" i="2"/>
  <c r="AQ76" i="2" l="1"/>
  <c r="AG76" i="2"/>
  <c r="D76" i="2" s="1"/>
  <c r="AI76" i="2"/>
  <c r="AK76" i="2" s="1"/>
  <c r="AN83" i="2"/>
  <c r="AL83" i="2"/>
  <c r="AO75" i="2"/>
  <c r="AM75" i="2"/>
  <c r="L75" i="2"/>
  <c r="E75" i="2"/>
  <c r="A100" i="10"/>
  <c r="G30" i="9"/>
  <c r="Q75" i="2"/>
  <c r="H75" i="2"/>
  <c r="P76" i="2"/>
  <c r="O76" i="2"/>
  <c r="N76" i="2"/>
  <c r="M76" i="2"/>
  <c r="F76" i="2"/>
  <c r="A77" i="2"/>
  <c r="B76" i="2"/>
  <c r="AM76" i="2" l="1"/>
  <c r="AO76" i="2"/>
  <c r="AN84" i="2"/>
  <c r="AL84" i="2"/>
  <c r="AI77" i="2"/>
  <c r="AK77" i="2" s="1"/>
  <c r="AG77" i="2"/>
  <c r="D77" i="2" s="1"/>
  <c r="AQ77" i="2"/>
  <c r="M77" i="2" s="1"/>
  <c r="L76" i="2"/>
  <c r="E76" i="2"/>
  <c r="H30" i="9"/>
  <c r="A101" i="10"/>
  <c r="Q76" i="2"/>
  <c r="H76" i="2"/>
  <c r="P77" i="2"/>
  <c r="F77" i="2"/>
  <c r="N77" i="2"/>
  <c r="O77" i="2"/>
  <c r="B77" i="2"/>
  <c r="A78" i="2"/>
  <c r="AQ78" i="2" l="1"/>
  <c r="AG78" i="2"/>
  <c r="D78" i="2" s="1"/>
  <c r="AI78" i="2"/>
  <c r="AK78" i="2" s="1"/>
  <c r="AM77" i="2"/>
  <c r="AO77" i="2"/>
  <c r="AN85" i="2"/>
  <c r="AL85" i="2"/>
  <c r="L77" i="2"/>
  <c r="E77" i="2"/>
  <c r="A102" i="10"/>
  <c r="B32" i="9"/>
  <c r="Q77" i="2"/>
  <c r="H77" i="2"/>
  <c r="N78" i="2"/>
  <c r="F78" i="2"/>
  <c r="M78" i="2"/>
  <c r="P78" i="2"/>
  <c r="O78" i="2"/>
  <c r="A79" i="2"/>
  <c r="B78" i="2"/>
  <c r="AN86" i="2" l="1"/>
  <c r="AL86" i="2"/>
  <c r="AI79" i="2"/>
  <c r="AK79" i="2" s="1"/>
  <c r="AG79" i="2"/>
  <c r="D79" i="2" s="1"/>
  <c r="AQ79" i="2"/>
  <c r="AO78" i="2"/>
  <c r="AM78" i="2"/>
  <c r="M79" i="2"/>
  <c r="L78" i="2"/>
  <c r="E78" i="2"/>
  <c r="C32" i="9"/>
  <c r="A103" i="10"/>
  <c r="Q78" i="2"/>
  <c r="H78" i="2"/>
  <c r="O79" i="2"/>
  <c r="N79" i="2"/>
  <c r="F79" i="2"/>
  <c r="P79" i="2"/>
  <c r="B79" i="2"/>
  <c r="A80" i="2"/>
  <c r="AN87" i="2" l="1"/>
  <c r="AL87" i="2"/>
  <c r="AM79" i="2"/>
  <c r="AO79" i="2"/>
  <c r="AQ80" i="2"/>
  <c r="AG80" i="2"/>
  <c r="D80" i="2" s="1"/>
  <c r="AI80" i="2"/>
  <c r="AK80" i="2" s="1"/>
  <c r="L79" i="2"/>
  <c r="E79" i="2"/>
  <c r="A104" i="10"/>
  <c r="D32" i="9"/>
  <c r="Q79" i="2"/>
  <c r="H79" i="2"/>
  <c r="P80" i="2"/>
  <c r="O80" i="2"/>
  <c r="F80" i="2"/>
  <c r="N80" i="2"/>
  <c r="M80" i="2"/>
  <c r="A81" i="2"/>
  <c r="B80" i="2"/>
  <c r="AM80" i="2" l="1"/>
  <c r="AO80" i="2"/>
  <c r="AN88" i="2"/>
  <c r="AL88" i="2"/>
  <c r="AI81" i="2"/>
  <c r="AK81" i="2" s="1"/>
  <c r="AG81" i="2"/>
  <c r="D81" i="2" s="1"/>
  <c r="AQ81" i="2"/>
  <c r="M81" i="2" s="1"/>
  <c r="L80" i="2"/>
  <c r="E80" i="2"/>
  <c r="E32" i="9"/>
  <c r="A105" i="10"/>
  <c r="Q80" i="2"/>
  <c r="H80" i="2"/>
  <c r="P81" i="2"/>
  <c r="O81" i="2"/>
  <c r="N81" i="2"/>
  <c r="F81" i="2"/>
  <c r="B81" i="2"/>
  <c r="A82" i="2"/>
  <c r="AM81" i="2" l="1"/>
  <c r="AO81" i="2"/>
  <c r="AQ82" i="2"/>
  <c r="M82" i="2" s="1"/>
  <c r="AG82" i="2"/>
  <c r="D82" i="2" s="1"/>
  <c r="AI82" i="2"/>
  <c r="AK82" i="2" s="1"/>
  <c r="L81" i="2"/>
  <c r="AN89" i="2"/>
  <c r="AL89" i="2"/>
  <c r="E81" i="2"/>
  <c r="A106" i="10"/>
  <c r="F32" i="9"/>
  <c r="Q81" i="2"/>
  <c r="H81" i="2"/>
  <c r="N82" i="2"/>
  <c r="F82" i="2"/>
  <c r="P82" i="2"/>
  <c r="O82" i="2"/>
  <c r="A83" i="2"/>
  <c r="B82" i="2"/>
  <c r="L82" i="2" l="1"/>
  <c r="AO82" i="2"/>
  <c r="AM82" i="2"/>
  <c r="AI83" i="2"/>
  <c r="AK83" i="2" s="1"/>
  <c r="AQ83" i="2"/>
  <c r="AG83" i="2"/>
  <c r="D83" i="2" s="1"/>
  <c r="AL90" i="2"/>
  <c r="AN90" i="2"/>
  <c r="E82" i="2"/>
  <c r="G32" i="9"/>
  <c r="A107" i="10"/>
  <c r="Q82" i="2"/>
  <c r="H82" i="2"/>
  <c r="O83" i="2"/>
  <c r="N83" i="2"/>
  <c r="F83" i="2"/>
  <c r="M83" i="2"/>
  <c r="P83" i="2"/>
  <c r="B83" i="2"/>
  <c r="A84" i="2"/>
  <c r="AN91" i="2" l="1"/>
  <c r="AL91" i="2"/>
  <c r="AO83" i="2"/>
  <c r="AM83" i="2"/>
  <c r="AQ84" i="2"/>
  <c r="AG84" i="2"/>
  <c r="D84" i="2" s="1"/>
  <c r="AI84" i="2"/>
  <c r="AK84" i="2" s="1"/>
  <c r="L83" i="2"/>
  <c r="E83" i="2"/>
  <c r="A108" i="10"/>
  <c r="H32" i="9"/>
  <c r="Q83" i="2"/>
  <c r="H83" i="2"/>
  <c r="P84" i="2"/>
  <c r="O84" i="2"/>
  <c r="N84" i="2"/>
  <c r="F84" i="2"/>
  <c r="M84" i="2"/>
  <c r="A85" i="2"/>
  <c r="B84" i="2"/>
  <c r="AN92" i="2" l="1"/>
  <c r="AL92" i="2"/>
  <c r="AI85" i="2"/>
  <c r="AK85" i="2" s="1"/>
  <c r="AG85" i="2"/>
  <c r="D85" i="2" s="1"/>
  <c r="AQ85" i="2"/>
  <c r="M85" i="2" s="1"/>
  <c r="AM84" i="2"/>
  <c r="AO84" i="2"/>
  <c r="L84" i="2"/>
  <c r="E84" i="2"/>
  <c r="B34" i="9"/>
  <c r="A109" i="10"/>
  <c r="Q84" i="2"/>
  <c r="H84" i="2"/>
  <c r="P85" i="2"/>
  <c r="O85" i="2"/>
  <c r="N85" i="2"/>
  <c r="F85" i="2"/>
  <c r="B85" i="2"/>
  <c r="A86" i="2"/>
  <c r="AQ86" i="2" l="1"/>
  <c r="AG86" i="2"/>
  <c r="D86" i="2" s="1"/>
  <c r="AI86" i="2"/>
  <c r="AK86" i="2" s="1"/>
  <c r="AM85" i="2"/>
  <c r="AO85" i="2"/>
  <c r="AN93" i="2"/>
  <c r="AL93" i="2"/>
  <c r="L85" i="2"/>
  <c r="E85" i="2"/>
  <c r="A110" i="10"/>
  <c r="C34" i="9"/>
  <c r="Q85" i="2"/>
  <c r="H85" i="2"/>
  <c r="N86" i="2"/>
  <c r="F86" i="2"/>
  <c r="M86" i="2"/>
  <c r="P86" i="2"/>
  <c r="O86" i="2"/>
  <c r="A87" i="2"/>
  <c r="B86" i="2"/>
  <c r="AN94" i="2" l="1"/>
  <c r="AL94" i="2"/>
  <c r="AI87" i="2"/>
  <c r="AK87" i="2" s="1"/>
  <c r="AG87" i="2"/>
  <c r="D87" i="2" s="1"/>
  <c r="AQ87" i="2"/>
  <c r="AM86" i="2"/>
  <c r="AO86" i="2"/>
  <c r="L86" i="2"/>
  <c r="E86" i="2"/>
  <c r="D34" i="9"/>
  <c r="A111" i="10"/>
  <c r="Q86" i="2"/>
  <c r="H86" i="2"/>
  <c r="O87" i="2"/>
  <c r="N87" i="2"/>
  <c r="F87" i="2"/>
  <c r="M87" i="2"/>
  <c r="P87" i="2"/>
  <c r="A88" i="2"/>
  <c r="B87" i="2"/>
  <c r="AO87" i="2" l="1"/>
  <c r="AM87" i="2"/>
  <c r="AN95" i="2"/>
  <c r="AL95" i="2"/>
  <c r="AQ88" i="2"/>
  <c r="AG88" i="2"/>
  <c r="D88" i="2" s="1"/>
  <c r="AI88" i="2"/>
  <c r="AK88" i="2" s="1"/>
  <c r="L87" i="2"/>
  <c r="E87" i="2"/>
  <c r="A112" i="10"/>
  <c r="E34" i="9"/>
  <c r="Q87" i="2"/>
  <c r="H87" i="2"/>
  <c r="P88" i="2"/>
  <c r="O88" i="2"/>
  <c r="N88" i="2"/>
  <c r="F88" i="2"/>
  <c r="M88" i="2"/>
  <c r="A89" i="2"/>
  <c r="B88" i="2"/>
  <c r="AO88" i="2" l="1"/>
  <c r="AM88" i="2"/>
  <c r="AI89" i="2"/>
  <c r="AK89" i="2" s="1"/>
  <c r="AG89" i="2"/>
  <c r="D89" i="2" s="1"/>
  <c r="AQ89" i="2"/>
  <c r="AN96" i="2"/>
  <c r="AL96" i="2"/>
  <c r="M89" i="2"/>
  <c r="L88" i="2"/>
  <c r="E88" i="2"/>
  <c r="F34" i="9"/>
  <c r="A113" i="10"/>
  <c r="Q88" i="2"/>
  <c r="H88" i="2"/>
  <c r="P89" i="2"/>
  <c r="O89" i="2"/>
  <c r="F89" i="2"/>
  <c r="N89" i="2"/>
  <c r="A90" i="2"/>
  <c r="B89" i="2"/>
  <c r="AO89" i="2" l="1"/>
  <c r="AM89" i="2"/>
  <c r="AN97" i="2"/>
  <c r="AL97" i="2"/>
  <c r="AQ90" i="2"/>
  <c r="M90" i="2" s="1"/>
  <c r="AG90" i="2"/>
  <c r="D90" i="2" s="1"/>
  <c r="AI90" i="2"/>
  <c r="AK90" i="2" s="1"/>
  <c r="L89" i="2"/>
  <c r="E89" i="2"/>
  <c r="A114" i="10"/>
  <c r="G34" i="9"/>
  <c r="Q89" i="2"/>
  <c r="H89" i="2"/>
  <c r="N90" i="2"/>
  <c r="F90" i="2"/>
  <c r="P90" i="2"/>
  <c r="O90" i="2"/>
  <c r="A91" i="2"/>
  <c r="B90" i="2"/>
  <c r="AO90" i="2" l="1"/>
  <c r="AM90" i="2"/>
  <c r="AI91" i="2"/>
  <c r="AK91" i="2" s="1"/>
  <c r="AQ91" i="2"/>
  <c r="M91" i="2" s="1"/>
  <c r="AG91" i="2"/>
  <c r="D91" i="2" s="1"/>
  <c r="AL98" i="2"/>
  <c r="AN98" i="2"/>
  <c r="L90" i="2"/>
  <c r="E90" i="2"/>
  <c r="H34" i="9"/>
  <c r="A115" i="10"/>
  <c r="Q90" i="2"/>
  <c r="H90" i="2"/>
  <c r="O91" i="2"/>
  <c r="N91" i="2"/>
  <c r="F91" i="2"/>
  <c r="P91" i="2"/>
  <c r="A92" i="2"/>
  <c r="B91" i="2"/>
  <c r="AL99" i="2" l="1"/>
  <c r="AN99" i="2"/>
  <c r="AM91" i="2"/>
  <c r="AO91" i="2"/>
  <c r="AQ92" i="2"/>
  <c r="AG92" i="2"/>
  <c r="D92" i="2" s="1"/>
  <c r="AI92" i="2"/>
  <c r="AK92" i="2" s="1"/>
  <c r="L91" i="2"/>
  <c r="E91" i="2"/>
  <c r="A116" i="10"/>
  <c r="B36" i="9"/>
  <c r="Q91" i="2"/>
  <c r="H91" i="2"/>
  <c r="P92" i="2"/>
  <c r="O92" i="2"/>
  <c r="N92" i="2"/>
  <c r="F92" i="2"/>
  <c r="M92" i="2"/>
  <c r="A93" i="2"/>
  <c r="B92" i="2"/>
  <c r="AM92" i="2" l="1"/>
  <c r="AO92" i="2"/>
  <c r="AI93" i="2"/>
  <c r="AK93" i="2" s="1"/>
  <c r="AG93" i="2"/>
  <c r="D93" i="2" s="1"/>
  <c r="AQ93" i="2"/>
  <c r="M93" i="2" s="1"/>
  <c r="AN100" i="2"/>
  <c r="AL100" i="2"/>
  <c r="L92" i="2"/>
  <c r="E92" i="2"/>
  <c r="C36" i="9"/>
  <c r="A117" i="10"/>
  <c r="Q92" i="2"/>
  <c r="H92" i="2"/>
  <c r="P93" i="2"/>
  <c r="O93" i="2"/>
  <c r="N93" i="2"/>
  <c r="F93" i="2"/>
  <c r="B93" i="2"/>
  <c r="A94" i="2"/>
  <c r="AN101" i="2" l="1"/>
  <c r="AL101" i="2"/>
  <c r="AQ94" i="2"/>
  <c r="AG94" i="2"/>
  <c r="D94" i="2" s="1"/>
  <c r="AI94" i="2"/>
  <c r="AK94" i="2" s="1"/>
  <c r="AO93" i="2"/>
  <c r="AM93" i="2"/>
  <c r="L93" i="2"/>
  <c r="E93" i="2"/>
  <c r="A118" i="10"/>
  <c r="D36" i="9"/>
  <c r="Q93" i="2"/>
  <c r="H93" i="2"/>
  <c r="N94" i="2"/>
  <c r="F94" i="2"/>
  <c r="M94" i="2"/>
  <c r="P94" i="2"/>
  <c r="O94" i="2"/>
  <c r="A95" i="2"/>
  <c r="B94" i="2"/>
  <c r="AO94" i="2" l="1"/>
  <c r="AM94" i="2"/>
  <c r="AI95" i="2"/>
  <c r="AK95" i="2" s="1"/>
  <c r="AG95" i="2"/>
  <c r="D95" i="2" s="1"/>
  <c r="AQ95" i="2"/>
  <c r="AN102" i="2"/>
  <c r="AL102" i="2"/>
  <c r="M95" i="2"/>
  <c r="L94" i="2"/>
  <c r="E94" i="2"/>
  <c r="E36" i="9"/>
  <c r="A119" i="10"/>
  <c r="Q94" i="2"/>
  <c r="H94" i="2"/>
  <c r="O95" i="2"/>
  <c r="N95" i="2"/>
  <c r="F95" i="2"/>
  <c r="P95" i="2"/>
  <c r="A96" i="2"/>
  <c r="B95" i="2"/>
  <c r="AQ96" i="2" l="1"/>
  <c r="AG96" i="2"/>
  <c r="D96" i="2" s="1"/>
  <c r="AI96" i="2"/>
  <c r="AK96" i="2" s="1"/>
  <c r="AO95" i="2"/>
  <c r="AM95" i="2"/>
  <c r="AN103" i="2"/>
  <c r="AL103" i="2"/>
  <c r="L95" i="2"/>
  <c r="E95" i="2"/>
  <c r="A120" i="10"/>
  <c r="F36" i="9"/>
  <c r="Q95" i="2"/>
  <c r="H95" i="2"/>
  <c r="P96" i="2"/>
  <c r="O96" i="2"/>
  <c r="N96" i="2"/>
  <c r="F96" i="2"/>
  <c r="M96" i="2"/>
  <c r="B96" i="2"/>
  <c r="A97" i="2"/>
  <c r="L96" i="2" l="1"/>
  <c r="AM96" i="2"/>
  <c r="AO96" i="2"/>
  <c r="AN104" i="2"/>
  <c r="AL104" i="2"/>
  <c r="AI97" i="2"/>
  <c r="AK97" i="2" s="1"/>
  <c r="AG97" i="2"/>
  <c r="D97" i="2" s="1"/>
  <c r="AQ97" i="2"/>
  <c r="M97" i="2" s="1"/>
  <c r="E96" i="2"/>
  <c r="G36" i="9"/>
  <c r="A121" i="10"/>
  <c r="Q96" i="2"/>
  <c r="H96" i="2"/>
  <c r="P97" i="2"/>
  <c r="O97" i="2"/>
  <c r="N97" i="2"/>
  <c r="F97" i="2"/>
  <c r="A98" i="2"/>
  <c r="B97" i="2"/>
  <c r="AO97" i="2" l="1"/>
  <c r="AM97" i="2"/>
  <c r="AQ98" i="2"/>
  <c r="M98" i="2" s="1"/>
  <c r="AG98" i="2"/>
  <c r="D98" i="2" s="1"/>
  <c r="AI98" i="2"/>
  <c r="AK98" i="2" s="1"/>
  <c r="L97" i="2"/>
  <c r="AL105" i="2"/>
  <c r="AN105" i="2"/>
  <c r="E97" i="2"/>
  <c r="A122" i="10"/>
  <c r="H36" i="9"/>
  <c r="Q97" i="2"/>
  <c r="H97" i="2"/>
  <c r="P98" i="2"/>
  <c r="O98" i="2"/>
  <c r="F98" i="2"/>
  <c r="N98" i="2"/>
  <c r="A99" i="2"/>
  <c r="B98" i="2"/>
  <c r="AI99" i="2" l="1"/>
  <c r="AK99" i="2" s="1"/>
  <c r="AQ99" i="2"/>
  <c r="AG99" i="2"/>
  <c r="D99" i="2" s="1"/>
  <c r="AN106" i="2"/>
  <c r="AL106" i="2"/>
  <c r="AO98" i="2"/>
  <c r="AM98" i="2"/>
  <c r="L98" i="2"/>
  <c r="E98" i="2"/>
  <c r="A123" i="10"/>
  <c r="B38" i="9"/>
  <c r="Q98" i="2"/>
  <c r="H98" i="2"/>
  <c r="N99" i="2"/>
  <c r="F99" i="2"/>
  <c r="M99" i="2"/>
  <c r="P99" i="2"/>
  <c r="O99" i="2"/>
  <c r="B99" i="2"/>
  <c r="A100" i="2"/>
  <c r="L99" i="2" l="1"/>
  <c r="AO99" i="2"/>
  <c r="AM99" i="2"/>
  <c r="AQ100" i="2"/>
  <c r="M100" i="2" s="1"/>
  <c r="AG100" i="2"/>
  <c r="D100" i="2" s="1"/>
  <c r="AI100" i="2"/>
  <c r="AK100" i="2" s="1"/>
  <c r="AN107" i="2"/>
  <c r="AL107" i="2"/>
  <c r="E99" i="2"/>
  <c r="C38" i="9"/>
  <c r="A124" i="10"/>
  <c r="Q99" i="2"/>
  <c r="H99" i="2"/>
  <c r="O100" i="2"/>
  <c r="N100" i="2"/>
  <c r="F100" i="2"/>
  <c r="P100" i="2"/>
  <c r="A101" i="2"/>
  <c r="B100" i="2"/>
  <c r="AI101" i="2" l="1"/>
  <c r="AK101" i="2" s="1"/>
  <c r="AG101" i="2"/>
  <c r="D101" i="2" s="1"/>
  <c r="AQ101" i="2"/>
  <c r="M101" i="2" s="1"/>
  <c r="AN108" i="2"/>
  <c r="AL108" i="2"/>
  <c r="AM100" i="2"/>
  <c r="AO100" i="2"/>
  <c r="L100" i="2"/>
  <c r="E100" i="2"/>
  <c r="A125" i="10"/>
  <c r="D38" i="9"/>
  <c r="Q100" i="2"/>
  <c r="H100" i="2"/>
  <c r="P101" i="2"/>
  <c r="O101" i="2"/>
  <c r="N101" i="2"/>
  <c r="F101" i="2"/>
  <c r="B101" i="2"/>
  <c r="A102" i="2"/>
  <c r="AO101" i="2" l="1"/>
  <c r="AM101" i="2"/>
  <c r="AQ102" i="2"/>
  <c r="AG102" i="2"/>
  <c r="D102" i="2" s="1"/>
  <c r="AI102" i="2"/>
  <c r="AK102" i="2" s="1"/>
  <c r="AN109" i="2"/>
  <c r="AL109" i="2"/>
  <c r="M102" i="2"/>
  <c r="L101" i="2"/>
  <c r="E101" i="2"/>
  <c r="E38" i="9"/>
  <c r="A126" i="10"/>
  <c r="Q101" i="2"/>
  <c r="H101" i="2"/>
  <c r="P102" i="2"/>
  <c r="O102" i="2"/>
  <c r="F102" i="2"/>
  <c r="N102" i="2"/>
  <c r="B102" i="2"/>
  <c r="A103" i="2"/>
  <c r="AN110" i="2" l="1"/>
  <c r="AL110" i="2"/>
  <c r="AO102" i="2"/>
  <c r="AM102" i="2"/>
  <c r="AI103" i="2"/>
  <c r="AK103" i="2" s="1"/>
  <c r="AG103" i="2"/>
  <c r="D103" i="2" s="1"/>
  <c r="AQ103" i="2"/>
  <c r="M103" i="2" s="1"/>
  <c r="L102" i="2"/>
  <c r="E102" i="2"/>
  <c r="A127" i="10"/>
  <c r="F38" i="9"/>
  <c r="Q102" i="2"/>
  <c r="H102" i="2"/>
  <c r="N103" i="2"/>
  <c r="F103" i="2"/>
  <c r="P103" i="2"/>
  <c r="O103" i="2"/>
  <c r="B103" i="2"/>
  <c r="A104" i="2"/>
  <c r="AQ104" i="2" l="1"/>
  <c r="AG104" i="2"/>
  <c r="D104" i="2" s="1"/>
  <c r="AI104" i="2"/>
  <c r="AK104" i="2" s="1"/>
  <c r="AN111" i="2"/>
  <c r="AL111" i="2"/>
  <c r="AO103" i="2"/>
  <c r="AM103" i="2"/>
  <c r="L103" i="2"/>
  <c r="E103" i="2"/>
  <c r="G38" i="9"/>
  <c r="A128" i="10"/>
  <c r="Q103" i="2"/>
  <c r="H103" i="2"/>
  <c r="O104" i="2"/>
  <c r="N104" i="2"/>
  <c r="F104" i="2"/>
  <c r="M104" i="2"/>
  <c r="P104" i="2"/>
  <c r="A105" i="2"/>
  <c r="B104" i="2"/>
  <c r="AM104" i="2" l="1"/>
  <c r="AO104" i="2"/>
  <c r="AN112" i="2"/>
  <c r="AL112" i="2"/>
  <c r="AI105" i="2"/>
  <c r="AK105" i="2" s="1"/>
  <c r="AG105" i="2"/>
  <c r="D105" i="2" s="1"/>
  <c r="AQ105" i="2"/>
  <c r="M105" i="2" s="1"/>
  <c r="L104" i="2"/>
  <c r="E104" i="2"/>
  <c r="A129" i="10"/>
  <c r="H38" i="9"/>
  <c r="Q104" i="2"/>
  <c r="H104" i="2"/>
  <c r="P105" i="2"/>
  <c r="O105" i="2"/>
  <c r="N105" i="2"/>
  <c r="F105" i="2"/>
  <c r="A106" i="2"/>
  <c r="B105" i="2"/>
  <c r="AO105" i="2" l="1"/>
  <c r="AM105" i="2"/>
  <c r="AQ106" i="2"/>
  <c r="AG106" i="2"/>
  <c r="D106" i="2" s="1"/>
  <c r="AI106" i="2"/>
  <c r="AK106" i="2" s="1"/>
  <c r="AN113" i="2"/>
  <c r="AL113" i="2"/>
  <c r="L105" i="2"/>
  <c r="E105" i="2"/>
  <c r="B40" i="9"/>
  <c r="A130" i="10"/>
  <c r="Q105" i="2"/>
  <c r="H105" i="2"/>
  <c r="M106" i="2"/>
  <c r="P106" i="2"/>
  <c r="O106" i="2"/>
  <c r="N106" i="2"/>
  <c r="F106" i="2"/>
  <c r="B106" i="2"/>
  <c r="A107" i="2"/>
  <c r="AN114" i="2" l="1"/>
  <c r="AL114" i="2"/>
  <c r="AI107" i="2"/>
  <c r="AK107" i="2" s="1"/>
  <c r="AQ107" i="2"/>
  <c r="M107" i="2" s="1"/>
  <c r="AG107" i="2"/>
  <c r="D107" i="2" s="1"/>
  <c r="AO106" i="2"/>
  <c r="AM106" i="2"/>
  <c r="L106" i="2"/>
  <c r="E106" i="2"/>
  <c r="A131" i="10"/>
  <c r="C40" i="9"/>
  <c r="Q106" i="2"/>
  <c r="H106" i="2"/>
  <c r="F107" i="2"/>
  <c r="P107" i="2"/>
  <c r="O107" i="2"/>
  <c r="N107" i="2"/>
  <c r="A108" i="2"/>
  <c r="B107" i="2"/>
  <c r="AO107" i="2" l="1"/>
  <c r="AM107" i="2"/>
  <c r="AN115" i="2"/>
  <c r="AL115" i="2"/>
  <c r="AQ108" i="2"/>
  <c r="M108" i="2" s="1"/>
  <c r="AG108" i="2"/>
  <c r="D108" i="2" s="1"/>
  <c r="AI108" i="2"/>
  <c r="AK108" i="2" s="1"/>
  <c r="L107" i="2"/>
  <c r="E107" i="2"/>
  <c r="D40" i="9"/>
  <c r="A132" i="10"/>
  <c r="Q107" i="2"/>
  <c r="H107" i="2"/>
  <c r="N108" i="2"/>
  <c r="F108" i="2"/>
  <c r="P108" i="2"/>
  <c r="O108" i="2"/>
  <c r="B108" i="2"/>
  <c r="A109" i="2"/>
  <c r="AO108" i="2" l="1"/>
  <c r="AM108" i="2"/>
  <c r="AI109" i="2"/>
  <c r="AK109" i="2" s="1"/>
  <c r="AG109" i="2"/>
  <c r="D109" i="2" s="1"/>
  <c r="AQ109" i="2"/>
  <c r="AN116" i="2"/>
  <c r="AL116" i="2"/>
  <c r="M109" i="2"/>
  <c r="L108" i="2"/>
  <c r="E108" i="2"/>
  <c r="A133" i="10"/>
  <c r="E40" i="9"/>
  <c r="Q108" i="2"/>
  <c r="H108" i="2"/>
  <c r="O109" i="2"/>
  <c r="N109" i="2"/>
  <c r="F109" i="2"/>
  <c r="P109" i="2"/>
  <c r="B109" i="2"/>
  <c r="A110" i="2"/>
  <c r="AO109" i="2" l="1"/>
  <c r="AM109" i="2"/>
  <c r="AN117" i="2"/>
  <c r="AL117" i="2"/>
  <c r="AQ110" i="2"/>
  <c r="AG110" i="2"/>
  <c r="D110" i="2" s="1"/>
  <c r="AI110" i="2"/>
  <c r="AK110" i="2" s="1"/>
  <c r="L109" i="2"/>
  <c r="E109" i="2"/>
  <c r="F40" i="9"/>
  <c r="A134" i="10"/>
  <c r="Q109" i="2"/>
  <c r="H109" i="2"/>
  <c r="P110" i="2"/>
  <c r="O110" i="2"/>
  <c r="N110" i="2"/>
  <c r="F110" i="2"/>
  <c r="M110" i="2"/>
  <c r="A111" i="2"/>
  <c r="B110" i="2"/>
  <c r="AM110" i="2" l="1"/>
  <c r="AO110" i="2"/>
  <c r="AI111" i="2"/>
  <c r="AK111" i="2" s="1"/>
  <c r="AG111" i="2"/>
  <c r="D111" i="2" s="1"/>
  <c r="AQ111" i="2"/>
  <c r="M111" i="2" s="1"/>
  <c r="AN118" i="2"/>
  <c r="AL118" i="2"/>
  <c r="L110" i="2"/>
  <c r="E110" i="2"/>
  <c r="A135" i="10"/>
  <c r="G40" i="9"/>
  <c r="Q110" i="2"/>
  <c r="H110" i="2"/>
  <c r="P111" i="2"/>
  <c r="O111" i="2"/>
  <c r="F111" i="2"/>
  <c r="N111" i="2"/>
  <c r="B111" i="2"/>
  <c r="A112" i="2"/>
  <c r="AL119" i="2" l="1"/>
  <c r="AN119" i="2"/>
  <c r="AQ112" i="2"/>
  <c r="AG112" i="2"/>
  <c r="D112" i="2" s="1"/>
  <c r="AI112" i="2"/>
  <c r="AK112" i="2" s="1"/>
  <c r="L111" i="2"/>
  <c r="AM111" i="2"/>
  <c r="AO111" i="2"/>
  <c r="E111" i="2"/>
  <c r="H40" i="9"/>
  <c r="A136" i="10"/>
  <c r="Q111" i="2"/>
  <c r="H111" i="2"/>
  <c r="N112" i="2"/>
  <c r="F112" i="2"/>
  <c r="M112" i="2"/>
  <c r="P112" i="2"/>
  <c r="O112" i="2"/>
  <c r="A113" i="2"/>
  <c r="B112" i="2"/>
  <c r="AO112" i="2" l="1"/>
  <c r="AM112" i="2"/>
  <c r="AI113" i="2"/>
  <c r="AK113" i="2" s="1"/>
  <c r="AQ113" i="2"/>
  <c r="M113" i="2" s="1"/>
  <c r="AG113" i="2"/>
  <c r="D113" i="2" s="1"/>
  <c r="L112" i="2"/>
  <c r="AL120" i="2"/>
  <c r="AN120" i="2"/>
  <c r="E112" i="2"/>
  <c r="A137" i="10"/>
  <c r="B42" i="9"/>
  <c r="Q112" i="2"/>
  <c r="H112" i="2"/>
  <c r="O113" i="2"/>
  <c r="N113" i="2"/>
  <c r="F113" i="2"/>
  <c r="P113" i="2"/>
  <c r="B113" i="2"/>
  <c r="A114" i="2"/>
  <c r="AQ114" i="2" l="1"/>
  <c r="AG114" i="2"/>
  <c r="D114" i="2" s="1"/>
  <c r="AI114" i="2"/>
  <c r="AK114" i="2" s="1"/>
  <c r="AL121" i="2"/>
  <c r="AN121" i="2"/>
  <c r="AO113" i="2"/>
  <c r="AM113" i="2"/>
  <c r="L113" i="2"/>
  <c r="E113" i="2"/>
  <c r="C42" i="9"/>
  <c r="A138" i="10"/>
  <c r="Q113" i="2"/>
  <c r="H113" i="2"/>
  <c r="P114" i="2"/>
  <c r="O114" i="2"/>
  <c r="N114" i="2"/>
  <c r="F114" i="2"/>
  <c r="M114" i="2"/>
  <c r="B114" i="2"/>
  <c r="A115" i="2"/>
  <c r="AM114" i="2" l="1"/>
  <c r="AO114" i="2"/>
  <c r="AI115" i="2"/>
  <c r="AK115" i="2" s="1"/>
  <c r="AG115" i="2"/>
  <c r="D115" i="2" s="1"/>
  <c r="AQ115" i="2"/>
  <c r="AN122" i="2"/>
  <c r="AL122" i="2"/>
  <c r="L114" i="2"/>
  <c r="E114" i="2"/>
  <c r="A139" i="10"/>
  <c r="D42" i="9"/>
  <c r="Q114" i="2"/>
  <c r="H114" i="2"/>
  <c r="M115" i="2"/>
  <c r="P115" i="2"/>
  <c r="O115" i="2"/>
  <c r="F115" i="2"/>
  <c r="N115" i="2"/>
  <c r="B115" i="2"/>
  <c r="A116" i="2"/>
  <c r="AL123" i="2" l="1"/>
  <c r="AN123" i="2"/>
  <c r="AQ116" i="2"/>
  <c r="AG116" i="2"/>
  <c r="D116" i="2" s="1"/>
  <c r="AI116" i="2"/>
  <c r="AK116" i="2" s="1"/>
  <c r="AO115" i="2"/>
  <c r="AM115" i="2"/>
  <c r="L115" i="2"/>
  <c r="E115" i="2"/>
  <c r="E42" i="9"/>
  <c r="A140" i="10"/>
  <c r="Q115" i="2"/>
  <c r="H115" i="2"/>
  <c r="N116" i="2"/>
  <c r="F116" i="2"/>
  <c r="M116" i="2"/>
  <c r="P116" i="2"/>
  <c r="O116" i="2"/>
  <c r="B116" i="2"/>
  <c r="A117" i="2"/>
  <c r="AO116" i="2" l="1"/>
  <c r="AM116" i="2"/>
  <c r="AI117" i="2"/>
  <c r="AK117" i="2" s="1"/>
  <c r="AG117" i="2"/>
  <c r="D117" i="2" s="1"/>
  <c r="AQ117" i="2"/>
  <c r="AL124" i="2"/>
  <c r="AN124" i="2"/>
  <c r="L116" i="2"/>
  <c r="E116" i="2"/>
  <c r="A141" i="10"/>
  <c r="F42" i="9"/>
  <c r="Q116" i="2"/>
  <c r="H116" i="2"/>
  <c r="O117" i="2"/>
  <c r="N117" i="2"/>
  <c r="F117" i="2"/>
  <c r="M117" i="2"/>
  <c r="P117" i="2"/>
  <c r="B117" i="2"/>
  <c r="A118" i="2"/>
  <c r="AQ118" i="2" l="1"/>
  <c r="AG118" i="2"/>
  <c r="D118" i="2" s="1"/>
  <c r="AI118" i="2"/>
  <c r="AK118" i="2" s="1"/>
  <c r="L117" i="2"/>
  <c r="AN125" i="2"/>
  <c r="AL125" i="2"/>
  <c r="AM117" i="2"/>
  <c r="AO117" i="2"/>
  <c r="E117" i="2"/>
  <c r="G42" i="9"/>
  <c r="A142" i="10"/>
  <c r="Q117" i="2"/>
  <c r="H117" i="2"/>
  <c r="P118" i="2"/>
  <c r="O118" i="2"/>
  <c r="N118" i="2"/>
  <c r="F118" i="2"/>
  <c r="M118" i="2"/>
  <c r="A119" i="2"/>
  <c r="B118" i="2"/>
  <c r="AM118" i="2" l="1"/>
  <c r="AO118" i="2"/>
  <c r="AL126" i="2"/>
  <c r="AN126" i="2"/>
  <c r="AI119" i="2"/>
  <c r="AK119" i="2" s="1"/>
  <c r="AG119" i="2"/>
  <c r="D119" i="2" s="1"/>
  <c r="AQ119" i="2"/>
  <c r="M119" i="2" s="1"/>
  <c r="L118" i="2"/>
  <c r="E118" i="2"/>
  <c r="A143" i="10"/>
  <c r="H42" i="9"/>
  <c r="Q118" i="2"/>
  <c r="H118" i="2"/>
  <c r="P119" i="2"/>
  <c r="O119" i="2"/>
  <c r="N119" i="2"/>
  <c r="F119" i="2"/>
  <c r="B119" i="2"/>
  <c r="A120" i="2"/>
  <c r="AN127" i="2" l="1"/>
  <c r="AL127" i="2"/>
  <c r="AO119" i="2"/>
  <c r="AM119" i="2"/>
  <c r="AQ120" i="2"/>
  <c r="AG120" i="2"/>
  <c r="D120" i="2" s="1"/>
  <c r="AI120" i="2"/>
  <c r="AK120" i="2" s="1"/>
  <c r="L119" i="2"/>
  <c r="E119" i="2"/>
  <c r="B44" i="9"/>
  <c r="A144" i="10"/>
  <c r="Q119" i="2"/>
  <c r="H119" i="2"/>
  <c r="N120" i="2"/>
  <c r="F120" i="2"/>
  <c r="M120" i="2"/>
  <c r="P120" i="2"/>
  <c r="O120" i="2"/>
  <c r="A121" i="2"/>
  <c r="B120" i="2"/>
  <c r="AN128" i="2" l="1"/>
  <c r="AL128" i="2"/>
  <c r="AI121" i="2"/>
  <c r="AK121" i="2" s="1"/>
  <c r="AQ121" i="2"/>
  <c r="M121" i="2" s="1"/>
  <c r="AG121" i="2"/>
  <c r="D121" i="2" s="1"/>
  <c r="AM120" i="2"/>
  <c r="AO120" i="2"/>
  <c r="L120" i="2"/>
  <c r="E120" i="2"/>
  <c r="A145" i="10"/>
  <c r="C44" i="9"/>
  <c r="Q120" i="2"/>
  <c r="H120" i="2"/>
  <c r="O121" i="2"/>
  <c r="N121" i="2"/>
  <c r="F121" i="2"/>
  <c r="P121" i="2"/>
  <c r="B121" i="2"/>
  <c r="A122" i="2"/>
  <c r="AM121" i="2" l="1"/>
  <c r="AO121" i="2"/>
  <c r="AL129" i="2"/>
  <c r="AN129" i="2"/>
  <c r="AQ122" i="2"/>
  <c r="AG122" i="2"/>
  <c r="D122" i="2" s="1"/>
  <c r="AI122" i="2"/>
  <c r="AK122" i="2" s="1"/>
  <c r="L121" i="2"/>
  <c r="M122" i="2"/>
  <c r="E121" i="2"/>
  <c r="D44" i="9"/>
  <c r="A146" i="10"/>
  <c r="Q121" i="2"/>
  <c r="H121" i="2"/>
  <c r="P122" i="2"/>
  <c r="O122" i="2"/>
  <c r="N122" i="2"/>
  <c r="F122" i="2"/>
  <c r="A123" i="2"/>
  <c r="B122" i="2"/>
  <c r="AN130" i="2" l="1"/>
  <c r="AL130" i="2"/>
  <c r="AM122" i="2"/>
  <c r="AO122" i="2"/>
  <c r="AI123" i="2"/>
  <c r="AK123" i="2" s="1"/>
  <c r="AG123" i="2"/>
  <c r="D123" i="2" s="1"/>
  <c r="AQ123" i="2"/>
  <c r="M123" i="2" s="1"/>
  <c r="L122" i="2"/>
  <c r="E122" i="2"/>
  <c r="A147" i="10"/>
  <c r="E44" i="9"/>
  <c r="Q122" i="2"/>
  <c r="H122" i="2"/>
  <c r="P123" i="2"/>
  <c r="O123" i="2"/>
  <c r="N123" i="2"/>
  <c r="F123" i="2"/>
  <c r="B123" i="2"/>
  <c r="A124" i="2"/>
  <c r="AM123" i="2" l="1"/>
  <c r="AO123" i="2"/>
  <c r="AN131" i="2"/>
  <c r="AL131" i="2"/>
  <c r="AQ124" i="2"/>
  <c r="AG124" i="2"/>
  <c r="D124" i="2" s="1"/>
  <c r="AI124" i="2"/>
  <c r="AK124" i="2" s="1"/>
  <c r="L123" i="2"/>
  <c r="M124" i="2"/>
  <c r="E123" i="2"/>
  <c r="F44" i="9"/>
  <c r="A148" i="10"/>
  <c r="Q123" i="2"/>
  <c r="H123" i="2"/>
  <c r="N124" i="2"/>
  <c r="F124" i="2"/>
  <c r="P124" i="2"/>
  <c r="O124" i="2"/>
  <c r="B124" i="2"/>
  <c r="A125" i="2"/>
  <c r="AM124" i="2" l="1"/>
  <c r="AO124" i="2"/>
  <c r="AI125" i="2"/>
  <c r="AK125" i="2" s="1"/>
  <c r="AG125" i="2"/>
  <c r="D125" i="2" s="1"/>
  <c r="AQ125" i="2"/>
  <c r="AN132" i="2"/>
  <c r="AL132" i="2"/>
  <c r="L124" i="2"/>
  <c r="E124" i="2"/>
  <c r="A149" i="10"/>
  <c r="G44" i="9"/>
  <c r="Q124" i="2"/>
  <c r="H124" i="2"/>
  <c r="O125" i="2"/>
  <c r="N125" i="2"/>
  <c r="F125" i="2"/>
  <c r="M125" i="2"/>
  <c r="P125" i="2"/>
  <c r="A126" i="2"/>
  <c r="B125" i="2"/>
  <c r="AN133" i="2" l="1"/>
  <c r="AL133" i="2"/>
  <c r="AM125" i="2"/>
  <c r="AO125" i="2"/>
  <c r="AQ126" i="2"/>
  <c r="M126" i="2" s="1"/>
  <c r="AG126" i="2"/>
  <c r="D126" i="2" s="1"/>
  <c r="AI126" i="2"/>
  <c r="AK126" i="2" s="1"/>
  <c r="L125" i="2"/>
  <c r="E125" i="2"/>
  <c r="H44" i="9"/>
  <c r="A150" i="10"/>
  <c r="Q125" i="2"/>
  <c r="H125" i="2"/>
  <c r="P126" i="2"/>
  <c r="O126" i="2"/>
  <c r="N126" i="2"/>
  <c r="F126" i="2"/>
  <c r="A127" i="2"/>
  <c r="B126" i="2"/>
  <c r="AM126" i="2" l="1"/>
  <c r="AO126" i="2"/>
  <c r="AN134" i="2"/>
  <c r="AL134" i="2"/>
  <c r="AI127" i="2"/>
  <c r="AK127" i="2" s="1"/>
  <c r="AG127" i="2"/>
  <c r="D127" i="2" s="1"/>
  <c r="AQ127" i="2"/>
  <c r="M127" i="2" s="1"/>
  <c r="L126" i="2"/>
  <c r="E126" i="2"/>
  <c r="A151" i="10"/>
  <c r="B46" i="9"/>
  <c r="Q126" i="2"/>
  <c r="H126" i="2"/>
  <c r="P127" i="2"/>
  <c r="O127" i="2"/>
  <c r="F127" i="2"/>
  <c r="N127" i="2"/>
  <c r="A128" i="2"/>
  <c r="B127" i="2"/>
  <c r="AQ128" i="2" l="1"/>
  <c r="AG128" i="2"/>
  <c r="D128" i="2" s="1"/>
  <c r="AI128" i="2"/>
  <c r="AK128" i="2" s="1"/>
  <c r="AM127" i="2"/>
  <c r="AO127" i="2"/>
  <c r="L127" i="2"/>
  <c r="AN135" i="2"/>
  <c r="AL135" i="2"/>
  <c r="E127" i="2"/>
  <c r="C46" i="9"/>
  <c r="A152" i="10"/>
  <c r="Q127" i="2"/>
  <c r="H127" i="2"/>
  <c r="N128" i="2"/>
  <c r="F128" i="2"/>
  <c r="M128" i="2"/>
  <c r="P128" i="2"/>
  <c r="O128" i="2"/>
  <c r="A129" i="2"/>
  <c r="B128" i="2"/>
  <c r="L128" i="2" l="1"/>
  <c r="AI129" i="2"/>
  <c r="AK129" i="2" s="1"/>
  <c r="AQ129" i="2"/>
  <c r="M129" i="2" s="1"/>
  <c r="AG129" i="2"/>
  <c r="D129" i="2" s="1"/>
  <c r="AN136" i="2"/>
  <c r="AL136" i="2"/>
  <c r="AM128" i="2"/>
  <c r="AO128" i="2"/>
  <c r="E128" i="2"/>
  <c r="A153" i="10"/>
  <c r="D46" i="9"/>
  <c r="Q128" i="2"/>
  <c r="H128" i="2"/>
  <c r="O129" i="2"/>
  <c r="N129" i="2"/>
  <c r="F129" i="2"/>
  <c r="P129" i="2"/>
  <c r="B129" i="2"/>
  <c r="A130" i="2"/>
  <c r="AN137" i="2" l="1"/>
  <c r="AL137" i="2"/>
  <c r="AQ130" i="2"/>
  <c r="M130" i="2" s="1"/>
  <c r="AG130" i="2"/>
  <c r="D130" i="2" s="1"/>
  <c r="AI130" i="2"/>
  <c r="AK130" i="2" s="1"/>
  <c r="AM129" i="2"/>
  <c r="AO129" i="2"/>
  <c r="L129" i="2"/>
  <c r="E129" i="2"/>
  <c r="E46" i="9"/>
  <c r="A154" i="10"/>
  <c r="Q129" i="2"/>
  <c r="H129" i="2"/>
  <c r="P130" i="2"/>
  <c r="O130" i="2"/>
  <c r="N130" i="2"/>
  <c r="F130" i="2"/>
  <c r="A131" i="2"/>
  <c r="B130" i="2"/>
  <c r="AI131" i="2" l="1"/>
  <c r="AK131" i="2" s="1"/>
  <c r="AG131" i="2"/>
  <c r="D131" i="2" s="1"/>
  <c r="AQ131" i="2"/>
  <c r="M131" i="2" s="1"/>
  <c r="AM130" i="2"/>
  <c r="AO130" i="2"/>
  <c r="AL138" i="2"/>
  <c r="AN138" i="2"/>
  <c r="L130" i="2"/>
  <c r="E130" i="2"/>
  <c r="A155" i="10"/>
  <c r="F46" i="9"/>
  <c r="Q130" i="2"/>
  <c r="H130" i="2"/>
  <c r="P131" i="2"/>
  <c r="O131" i="2"/>
  <c r="F131" i="2"/>
  <c r="N131" i="2"/>
  <c r="B131" i="2"/>
  <c r="A132" i="2"/>
  <c r="AN139" i="2" l="1"/>
  <c r="AL139" i="2"/>
  <c r="AQ132" i="2"/>
  <c r="AG132" i="2"/>
  <c r="D132" i="2" s="1"/>
  <c r="AI132" i="2"/>
  <c r="AK132" i="2" s="1"/>
  <c r="AM131" i="2"/>
  <c r="AO131" i="2"/>
  <c r="L131" i="2"/>
  <c r="E131" i="2"/>
  <c r="G46" i="9"/>
  <c r="A156" i="10"/>
  <c r="Q131" i="2"/>
  <c r="H131" i="2"/>
  <c r="N132" i="2"/>
  <c r="F132" i="2"/>
  <c r="M132" i="2"/>
  <c r="P132" i="2"/>
  <c r="O132" i="2"/>
  <c r="A133" i="2"/>
  <c r="B132" i="2"/>
  <c r="AM132" i="2" l="1"/>
  <c r="AO132" i="2"/>
  <c r="AL140" i="2"/>
  <c r="AN140" i="2"/>
  <c r="AI133" i="2"/>
  <c r="AK133" i="2" s="1"/>
  <c r="AG133" i="2"/>
  <c r="D133" i="2" s="1"/>
  <c r="AQ133" i="2"/>
  <c r="M133" i="2" s="1"/>
  <c r="L132" i="2"/>
  <c r="E132" i="2"/>
  <c r="A157" i="10"/>
  <c r="H46" i="9"/>
  <c r="Q132" i="2"/>
  <c r="H132" i="2"/>
  <c r="O133" i="2"/>
  <c r="N133" i="2"/>
  <c r="F133" i="2"/>
  <c r="P133" i="2"/>
  <c r="B133" i="2"/>
  <c r="A134" i="2"/>
  <c r="AQ134" i="2" l="1"/>
  <c r="AG134" i="2"/>
  <c r="D134" i="2" s="1"/>
  <c r="AI134" i="2"/>
  <c r="AK134" i="2" s="1"/>
  <c r="AN141" i="2"/>
  <c r="AL141" i="2"/>
  <c r="AO133" i="2"/>
  <c r="AM133" i="2"/>
  <c r="L133" i="2"/>
  <c r="E133" i="2"/>
  <c r="B48" i="9"/>
  <c r="A158" i="10"/>
  <c r="Q133" i="2"/>
  <c r="H133" i="2"/>
  <c r="P134" i="2"/>
  <c r="O134" i="2"/>
  <c r="N134" i="2"/>
  <c r="F134" i="2"/>
  <c r="M134" i="2"/>
  <c r="B134" i="2"/>
  <c r="A135" i="2"/>
  <c r="AN142" i="2" l="1"/>
  <c r="AL142" i="2"/>
  <c r="AO134" i="2"/>
  <c r="AM134" i="2"/>
  <c r="AI135" i="2"/>
  <c r="AK135" i="2" s="1"/>
  <c r="AG135" i="2"/>
  <c r="D135" i="2" s="1"/>
  <c r="AQ135" i="2"/>
  <c r="M135" i="2" s="1"/>
  <c r="L134" i="2"/>
  <c r="E134" i="2"/>
  <c r="A159" i="10"/>
  <c r="C48" i="9"/>
  <c r="Q134" i="2"/>
  <c r="H134" i="2"/>
  <c r="P135" i="2"/>
  <c r="O135" i="2"/>
  <c r="N135" i="2"/>
  <c r="F135" i="2"/>
  <c r="A136" i="2"/>
  <c r="B135" i="2"/>
  <c r="AN143" i="2" l="1"/>
  <c r="AL143" i="2"/>
  <c r="AQ136" i="2"/>
  <c r="AG136" i="2"/>
  <c r="D136" i="2" s="1"/>
  <c r="AI136" i="2"/>
  <c r="AK136" i="2" s="1"/>
  <c r="AM135" i="2"/>
  <c r="AO135" i="2"/>
  <c r="L135" i="2"/>
  <c r="E135" i="2"/>
  <c r="D48" i="9"/>
  <c r="A160" i="10"/>
  <c r="Q135" i="2"/>
  <c r="H135" i="2"/>
  <c r="N136" i="2"/>
  <c r="F136" i="2"/>
  <c r="M136" i="2"/>
  <c r="P136" i="2"/>
  <c r="O136" i="2"/>
  <c r="A137" i="2"/>
  <c r="B136" i="2"/>
  <c r="AO136" i="2" l="1"/>
  <c r="AM136" i="2"/>
  <c r="AL144" i="2"/>
  <c r="AN144" i="2"/>
  <c r="AI137" i="2"/>
  <c r="AK137" i="2" s="1"/>
  <c r="AQ137" i="2"/>
  <c r="AG137" i="2"/>
  <c r="D137" i="2" s="1"/>
  <c r="L136" i="2"/>
  <c r="E136" i="2"/>
  <c r="A161" i="10"/>
  <c r="E48" i="9"/>
  <c r="Q136" i="2"/>
  <c r="H136" i="2"/>
  <c r="O137" i="2"/>
  <c r="N137" i="2"/>
  <c r="F137" i="2"/>
  <c r="M137" i="2"/>
  <c r="P137" i="2"/>
  <c r="A138" i="2"/>
  <c r="B137" i="2"/>
  <c r="AN145" i="2" l="1"/>
  <c r="AL145" i="2"/>
  <c r="AM137" i="2"/>
  <c r="AO137" i="2"/>
  <c r="AQ138" i="2"/>
  <c r="AG138" i="2"/>
  <c r="D138" i="2" s="1"/>
  <c r="AI138" i="2"/>
  <c r="AK138" i="2" s="1"/>
  <c r="L137" i="2"/>
  <c r="E137" i="2"/>
  <c r="F48" i="9"/>
  <c r="A162" i="10"/>
  <c r="Q137" i="2"/>
  <c r="H137" i="2"/>
  <c r="P138" i="2"/>
  <c r="O138" i="2"/>
  <c r="N138" i="2"/>
  <c r="F138" i="2"/>
  <c r="M138" i="2"/>
  <c r="B138" i="2"/>
  <c r="A139" i="2"/>
  <c r="AO138" i="2" l="1"/>
  <c r="AM138" i="2"/>
  <c r="AN146" i="2"/>
  <c r="AL146" i="2"/>
  <c r="AI139" i="2"/>
  <c r="AK139" i="2" s="1"/>
  <c r="AG139" i="2"/>
  <c r="D139" i="2" s="1"/>
  <c r="AQ139" i="2"/>
  <c r="M139" i="2" s="1"/>
  <c r="L138" i="2"/>
  <c r="E138" i="2"/>
  <c r="A163" i="10"/>
  <c r="G48" i="9"/>
  <c r="Q138" i="2"/>
  <c r="H138" i="2"/>
  <c r="P139" i="2"/>
  <c r="O139" i="2"/>
  <c r="N139" i="2"/>
  <c r="F139" i="2"/>
  <c r="B139" i="2"/>
  <c r="A140" i="2"/>
  <c r="AO139" i="2" l="1"/>
  <c r="AM139" i="2"/>
  <c r="AQ140" i="2"/>
  <c r="AG140" i="2"/>
  <c r="D140" i="2" s="1"/>
  <c r="AI140" i="2"/>
  <c r="AK140" i="2" s="1"/>
  <c r="AN147" i="2"/>
  <c r="AL147" i="2"/>
  <c r="L139" i="2"/>
  <c r="E139" i="2"/>
  <c r="H48" i="9"/>
  <c r="A164" i="10"/>
  <c r="Q139" i="2"/>
  <c r="H139" i="2"/>
  <c r="N140" i="2"/>
  <c r="F140" i="2"/>
  <c r="M140" i="2"/>
  <c r="P140" i="2"/>
  <c r="O140" i="2"/>
  <c r="A141" i="2"/>
  <c r="B140" i="2"/>
  <c r="AN148" i="2" l="1"/>
  <c r="AL148" i="2"/>
  <c r="AM140" i="2"/>
  <c r="AO140" i="2"/>
  <c r="AI141" i="2"/>
  <c r="AK141" i="2" s="1"/>
  <c r="AG141" i="2"/>
  <c r="D141" i="2" s="1"/>
  <c r="AQ141" i="2"/>
  <c r="L140" i="2"/>
  <c r="E140" i="2"/>
  <c r="A165" i="10"/>
  <c r="B50" i="9"/>
  <c r="Q140" i="2"/>
  <c r="H140" i="2"/>
  <c r="O141" i="2"/>
  <c r="N141" i="2"/>
  <c r="F141" i="2"/>
  <c r="P141" i="2"/>
  <c r="A142" i="2"/>
  <c r="B141" i="2"/>
  <c r="AO141" i="2" l="1"/>
  <c r="AM141" i="2"/>
  <c r="AN149" i="2"/>
  <c r="AL149" i="2"/>
  <c r="AQ142" i="2"/>
  <c r="AG142" i="2"/>
  <c r="D142" i="2" s="1"/>
  <c r="AI142" i="2"/>
  <c r="AK142" i="2" s="1"/>
  <c r="E141" i="2"/>
  <c r="C50" i="9"/>
  <c r="A166" i="10"/>
  <c r="Q141" i="2"/>
  <c r="H141" i="2"/>
  <c r="P142" i="2"/>
  <c r="O142" i="2"/>
  <c r="N142" i="2"/>
  <c r="F142" i="2"/>
  <c r="B142" i="2"/>
  <c r="A143" i="2"/>
  <c r="AI143" i="2" l="1"/>
  <c r="AK143" i="2" s="1"/>
  <c r="AG143" i="2"/>
  <c r="D143" i="2" s="1"/>
  <c r="AQ143" i="2"/>
  <c r="AO142" i="2"/>
  <c r="AM142" i="2"/>
  <c r="AN150" i="2"/>
  <c r="AL150" i="2"/>
  <c r="E142" i="2"/>
  <c r="A167" i="10"/>
  <c r="D50" i="9"/>
  <c r="Q142" i="2"/>
  <c r="H142" i="2"/>
  <c r="P143" i="2"/>
  <c r="O143" i="2"/>
  <c r="F143" i="2"/>
  <c r="N143" i="2"/>
  <c r="B143" i="2"/>
  <c r="A144" i="2"/>
  <c r="AO143" i="2" l="1"/>
  <c r="AM143" i="2"/>
  <c r="AQ144" i="2"/>
  <c r="AG144" i="2"/>
  <c r="D144" i="2" s="1"/>
  <c r="AI144" i="2"/>
  <c r="AK144" i="2" s="1"/>
  <c r="AN151" i="2"/>
  <c r="AL151" i="2"/>
  <c r="E143" i="2"/>
  <c r="E50" i="9"/>
  <c r="A168" i="10"/>
  <c r="Q143" i="2"/>
  <c r="H143" i="2"/>
  <c r="N144" i="2"/>
  <c r="F144" i="2"/>
  <c r="P144" i="2"/>
  <c r="O144" i="2"/>
  <c r="B144" i="2"/>
  <c r="A145" i="2"/>
  <c r="AN152" i="2" l="1"/>
  <c r="AL152" i="2"/>
  <c r="AI145" i="2"/>
  <c r="AK145" i="2" s="1"/>
  <c r="AQ145" i="2"/>
  <c r="AG145" i="2"/>
  <c r="D145" i="2" s="1"/>
  <c r="AO144" i="2"/>
  <c r="AM144" i="2"/>
  <c r="E144" i="2"/>
  <c r="A169" i="10"/>
  <c r="F50" i="9"/>
  <c r="Q144" i="2"/>
  <c r="H144" i="2"/>
  <c r="O145" i="2"/>
  <c r="N145" i="2"/>
  <c r="F145" i="2"/>
  <c r="P145" i="2"/>
  <c r="B145" i="2"/>
  <c r="A146" i="2"/>
  <c r="AQ146" i="2" l="1"/>
  <c r="AG146" i="2"/>
  <c r="D146" i="2" s="1"/>
  <c r="AI146" i="2"/>
  <c r="AK146" i="2" s="1"/>
  <c r="AM145" i="2"/>
  <c r="AO145" i="2"/>
  <c r="AN153" i="2"/>
  <c r="AL153" i="2"/>
  <c r="E145" i="2"/>
  <c r="G50" i="9"/>
  <c r="A170" i="10"/>
  <c r="Q145" i="2"/>
  <c r="H145" i="2"/>
  <c r="P146" i="2"/>
  <c r="O146" i="2"/>
  <c r="N146" i="2"/>
  <c r="F146" i="2"/>
  <c r="B146" i="2"/>
  <c r="A147" i="2"/>
  <c r="AI147" i="2" l="1"/>
  <c r="AK147" i="2" s="1"/>
  <c r="AG147" i="2"/>
  <c r="D147" i="2" s="1"/>
  <c r="AQ147" i="2"/>
  <c r="M147" i="2" s="1"/>
  <c r="AL154" i="2"/>
  <c r="AN154" i="2"/>
  <c r="AO146" i="2"/>
  <c r="AM146" i="2"/>
  <c r="E146" i="2"/>
  <c r="A171" i="10"/>
  <c r="H50" i="9"/>
  <c r="Q146" i="2"/>
  <c r="H146" i="2"/>
  <c r="P147" i="2"/>
  <c r="O147" i="2"/>
  <c r="F147" i="2"/>
  <c r="N147" i="2"/>
  <c r="B147" i="2"/>
  <c r="A148" i="2"/>
  <c r="AM147" i="2" l="1"/>
  <c r="AO147" i="2"/>
  <c r="AQ148" i="2"/>
  <c r="AG148" i="2"/>
  <c r="D148" i="2" s="1"/>
  <c r="AI148" i="2"/>
  <c r="AK148" i="2" s="1"/>
  <c r="AN155" i="2"/>
  <c r="AL155" i="2"/>
  <c r="L147" i="2"/>
  <c r="E147" i="2"/>
  <c r="B52" i="9"/>
  <c r="A172" i="10"/>
  <c r="Q147" i="2"/>
  <c r="H147" i="2"/>
  <c r="N148" i="2"/>
  <c r="F148" i="2"/>
  <c r="P148" i="2"/>
  <c r="O148" i="2"/>
  <c r="A149" i="2"/>
  <c r="B148" i="2"/>
  <c r="AN156" i="2" l="1"/>
  <c r="AL156" i="2"/>
  <c r="AI149" i="2"/>
  <c r="AK149" i="2" s="1"/>
  <c r="AG149" i="2"/>
  <c r="D149" i="2" s="1"/>
  <c r="AQ149" i="2"/>
  <c r="AO148" i="2"/>
  <c r="AM148" i="2"/>
  <c r="E148" i="2"/>
  <c r="A173" i="10"/>
  <c r="C52" i="9"/>
  <c r="Q148" i="2"/>
  <c r="H148" i="2"/>
  <c r="N149" i="2"/>
  <c r="F149" i="2"/>
  <c r="P149" i="2"/>
  <c r="O149" i="2"/>
  <c r="A150" i="2"/>
  <c r="B149" i="2"/>
  <c r="AO149" i="2" l="1"/>
  <c r="AM149" i="2"/>
  <c r="AQ150" i="2"/>
  <c r="AG150" i="2"/>
  <c r="D150" i="2" s="1"/>
  <c r="AI150" i="2"/>
  <c r="AK150" i="2" s="1"/>
  <c r="AL157" i="2"/>
  <c r="AN157" i="2"/>
  <c r="E149" i="2"/>
  <c r="D52" i="9"/>
  <c r="A174" i="10"/>
  <c r="Q149" i="2"/>
  <c r="H149" i="2"/>
  <c r="N150" i="2"/>
  <c r="F150" i="2"/>
  <c r="P150" i="2"/>
  <c r="O150" i="2"/>
  <c r="A151" i="2"/>
  <c r="B150" i="2"/>
  <c r="AI151" i="2" l="1"/>
  <c r="AK151" i="2" s="1"/>
  <c r="AG151" i="2"/>
  <c r="D151" i="2" s="1"/>
  <c r="AQ151" i="2"/>
  <c r="AN158" i="2"/>
  <c r="AL158" i="2"/>
  <c r="AO150" i="2"/>
  <c r="AM150" i="2"/>
  <c r="E150" i="2"/>
  <c r="A175" i="10"/>
  <c r="E52" i="9"/>
  <c r="Q150" i="2"/>
  <c r="H150" i="2"/>
  <c r="O151" i="2"/>
  <c r="N151" i="2"/>
  <c r="F151" i="2"/>
  <c r="P151" i="2"/>
  <c r="B151" i="2"/>
  <c r="A152" i="2"/>
  <c r="AN159" i="2" l="1"/>
  <c r="AL159" i="2"/>
  <c r="AQ152" i="2"/>
  <c r="AG152" i="2"/>
  <c r="D152" i="2" s="1"/>
  <c r="AI152" i="2"/>
  <c r="AK152" i="2" s="1"/>
  <c r="AM151" i="2"/>
  <c r="AO151" i="2"/>
  <c r="E151" i="2"/>
  <c r="F52" i="9"/>
  <c r="A176" i="10"/>
  <c r="Q151" i="2"/>
  <c r="H151" i="2"/>
  <c r="P152" i="2"/>
  <c r="O152" i="2"/>
  <c r="N152" i="2"/>
  <c r="F152" i="2"/>
  <c r="A153" i="2"/>
  <c r="B152" i="2"/>
  <c r="AI153" i="2" l="1"/>
  <c r="AK153" i="2" s="1"/>
  <c r="AQ153" i="2"/>
  <c r="AG153" i="2"/>
  <c r="D153" i="2" s="1"/>
  <c r="AO152" i="2"/>
  <c r="AM152" i="2"/>
  <c r="AL160" i="2"/>
  <c r="AN160" i="2"/>
  <c r="E152" i="2"/>
  <c r="A177" i="10"/>
  <c r="G52" i="9"/>
  <c r="Q152" i="2"/>
  <c r="H152" i="2"/>
  <c r="P153" i="2"/>
  <c r="O153" i="2"/>
  <c r="N153" i="2"/>
  <c r="F153" i="2"/>
  <c r="A154" i="2"/>
  <c r="B153" i="2"/>
  <c r="AQ154" i="2" l="1"/>
  <c r="M154" i="2" s="1"/>
  <c r="AG154" i="2"/>
  <c r="D154" i="2" s="1"/>
  <c r="AI154" i="2"/>
  <c r="AK154" i="2" s="1"/>
  <c r="AL161" i="2"/>
  <c r="AN161" i="2"/>
  <c r="AO153" i="2"/>
  <c r="AM153" i="2"/>
  <c r="E153" i="2"/>
  <c r="H52" i="9"/>
  <c r="A178" i="10"/>
  <c r="Q153" i="2"/>
  <c r="H153" i="2"/>
  <c r="N154" i="2"/>
  <c r="F154" i="2"/>
  <c r="P154" i="2"/>
  <c r="O154" i="2"/>
  <c r="B154" i="2"/>
  <c r="A155" i="2"/>
  <c r="AM154" i="2" l="1"/>
  <c r="AO154" i="2"/>
  <c r="AI155" i="2"/>
  <c r="AK155" i="2" s="1"/>
  <c r="AG155" i="2"/>
  <c r="D155" i="2" s="1"/>
  <c r="AQ155" i="2"/>
  <c r="AL162" i="2"/>
  <c r="AN162" i="2"/>
  <c r="L154" i="2"/>
  <c r="E154" i="2"/>
  <c r="A179" i="10"/>
  <c r="B54" i="9"/>
  <c r="Q154" i="2"/>
  <c r="H154" i="2"/>
  <c r="O155" i="2"/>
  <c r="N155" i="2"/>
  <c r="F155" i="2"/>
  <c r="P155" i="2"/>
  <c r="B155" i="2"/>
  <c r="A156" i="2"/>
  <c r="AL163" i="2" l="1"/>
  <c r="AN163" i="2"/>
  <c r="AQ156" i="2"/>
  <c r="AG156" i="2"/>
  <c r="D156" i="2" s="1"/>
  <c r="AI156" i="2"/>
  <c r="AK156" i="2" s="1"/>
  <c r="AM155" i="2"/>
  <c r="AO155" i="2"/>
  <c r="E155" i="2"/>
  <c r="C54" i="9"/>
  <c r="A180" i="10"/>
  <c r="Q155" i="2"/>
  <c r="H155" i="2"/>
  <c r="P156" i="2"/>
  <c r="O156" i="2"/>
  <c r="N156" i="2"/>
  <c r="F156" i="2"/>
  <c r="A157" i="2"/>
  <c r="B156" i="2"/>
  <c r="AI157" i="2" l="1"/>
  <c r="AK157" i="2" s="1"/>
  <c r="AG157" i="2"/>
  <c r="D157" i="2" s="1"/>
  <c r="AQ157" i="2"/>
  <c r="AO156" i="2"/>
  <c r="AM156" i="2"/>
  <c r="AL164" i="2"/>
  <c r="AN164" i="2"/>
  <c r="E156" i="2"/>
  <c r="A181" i="10"/>
  <c r="D54" i="9"/>
  <c r="Q156" i="2"/>
  <c r="H156" i="2"/>
  <c r="P157" i="2"/>
  <c r="O157" i="2"/>
  <c r="F157" i="2"/>
  <c r="N157" i="2"/>
  <c r="A158" i="2"/>
  <c r="B157" i="2"/>
  <c r="AQ158" i="2" l="1"/>
  <c r="AG158" i="2"/>
  <c r="D158" i="2" s="1"/>
  <c r="AI158" i="2"/>
  <c r="AK158" i="2" s="1"/>
  <c r="AO157" i="2"/>
  <c r="AM157" i="2"/>
  <c r="AL165" i="2"/>
  <c r="AN165" i="2"/>
  <c r="E157" i="2"/>
  <c r="E54" i="9"/>
  <c r="A182" i="10"/>
  <c r="Q157" i="2"/>
  <c r="H157" i="2"/>
  <c r="N158" i="2"/>
  <c r="F158" i="2"/>
  <c r="P158" i="2"/>
  <c r="O158" i="2"/>
  <c r="B158" i="2"/>
  <c r="A159" i="2"/>
  <c r="AI159" i="2" l="1"/>
  <c r="AK159" i="2" s="1"/>
  <c r="AG159" i="2"/>
  <c r="D159" i="2" s="1"/>
  <c r="AQ159" i="2"/>
  <c r="AO158" i="2"/>
  <c r="AM158" i="2"/>
  <c r="AL166" i="2"/>
  <c r="AN166" i="2"/>
  <c r="E158" i="2"/>
  <c r="A183" i="10"/>
  <c r="F54" i="9"/>
  <c r="Q158" i="2"/>
  <c r="H158" i="2"/>
  <c r="O159" i="2"/>
  <c r="N159" i="2"/>
  <c r="F159" i="2"/>
  <c r="P159" i="2"/>
  <c r="A160" i="2"/>
  <c r="B159" i="2"/>
  <c r="AM159" i="2" l="1"/>
  <c r="AO159" i="2"/>
  <c r="AQ160" i="2"/>
  <c r="AG160" i="2"/>
  <c r="D160" i="2" s="1"/>
  <c r="AI160" i="2"/>
  <c r="AK160" i="2" s="1"/>
  <c r="AL167" i="2"/>
  <c r="AN167" i="2"/>
  <c r="E159" i="2"/>
  <c r="G54" i="9"/>
  <c r="A184" i="10"/>
  <c r="Q159" i="2"/>
  <c r="H159" i="2"/>
  <c r="P160" i="2"/>
  <c r="O160" i="2"/>
  <c r="N160" i="2"/>
  <c r="F160" i="2"/>
  <c r="B160" i="2"/>
  <c r="A161" i="2"/>
  <c r="AI161" i="2" l="1"/>
  <c r="AK161" i="2" s="1"/>
  <c r="AQ161" i="2"/>
  <c r="AG161" i="2"/>
  <c r="D161" i="2" s="1"/>
  <c r="AL168" i="2"/>
  <c r="AN168" i="2"/>
  <c r="AM160" i="2"/>
  <c r="AO160" i="2"/>
  <c r="E160" i="2"/>
  <c r="A185" i="10"/>
  <c r="H54" i="9"/>
  <c r="Q160" i="2"/>
  <c r="H160" i="2"/>
  <c r="M161" i="2"/>
  <c r="P161" i="2"/>
  <c r="O161" i="2"/>
  <c r="N161" i="2"/>
  <c r="F161" i="2"/>
  <c r="A162" i="2"/>
  <c r="B161" i="2"/>
  <c r="AQ162" i="2" l="1"/>
  <c r="AG162" i="2"/>
  <c r="D162" i="2" s="1"/>
  <c r="AI162" i="2"/>
  <c r="AK162" i="2" s="1"/>
  <c r="AO161" i="2"/>
  <c r="AM161" i="2"/>
  <c r="AL169" i="2"/>
  <c r="AN169" i="2"/>
  <c r="L161" i="2"/>
  <c r="E161" i="2"/>
  <c r="B56" i="9"/>
  <c r="A186" i="10"/>
  <c r="Q161" i="2"/>
  <c r="H161" i="2"/>
  <c r="N162" i="2"/>
  <c r="F162" i="2"/>
  <c r="P162" i="2"/>
  <c r="O162" i="2"/>
  <c r="A163" i="2"/>
  <c r="B162" i="2"/>
  <c r="AM162" i="2" l="1"/>
  <c r="AO162" i="2"/>
  <c r="AL170" i="2"/>
  <c r="AN170" i="2"/>
  <c r="AI163" i="2"/>
  <c r="AK163" i="2" s="1"/>
  <c r="AQ163" i="2"/>
  <c r="AG163" i="2"/>
  <c r="D163" i="2" s="1"/>
  <c r="E162" i="2"/>
  <c r="A187" i="10"/>
  <c r="C56" i="9"/>
  <c r="Q162" i="2"/>
  <c r="H162" i="2"/>
  <c r="O163" i="2"/>
  <c r="N163" i="2"/>
  <c r="F163" i="2"/>
  <c r="P163" i="2"/>
  <c r="B163" i="2"/>
  <c r="A164" i="2"/>
  <c r="AL171" i="2" l="1"/>
  <c r="AN171" i="2"/>
  <c r="AQ164" i="2"/>
  <c r="AG164" i="2"/>
  <c r="D164" i="2" s="1"/>
  <c r="AI164" i="2"/>
  <c r="AK164" i="2" s="1"/>
  <c r="AM163" i="2"/>
  <c r="AO163" i="2"/>
  <c r="E163" i="2"/>
  <c r="D56" i="9"/>
  <c r="A188" i="10"/>
  <c r="Q163" i="2"/>
  <c r="H163" i="2"/>
  <c r="P164" i="2"/>
  <c r="O164" i="2"/>
  <c r="N164" i="2"/>
  <c r="F164" i="2"/>
  <c r="A165" i="2"/>
  <c r="B164" i="2"/>
  <c r="AI165" i="2" l="1"/>
  <c r="AK165" i="2" s="1"/>
  <c r="AQ165" i="2"/>
  <c r="AG165" i="2"/>
  <c r="D165" i="2" s="1"/>
  <c r="AM164" i="2"/>
  <c r="AO164" i="2"/>
  <c r="AL172" i="2"/>
  <c r="AN172" i="2"/>
  <c r="E164" i="2"/>
  <c r="A189" i="10"/>
  <c r="E56" i="9"/>
  <c r="Q164" i="2"/>
  <c r="H164" i="2"/>
  <c r="P165" i="2"/>
  <c r="O165" i="2"/>
  <c r="N165" i="2"/>
  <c r="F165" i="2"/>
  <c r="B165" i="2"/>
  <c r="A166" i="2"/>
  <c r="AQ166" i="2" l="1"/>
  <c r="AG166" i="2"/>
  <c r="D166" i="2" s="1"/>
  <c r="AI166" i="2"/>
  <c r="AK166" i="2" s="1"/>
  <c r="AL173" i="2"/>
  <c r="AN173" i="2"/>
  <c r="AO165" i="2"/>
  <c r="AM165" i="2"/>
  <c r="E165" i="2"/>
  <c r="F56" i="9"/>
  <c r="A190" i="10"/>
  <c r="Q165" i="2"/>
  <c r="H165" i="2"/>
  <c r="P166" i="2"/>
  <c r="O166" i="2"/>
  <c r="N166" i="2"/>
  <c r="F166" i="2"/>
  <c r="B166" i="2"/>
  <c r="A167" i="2"/>
  <c r="AM166" i="2" l="1"/>
  <c r="AO166" i="2"/>
  <c r="AI167" i="2"/>
  <c r="AK167" i="2" s="1"/>
  <c r="AQ167" i="2"/>
  <c r="AG167" i="2"/>
  <c r="D167" i="2" s="1"/>
  <c r="AL174" i="2"/>
  <c r="AN174" i="2"/>
  <c r="E166" i="2"/>
  <c r="A191" i="10"/>
  <c r="G56" i="9"/>
  <c r="Q166" i="2"/>
  <c r="H166" i="2"/>
  <c r="P167" i="2"/>
  <c r="O167" i="2"/>
  <c r="F167" i="2"/>
  <c r="N167" i="2"/>
  <c r="A168" i="2"/>
  <c r="B167" i="2"/>
  <c r="AQ168" i="2" l="1"/>
  <c r="AG168" i="2"/>
  <c r="D168" i="2" s="1"/>
  <c r="AI168" i="2"/>
  <c r="AK168" i="2" s="1"/>
  <c r="AL175" i="2"/>
  <c r="AN175" i="2"/>
  <c r="AM167" i="2"/>
  <c r="AO167" i="2"/>
  <c r="E167" i="2"/>
  <c r="H56" i="9"/>
  <c r="A192" i="10"/>
  <c r="Q167" i="2"/>
  <c r="H167" i="2"/>
  <c r="N168" i="2"/>
  <c r="F168" i="2"/>
  <c r="M168" i="2"/>
  <c r="P168" i="2"/>
  <c r="O168" i="2"/>
  <c r="A169" i="2"/>
  <c r="B168" i="2"/>
  <c r="AI169" i="2" l="1"/>
  <c r="AK169" i="2" s="1"/>
  <c r="AQ169" i="2"/>
  <c r="AG169" i="2"/>
  <c r="D169" i="2" s="1"/>
  <c r="AM168" i="2"/>
  <c r="AO168" i="2"/>
  <c r="L168" i="2"/>
  <c r="AL176" i="2"/>
  <c r="AN176" i="2"/>
  <c r="E168" i="2"/>
  <c r="A193" i="10"/>
  <c r="B58" i="9"/>
  <c r="Q168" i="2"/>
  <c r="H168" i="2"/>
  <c r="O169" i="2"/>
  <c r="N169" i="2"/>
  <c r="F169" i="2"/>
  <c r="P169" i="2"/>
  <c r="B169" i="2"/>
  <c r="A170" i="2"/>
  <c r="AL177" i="2" l="1"/>
  <c r="AN177" i="2"/>
  <c r="AQ170" i="2"/>
  <c r="AG170" i="2"/>
  <c r="D170" i="2" s="1"/>
  <c r="AI170" i="2"/>
  <c r="AK170" i="2" s="1"/>
  <c r="AO169" i="2"/>
  <c r="AM169" i="2"/>
  <c r="E169" i="2"/>
  <c r="C58" i="9"/>
  <c r="A194" i="10"/>
  <c r="Q169" i="2"/>
  <c r="H169" i="2"/>
  <c r="P170" i="2"/>
  <c r="O170" i="2"/>
  <c r="N170" i="2"/>
  <c r="F170" i="2"/>
  <c r="A171" i="2"/>
  <c r="B170" i="2"/>
  <c r="AO170" i="2" l="1"/>
  <c r="AM170" i="2"/>
  <c r="AI171" i="2"/>
  <c r="AK171" i="2" s="1"/>
  <c r="AQ171" i="2"/>
  <c r="AG171" i="2"/>
  <c r="D171" i="2" s="1"/>
  <c r="AL178" i="2"/>
  <c r="AN178" i="2"/>
  <c r="E170" i="2"/>
  <c r="A195" i="10"/>
  <c r="D58" i="9"/>
  <c r="Q170" i="2"/>
  <c r="H170" i="2"/>
  <c r="P171" i="2"/>
  <c r="O171" i="2"/>
  <c r="N171" i="2"/>
  <c r="F171" i="2"/>
  <c r="B171" i="2"/>
  <c r="A172" i="2"/>
  <c r="AQ172" i="2" l="1"/>
  <c r="AG172" i="2"/>
  <c r="D172" i="2" s="1"/>
  <c r="AI172" i="2"/>
  <c r="AK172" i="2" s="1"/>
  <c r="AL179" i="2"/>
  <c r="AN179" i="2"/>
  <c r="AM171" i="2"/>
  <c r="AO171" i="2"/>
  <c r="E171" i="2"/>
  <c r="E58" i="9"/>
  <c r="A196" i="10"/>
  <c r="Q171" i="2"/>
  <c r="H171" i="2"/>
  <c r="N172" i="2"/>
  <c r="F172" i="2"/>
  <c r="P172" i="2"/>
  <c r="O172" i="2"/>
  <c r="A173" i="2"/>
  <c r="B172" i="2"/>
  <c r="AI173" i="2" l="1"/>
  <c r="AK173" i="2" s="1"/>
  <c r="AQ173" i="2"/>
  <c r="AG173" i="2"/>
  <c r="D173" i="2" s="1"/>
  <c r="AM172" i="2"/>
  <c r="AO172" i="2"/>
  <c r="AL180" i="2"/>
  <c r="AN180" i="2"/>
  <c r="E172" i="2"/>
  <c r="A197" i="10"/>
  <c r="F58" i="9"/>
  <c r="Q172" i="2"/>
  <c r="H172" i="2"/>
  <c r="O173" i="2"/>
  <c r="N173" i="2"/>
  <c r="F173" i="2"/>
  <c r="P173" i="2"/>
  <c r="A174" i="2"/>
  <c r="B173" i="2"/>
  <c r="AQ174" i="2" l="1"/>
  <c r="AG174" i="2"/>
  <c r="D174" i="2" s="1"/>
  <c r="AI174" i="2"/>
  <c r="AK174" i="2" s="1"/>
  <c r="AL181" i="2"/>
  <c r="AN181" i="2"/>
  <c r="AO173" i="2"/>
  <c r="AM173" i="2"/>
  <c r="E173" i="2"/>
  <c r="G58" i="9"/>
  <c r="A198" i="10"/>
  <c r="Q173" i="2"/>
  <c r="H173" i="2"/>
  <c r="P174" i="2"/>
  <c r="O174" i="2"/>
  <c r="N174" i="2"/>
  <c r="F174" i="2"/>
  <c r="B174" i="2"/>
  <c r="A175" i="2"/>
  <c r="AI175" i="2" l="1"/>
  <c r="AK175" i="2" s="1"/>
  <c r="AQ175" i="2"/>
  <c r="AG175" i="2"/>
  <c r="D175" i="2" s="1"/>
  <c r="AO174" i="2"/>
  <c r="AM174" i="2"/>
  <c r="AL182" i="2"/>
  <c r="AN182" i="2"/>
  <c r="E174" i="2"/>
  <c r="A199" i="10"/>
  <c r="H58" i="9"/>
  <c r="Q174" i="2"/>
  <c r="H174" i="2"/>
  <c r="M175" i="2"/>
  <c r="P175" i="2"/>
  <c r="N175" i="2"/>
  <c r="F175" i="2"/>
  <c r="O175" i="2"/>
  <c r="A176" i="2"/>
  <c r="B175" i="2"/>
  <c r="AQ176" i="2" l="1"/>
  <c r="AG176" i="2"/>
  <c r="D176" i="2" s="1"/>
  <c r="AI176" i="2"/>
  <c r="AK176" i="2" s="1"/>
  <c r="AL183" i="2"/>
  <c r="AN183" i="2"/>
  <c r="AM175" i="2"/>
  <c r="AO175" i="2"/>
  <c r="L175" i="2"/>
  <c r="E175" i="2"/>
  <c r="B60" i="9"/>
  <c r="A200" i="10"/>
  <c r="H175" i="2"/>
  <c r="Q175" i="2"/>
  <c r="N176" i="2"/>
  <c r="F176" i="2"/>
  <c r="P176" i="2"/>
  <c r="O176" i="2"/>
  <c r="A177" i="2"/>
  <c r="B176" i="2"/>
  <c r="AM176" i="2" l="1"/>
  <c r="AO176" i="2"/>
  <c r="AI177" i="2"/>
  <c r="AK177" i="2" s="1"/>
  <c r="AQ177" i="2"/>
  <c r="AG177" i="2"/>
  <c r="D177" i="2" s="1"/>
  <c r="AL184" i="2"/>
  <c r="AN184" i="2"/>
  <c r="E176" i="2"/>
  <c r="A201" i="10"/>
  <c r="C60" i="9"/>
  <c r="Q176" i="2"/>
  <c r="H176" i="2"/>
  <c r="O177" i="2"/>
  <c r="N177" i="2"/>
  <c r="F177" i="2"/>
  <c r="P177" i="2"/>
  <c r="B177" i="2"/>
  <c r="A178" i="2"/>
  <c r="AQ178" i="2" l="1"/>
  <c r="AG178" i="2"/>
  <c r="D178" i="2" s="1"/>
  <c r="AI178" i="2"/>
  <c r="AK178" i="2" s="1"/>
  <c r="AN185" i="2"/>
  <c r="AL185" i="2"/>
  <c r="AO177" i="2"/>
  <c r="AM177" i="2"/>
  <c r="E177" i="2"/>
  <c r="D60" i="9"/>
  <c r="A202" i="10"/>
  <c r="Q177" i="2"/>
  <c r="H177" i="2"/>
  <c r="P178" i="2"/>
  <c r="O178" i="2"/>
  <c r="F178" i="2"/>
  <c r="N178" i="2"/>
  <c r="A179" i="2"/>
  <c r="B178" i="2"/>
  <c r="AO178" i="2" l="1"/>
  <c r="AM178" i="2"/>
  <c r="AI179" i="2"/>
  <c r="AK179" i="2" s="1"/>
  <c r="AQ179" i="2"/>
  <c r="AG179" i="2"/>
  <c r="D179" i="2" s="1"/>
  <c r="AL186" i="2"/>
  <c r="AN186" i="2"/>
  <c r="E178" i="2"/>
  <c r="A203" i="10"/>
  <c r="E60" i="9"/>
  <c r="Q178" i="2"/>
  <c r="H178" i="2"/>
  <c r="P179" i="2"/>
  <c r="F179" i="2"/>
  <c r="O179" i="2"/>
  <c r="N179" i="2"/>
  <c r="A180" i="2"/>
  <c r="B179" i="2"/>
  <c r="AQ180" i="2" l="1"/>
  <c r="AG180" i="2"/>
  <c r="D180" i="2" s="1"/>
  <c r="AI180" i="2"/>
  <c r="AK180" i="2" s="1"/>
  <c r="AN187" i="2"/>
  <c r="AL187" i="2"/>
  <c r="AM179" i="2"/>
  <c r="AO179" i="2"/>
  <c r="E179" i="2"/>
  <c r="F60" i="9"/>
  <c r="A204" i="10"/>
  <c r="H179" i="2"/>
  <c r="Q179" i="2"/>
  <c r="N180" i="2"/>
  <c r="F180" i="2"/>
  <c r="O180" i="2"/>
  <c r="P180" i="2"/>
  <c r="A181" i="2"/>
  <c r="B180" i="2"/>
  <c r="AI181" i="2" l="1"/>
  <c r="AK181" i="2" s="1"/>
  <c r="AQ181" i="2"/>
  <c r="AG181" i="2"/>
  <c r="D181" i="2" s="1"/>
  <c r="AM180" i="2"/>
  <c r="AO180" i="2"/>
  <c r="AL188" i="2"/>
  <c r="AN188" i="2"/>
  <c r="E180" i="2"/>
  <c r="A205" i="10"/>
  <c r="G60" i="9"/>
  <c r="Q180" i="2"/>
  <c r="H180" i="2"/>
  <c r="O181" i="2"/>
  <c r="N181" i="2"/>
  <c r="F181" i="2"/>
  <c r="P181" i="2"/>
  <c r="A182" i="2"/>
  <c r="B181" i="2"/>
  <c r="AQ182" i="2" l="1"/>
  <c r="AG182" i="2"/>
  <c r="D182" i="2" s="1"/>
  <c r="AI182" i="2"/>
  <c r="AK182" i="2" s="1"/>
  <c r="AL189" i="2"/>
  <c r="AN189" i="2"/>
  <c r="AM181" i="2"/>
  <c r="AO181" i="2"/>
  <c r="E181" i="2"/>
  <c r="H60" i="9"/>
  <c r="A206" i="10"/>
  <c r="Q181" i="2"/>
  <c r="H181" i="2"/>
  <c r="P182" i="2"/>
  <c r="O182" i="2"/>
  <c r="N182" i="2"/>
  <c r="M182" i="2"/>
  <c r="F182" i="2"/>
  <c r="A183" i="2"/>
  <c r="B182" i="2"/>
  <c r="AI183" i="2" l="1"/>
  <c r="AK183" i="2" s="1"/>
  <c r="AQ183" i="2"/>
  <c r="M183" i="2" s="1"/>
  <c r="AG183" i="2"/>
  <c r="D183" i="2" s="1"/>
  <c r="AO182" i="2"/>
  <c r="AM182" i="2"/>
  <c r="AL190" i="2"/>
  <c r="AN190" i="2"/>
  <c r="L182" i="2"/>
  <c r="E182" i="2"/>
  <c r="A207" i="10"/>
  <c r="B62" i="9"/>
  <c r="Q182" i="2"/>
  <c r="H182" i="2"/>
  <c r="P183" i="2"/>
  <c r="N183" i="2"/>
  <c r="F183" i="2"/>
  <c r="O183" i="2"/>
  <c r="B183" i="2"/>
  <c r="A184" i="2"/>
  <c r="AQ184" i="2" l="1"/>
  <c r="AG184" i="2"/>
  <c r="D184" i="2" s="1"/>
  <c r="AI184" i="2"/>
  <c r="AK184" i="2" s="1"/>
  <c r="AL191" i="2"/>
  <c r="AN191" i="2"/>
  <c r="AM183" i="2"/>
  <c r="AO183" i="2"/>
  <c r="L183" i="2"/>
  <c r="E183" i="2"/>
  <c r="C62" i="9"/>
  <c r="A208" i="10"/>
  <c r="H183" i="2"/>
  <c r="Q183" i="2"/>
  <c r="N184" i="2"/>
  <c r="F184" i="2"/>
  <c r="M184" i="2"/>
  <c r="P184" i="2"/>
  <c r="O184" i="2"/>
  <c r="B184" i="2"/>
  <c r="A185" i="2"/>
  <c r="AM184" i="2" l="1"/>
  <c r="AO184" i="2"/>
  <c r="AI185" i="2"/>
  <c r="AK185" i="2" s="1"/>
  <c r="AQ185" i="2"/>
  <c r="M185" i="2" s="1"/>
  <c r="AG185" i="2"/>
  <c r="D185" i="2" s="1"/>
  <c r="AL192" i="2"/>
  <c r="AN192" i="2"/>
  <c r="L184" i="2"/>
  <c r="E184" i="2"/>
  <c r="A209" i="10"/>
  <c r="D62" i="9"/>
  <c r="Q184" i="2"/>
  <c r="H184" i="2"/>
  <c r="O185" i="2"/>
  <c r="N185" i="2"/>
  <c r="F185" i="2"/>
  <c r="P185" i="2"/>
  <c r="B185" i="2"/>
  <c r="A186" i="2"/>
  <c r="AL193" i="2" l="1"/>
  <c r="AN193" i="2"/>
  <c r="AQ186" i="2"/>
  <c r="AG186" i="2"/>
  <c r="D186" i="2" s="1"/>
  <c r="AI186" i="2"/>
  <c r="AK186" i="2" s="1"/>
  <c r="AO185" i="2"/>
  <c r="AM185" i="2"/>
  <c r="L185" i="2"/>
  <c r="E185" i="2"/>
  <c r="E62" i="9"/>
  <c r="A210" i="10"/>
  <c r="Q185" i="2"/>
  <c r="H185" i="2"/>
  <c r="P186" i="2"/>
  <c r="O186" i="2"/>
  <c r="M186" i="2"/>
  <c r="F186" i="2"/>
  <c r="N186" i="2"/>
  <c r="A187" i="2"/>
  <c r="B186" i="2"/>
  <c r="AI187" i="2" l="1"/>
  <c r="AK187" i="2" s="1"/>
  <c r="AQ187" i="2"/>
  <c r="AG187" i="2"/>
  <c r="D187" i="2" s="1"/>
  <c r="AO186" i="2"/>
  <c r="AM186" i="2"/>
  <c r="AL194" i="2"/>
  <c r="AN194" i="2"/>
  <c r="L186" i="2"/>
  <c r="E186" i="2"/>
  <c r="A211" i="10"/>
  <c r="F62" i="9"/>
  <c r="Q186" i="2"/>
  <c r="H186" i="2"/>
  <c r="M187" i="2"/>
  <c r="P187" i="2"/>
  <c r="F187" i="2"/>
  <c r="O187" i="2"/>
  <c r="N187" i="2"/>
  <c r="B187" i="2"/>
  <c r="A188" i="2"/>
  <c r="AN195" i="2" l="1"/>
  <c r="AL195" i="2"/>
  <c r="AQ188" i="2"/>
  <c r="M188" i="2" s="1"/>
  <c r="AG188" i="2"/>
  <c r="D188" i="2" s="1"/>
  <c r="AI188" i="2"/>
  <c r="AK188" i="2" s="1"/>
  <c r="AM187" i="2"/>
  <c r="AO187" i="2"/>
  <c r="L187" i="2"/>
  <c r="E187" i="2"/>
  <c r="G62" i="9"/>
  <c r="A212" i="10"/>
  <c r="Q187" i="2"/>
  <c r="H187" i="2"/>
  <c r="F188" i="2"/>
  <c r="P188" i="2"/>
  <c r="N188" i="2"/>
  <c r="O188" i="2"/>
  <c r="B188" i="2"/>
  <c r="A189" i="2"/>
  <c r="AM188" i="2" l="1"/>
  <c r="AO188" i="2"/>
  <c r="AL196" i="2"/>
  <c r="AN196" i="2"/>
  <c r="AI189" i="2"/>
  <c r="AK189" i="2" s="1"/>
  <c r="AQ189" i="2"/>
  <c r="AG189" i="2"/>
  <c r="D189" i="2" s="1"/>
  <c r="L188" i="2"/>
  <c r="E188" i="2"/>
  <c r="A213" i="10"/>
  <c r="H62" i="9"/>
  <c r="Q188" i="2"/>
  <c r="H188" i="2"/>
  <c r="M189" i="2"/>
  <c r="F189" i="2"/>
  <c r="P189" i="2"/>
  <c r="O189" i="2"/>
  <c r="N189" i="2"/>
  <c r="B189" i="2"/>
  <c r="A190" i="2"/>
  <c r="AL197" i="2" l="1"/>
  <c r="AN197" i="2"/>
  <c r="AO189" i="2"/>
  <c r="AM189" i="2"/>
  <c r="AQ190" i="2"/>
  <c r="M190" i="2" s="1"/>
  <c r="AG190" i="2"/>
  <c r="D190" i="2" s="1"/>
  <c r="AI190" i="2"/>
  <c r="AK190" i="2" s="1"/>
  <c r="L189" i="2"/>
  <c r="E189" i="2"/>
  <c r="B64" i="9"/>
  <c r="A214" i="10"/>
  <c r="Q189" i="2"/>
  <c r="H189" i="2"/>
  <c r="N190" i="2"/>
  <c r="F190" i="2"/>
  <c r="O190" i="2"/>
  <c r="P190" i="2"/>
  <c r="A191" i="2"/>
  <c r="B190" i="2"/>
  <c r="AI191" i="2" l="1"/>
  <c r="AK191" i="2" s="1"/>
  <c r="AQ191" i="2"/>
  <c r="AG191" i="2"/>
  <c r="D191" i="2" s="1"/>
  <c r="AL198" i="2"/>
  <c r="AN198" i="2"/>
  <c r="AO190" i="2"/>
  <c r="AM190" i="2"/>
  <c r="L190" i="2"/>
  <c r="E190" i="2"/>
  <c r="A215" i="10"/>
  <c r="C64" i="9"/>
  <c r="Q190" i="2"/>
  <c r="H190" i="2"/>
  <c r="O191" i="2"/>
  <c r="N191" i="2"/>
  <c r="F191" i="2"/>
  <c r="P191" i="2"/>
  <c r="M191" i="2"/>
  <c r="B191" i="2"/>
  <c r="A192" i="2"/>
  <c r="AM191" i="2" l="1"/>
  <c r="AO191" i="2"/>
  <c r="AQ192" i="2"/>
  <c r="M192" i="2" s="1"/>
  <c r="AG192" i="2"/>
  <c r="D192" i="2" s="1"/>
  <c r="AI192" i="2"/>
  <c r="AK192" i="2" s="1"/>
  <c r="AL199" i="2"/>
  <c r="AN199" i="2"/>
  <c r="L191" i="2"/>
  <c r="E191" i="2"/>
  <c r="D64" i="9"/>
  <c r="A216" i="10"/>
  <c r="H191" i="2"/>
  <c r="Q191" i="2"/>
  <c r="P192" i="2"/>
  <c r="O192" i="2"/>
  <c r="N192" i="2"/>
  <c r="F192" i="2"/>
  <c r="B192" i="2"/>
  <c r="A193" i="2"/>
  <c r="AL200" i="2" l="1"/>
  <c r="AN200" i="2"/>
  <c r="AM192" i="2"/>
  <c r="AO192" i="2"/>
  <c r="AI193" i="2"/>
  <c r="AK193" i="2" s="1"/>
  <c r="AQ193" i="2"/>
  <c r="M193" i="2" s="1"/>
  <c r="AG193" i="2"/>
  <c r="D193" i="2" s="1"/>
  <c r="L192" i="2"/>
  <c r="E192" i="2"/>
  <c r="A217" i="10"/>
  <c r="E64" i="9"/>
  <c r="Q192" i="2"/>
  <c r="H192" i="2"/>
  <c r="N193" i="2"/>
  <c r="F193" i="2"/>
  <c r="P193" i="2"/>
  <c r="O193" i="2"/>
  <c r="A194" i="2"/>
  <c r="B193" i="2"/>
  <c r="AO193" i="2" l="1"/>
  <c r="AM193" i="2"/>
  <c r="AL201" i="2"/>
  <c r="AN201" i="2"/>
  <c r="AQ194" i="2"/>
  <c r="AG194" i="2"/>
  <c r="D194" i="2" s="1"/>
  <c r="AI194" i="2"/>
  <c r="AK194" i="2" s="1"/>
  <c r="L193" i="2"/>
  <c r="E193" i="2"/>
  <c r="F64" i="9"/>
  <c r="A218" i="10"/>
  <c r="Q193" i="2"/>
  <c r="H193" i="2"/>
  <c r="O194" i="2"/>
  <c r="N194" i="2"/>
  <c r="F194" i="2"/>
  <c r="M194" i="2"/>
  <c r="P194" i="2"/>
  <c r="A195" i="2"/>
  <c r="B194" i="2"/>
  <c r="AL202" i="2" l="1"/>
  <c r="AN202" i="2"/>
  <c r="AO194" i="2"/>
  <c r="AM194" i="2"/>
  <c r="AI195" i="2"/>
  <c r="AK195" i="2" s="1"/>
  <c r="AQ195" i="2"/>
  <c r="AG195" i="2"/>
  <c r="D195" i="2" s="1"/>
  <c r="L194" i="2"/>
  <c r="E194" i="2"/>
  <c r="A219" i="10"/>
  <c r="G64" i="9"/>
  <c r="Q194" i="2"/>
  <c r="H194" i="2"/>
  <c r="P195" i="2"/>
  <c r="O195" i="2"/>
  <c r="N195" i="2"/>
  <c r="F195" i="2"/>
  <c r="M195" i="2"/>
  <c r="A196" i="2"/>
  <c r="B195" i="2"/>
  <c r="AL203" i="2" l="1"/>
  <c r="AN203" i="2"/>
  <c r="AQ196" i="2"/>
  <c r="M196" i="2" s="1"/>
  <c r="AG196" i="2"/>
  <c r="D196" i="2" s="1"/>
  <c r="AI196" i="2"/>
  <c r="AK196" i="2" s="1"/>
  <c r="AM195" i="2"/>
  <c r="AO195" i="2"/>
  <c r="L195" i="2"/>
  <c r="E195" i="2"/>
  <c r="H64" i="9"/>
  <c r="A220" i="10"/>
  <c r="H195" i="2"/>
  <c r="Q195" i="2"/>
  <c r="P196" i="2"/>
  <c r="O196" i="2"/>
  <c r="N196" i="2"/>
  <c r="F196" i="2"/>
  <c r="A197" i="2"/>
  <c r="B196" i="2"/>
  <c r="AI197" i="2" l="1"/>
  <c r="AK197" i="2" s="1"/>
  <c r="AQ197" i="2"/>
  <c r="AG197" i="2"/>
  <c r="D197" i="2" s="1"/>
  <c r="AM196" i="2"/>
  <c r="AO196" i="2"/>
  <c r="AL204" i="2"/>
  <c r="AN204" i="2"/>
  <c r="L196" i="2"/>
  <c r="E196" i="2"/>
  <c r="A221" i="10"/>
  <c r="B66" i="9"/>
  <c r="Q196" i="2"/>
  <c r="H196" i="2"/>
  <c r="N197" i="2"/>
  <c r="F197" i="2"/>
  <c r="M197" i="2"/>
  <c r="P197" i="2"/>
  <c r="O197" i="2"/>
  <c r="B197" i="2"/>
  <c r="A198" i="2"/>
  <c r="AQ198" i="2" l="1"/>
  <c r="AG198" i="2"/>
  <c r="D198" i="2" s="1"/>
  <c r="AI198" i="2"/>
  <c r="AK198" i="2" s="1"/>
  <c r="AL205" i="2"/>
  <c r="AN205" i="2"/>
  <c r="AO197" i="2"/>
  <c r="AM197" i="2"/>
  <c r="L197" i="2"/>
  <c r="M198" i="2"/>
  <c r="E197" i="2"/>
  <c r="C66" i="9"/>
  <c r="A222" i="10"/>
  <c r="Q197" i="2"/>
  <c r="H197" i="2"/>
  <c r="O198" i="2"/>
  <c r="N198" i="2"/>
  <c r="F198" i="2"/>
  <c r="P198" i="2"/>
  <c r="B198" i="2"/>
  <c r="A199" i="2"/>
  <c r="AO198" i="2" l="1"/>
  <c r="AM198" i="2"/>
  <c r="AI199" i="2"/>
  <c r="AK199" i="2" s="1"/>
  <c r="AQ199" i="2"/>
  <c r="M199" i="2" s="1"/>
  <c r="AG199" i="2"/>
  <c r="D199" i="2" s="1"/>
  <c r="AL206" i="2"/>
  <c r="AN206" i="2"/>
  <c r="L198" i="2"/>
  <c r="E198" i="2"/>
  <c r="A223" i="10"/>
  <c r="D66" i="9"/>
  <c r="Q198" i="2"/>
  <c r="H198" i="2"/>
  <c r="P199" i="2"/>
  <c r="O199" i="2"/>
  <c r="N199" i="2"/>
  <c r="F199" i="2"/>
  <c r="B199" i="2"/>
  <c r="A200" i="2"/>
  <c r="AL207" i="2" l="1"/>
  <c r="AN207" i="2"/>
  <c r="AM199" i="2"/>
  <c r="AO199" i="2"/>
  <c r="AQ200" i="2"/>
  <c r="AG200" i="2"/>
  <c r="D200" i="2" s="1"/>
  <c r="AI200" i="2"/>
  <c r="AK200" i="2" s="1"/>
  <c r="L199" i="2"/>
  <c r="M200" i="2"/>
  <c r="E199" i="2"/>
  <c r="E66" i="9"/>
  <c r="A224" i="10"/>
  <c r="H199" i="2"/>
  <c r="Q199" i="2"/>
  <c r="P200" i="2"/>
  <c r="O200" i="2"/>
  <c r="N200" i="2"/>
  <c r="F200" i="2"/>
  <c r="B200" i="2"/>
  <c r="A201" i="2"/>
  <c r="AM200" i="2" l="1"/>
  <c r="AO200" i="2"/>
  <c r="AL208" i="2"/>
  <c r="AN208" i="2"/>
  <c r="AI201" i="2"/>
  <c r="AK201" i="2" s="1"/>
  <c r="AQ201" i="2"/>
  <c r="M201" i="2" s="1"/>
  <c r="AG201" i="2"/>
  <c r="D201" i="2" s="1"/>
  <c r="L200" i="2"/>
  <c r="E200" i="2"/>
  <c r="A225" i="10"/>
  <c r="F66" i="9"/>
  <c r="Q200" i="2"/>
  <c r="H200" i="2"/>
  <c r="N201" i="2"/>
  <c r="F201" i="2"/>
  <c r="P201" i="2"/>
  <c r="O201" i="2"/>
  <c r="B201" i="2"/>
  <c r="A202" i="2"/>
  <c r="AL209" i="2" l="1"/>
  <c r="AN209" i="2"/>
  <c r="AQ202" i="2"/>
  <c r="AG202" i="2"/>
  <c r="D202" i="2" s="1"/>
  <c r="AI202" i="2"/>
  <c r="AK202" i="2" s="1"/>
  <c r="AO201" i="2"/>
  <c r="AM201" i="2"/>
  <c r="L201" i="2"/>
  <c r="E201" i="2"/>
  <c r="G66" i="9"/>
  <c r="A226" i="10"/>
  <c r="Q201" i="2"/>
  <c r="H201" i="2"/>
  <c r="O202" i="2"/>
  <c r="N202" i="2"/>
  <c r="F202" i="2"/>
  <c r="M202" i="2"/>
  <c r="P202" i="2"/>
  <c r="B202" i="2"/>
  <c r="A203" i="2"/>
  <c r="AO202" i="2" l="1"/>
  <c r="AM202" i="2"/>
  <c r="AI203" i="2"/>
  <c r="AK203" i="2" s="1"/>
  <c r="AQ203" i="2"/>
  <c r="M203" i="2" s="1"/>
  <c r="AG203" i="2"/>
  <c r="D203" i="2" s="1"/>
  <c r="AL210" i="2"/>
  <c r="AN210" i="2"/>
  <c r="L202" i="2"/>
  <c r="E202" i="2"/>
  <c r="A227" i="10"/>
  <c r="H66" i="9"/>
  <c r="Q202" i="2"/>
  <c r="H202" i="2"/>
  <c r="P203" i="2"/>
  <c r="O203" i="2"/>
  <c r="N203" i="2"/>
  <c r="F203" i="2"/>
  <c r="B203" i="2"/>
  <c r="A204" i="2"/>
  <c r="AN211" i="2" l="1"/>
  <c r="AL211" i="2"/>
  <c r="AM203" i="2"/>
  <c r="AO203" i="2"/>
  <c r="AQ204" i="2"/>
  <c r="M204" i="2" s="1"/>
  <c r="AG204" i="2"/>
  <c r="D204" i="2" s="1"/>
  <c r="AI204" i="2"/>
  <c r="AK204" i="2" s="1"/>
  <c r="L203" i="2"/>
  <c r="E203" i="2"/>
  <c r="B68" i="9"/>
  <c r="A228" i="10"/>
  <c r="Q203" i="2"/>
  <c r="H203" i="2"/>
  <c r="P204" i="2"/>
  <c r="O204" i="2"/>
  <c r="F204" i="2"/>
  <c r="N204" i="2"/>
  <c r="B204" i="2"/>
  <c r="A205" i="2"/>
  <c r="AM204" i="2" l="1"/>
  <c r="AO204" i="2"/>
  <c r="AL212" i="2"/>
  <c r="AN212" i="2"/>
  <c r="AI205" i="2"/>
  <c r="AK205" i="2" s="1"/>
  <c r="AQ205" i="2"/>
  <c r="M205" i="2" s="1"/>
  <c r="AG205" i="2"/>
  <c r="D205" i="2" s="1"/>
  <c r="L204" i="2"/>
  <c r="E204" i="2"/>
  <c r="A229" i="10"/>
  <c r="C68" i="9"/>
  <c r="Q204" i="2"/>
  <c r="H204" i="2"/>
  <c r="F205" i="2"/>
  <c r="P205" i="2"/>
  <c r="O205" i="2"/>
  <c r="N205" i="2"/>
  <c r="B205" i="2"/>
  <c r="A206" i="2"/>
  <c r="AL213" i="2" l="1"/>
  <c r="AN213" i="2"/>
  <c r="AQ206" i="2"/>
  <c r="AG206" i="2"/>
  <c r="D206" i="2" s="1"/>
  <c r="AI206" i="2"/>
  <c r="AK206" i="2" s="1"/>
  <c r="AO205" i="2"/>
  <c r="AM205" i="2"/>
  <c r="L205" i="2"/>
  <c r="E205" i="2"/>
  <c r="D68" i="9"/>
  <c r="A230" i="10"/>
  <c r="Q205" i="2"/>
  <c r="H205" i="2"/>
  <c r="N206" i="2"/>
  <c r="F206" i="2"/>
  <c r="M206" i="2"/>
  <c r="P206" i="2"/>
  <c r="O206" i="2"/>
  <c r="B206" i="2"/>
  <c r="A207" i="2"/>
  <c r="AO206" i="2" l="1"/>
  <c r="AM206" i="2"/>
  <c r="AI207" i="2"/>
  <c r="AK207" i="2" s="1"/>
  <c r="AQ207" i="2"/>
  <c r="M207" i="2" s="1"/>
  <c r="AG207" i="2"/>
  <c r="D207" i="2" s="1"/>
  <c r="AN214" i="2"/>
  <c r="AL214" i="2"/>
  <c r="L206" i="2"/>
  <c r="E206" i="2"/>
  <c r="A231" i="10"/>
  <c r="E68" i="9"/>
  <c r="Q206" i="2"/>
  <c r="H206" i="2"/>
  <c r="O207" i="2"/>
  <c r="N207" i="2"/>
  <c r="F207" i="2"/>
  <c r="P207" i="2"/>
  <c r="A208" i="2"/>
  <c r="B207" i="2"/>
  <c r="AL215" i="2" l="1"/>
  <c r="AN215" i="2"/>
  <c r="AM207" i="2"/>
  <c r="AO207" i="2"/>
  <c r="AQ208" i="2"/>
  <c r="M208" i="2" s="1"/>
  <c r="AG208" i="2"/>
  <c r="D208" i="2" s="1"/>
  <c r="AI208" i="2"/>
  <c r="AK208" i="2" s="1"/>
  <c r="L207" i="2"/>
  <c r="E207" i="2"/>
  <c r="F68" i="9"/>
  <c r="A232" i="10"/>
  <c r="H207" i="2"/>
  <c r="Q207" i="2"/>
  <c r="P208" i="2"/>
  <c r="O208" i="2"/>
  <c r="N208" i="2"/>
  <c r="F208" i="2"/>
  <c r="A209" i="2"/>
  <c r="B208" i="2"/>
  <c r="AM208" i="2" l="1"/>
  <c r="AO208" i="2"/>
  <c r="AL216" i="2"/>
  <c r="AN216" i="2"/>
  <c r="AI209" i="2"/>
  <c r="AK209" i="2" s="1"/>
  <c r="AQ209" i="2"/>
  <c r="AG209" i="2"/>
  <c r="D209" i="2" s="1"/>
  <c r="L208" i="2"/>
  <c r="E208" i="2"/>
  <c r="A233" i="10"/>
  <c r="G68" i="9"/>
  <c r="Q208" i="2"/>
  <c r="H208" i="2"/>
  <c r="M209" i="2"/>
  <c r="P209" i="2"/>
  <c r="O209" i="2"/>
  <c r="N209" i="2"/>
  <c r="F209" i="2"/>
  <c r="B209" i="2"/>
  <c r="A210" i="2"/>
  <c r="AL217" i="2" l="1"/>
  <c r="AN217" i="2"/>
  <c r="AO209" i="2"/>
  <c r="AM209" i="2"/>
  <c r="AQ210" i="2"/>
  <c r="AG210" i="2"/>
  <c r="D210" i="2" s="1"/>
  <c r="AI210" i="2"/>
  <c r="AK210" i="2" s="1"/>
  <c r="L209" i="2"/>
  <c r="E209" i="2"/>
  <c r="H68" i="9"/>
  <c r="A234" i="10"/>
  <c r="Q209" i="2"/>
  <c r="H209" i="2"/>
  <c r="M210" i="2"/>
  <c r="F210" i="2"/>
  <c r="P210" i="2"/>
  <c r="O210" i="2"/>
  <c r="N210" i="2"/>
  <c r="A211" i="2"/>
  <c r="B210" i="2"/>
  <c r="AN218" i="2" l="1"/>
  <c r="AL218" i="2"/>
  <c r="AI211" i="2"/>
  <c r="AK211" i="2" s="1"/>
  <c r="AQ211" i="2"/>
  <c r="M211" i="2" s="1"/>
  <c r="AG211" i="2"/>
  <c r="D211" i="2" s="1"/>
  <c r="AO210" i="2"/>
  <c r="AM210" i="2"/>
  <c r="L210" i="2"/>
  <c r="E210" i="2"/>
  <c r="A235" i="10"/>
  <c r="B70" i="9"/>
  <c r="Q210" i="2"/>
  <c r="H210" i="2"/>
  <c r="N211" i="2"/>
  <c r="F211" i="2"/>
  <c r="P211" i="2"/>
  <c r="O211" i="2"/>
  <c r="B211" i="2"/>
  <c r="A212" i="2"/>
  <c r="AM211" i="2" l="1"/>
  <c r="AO211" i="2"/>
  <c r="AL219" i="2"/>
  <c r="AN219" i="2"/>
  <c r="AQ212" i="2"/>
  <c r="AG212" i="2"/>
  <c r="D212" i="2" s="1"/>
  <c r="AI212" i="2"/>
  <c r="AK212" i="2" s="1"/>
  <c r="L211" i="2"/>
  <c r="E211" i="2"/>
  <c r="C70" i="9"/>
  <c r="A236" i="10"/>
  <c r="H211" i="2"/>
  <c r="Q211" i="2"/>
  <c r="O212" i="2"/>
  <c r="N212" i="2"/>
  <c r="F212" i="2"/>
  <c r="M212" i="2"/>
  <c r="P212" i="2"/>
  <c r="B212" i="2"/>
  <c r="A213" i="2"/>
  <c r="AL220" i="2" l="1"/>
  <c r="AN220" i="2"/>
  <c r="AI213" i="2"/>
  <c r="AK213" i="2" s="1"/>
  <c r="AQ213" i="2"/>
  <c r="M213" i="2" s="1"/>
  <c r="AG213" i="2"/>
  <c r="D213" i="2" s="1"/>
  <c r="AM212" i="2"/>
  <c r="AO212" i="2"/>
  <c r="L212" i="2"/>
  <c r="E212" i="2"/>
  <c r="A237" i="10"/>
  <c r="D70" i="9"/>
  <c r="Q212" i="2"/>
  <c r="H212" i="2"/>
  <c r="P213" i="2"/>
  <c r="O213" i="2"/>
  <c r="N213" i="2"/>
  <c r="F213" i="2"/>
  <c r="B213" i="2"/>
  <c r="A214" i="2"/>
  <c r="AO213" i="2" l="1"/>
  <c r="AM213" i="2"/>
  <c r="AN221" i="2"/>
  <c r="AL221" i="2"/>
  <c r="AQ214" i="2"/>
  <c r="AG214" i="2"/>
  <c r="D214" i="2" s="1"/>
  <c r="AI214" i="2"/>
  <c r="AK214" i="2" s="1"/>
  <c r="L213" i="2"/>
  <c r="M214" i="2"/>
  <c r="E213" i="2"/>
  <c r="E70" i="9"/>
  <c r="A238" i="10"/>
  <c r="Q213" i="2"/>
  <c r="H213" i="2"/>
  <c r="P214" i="2"/>
  <c r="O214" i="2"/>
  <c r="F214" i="2"/>
  <c r="N214" i="2"/>
  <c r="B214" i="2"/>
  <c r="A215" i="2"/>
  <c r="AO214" i="2" l="1"/>
  <c r="AM214" i="2"/>
  <c r="AI215" i="2"/>
  <c r="AK215" i="2" s="1"/>
  <c r="AG215" i="2"/>
  <c r="D215" i="2" s="1"/>
  <c r="AQ215" i="2"/>
  <c r="AL222" i="2"/>
  <c r="AN222" i="2"/>
  <c r="L214" i="2"/>
  <c r="E214" i="2"/>
  <c r="A239" i="10"/>
  <c r="F70" i="9"/>
  <c r="Q214" i="2"/>
  <c r="H214" i="2"/>
  <c r="N215" i="2"/>
  <c r="F215" i="2"/>
  <c r="M215" i="2"/>
  <c r="P215" i="2"/>
  <c r="O215" i="2"/>
  <c r="A216" i="2"/>
  <c r="B215" i="2"/>
  <c r="AQ216" i="2" l="1"/>
  <c r="AG216" i="2"/>
  <c r="D216" i="2" s="1"/>
  <c r="AI216" i="2"/>
  <c r="AK216" i="2" s="1"/>
  <c r="AL223" i="2"/>
  <c r="AN223" i="2"/>
  <c r="AM215" i="2"/>
  <c r="AO215" i="2"/>
  <c r="L215" i="2"/>
  <c r="E215" i="2"/>
  <c r="G70" i="9"/>
  <c r="A240" i="10"/>
  <c r="H215" i="2"/>
  <c r="Q215" i="2"/>
  <c r="O216" i="2"/>
  <c r="N216" i="2"/>
  <c r="F216" i="2"/>
  <c r="M216" i="2"/>
  <c r="P216" i="2"/>
  <c r="A217" i="2"/>
  <c r="B216" i="2"/>
  <c r="AO216" i="2" l="1"/>
  <c r="AM216" i="2"/>
  <c r="AI217" i="2"/>
  <c r="AK217" i="2" s="1"/>
  <c r="AG217" i="2"/>
  <c r="D217" i="2" s="1"/>
  <c r="AQ217" i="2"/>
  <c r="AL224" i="2"/>
  <c r="AN224" i="2"/>
  <c r="L216" i="2"/>
  <c r="E216" i="2"/>
  <c r="A241" i="10"/>
  <c r="H70" i="9"/>
  <c r="Q216" i="2"/>
  <c r="H216" i="2"/>
  <c r="P217" i="2"/>
  <c r="O217" i="2"/>
  <c r="N217" i="2"/>
  <c r="F217" i="2"/>
  <c r="M217" i="2"/>
  <c r="A218" i="2"/>
  <c r="B217" i="2"/>
  <c r="AL225" i="2" l="1"/>
  <c r="AN225" i="2"/>
  <c r="AO217" i="2"/>
  <c r="AM217" i="2"/>
  <c r="AQ218" i="2"/>
  <c r="AG218" i="2"/>
  <c r="D218" i="2" s="1"/>
  <c r="AI218" i="2"/>
  <c r="AK218" i="2" s="1"/>
  <c r="L217" i="2"/>
  <c r="E217" i="2"/>
  <c r="B72" i="9"/>
  <c r="A242" i="10"/>
  <c r="Q217" i="2"/>
  <c r="H217" i="2"/>
  <c r="P218" i="2"/>
  <c r="O218" i="2"/>
  <c r="N218" i="2"/>
  <c r="M218" i="2"/>
  <c r="F218" i="2"/>
  <c r="B218" i="2"/>
  <c r="A219" i="2"/>
  <c r="AI219" i="2" l="1"/>
  <c r="AK219" i="2" s="1"/>
  <c r="AG219" i="2"/>
  <c r="D219" i="2" s="1"/>
  <c r="AQ219" i="2"/>
  <c r="M219" i="2" s="1"/>
  <c r="AL226" i="2"/>
  <c r="AN226" i="2"/>
  <c r="AO218" i="2"/>
  <c r="AM218" i="2"/>
  <c r="L218" i="2"/>
  <c r="E218" i="2"/>
  <c r="A243" i="10"/>
  <c r="C72" i="9"/>
  <c r="Q218" i="2"/>
  <c r="H218" i="2"/>
  <c r="P219" i="2"/>
  <c r="N219" i="2"/>
  <c r="F219" i="2"/>
  <c r="O219" i="2"/>
  <c r="B219" i="2"/>
  <c r="A220" i="2"/>
  <c r="AQ220" i="2" l="1"/>
  <c r="M220" i="2" s="1"/>
  <c r="AG220" i="2"/>
  <c r="D220" i="2" s="1"/>
  <c r="AI220" i="2"/>
  <c r="AK220" i="2" s="1"/>
  <c r="AM219" i="2"/>
  <c r="AO219" i="2"/>
  <c r="AL227" i="2"/>
  <c r="AN227" i="2"/>
  <c r="L219" i="2"/>
  <c r="E219" i="2"/>
  <c r="D72" i="9"/>
  <c r="A244" i="10"/>
  <c r="Q219" i="2"/>
  <c r="H219" i="2"/>
  <c r="N220" i="2"/>
  <c r="F220" i="2"/>
  <c r="P220" i="2"/>
  <c r="O220" i="2"/>
  <c r="B220" i="2"/>
  <c r="A221" i="2"/>
  <c r="AL228" i="2" l="1"/>
  <c r="AN228" i="2"/>
  <c r="AI221" i="2"/>
  <c r="AK221" i="2" s="1"/>
  <c r="AQ221" i="2"/>
  <c r="M221" i="2" s="1"/>
  <c r="AG221" i="2"/>
  <c r="D221" i="2" s="1"/>
  <c r="AM220" i="2"/>
  <c r="AO220" i="2"/>
  <c r="L220" i="2"/>
  <c r="E220" i="2"/>
  <c r="A245" i="10"/>
  <c r="E72" i="9"/>
  <c r="Q220" i="2"/>
  <c r="H220" i="2"/>
  <c r="O221" i="2"/>
  <c r="N221" i="2"/>
  <c r="F221" i="2"/>
  <c r="P221" i="2"/>
  <c r="B221" i="2"/>
  <c r="A222" i="2"/>
  <c r="AO221" i="2" l="1"/>
  <c r="AM221" i="2"/>
  <c r="AQ222" i="2"/>
  <c r="M222" i="2" s="1"/>
  <c r="AG222" i="2"/>
  <c r="D222" i="2" s="1"/>
  <c r="AI222" i="2"/>
  <c r="AK222" i="2" s="1"/>
  <c r="AN229" i="2"/>
  <c r="AL229" i="2"/>
  <c r="L221" i="2"/>
  <c r="E221" i="2"/>
  <c r="F72" i="9"/>
  <c r="A246" i="10"/>
  <c r="Q221" i="2"/>
  <c r="H221" i="2"/>
  <c r="P222" i="2"/>
  <c r="O222" i="2"/>
  <c r="F222" i="2"/>
  <c r="N222" i="2"/>
  <c r="A223" i="2"/>
  <c r="B222" i="2"/>
  <c r="AL230" i="2" l="1"/>
  <c r="AN230" i="2"/>
  <c r="AO222" i="2"/>
  <c r="AM222" i="2"/>
  <c r="AI223" i="2"/>
  <c r="AK223" i="2" s="1"/>
  <c r="AG223" i="2"/>
  <c r="D223" i="2" s="1"/>
  <c r="AQ223" i="2"/>
  <c r="M223" i="2" s="1"/>
  <c r="L222" i="2"/>
  <c r="E222" i="2"/>
  <c r="A247" i="10"/>
  <c r="G72" i="9"/>
  <c r="Q222" i="2"/>
  <c r="H222" i="2"/>
  <c r="P223" i="2"/>
  <c r="O223" i="2"/>
  <c r="F223" i="2"/>
  <c r="N223" i="2"/>
  <c r="B223" i="2"/>
  <c r="A224" i="2"/>
  <c r="AL231" i="2" l="1"/>
  <c r="AN231" i="2"/>
  <c r="AQ224" i="2"/>
  <c r="AG224" i="2"/>
  <c r="D224" i="2" s="1"/>
  <c r="AI224" i="2"/>
  <c r="AK224" i="2" s="1"/>
  <c r="AM223" i="2"/>
  <c r="AO223" i="2"/>
  <c r="L223" i="2"/>
  <c r="E223" i="2"/>
  <c r="H72" i="9"/>
  <c r="A248" i="10"/>
  <c r="H223" i="2"/>
  <c r="Q223" i="2"/>
  <c r="N224" i="2"/>
  <c r="F224" i="2"/>
  <c r="M224" i="2"/>
  <c r="P224" i="2"/>
  <c r="O224" i="2"/>
  <c r="B224" i="2"/>
  <c r="A225" i="2"/>
  <c r="AM224" i="2" l="1"/>
  <c r="AO224" i="2"/>
  <c r="AI225" i="2"/>
  <c r="AK225" i="2" s="1"/>
  <c r="AG225" i="2"/>
  <c r="D225" i="2" s="1"/>
  <c r="AQ225" i="2"/>
  <c r="AN232" i="2"/>
  <c r="AL232" i="2"/>
  <c r="L224" i="2"/>
  <c r="E224" i="2"/>
  <c r="A249" i="10"/>
  <c r="B74" i="9"/>
  <c r="Q224" i="2"/>
  <c r="H224" i="2"/>
  <c r="O225" i="2"/>
  <c r="N225" i="2"/>
  <c r="F225" i="2"/>
  <c r="M225" i="2"/>
  <c r="P225" i="2"/>
  <c r="A226" i="2"/>
  <c r="B225" i="2"/>
  <c r="AL233" i="2" l="1"/>
  <c r="AN233" i="2"/>
  <c r="AQ226" i="2"/>
  <c r="M226" i="2" s="1"/>
  <c r="AG226" i="2"/>
  <c r="D226" i="2" s="1"/>
  <c r="AI226" i="2"/>
  <c r="AK226" i="2" s="1"/>
  <c r="AO225" i="2"/>
  <c r="AM225" i="2"/>
  <c r="L225" i="2"/>
  <c r="E225" i="2"/>
  <c r="C74" i="9"/>
  <c r="A250" i="10"/>
  <c r="Q225" i="2"/>
  <c r="H225" i="2"/>
  <c r="P226" i="2"/>
  <c r="O226" i="2"/>
  <c r="N226" i="2"/>
  <c r="F226" i="2"/>
  <c r="A227" i="2"/>
  <c r="B226" i="2"/>
  <c r="AI227" i="2" l="1"/>
  <c r="AK227" i="2" s="1"/>
  <c r="AG227" i="2"/>
  <c r="D227" i="2" s="1"/>
  <c r="AQ227" i="2"/>
  <c r="M227" i="2" s="1"/>
  <c r="AO226" i="2"/>
  <c r="AM226" i="2"/>
  <c r="AL234" i="2"/>
  <c r="AN234" i="2"/>
  <c r="L226" i="2"/>
  <c r="E226" i="2"/>
  <c r="A251" i="10"/>
  <c r="D74" i="9"/>
  <c r="Q226" i="2"/>
  <c r="H226" i="2"/>
  <c r="P227" i="2"/>
  <c r="O227" i="2"/>
  <c r="F227" i="2"/>
  <c r="N227" i="2"/>
  <c r="A228" i="2"/>
  <c r="B227" i="2"/>
  <c r="L227" i="2" l="1"/>
  <c r="AN235" i="2"/>
  <c r="AL235" i="2"/>
  <c r="AQ228" i="2"/>
  <c r="AG228" i="2"/>
  <c r="D228" i="2" s="1"/>
  <c r="AI228" i="2"/>
  <c r="AK228" i="2" s="1"/>
  <c r="AM227" i="2"/>
  <c r="AO227" i="2"/>
  <c r="E227" i="2"/>
  <c r="E74" i="9"/>
  <c r="A252" i="10"/>
  <c r="H227" i="2"/>
  <c r="Q227" i="2"/>
  <c r="N228" i="2"/>
  <c r="F228" i="2"/>
  <c r="M228" i="2"/>
  <c r="P228" i="2"/>
  <c r="O228" i="2"/>
  <c r="A229" i="2"/>
  <c r="B228" i="2"/>
  <c r="AI229" i="2" l="1"/>
  <c r="AK229" i="2" s="1"/>
  <c r="AQ229" i="2"/>
  <c r="AG229" i="2"/>
  <c r="D229" i="2" s="1"/>
  <c r="AM228" i="2"/>
  <c r="AO228" i="2"/>
  <c r="AL236" i="2"/>
  <c r="AN236" i="2"/>
  <c r="L228" i="2"/>
  <c r="E228" i="2"/>
  <c r="A253" i="10"/>
  <c r="F74" i="9"/>
  <c r="Q228" i="2"/>
  <c r="H228" i="2"/>
  <c r="O229" i="2"/>
  <c r="N229" i="2"/>
  <c r="F229" i="2"/>
  <c r="M229" i="2"/>
  <c r="P229" i="2"/>
  <c r="A230" i="2"/>
  <c r="B229" i="2"/>
  <c r="L229" i="2" l="1"/>
  <c r="AL237" i="2"/>
  <c r="AN237" i="2"/>
  <c r="AQ230" i="2"/>
  <c r="M230" i="2" s="1"/>
  <c r="AG230" i="2"/>
  <c r="D230" i="2" s="1"/>
  <c r="AI230" i="2"/>
  <c r="AK230" i="2" s="1"/>
  <c r="AO229" i="2"/>
  <c r="AM229" i="2"/>
  <c r="E229" i="2"/>
  <c r="G74" i="9"/>
  <c r="A254" i="10"/>
  <c r="Q229" i="2"/>
  <c r="H229" i="2"/>
  <c r="P230" i="2"/>
  <c r="O230" i="2"/>
  <c r="N230" i="2"/>
  <c r="F230" i="2"/>
  <c r="A231" i="2"/>
  <c r="B230" i="2"/>
  <c r="AL238" i="2" l="1"/>
  <c r="AN238" i="2"/>
  <c r="AI231" i="2"/>
  <c r="AK231" i="2" s="1"/>
  <c r="AG231" i="2"/>
  <c r="D231" i="2" s="1"/>
  <c r="AQ231" i="2"/>
  <c r="M231" i="2" s="1"/>
  <c r="AO230" i="2"/>
  <c r="AM230" i="2"/>
  <c r="L230" i="2"/>
  <c r="E230" i="2"/>
  <c r="A255" i="10"/>
  <c r="H74" i="9"/>
  <c r="Q230" i="2"/>
  <c r="H230" i="2"/>
  <c r="P231" i="2"/>
  <c r="O231" i="2"/>
  <c r="N231" i="2"/>
  <c r="F231" i="2"/>
  <c r="A232" i="2"/>
  <c r="B231" i="2"/>
  <c r="AQ232" i="2" l="1"/>
  <c r="AG232" i="2"/>
  <c r="D232" i="2" s="1"/>
  <c r="AI232" i="2"/>
  <c r="AK232" i="2" s="1"/>
  <c r="AM231" i="2"/>
  <c r="AO231" i="2"/>
  <c r="AL239" i="2"/>
  <c r="AN239" i="2"/>
  <c r="L231" i="2"/>
  <c r="E231" i="2"/>
  <c r="B76" i="9"/>
  <c r="A256" i="10"/>
  <c r="H231" i="2"/>
  <c r="Q231" i="2"/>
  <c r="N232" i="2"/>
  <c r="F232" i="2"/>
  <c r="M232" i="2"/>
  <c r="P232" i="2"/>
  <c r="O232" i="2"/>
  <c r="A233" i="2"/>
  <c r="B232" i="2"/>
  <c r="AI233" i="2" l="1"/>
  <c r="AK233" i="2" s="1"/>
  <c r="AQ233" i="2"/>
  <c r="AG233" i="2"/>
  <c r="D233" i="2" s="1"/>
  <c r="AL240" i="2"/>
  <c r="AN240" i="2"/>
  <c r="L232" i="2"/>
  <c r="AM232" i="2"/>
  <c r="AO232" i="2"/>
  <c r="E232" i="2"/>
  <c r="A257" i="10"/>
  <c r="C76" i="9"/>
  <c r="Q232" i="2"/>
  <c r="H232" i="2"/>
  <c r="O233" i="2"/>
  <c r="N233" i="2"/>
  <c r="F233" i="2"/>
  <c r="M233" i="2"/>
  <c r="P233" i="2"/>
  <c r="A234" i="2"/>
  <c r="B233" i="2"/>
  <c r="L233" i="2" l="1"/>
  <c r="AO233" i="2"/>
  <c r="AM233" i="2"/>
  <c r="AQ234" i="2"/>
  <c r="M234" i="2" s="1"/>
  <c r="AG234" i="2"/>
  <c r="D234" i="2" s="1"/>
  <c r="AI234" i="2"/>
  <c r="AK234" i="2" s="1"/>
  <c r="AL241" i="2"/>
  <c r="AN241" i="2"/>
  <c r="E233" i="2"/>
  <c r="D76" i="9"/>
  <c r="A258" i="10"/>
  <c r="Q233" i="2"/>
  <c r="H233" i="2"/>
  <c r="P234" i="2"/>
  <c r="O234" i="2"/>
  <c r="N234" i="2"/>
  <c r="F234" i="2"/>
  <c r="A235" i="2"/>
  <c r="B234" i="2"/>
  <c r="AL242" i="2" l="1"/>
  <c r="AN242" i="2"/>
  <c r="AM234" i="2"/>
  <c r="AO234" i="2"/>
  <c r="AI235" i="2"/>
  <c r="AK235" i="2" s="1"/>
  <c r="AQ235" i="2"/>
  <c r="AG235" i="2"/>
  <c r="D235" i="2" s="1"/>
  <c r="L234" i="2"/>
  <c r="E234" i="2"/>
  <c r="A259" i="10"/>
  <c r="E76" i="9"/>
  <c r="Q234" i="2"/>
  <c r="H234" i="2"/>
  <c r="M235" i="2"/>
  <c r="P235" i="2"/>
  <c r="O235" i="2"/>
  <c r="N235" i="2"/>
  <c r="F235" i="2"/>
  <c r="A236" i="2"/>
  <c r="B235" i="2"/>
  <c r="AM235" i="2" l="1"/>
  <c r="AO235" i="2"/>
  <c r="AN243" i="2"/>
  <c r="AL243" i="2"/>
  <c r="AQ236" i="2"/>
  <c r="AG236" i="2"/>
  <c r="D236" i="2" s="1"/>
  <c r="AI236" i="2"/>
  <c r="AK236" i="2" s="1"/>
  <c r="L235" i="2"/>
  <c r="M236" i="2"/>
  <c r="E235" i="2"/>
  <c r="F76" i="9"/>
  <c r="A260" i="10"/>
  <c r="Q235" i="2"/>
  <c r="H235" i="2"/>
  <c r="N236" i="2"/>
  <c r="F236" i="2"/>
  <c r="P236" i="2"/>
  <c r="O236" i="2"/>
  <c r="A237" i="2"/>
  <c r="B236" i="2"/>
  <c r="AO236" i="2" l="1"/>
  <c r="AM236" i="2"/>
  <c r="AI237" i="2"/>
  <c r="AK237" i="2" s="1"/>
  <c r="AQ237" i="2"/>
  <c r="M237" i="2" s="1"/>
  <c r="AG237" i="2"/>
  <c r="D237" i="2" s="1"/>
  <c r="AL244" i="2"/>
  <c r="AN244" i="2"/>
  <c r="L236" i="2"/>
  <c r="E236" i="2"/>
  <c r="A261" i="10"/>
  <c r="G76" i="9"/>
  <c r="Q236" i="2"/>
  <c r="H236" i="2"/>
  <c r="N237" i="2"/>
  <c r="F237" i="2"/>
  <c r="P237" i="2"/>
  <c r="O237" i="2"/>
  <c r="A238" i="2"/>
  <c r="B237" i="2"/>
  <c r="AN245" i="2" l="1"/>
  <c r="AL245" i="2"/>
  <c r="AO237" i="2"/>
  <c r="AM237" i="2"/>
  <c r="AQ238" i="2"/>
  <c r="AG238" i="2"/>
  <c r="D238" i="2" s="1"/>
  <c r="AI238" i="2"/>
  <c r="AK238" i="2" s="1"/>
  <c r="L237" i="2"/>
  <c r="E237" i="2"/>
  <c r="H76" i="9"/>
  <c r="A262" i="10"/>
  <c r="Q237" i="2"/>
  <c r="H237" i="2"/>
  <c r="O238" i="2"/>
  <c r="N238" i="2"/>
  <c r="F238" i="2"/>
  <c r="M238" i="2"/>
  <c r="P238" i="2"/>
  <c r="B238" i="2"/>
  <c r="A239" i="2"/>
  <c r="AL246" i="2" l="1"/>
  <c r="AN246" i="2"/>
  <c r="AI239" i="2"/>
  <c r="AK239" i="2" s="1"/>
  <c r="AQ239" i="2"/>
  <c r="M239" i="2" s="1"/>
  <c r="AG239" i="2"/>
  <c r="D239" i="2" s="1"/>
  <c r="AO238" i="2"/>
  <c r="AM238" i="2"/>
  <c r="L238" i="2"/>
  <c r="E238" i="2"/>
  <c r="A263" i="10"/>
  <c r="B78" i="9"/>
  <c r="Q238" i="2"/>
  <c r="H238" i="2"/>
  <c r="P239" i="2"/>
  <c r="O239" i="2"/>
  <c r="N239" i="2"/>
  <c r="F239" i="2"/>
  <c r="B239" i="2"/>
  <c r="A240" i="2"/>
  <c r="AM239" i="2" l="1"/>
  <c r="AO239" i="2"/>
  <c r="AQ240" i="2"/>
  <c r="M240" i="2" s="1"/>
  <c r="AG240" i="2"/>
  <c r="D240" i="2" s="1"/>
  <c r="AI240" i="2"/>
  <c r="AK240" i="2" s="1"/>
  <c r="AL247" i="2"/>
  <c r="AN247" i="2"/>
  <c r="L239" i="2"/>
  <c r="E239" i="2"/>
  <c r="C78" i="9"/>
  <c r="A264" i="10"/>
  <c r="H239" i="2"/>
  <c r="Q239" i="2"/>
  <c r="P240" i="2"/>
  <c r="O240" i="2"/>
  <c r="F240" i="2"/>
  <c r="N240" i="2"/>
  <c r="B240" i="2"/>
  <c r="A241" i="2"/>
  <c r="AN248" i="2" l="1"/>
  <c r="AL248" i="2"/>
  <c r="AI241" i="2"/>
  <c r="AK241" i="2" s="1"/>
  <c r="AQ241" i="2"/>
  <c r="AG241" i="2"/>
  <c r="D241" i="2" s="1"/>
  <c r="AM240" i="2"/>
  <c r="AO240" i="2"/>
  <c r="L240" i="2"/>
  <c r="E240" i="2"/>
  <c r="A265" i="10"/>
  <c r="D78" i="9"/>
  <c r="Q240" i="2"/>
  <c r="H240" i="2"/>
  <c r="N241" i="2"/>
  <c r="F241" i="2"/>
  <c r="M241" i="2"/>
  <c r="P241" i="2"/>
  <c r="O241" i="2"/>
  <c r="A242" i="2"/>
  <c r="B241" i="2"/>
  <c r="AM241" i="2" l="1"/>
  <c r="AO241" i="2"/>
  <c r="AL249" i="2"/>
  <c r="AN249" i="2"/>
  <c r="AQ242" i="2"/>
  <c r="AG242" i="2"/>
  <c r="D242" i="2" s="1"/>
  <c r="AI242" i="2"/>
  <c r="AK242" i="2" s="1"/>
  <c r="L241" i="2"/>
  <c r="M242" i="2"/>
  <c r="E241" i="2"/>
  <c r="E78" i="9"/>
  <c r="A266" i="10"/>
  <c r="Q241" i="2"/>
  <c r="H241" i="2"/>
  <c r="N242" i="2"/>
  <c r="F242" i="2"/>
  <c r="P242" i="2"/>
  <c r="O242" i="2"/>
  <c r="A243" i="2"/>
  <c r="B242" i="2"/>
  <c r="AN250" i="2" l="1"/>
  <c r="AL250" i="2"/>
  <c r="AO242" i="2"/>
  <c r="AM242" i="2"/>
  <c r="AI243" i="2"/>
  <c r="AK243" i="2" s="1"/>
  <c r="AQ243" i="2"/>
  <c r="AG243" i="2"/>
  <c r="D243" i="2" s="1"/>
  <c r="L242" i="2"/>
  <c r="E242" i="2"/>
  <c r="A267" i="10"/>
  <c r="F78" i="9"/>
  <c r="Q242" i="2"/>
  <c r="H242" i="2"/>
  <c r="O243" i="2"/>
  <c r="N243" i="2"/>
  <c r="F243" i="2"/>
  <c r="M243" i="2"/>
  <c r="P243" i="2"/>
  <c r="A244" i="2"/>
  <c r="B243" i="2"/>
  <c r="AN251" i="2" l="1"/>
  <c r="AL251" i="2"/>
  <c r="AQ244" i="2"/>
  <c r="M244" i="2" s="1"/>
  <c r="AG244" i="2"/>
  <c r="D244" i="2" s="1"/>
  <c r="AI244" i="2"/>
  <c r="AK244" i="2" s="1"/>
  <c r="AM243" i="2"/>
  <c r="AO243" i="2"/>
  <c r="L243" i="2"/>
  <c r="E243" i="2"/>
  <c r="G78" i="9"/>
  <c r="A268" i="10"/>
  <c r="H243" i="2"/>
  <c r="Q243" i="2"/>
  <c r="P244" i="2"/>
  <c r="O244" i="2"/>
  <c r="N244" i="2"/>
  <c r="F244" i="2"/>
  <c r="B244" i="2"/>
  <c r="A245" i="2"/>
  <c r="AM244" i="2" l="1"/>
  <c r="AO244" i="2"/>
  <c r="AL252" i="2"/>
  <c r="AN252" i="2"/>
  <c r="AI245" i="2"/>
  <c r="AK245" i="2" s="1"/>
  <c r="AQ245" i="2"/>
  <c r="AG245" i="2"/>
  <c r="D245" i="2" s="1"/>
  <c r="L244" i="2"/>
  <c r="M245" i="2"/>
  <c r="E244" i="2"/>
  <c r="A269" i="10"/>
  <c r="H78" i="9"/>
  <c r="Q244" i="2"/>
  <c r="H244" i="2"/>
  <c r="P245" i="2"/>
  <c r="O245" i="2"/>
  <c r="N245" i="2"/>
  <c r="F245" i="2"/>
  <c r="B245" i="2"/>
  <c r="A246" i="2"/>
  <c r="AL253" i="2" l="1"/>
  <c r="AN253" i="2"/>
  <c r="AO245" i="2"/>
  <c r="AM245" i="2"/>
  <c r="AQ246" i="2"/>
  <c r="M246" i="2" s="1"/>
  <c r="AG246" i="2"/>
  <c r="D246" i="2" s="1"/>
  <c r="AI246" i="2"/>
  <c r="AK246" i="2" s="1"/>
  <c r="L245" i="2"/>
  <c r="E245" i="2"/>
  <c r="B80" i="9"/>
  <c r="A270" i="10"/>
  <c r="Q245" i="2"/>
  <c r="H245" i="2"/>
  <c r="N246" i="2"/>
  <c r="F246" i="2"/>
  <c r="P246" i="2"/>
  <c r="O246" i="2"/>
  <c r="A247" i="2"/>
  <c r="B246" i="2"/>
  <c r="AL254" i="2" l="1"/>
  <c r="AN254" i="2"/>
  <c r="AI247" i="2"/>
  <c r="AK247" i="2" s="1"/>
  <c r="AQ247" i="2"/>
  <c r="M247" i="2" s="1"/>
  <c r="AG247" i="2"/>
  <c r="D247" i="2" s="1"/>
  <c r="AO246" i="2"/>
  <c r="AM246" i="2"/>
  <c r="L246" i="2"/>
  <c r="E246" i="2"/>
  <c r="A271" i="10"/>
  <c r="C80" i="9"/>
  <c r="Q246" i="2"/>
  <c r="H246" i="2"/>
  <c r="O247" i="2"/>
  <c r="N247" i="2"/>
  <c r="F247" i="2"/>
  <c r="P247" i="2"/>
  <c r="A248" i="2"/>
  <c r="B247" i="2"/>
  <c r="AM247" i="2" l="1"/>
  <c r="AO247" i="2"/>
  <c r="AN255" i="2"/>
  <c r="AL255" i="2"/>
  <c r="AQ248" i="2"/>
  <c r="AG248" i="2"/>
  <c r="D248" i="2" s="1"/>
  <c r="AI248" i="2"/>
  <c r="AK248" i="2" s="1"/>
  <c r="L247" i="2"/>
  <c r="E247" i="2"/>
  <c r="D80" i="9"/>
  <c r="A272" i="10"/>
  <c r="H247" i="2"/>
  <c r="Q247" i="2"/>
  <c r="P248" i="2"/>
  <c r="O248" i="2"/>
  <c r="N248" i="2"/>
  <c r="F248" i="2"/>
  <c r="M248" i="2"/>
  <c r="B248" i="2"/>
  <c r="A249" i="2"/>
  <c r="AO248" i="2" l="1"/>
  <c r="AM248" i="2"/>
  <c r="AI249" i="2"/>
  <c r="AK249" i="2" s="1"/>
  <c r="AQ249" i="2"/>
  <c r="M249" i="2" s="1"/>
  <c r="AG249" i="2"/>
  <c r="D249" i="2" s="1"/>
  <c r="AL256" i="2"/>
  <c r="AN256" i="2"/>
  <c r="L248" i="2"/>
  <c r="E248" i="2"/>
  <c r="A273" i="10"/>
  <c r="E80" i="9"/>
  <c r="Q248" i="2"/>
  <c r="H248" i="2"/>
  <c r="P249" i="2"/>
  <c r="O249" i="2"/>
  <c r="N249" i="2"/>
  <c r="F249" i="2"/>
  <c r="A250" i="2"/>
  <c r="B249" i="2"/>
  <c r="AN257" i="2" l="1"/>
  <c r="AL257" i="2"/>
  <c r="AO249" i="2"/>
  <c r="AM249" i="2"/>
  <c r="AQ250" i="2"/>
  <c r="AG250" i="2"/>
  <c r="D250" i="2" s="1"/>
  <c r="AI250" i="2"/>
  <c r="AK250" i="2" s="1"/>
  <c r="L249" i="2"/>
  <c r="E249" i="2"/>
  <c r="F80" i="9"/>
  <c r="A274" i="10"/>
  <c r="Q249" i="2"/>
  <c r="H249" i="2"/>
  <c r="N250" i="2"/>
  <c r="F250" i="2"/>
  <c r="M250" i="2"/>
  <c r="P250" i="2"/>
  <c r="O250" i="2"/>
  <c r="B250" i="2"/>
  <c r="A251" i="2"/>
  <c r="AL258" i="2" l="1"/>
  <c r="AN258" i="2"/>
  <c r="AI251" i="2"/>
  <c r="AK251" i="2" s="1"/>
  <c r="AQ251" i="2"/>
  <c r="M251" i="2" s="1"/>
  <c r="AG251" i="2"/>
  <c r="D251" i="2" s="1"/>
  <c r="AO250" i="2"/>
  <c r="AM250" i="2"/>
  <c r="L250" i="2"/>
  <c r="E250" i="2"/>
  <c r="A275" i="10"/>
  <c r="G80" i="9"/>
  <c r="Q250" i="2"/>
  <c r="H250" i="2"/>
  <c r="O251" i="2"/>
  <c r="N251" i="2"/>
  <c r="F251" i="2"/>
  <c r="P251" i="2"/>
  <c r="A252" i="2"/>
  <c r="B251" i="2"/>
  <c r="AN259" i="2" l="1"/>
  <c r="AL259" i="2"/>
  <c r="AM251" i="2"/>
  <c r="AO251" i="2"/>
  <c r="AQ252" i="2"/>
  <c r="AG252" i="2"/>
  <c r="D252" i="2" s="1"/>
  <c r="AI252" i="2"/>
  <c r="AK252" i="2" s="1"/>
  <c r="L251" i="2"/>
  <c r="M252" i="2"/>
  <c r="E251" i="2"/>
  <c r="H80" i="9"/>
  <c r="A276" i="10"/>
  <c r="Q251" i="2"/>
  <c r="H251" i="2"/>
  <c r="P252" i="2"/>
  <c r="O252" i="2"/>
  <c r="N252" i="2"/>
  <c r="F252" i="2"/>
  <c r="B252" i="2"/>
  <c r="A253" i="2"/>
  <c r="AO252" i="2" l="1"/>
  <c r="AM252" i="2"/>
  <c r="AL260" i="2"/>
  <c r="AN260" i="2"/>
  <c r="AI253" i="2"/>
  <c r="AK253" i="2" s="1"/>
  <c r="AQ253" i="2"/>
  <c r="AG253" i="2"/>
  <c r="D253" i="2" s="1"/>
  <c r="L252" i="2"/>
  <c r="E252" i="2"/>
  <c r="A277" i="10"/>
  <c r="B82" i="9"/>
  <c r="Q252" i="2"/>
  <c r="H252" i="2"/>
  <c r="M253" i="2"/>
  <c r="P253" i="2"/>
  <c r="O253" i="2"/>
  <c r="F253" i="2"/>
  <c r="N253" i="2"/>
  <c r="A254" i="2"/>
  <c r="B253" i="2"/>
  <c r="AN261" i="2" l="1"/>
  <c r="AL261" i="2"/>
  <c r="AO253" i="2"/>
  <c r="AM253" i="2"/>
  <c r="AQ254" i="2"/>
  <c r="M254" i="2" s="1"/>
  <c r="AG254" i="2"/>
  <c r="D254" i="2" s="1"/>
  <c r="AI254" i="2"/>
  <c r="AK254" i="2" s="1"/>
  <c r="L253" i="2"/>
  <c r="E253" i="2"/>
  <c r="C82" i="9"/>
  <c r="A278" i="10"/>
  <c r="Q253" i="2"/>
  <c r="H253" i="2"/>
  <c r="N254" i="2"/>
  <c r="F254" i="2"/>
  <c r="P254" i="2"/>
  <c r="O254" i="2"/>
  <c r="B254" i="2"/>
  <c r="A255" i="2"/>
  <c r="AL262" i="2" l="1"/>
  <c r="AN262" i="2"/>
  <c r="L254" i="2"/>
  <c r="AQ255" i="2"/>
  <c r="M255" i="2" s="1"/>
  <c r="AG255" i="2"/>
  <c r="D255" i="2" s="1"/>
  <c r="AI255" i="2"/>
  <c r="AK255" i="2" s="1"/>
  <c r="AM254" i="2"/>
  <c r="AO254" i="2"/>
  <c r="E254" i="2"/>
  <c r="A279" i="10"/>
  <c r="D82" i="9"/>
  <c r="Q254" i="2"/>
  <c r="H254" i="2"/>
  <c r="O255" i="2"/>
  <c r="N255" i="2"/>
  <c r="F255" i="2"/>
  <c r="P255" i="2"/>
  <c r="A256" i="2"/>
  <c r="B255" i="2"/>
  <c r="AM255" i="2" l="1"/>
  <c r="AO255" i="2"/>
  <c r="AL263" i="2"/>
  <c r="AN263" i="2"/>
  <c r="L255" i="2"/>
  <c r="AI256" i="2"/>
  <c r="AK256" i="2" s="1"/>
  <c r="AG256" i="2"/>
  <c r="D256" i="2" s="1"/>
  <c r="AQ256" i="2"/>
  <c r="M256" i="2" s="1"/>
  <c r="E255" i="2"/>
  <c r="E82" i="9"/>
  <c r="A280" i="10"/>
  <c r="H255" i="2"/>
  <c r="Q255" i="2"/>
  <c r="P256" i="2"/>
  <c r="O256" i="2"/>
  <c r="N256" i="2"/>
  <c r="F256" i="2"/>
  <c r="B256" i="2"/>
  <c r="A257" i="2"/>
  <c r="AL264" i="2" l="1"/>
  <c r="AN264" i="2"/>
  <c r="AM256" i="2"/>
  <c r="AO256" i="2"/>
  <c r="AQ257" i="2"/>
  <c r="M257" i="2" s="1"/>
  <c r="AG257" i="2"/>
  <c r="D257" i="2" s="1"/>
  <c r="AI257" i="2"/>
  <c r="AK257" i="2" s="1"/>
  <c r="L256" i="2"/>
  <c r="E256" i="2"/>
  <c r="A281" i="10"/>
  <c r="F82" i="9"/>
  <c r="Q256" i="2"/>
  <c r="H256" i="2"/>
  <c r="P257" i="2"/>
  <c r="O257" i="2"/>
  <c r="N257" i="2"/>
  <c r="F257" i="2"/>
  <c r="A258" i="2"/>
  <c r="B257" i="2"/>
  <c r="AO257" i="2" l="1"/>
  <c r="AM257" i="2"/>
  <c r="AL265" i="2"/>
  <c r="AN265" i="2"/>
  <c r="AI258" i="2"/>
  <c r="AK258" i="2" s="1"/>
  <c r="AG258" i="2"/>
  <c r="D258" i="2" s="1"/>
  <c r="AQ258" i="2"/>
  <c r="L257" i="2"/>
  <c r="E257" i="2"/>
  <c r="G82" i="9"/>
  <c r="A282" i="10"/>
  <c r="Q257" i="2"/>
  <c r="H257" i="2"/>
  <c r="N258" i="2"/>
  <c r="F258" i="2"/>
  <c r="M258" i="2"/>
  <c r="P258" i="2"/>
  <c r="O258" i="2"/>
  <c r="A259" i="2"/>
  <c r="B258" i="2"/>
  <c r="AQ259" i="2" l="1"/>
  <c r="AG259" i="2"/>
  <c r="D259" i="2" s="1"/>
  <c r="AI259" i="2"/>
  <c r="AK259" i="2" s="1"/>
  <c r="AL266" i="2"/>
  <c r="AN266" i="2"/>
  <c r="AO258" i="2"/>
  <c r="AM258" i="2"/>
  <c r="L258" i="2"/>
  <c r="E258" i="2"/>
  <c r="A283" i="10"/>
  <c r="H82" i="9"/>
  <c r="Q258" i="2"/>
  <c r="H258" i="2"/>
  <c r="N259" i="2"/>
  <c r="M259" i="2"/>
  <c r="F259" i="2"/>
  <c r="P259" i="2"/>
  <c r="O259" i="2"/>
  <c r="B259" i="2"/>
  <c r="A260" i="2"/>
  <c r="AM259" i="2" l="1"/>
  <c r="AO259" i="2"/>
  <c r="AI260" i="2"/>
  <c r="AK260" i="2" s="1"/>
  <c r="AG260" i="2"/>
  <c r="D260" i="2" s="1"/>
  <c r="AQ260" i="2"/>
  <c r="AL267" i="2"/>
  <c r="AN267" i="2"/>
  <c r="L259" i="2"/>
  <c r="E259" i="2"/>
  <c r="B84" i="9"/>
  <c r="A284" i="10"/>
  <c r="H259" i="2"/>
  <c r="Q259" i="2"/>
  <c r="M260" i="2"/>
  <c r="F260" i="2"/>
  <c r="P260" i="2"/>
  <c r="O260" i="2"/>
  <c r="N260" i="2"/>
  <c r="B260" i="2"/>
  <c r="A261" i="2"/>
  <c r="AL268" i="2" l="1"/>
  <c r="AN268" i="2"/>
  <c r="AM260" i="2"/>
  <c r="AO260" i="2"/>
  <c r="AQ261" i="2"/>
  <c r="AG261" i="2"/>
  <c r="D261" i="2" s="1"/>
  <c r="AI261" i="2"/>
  <c r="AK261" i="2" s="1"/>
  <c r="L260" i="2"/>
  <c r="E260" i="2"/>
  <c r="A285" i="10"/>
  <c r="C84" i="9"/>
  <c r="Q260" i="2"/>
  <c r="H260" i="2"/>
  <c r="N261" i="2"/>
  <c r="F261" i="2"/>
  <c r="M261" i="2"/>
  <c r="P261" i="2"/>
  <c r="O261" i="2"/>
  <c r="B261" i="2"/>
  <c r="A262" i="2"/>
  <c r="AM261" i="2" l="1"/>
  <c r="AO261" i="2"/>
  <c r="AI262" i="2"/>
  <c r="AK262" i="2" s="1"/>
  <c r="AQ262" i="2"/>
  <c r="M262" i="2" s="1"/>
  <c r="AG262" i="2"/>
  <c r="D262" i="2" s="1"/>
  <c r="AL269" i="2"/>
  <c r="AN269" i="2"/>
  <c r="L261" i="2"/>
  <c r="E261" i="2"/>
  <c r="D84" i="9"/>
  <c r="A286" i="10"/>
  <c r="Q261" i="2"/>
  <c r="H261" i="2"/>
  <c r="O262" i="2"/>
  <c r="N262" i="2"/>
  <c r="F262" i="2"/>
  <c r="P262" i="2"/>
  <c r="B262" i="2"/>
  <c r="A263" i="2"/>
  <c r="AL270" i="2" l="1"/>
  <c r="AN270" i="2"/>
  <c r="AQ263" i="2"/>
  <c r="AG263" i="2"/>
  <c r="D263" i="2" s="1"/>
  <c r="AI263" i="2"/>
  <c r="AK263" i="2" s="1"/>
  <c r="AM262" i="2"/>
  <c r="AO262" i="2"/>
  <c r="L262" i="2"/>
  <c r="E262" i="2"/>
  <c r="A287" i="10"/>
  <c r="E84" i="9"/>
  <c r="Q262" i="2"/>
  <c r="H262" i="2"/>
  <c r="P263" i="2"/>
  <c r="O263" i="2"/>
  <c r="M263" i="2"/>
  <c r="F263" i="2"/>
  <c r="N263" i="2"/>
  <c r="B263" i="2"/>
  <c r="A264" i="2"/>
  <c r="AM263" i="2" l="1"/>
  <c r="AO263" i="2"/>
  <c r="AL271" i="2"/>
  <c r="AN271" i="2"/>
  <c r="AI264" i="2"/>
  <c r="AK264" i="2" s="1"/>
  <c r="AG264" i="2"/>
  <c r="D264" i="2" s="1"/>
  <c r="AQ264" i="2"/>
  <c r="M264" i="2" s="1"/>
  <c r="L263" i="2"/>
  <c r="E263" i="2"/>
  <c r="F84" i="9"/>
  <c r="A288" i="10"/>
  <c r="H263" i="2"/>
  <c r="Q263" i="2"/>
  <c r="P264" i="2"/>
  <c r="F264" i="2"/>
  <c r="O264" i="2"/>
  <c r="N264" i="2"/>
  <c r="B264" i="2"/>
  <c r="A265" i="2"/>
  <c r="AL272" i="2" l="1"/>
  <c r="AN272" i="2"/>
  <c r="AQ265" i="2"/>
  <c r="AG265" i="2"/>
  <c r="D265" i="2" s="1"/>
  <c r="AI265" i="2"/>
  <c r="AK265" i="2" s="1"/>
  <c r="AM264" i="2"/>
  <c r="AO264" i="2"/>
  <c r="L264" i="2"/>
  <c r="E264" i="2"/>
  <c r="A289" i="10"/>
  <c r="G84" i="9"/>
  <c r="Q264" i="2"/>
  <c r="H264" i="2"/>
  <c r="N265" i="2"/>
  <c r="F265" i="2"/>
  <c r="M265" i="2"/>
  <c r="O265" i="2"/>
  <c r="P265" i="2"/>
  <c r="B265" i="2"/>
  <c r="A266" i="2"/>
  <c r="L265" i="2" l="1"/>
  <c r="AI266" i="2"/>
  <c r="AK266" i="2" s="1"/>
  <c r="AG266" i="2"/>
  <c r="D266" i="2" s="1"/>
  <c r="AQ266" i="2"/>
  <c r="M266" i="2" s="1"/>
  <c r="AM265" i="2"/>
  <c r="AO265" i="2"/>
  <c r="AL273" i="2"/>
  <c r="AN273" i="2"/>
  <c r="E265" i="2"/>
  <c r="H84" i="9"/>
  <c r="A290" i="10"/>
  <c r="Q265" i="2"/>
  <c r="H265" i="2"/>
  <c r="O266" i="2"/>
  <c r="N266" i="2"/>
  <c r="F266" i="2"/>
  <c r="P266" i="2"/>
  <c r="B266" i="2"/>
  <c r="A267" i="2"/>
  <c r="AL274" i="2" l="1"/>
  <c r="AN274" i="2"/>
  <c r="AQ267" i="2"/>
  <c r="M267" i="2" s="1"/>
  <c r="AG267" i="2"/>
  <c r="D267" i="2" s="1"/>
  <c r="AI267" i="2"/>
  <c r="AK267" i="2" s="1"/>
  <c r="L266" i="2"/>
  <c r="AM266" i="2"/>
  <c r="AO266" i="2"/>
  <c r="E266" i="2"/>
  <c r="A291" i="10"/>
  <c r="B86" i="9"/>
  <c r="Q266" i="2"/>
  <c r="H266" i="2"/>
  <c r="P267" i="2"/>
  <c r="O267" i="2"/>
  <c r="N267" i="2"/>
  <c r="F267" i="2"/>
  <c r="A268" i="2"/>
  <c r="B267" i="2"/>
  <c r="AM267" i="2" l="1"/>
  <c r="AO267" i="2"/>
  <c r="L267" i="2"/>
  <c r="AI268" i="2"/>
  <c r="AK268" i="2" s="1"/>
  <c r="AG268" i="2"/>
  <c r="D268" i="2" s="1"/>
  <c r="AQ268" i="2"/>
  <c r="AL275" i="2"/>
  <c r="AN275" i="2"/>
  <c r="E267" i="2"/>
  <c r="C86" i="9"/>
  <c r="A292" i="10"/>
  <c r="Q267" i="2"/>
  <c r="H267" i="2"/>
  <c r="M268" i="2"/>
  <c r="P268" i="2"/>
  <c r="N268" i="2"/>
  <c r="F268" i="2"/>
  <c r="O268" i="2"/>
  <c r="A269" i="2"/>
  <c r="B268" i="2"/>
  <c r="AL276" i="2" l="1"/>
  <c r="AN276" i="2"/>
  <c r="L268" i="2"/>
  <c r="AQ269" i="2"/>
  <c r="AG269" i="2"/>
  <c r="D269" i="2" s="1"/>
  <c r="AI269" i="2"/>
  <c r="AK269" i="2" s="1"/>
  <c r="AM268" i="2"/>
  <c r="AO268" i="2"/>
  <c r="E268" i="2"/>
  <c r="A293" i="10"/>
  <c r="D86" i="9"/>
  <c r="Q268" i="2"/>
  <c r="H268" i="2"/>
  <c r="N269" i="2"/>
  <c r="F269" i="2"/>
  <c r="M269" i="2"/>
  <c r="P269" i="2"/>
  <c r="O269" i="2"/>
  <c r="B269" i="2"/>
  <c r="A270" i="2"/>
  <c r="AM269" i="2" l="1"/>
  <c r="AO269" i="2"/>
  <c r="AI270" i="2"/>
  <c r="AK270" i="2" s="1"/>
  <c r="AQ270" i="2"/>
  <c r="M270" i="2" s="1"/>
  <c r="AG270" i="2"/>
  <c r="D270" i="2" s="1"/>
  <c r="AN277" i="2"/>
  <c r="AL277" i="2"/>
  <c r="L269" i="2"/>
  <c r="E269" i="2"/>
  <c r="E86" i="9"/>
  <c r="A294" i="10"/>
  <c r="Q269" i="2"/>
  <c r="H269" i="2"/>
  <c r="O270" i="2"/>
  <c r="N270" i="2"/>
  <c r="F270" i="2"/>
  <c r="P270" i="2"/>
  <c r="B270" i="2"/>
  <c r="A271" i="2"/>
  <c r="AL278" i="2" l="1"/>
  <c r="AN278" i="2"/>
  <c r="AQ271" i="2"/>
  <c r="M271" i="2" s="1"/>
  <c r="AG271" i="2"/>
  <c r="D271" i="2" s="1"/>
  <c r="AI271" i="2"/>
  <c r="AK271" i="2" s="1"/>
  <c r="AM270" i="2"/>
  <c r="AO270" i="2"/>
  <c r="L270" i="2"/>
  <c r="E270" i="2"/>
  <c r="A295" i="10"/>
  <c r="F86" i="9"/>
  <c r="Q270" i="2"/>
  <c r="H270" i="2"/>
  <c r="P271" i="2"/>
  <c r="O271" i="2"/>
  <c r="F271" i="2"/>
  <c r="N271" i="2"/>
  <c r="B271" i="2"/>
  <c r="A272" i="2"/>
  <c r="AO271" i="2" l="1"/>
  <c r="AM271" i="2"/>
  <c r="AL279" i="2"/>
  <c r="AN279" i="2"/>
  <c r="AI272" i="2"/>
  <c r="AK272" i="2" s="1"/>
  <c r="AG272" i="2"/>
  <c r="D272" i="2" s="1"/>
  <c r="AQ272" i="2"/>
  <c r="M272" i="2" s="1"/>
  <c r="L271" i="2"/>
  <c r="E271" i="2"/>
  <c r="G86" i="9"/>
  <c r="A296" i="10"/>
  <c r="H271" i="2"/>
  <c r="Q271" i="2"/>
  <c r="P272" i="2"/>
  <c r="F272" i="2"/>
  <c r="O272" i="2"/>
  <c r="N272" i="2"/>
  <c r="A273" i="2"/>
  <c r="B272" i="2"/>
  <c r="AL280" i="2" l="1"/>
  <c r="AN280" i="2"/>
  <c r="AM272" i="2"/>
  <c r="AO272" i="2"/>
  <c r="AQ273" i="2"/>
  <c r="AG273" i="2"/>
  <c r="D273" i="2" s="1"/>
  <c r="AI273" i="2"/>
  <c r="AK273" i="2" s="1"/>
  <c r="L272" i="2"/>
  <c r="E272" i="2"/>
  <c r="A297" i="10"/>
  <c r="H86" i="9"/>
  <c r="Q272" i="2"/>
  <c r="H272" i="2"/>
  <c r="N273" i="2"/>
  <c r="F273" i="2"/>
  <c r="M273" i="2"/>
  <c r="O273" i="2"/>
  <c r="P273" i="2"/>
  <c r="B273" i="2"/>
  <c r="A274" i="2"/>
  <c r="AM273" i="2" l="1"/>
  <c r="AO273" i="2"/>
  <c r="AI274" i="2"/>
  <c r="AK274" i="2" s="1"/>
  <c r="AG274" i="2"/>
  <c r="D274" i="2" s="1"/>
  <c r="AQ274" i="2"/>
  <c r="AN281" i="2"/>
  <c r="AL281" i="2"/>
  <c r="L273" i="2"/>
  <c r="E273" i="2"/>
  <c r="B88" i="9"/>
  <c r="A298" i="10"/>
  <c r="Q273" i="2"/>
  <c r="H273" i="2"/>
  <c r="O274" i="2"/>
  <c r="N274" i="2"/>
  <c r="F274" i="2"/>
  <c r="P274" i="2"/>
  <c r="M274" i="2"/>
  <c r="A275" i="2"/>
  <c r="B274" i="2"/>
  <c r="AN282" i="2" l="1"/>
  <c r="AL282" i="2"/>
  <c r="AQ275" i="2"/>
  <c r="M275" i="2" s="1"/>
  <c r="AG275" i="2"/>
  <c r="D275" i="2" s="1"/>
  <c r="AI275" i="2"/>
  <c r="AK275" i="2" s="1"/>
  <c r="AO274" i="2"/>
  <c r="AM274" i="2"/>
  <c r="L274" i="2"/>
  <c r="E274" i="2"/>
  <c r="A299" i="10"/>
  <c r="C88" i="9"/>
  <c r="Q274" i="2"/>
  <c r="H274" i="2"/>
  <c r="P275" i="2"/>
  <c r="O275" i="2"/>
  <c r="N275" i="2"/>
  <c r="F275" i="2"/>
  <c r="A276" i="2"/>
  <c r="B275" i="2"/>
  <c r="AI276" i="2" l="1"/>
  <c r="AK276" i="2" s="1"/>
  <c r="AG276" i="2"/>
  <c r="D276" i="2" s="1"/>
  <c r="AQ276" i="2"/>
  <c r="M276" i="2" s="1"/>
  <c r="AO275" i="2"/>
  <c r="AM275" i="2"/>
  <c r="AN283" i="2"/>
  <c r="AL283" i="2"/>
  <c r="L275" i="2"/>
  <c r="E275" i="2"/>
  <c r="D88" i="9"/>
  <c r="A300" i="10"/>
  <c r="H275" i="2"/>
  <c r="Q275" i="2"/>
  <c r="P276" i="2"/>
  <c r="O276" i="2"/>
  <c r="N276" i="2"/>
  <c r="F276" i="2"/>
  <c r="B276" i="2"/>
  <c r="A277" i="2"/>
  <c r="AL284" i="2" l="1"/>
  <c r="AN284" i="2"/>
  <c r="AQ277" i="2"/>
  <c r="M277" i="2" s="1"/>
  <c r="AG277" i="2"/>
  <c r="D277" i="2" s="1"/>
  <c r="AI277" i="2"/>
  <c r="AK277" i="2" s="1"/>
  <c r="AM276" i="2"/>
  <c r="AO276" i="2"/>
  <c r="L276" i="2"/>
  <c r="E276" i="2"/>
  <c r="A301" i="10"/>
  <c r="E88" i="9"/>
  <c r="Q276" i="2"/>
  <c r="H276" i="2"/>
  <c r="P277" i="2"/>
  <c r="O277" i="2"/>
  <c r="N277" i="2"/>
  <c r="F277" i="2"/>
  <c r="B277" i="2"/>
  <c r="A278" i="2"/>
  <c r="AM277" i="2" l="1"/>
  <c r="AO277" i="2"/>
  <c r="AL285" i="2"/>
  <c r="AN285" i="2"/>
  <c r="AI278" i="2"/>
  <c r="AK278" i="2" s="1"/>
  <c r="AQ278" i="2"/>
  <c r="AG278" i="2"/>
  <c r="D278" i="2" s="1"/>
  <c r="L277" i="2"/>
  <c r="E277" i="2"/>
  <c r="F88" i="9"/>
  <c r="A302" i="10"/>
  <c r="Q277" i="2"/>
  <c r="H277" i="2"/>
  <c r="N278" i="2"/>
  <c r="F278" i="2"/>
  <c r="M278" i="2"/>
  <c r="P278" i="2"/>
  <c r="O278" i="2"/>
  <c r="B278" i="2"/>
  <c r="A279" i="2"/>
  <c r="AL286" i="2" l="1"/>
  <c r="AN286" i="2"/>
  <c r="AQ279" i="2"/>
  <c r="AG279" i="2"/>
  <c r="D279" i="2" s="1"/>
  <c r="AI279" i="2"/>
  <c r="AK279" i="2" s="1"/>
  <c r="AM278" i="2"/>
  <c r="AO278" i="2"/>
  <c r="L278" i="2"/>
  <c r="E278" i="2"/>
  <c r="A303" i="10"/>
  <c r="G88" i="9"/>
  <c r="Q278" i="2"/>
  <c r="H278" i="2"/>
  <c r="O279" i="2"/>
  <c r="N279" i="2"/>
  <c r="F279" i="2"/>
  <c r="M279" i="2"/>
  <c r="P279" i="2"/>
  <c r="B279" i="2"/>
  <c r="A280" i="2"/>
  <c r="AO279" i="2" l="1"/>
  <c r="AM279" i="2"/>
  <c r="AI280" i="2"/>
  <c r="AK280" i="2" s="1"/>
  <c r="AG280" i="2"/>
  <c r="D280" i="2" s="1"/>
  <c r="AQ280" i="2"/>
  <c r="M280" i="2" s="1"/>
  <c r="AL287" i="2"/>
  <c r="AN287" i="2"/>
  <c r="L279" i="2"/>
  <c r="E279" i="2"/>
  <c r="H88" i="9"/>
  <c r="A304" i="10"/>
  <c r="H279" i="2"/>
  <c r="Q279" i="2"/>
  <c r="P280" i="2"/>
  <c r="O280" i="2"/>
  <c r="N280" i="2"/>
  <c r="F280" i="2"/>
  <c r="A281" i="2"/>
  <c r="B280" i="2"/>
  <c r="AL288" i="2" l="1"/>
  <c r="AN288" i="2"/>
  <c r="AO280" i="2"/>
  <c r="AM280" i="2"/>
  <c r="AQ281" i="2"/>
  <c r="M281" i="2" s="1"/>
  <c r="AG281" i="2"/>
  <c r="D281" i="2" s="1"/>
  <c r="AI281" i="2"/>
  <c r="AK281" i="2" s="1"/>
  <c r="L280" i="2"/>
  <c r="E280" i="2"/>
  <c r="A305" i="10"/>
  <c r="B90" i="9"/>
  <c r="Q280" i="2"/>
  <c r="H280" i="2"/>
  <c r="P281" i="2"/>
  <c r="O281" i="2"/>
  <c r="N281" i="2"/>
  <c r="F281" i="2"/>
  <c r="B281" i="2"/>
  <c r="A282" i="2"/>
  <c r="AI282" i="2" l="1"/>
  <c r="AK282" i="2" s="1"/>
  <c r="AG282" i="2"/>
  <c r="D282" i="2" s="1"/>
  <c r="AQ282" i="2"/>
  <c r="M282" i="2" s="1"/>
  <c r="AL289" i="2"/>
  <c r="AN289" i="2"/>
  <c r="AM281" i="2"/>
  <c r="AO281" i="2"/>
  <c r="L281" i="2"/>
  <c r="E281" i="2"/>
  <c r="C90" i="9"/>
  <c r="A306" i="10"/>
  <c r="Q281" i="2"/>
  <c r="H281" i="2"/>
  <c r="N282" i="2"/>
  <c r="F282" i="2"/>
  <c r="P282" i="2"/>
  <c r="O282" i="2"/>
  <c r="B282" i="2"/>
  <c r="A283" i="2"/>
  <c r="AM282" i="2" l="1"/>
  <c r="AO282" i="2"/>
  <c r="AQ283" i="2"/>
  <c r="M283" i="2" s="1"/>
  <c r="AG283" i="2"/>
  <c r="D283" i="2" s="1"/>
  <c r="AI283" i="2"/>
  <c r="AK283" i="2" s="1"/>
  <c r="AL290" i="2"/>
  <c r="AN290" i="2"/>
  <c r="L282" i="2"/>
  <c r="E282" i="2"/>
  <c r="A307" i="10"/>
  <c r="D90" i="9"/>
  <c r="Q282" i="2"/>
  <c r="H282" i="2"/>
  <c r="O283" i="2"/>
  <c r="N283" i="2"/>
  <c r="F283" i="2"/>
  <c r="P283" i="2"/>
  <c r="A284" i="2"/>
  <c r="B283" i="2"/>
  <c r="AL291" i="2" l="1"/>
  <c r="AN291" i="2"/>
  <c r="AO283" i="2"/>
  <c r="AM283" i="2"/>
  <c r="AI284" i="2"/>
  <c r="AK284" i="2" s="1"/>
  <c r="AG284" i="2"/>
  <c r="D284" i="2" s="1"/>
  <c r="AQ284" i="2"/>
  <c r="M284" i="2" s="1"/>
  <c r="L283" i="2"/>
  <c r="E283" i="2"/>
  <c r="E90" i="9"/>
  <c r="A308" i="10"/>
  <c r="Q283" i="2"/>
  <c r="H283" i="2"/>
  <c r="P284" i="2"/>
  <c r="O284" i="2"/>
  <c r="N284" i="2"/>
  <c r="F284" i="2"/>
  <c r="B284" i="2"/>
  <c r="A285" i="2"/>
  <c r="AQ285" i="2" l="1"/>
  <c r="M285" i="2" s="1"/>
  <c r="AG285" i="2"/>
  <c r="D285" i="2" s="1"/>
  <c r="AI285" i="2"/>
  <c r="AK285" i="2" s="1"/>
  <c r="AL292" i="2"/>
  <c r="AN292" i="2"/>
  <c r="AM284" i="2"/>
  <c r="AO284" i="2"/>
  <c r="L284" i="2"/>
  <c r="E284" i="2"/>
  <c r="A309" i="10"/>
  <c r="F90" i="9"/>
  <c r="Q284" i="2"/>
  <c r="H284" i="2"/>
  <c r="P285" i="2"/>
  <c r="O285" i="2"/>
  <c r="N285" i="2"/>
  <c r="F285" i="2"/>
  <c r="B285" i="2"/>
  <c r="A286" i="2"/>
  <c r="AM285" i="2" l="1"/>
  <c r="AO285" i="2"/>
  <c r="AI286" i="2"/>
  <c r="AK286" i="2" s="1"/>
  <c r="AQ286" i="2"/>
  <c r="AG286" i="2"/>
  <c r="D286" i="2" s="1"/>
  <c r="AN293" i="2"/>
  <c r="AL293" i="2"/>
  <c r="L285" i="2"/>
  <c r="E285" i="2"/>
  <c r="G90" i="9"/>
  <c r="A310" i="10"/>
  <c r="Q285" i="2"/>
  <c r="H285" i="2"/>
  <c r="N286" i="2"/>
  <c r="F286" i="2"/>
  <c r="M286" i="2"/>
  <c r="P286" i="2"/>
  <c r="O286" i="2"/>
  <c r="B286" i="2"/>
  <c r="A287" i="2"/>
  <c r="AL294" i="2" l="1"/>
  <c r="AN294" i="2"/>
  <c r="AQ287" i="2"/>
  <c r="AG287" i="2"/>
  <c r="D287" i="2" s="1"/>
  <c r="AI287" i="2"/>
  <c r="AK287" i="2" s="1"/>
  <c r="AO286" i="2"/>
  <c r="AM286" i="2"/>
  <c r="L286" i="2"/>
  <c r="E286" i="2"/>
  <c r="A311" i="10"/>
  <c r="H90" i="9"/>
  <c r="Q286" i="2"/>
  <c r="H286" i="2"/>
  <c r="O287" i="2"/>
  <c r="N287" i="2"/>
  <c r="F287" i="2"/>
  <c r="M287" i="2"/>
  <c r="P287" i="2"/>
  <c r="B287" i="2"/>
  <c r="A288" i="2"/>
  <c r="AI288" i="2" l="1"/>
  <c r="AK288" i="2" s="1"/>
  <c r="AG288" i="2"/>
  <c r="D288" i="2" s="1"/>
  <c r="AQ288" i="2"/>
  <c r="M288" i="2" s="1"/>
  <c r="AO287" i="2"/>
  <c r="AM287" i="2"/>
  <c r="AN295" i="2"/>
  <c r="AL295" i="2"/>
  <c r="L287" i="2"/>
  <c r="E287" i="2"/>
  <c r="B92" i="9"/>
  <c r="A312" i="10"/>
  <c r="H287" i="2"/>
  <c r="Q287" i="2"/>
  <c r="P288" i="2"/>
  <c r="O288" i="2"/>
  <c r="N288" i="2"/>
  <c r="F288" i="2"/>
  <c r="A289" i="2"/>
  <c r="B288" i="2"/>
  <c r="AL296" i="2" l="1"/>
  <c r="AN296" i="2"/>
  <c r="AQ289" i="2"/>
  <c r="M289" i="2" s="1"/>
  <c r="AG289" i="2"/>
  <c r="D289" i="2" s="1"/>
  <c r="AI289" i="2"/>
  <c r="AK289" i="2" s="1"/>
  <c r="AM288" i="2"/>
  <c r="AO288" i="2"/>
  <c r="L288" i="2"/>
  <c r="E288" i="2"/>
  <c r="A313" i="10"/>
  <c r="C92" i="9"/>
  <c r="Q288" i="2"/>
  <c r="H288" i="2"/>
  <c r="P289" i="2"/>
  <c r="O289" i="2"/>
  <c r="F289" i="2"/>
  <c r="N289" i="2"/>
  <c r="B289" i="2"/>
  <c r="A290" i="2"/>
  <c r="L289" i="2" l="1"/>
  <c r="AI290" i="2"/>
  <c r="AK290" i="2" s="1"/>
  <c r="AG290" i="2"/>
  <c r="D290" i="2" s="1"/>
  <c r="AQ290" i="2"/>
  <c r="AM289" i="2"/>
  <c r="AO289" i="2"/>
  <c r="AL297" i="2"/>
  <c r="AN297" i="2"/>
  <c r="E289" i="2"/>
  <c r="D92" i="9"/>
  <c r="A314" i="10"/>
  <c r="Q289" i="2"/>
  <c r="H289" i="2"/>
  <c r="N290" i="2"/>
  <c r="F290" i="2"/>
  <c r="M290" i="2"/>
  <c r="P290" i="2"/>
  <c r="O290" i="2"/>
  <c r="A291" i="2"/>
  <c r="B290" i="2"/>
  <c r="L290" i="2" l="1"/>
  <c r="AQ291" i="2"/>
  <c r="M291" i="2" s="1"/>
  <c r="AG291" i="2"/>
  <c r="D291" i="2" s="1"/>
  <c r="AI291" i="2"/>
  <c r="AK291" i="2" s="1"/>
  <c r="AL298" i="2"/>
  <c r="AN298" i="2"/>
  <c r="AO290" i="2"/>
  <c r="AM290" i="2"/>
  <c r="E290" i="2"/>
  <c r="A315" i="10"/>
  <c r="E92" i="9"/>
  <c r="Q290" i="2"/>
  <c r="H290" i="2"/>
  <c r="O291" i="2"/>
  <c r="N291" i="2"/>
  <c r="F291" i="2"/>
  <c r="P291" i="2"/>
  <c r="B291" i="2"/>
  <c r="A292" i="2"/>
  <c r="AI292" i="2" l="1"/>
  <c r="AK292" i="2" s="1"/>
  <c r="AG292" i="2"/>
  <c r="D292" i="2" s="1"/>
  <c r="AQ292" i="2"/>
  <c r="M292" i="2" s="1"/>
  <c r="L291" i="2"/>
  <c r="AL299" i="2"/>
  <c r="AN299" i="2"/>
  <c r="AO291" i="2"/>
  <c r="AM291" i="2"/>
  <c r="E291" i="2"/>
  <c r="F92" i="9"/>
  <c r="A316" i="10"/>
  <c r="H291" i="2"/>
  <c r="Q291" i="2"/>
  <c r="P292" i="2"/>
  <c r="O292" i="2"/>
  <c r="N292" i="2"/>
  <c r="F292" i="2"/>
  <c r="A293" i="2"/>
  <c r="B292" i="2"/>
  <c r="AL300" i="2" l="1"/>
  <c r="AN300" i="2"/>
  <c r="AQ293" i="2"/>
  <c r="M293" i="2" s="1"/>
  <c r="AG293" i="2"/>
  <c r="D293" i="2" s="1"/>
  <c r="AI293" i="2"/>
  <c r="AK293" i="2" s="1"/>
  <c r="AM292" i="2"/>
  <c r="AO292" i="2"/>
  <c r="L292" i="2"/>
  <c r="E292" i="2"/>
  <c r="A317" i="10"/>
  <c r="G92" i="9"/>
  <c r="Q292" i="2"/>
  <c r="H292" i="2"/>
  <c r="P293" i="2"/>
  <c r="O293" i="2"/>
  <c r="N293" i="2"/>
  <c r="F293" i="2"/>
  <c r="A294" i="2"/>
  <c r="B293" i="2"/>
  <c r="AI294" i="2" l="1"/>
  <c r="AK294" i="2" s="1"/>
  <c r="AQ294" i="2"/>
  <c r="AG294" i="2"/>
  <c r="D294" i="2" s="1"/>
  <c r="AO293" i="2"/>
  <c r="AM293" i="2"/>
  <c r="AL301" i="2"/>
  <c r="AN301" i="2"/>
  <c r="L293" i="2"/>
  <c r="E293" i="2"/>
  <c r="H92" i="9"/>
  <c r="A318" i="10"/>
  <c r="Q293" i="2"/>
  <c r="H293" i="2"/>
  <c r="N294" i="2"/>
  <c r="F294" i="2"/>
  <c r="M294" i="2"/>
  <c r="P294" i="2"/>
  <c r="O294" i="2"/>
  <c r="A295" i="2"/>
  <c r="B294" i="2"/>
  <c r="AL302" i="2" l="1"/>
  <c r="AN302" i="2"/>
  <c r="AM294" i="2"/>
  <c r="AO294" i="2"/>
  <c r="AQ295" i="2"/>
  <c r="AG295" i="2"/>
  <c r="D295" i="2" s="1"/>
  <c r="AI295" i="2"/>
  <c r="AK295" i="2" s="1"/>
  <c r="L294" i="2"/>
  <c r="E294" i="2"/>
  <c r="A319" i="10"/>
  <c r="B94" i="9"/>
  <c r="Q294" i="2"/>
  <c r="H294" i="2"/>
  <c r="O295" i="2"/>
  <c r="N295" i="2"/>
  <c r="F295" i="2"/>
  <c r="M295" i="2"/>
  <c r="P295" i="2"/>
  <c r="A296" i="2"/>
  <c r="B295" i="2"/>
  <c r="AO295" i="2" l="1"/>
  <c r="AM295" i="2"/>
  <c r="AI296" i="2"/>
  <c r="AK296" i="2" s="1"/>
  <c r="AG296" i="2"/>
  <c r="D296" i="2" s="1"/>
  <c r="AQ296" i="2"/>
  <c r="M296" i="2" s="1"/>
  <c r="AL303" i="2"/>
  <c r="AN303" i="2"/>
  <c r="L295" i="2"/>
  <c r="E295" i="2"/>
  <c r="C94" i="9"/>
  <c r="A320" i="10"/>
  <c r="H295" i="2"/>
  <c r="Q295" i="2"/>
  <c r="P296" i="2"/>
  <c r="O296" i="2"/>
  <c r="N296" i="2"/>
  <c r="F296" i="2"/>
  <c r="A297" i="2"/>
  <c r="B296" i="2"/>
  <c r="AQ297" i="2" l="1"/>
  <c r="AG297" i="2"/>
  <c r="D297" i="2" s="1"/>
  <c r="AI297" i="2"/>
  <c r="AK297" i="2" s="1"/>
  <c r="AL304" i="2"/>
  <c r="AN304" i="2"/>
  <c r="AM296" i="2"/>
  <c r="AO296" i="2"/>
  <c r="L296" i="2"/>
  <c r="E296" i="2"/>
  <c r="A321" i="10"/>
  <c r="D94" i="9"/>
  <c r="Q296" i="2"/>
  <c r="H296" i="2"/>
  <c r="M297" i="2"/>
  <c r="P297" i="2"/>
  <c r="O297" i="2"/>
  <c r="N297" i="2"/>
  <c r="F297" i="2"/>
  <c r="B297" i="2"/>
  <c r="A298" i="2"/>
  <c r="AM297" i="2" l="1"/>
  <c r="AO297" i="2"/>
  <c r="AI298" i="2"/>
  <c r="AK298" i="2" s="1"/>
  <c r="AG298" i="2"/>
  <c r="D298" i="2" s="1"/>
  <c r="AQ298" i="2"/>
  <c r="AL305" i="2"/>
  <c r="AN305" i="2"/>
  <c r="L297" i="2"/>
  <c r="E297" i="2"/>
  <c r="E94" i="9"/>
  <c r="A322" i="10"/>
  <c r="Q297" i="2"/>
  <c r="H297" i="2"/>
  <c r="N298" i="2"/>
  <c r="F298" i="2"/>
  <c r="M298" i="2"/>
  <c r="P298" i="2"/>
  <c r="O298" i="2"/>
  <c r="A299" i="2"/>
  <c r="B298" i="2"/>
  <c r="AL306" i="2" l="1"/>
  <c r="AN306" i="2"/>
  <c r="AO298" i="2"/>
  <c r="AM298" i="2"/>
  <c r="AQ299" i="2"/>
  <c r="AG299" i="2"/>
  <c r="D299" i="2" s="1"/>
  <c r="AI299" i="2"/>
  <c r="AK299" i="2" s="1"/>
  <c r="L298" i="2"/>
  <c r="E298" i="2"/>
  <c r="A323" i="10"/>
  <c r="F94" i="9"/>
  <c r="Q298" i="2"/>
  <c r="H298" i="2"/>
  <c r="O299" i="2"/>
  <c r="N299" i="2"/>
  <c r="F299" i="2"/>
  <c r="M299" i="2"/>
  <c r="P299" i="2"/>
  <c r="B299" i="2"/>
  <c r="A300" i="2"/>
  <c r="AI300" i="2" l="1"/>
  <c r="AK300" i="2" s="1"/>
  <c r="AG300" i="2"/>
  <c r="D300" i="2" s="1"/>
  <c r="AQ300" i="2"/>
  <c r="M300" i="2" s="1"/>
  <c r="AL307" i="2"/>
  <c r="AN307" i="2"/>
  <c r="AO299" i="2"/>
  <c r="AM299" i="2"/>
  <c r="L299" i="2"/>
  <c r="E299" i="2"/>
  <c r="G94" i="9"/>
  <c r="A324" i="10"/>
  <c r="Q299" i="2"/>
  <c r="H299" i="2"/>
  <c r="P300" i="2"/>
  <c r="O300" i="2"/>
  <c r="N300" i="2"/>
  <c r="F300" i="2"/>
  <c r="A301" i="2"/>
  <c r="B300" i="2"/>
  <c r="AM300" i="2" l="1"/>
  <c r="AO300" i="2"/>
  <c r="AQ301" i="2"/>
  <c r="M301" i="2" s="1"/>
  <c r="AG301" i="2"/>
  <c r="D301" i="2" s="1"/>
  <c r="AI301" i="2"/>
  <c r="AK301" i="2" s="1"/>
  <c r="AL308" i="2"/>
  <c r="AN308" i="2"/>
  <c r="L300" i="2"/>
  <c r="E300" i="2"/>
  <c r="A325" i="10"/>
  <c r="H94" i="9"/>
  <c r="Q300" i="2"/>
  <c r="H300" i="2"/>
  <c r="P301" i="2"/>
  <c r="O301" i="2"/>
  <c r="N301" i="2"/>
  <c r="F301" i="2"/>
  <c r="A302" i="2"/>
  <c r="B301" i="2"/>
  <c r="AL309" i="2" l="1"/>
  <c r="AN309" i="2"/>
  <c r="AM301" i="2"/>
  <c r="AO301" i="2"/>
  <c r="AI302" i="2"/>
  <c r="AK302" i="2" s="1"/>
  <c r="AQ302" i="2"/>
  <c r="AG302" i="2"/>
  <c r="D302" i="2" s="1"/>
  <c r="L301" i="2"/>
  <c r="E301" i="2"/>
  <c r="B96" i="9"/>
  <c r="A326" i="10"/>
  <c r="Q301" i="2"/>
  <c r="H301" i="2"/>
  <c r="N302" i="2"/>
  <c r="F302" i="2"/>
  <c r="M302" i="2"/>
  <c r="P302" i="2"/>
  <c r="O302" i="2"/>
  <c r="A303" i="2"/>
  <c r="B302" i="2"/>
  <c r="AM302" i="2" l="1"/>
  <c r="AO302" i="2"/>
  <c r="AQ303" i="2"/>
  <c r="AG303" i="2"/>
  <c r="D303" i="2" s="1"/>
  <c r="AI303" i="2"/>
  <c r="AK303" i="2" s="1"/>
  <c r="AL310" i="2"/>
  <c r="AN310" i="2"/>
  <c r="L302" i="2"/>
  <c r="E302" i="2"/>
  <c r="C96" i="9"/>
  <c r="A327" i="10"/>
  <c r="Q302" i="2"/>
  <c r="H302" i="2"/>
  <c r="O303" i="2"/>
  <c r="N303" i="2"/>
  <c r="F303" i="2"/>
  <c r="M303" i="2"/>
  <c r="P303" i="2"/>
  <c r="A304" i="2"/>
  <c r="B303" i="2"/>
  <c r="AI304" i="2" l="1"/>
  <c r="AK304" i="2" s="1"/>
  <c r="AG304" i="2"/>
  <c r="D304" i="2" s="1"/>
  <c r="AQ304" i="2"/>
  <c r="M304" i="2" s="1"/>
  <c r="AL311" i="2"/>
  <c r="AN311" i="2"/>
  <c r="AM303" i="2"/>
  <c r="AO303" i="2"/>
  <c r="L303" i="2"/>
  <c r="E303" i="2"/>
  <c r="A328" i="10"/>
  <c r="D96" i="9"/>
  <c r="H303" i="2"/>
  <c r="Q303" i="2"/>
  <c r="P304" i="2"/>
  <c r="O304" i="2"/>
  <c r="N304" i="2"/>
  <c r="F304" i="2"/>
  <c r="B304" i="2"/>
  <c r="A305" i="2"/>
  <c r="AO304" i="2" l="1"/>
  <c r="AM304" i="2"/>
  <c r="AQ305" i="2"/>
  <c r="M305" i="2" s="1"/>
  <c r="AG305" i="2"/>
  <c r="D305" i="2" s="1"/>
  <c r="AI305" i="2"/>
  <c r="AK305" i="2" s="1"/>
  <c r="AL312" i="2"/>
  <c r="AN312" i="2"/>
  <c r="L304" i="2"/>
  <c r="E304" i="2"/>
  <c r="E96" i="9"/>
  <c r="A329" i="10"/>
  <c r="Q304" i="2"/>
  <c r="H304" i="2"/>
  <c r="P305" i="2"/>
  <c r="O305" i="2"/>
  <c r="F305" i="2"/>
  <c r="N305" i="2"/>
  <c r="B305" i="2"/>
  <c r="A306" i="2"/>
  <c r="AL313" i="2" l="1"/>
  <c r="AN313" i="2"/>
  <c r="AM305" i="2"/>
  <c r="AO305" i="2"/>
  <c r="AI306" i="2"/>
  <c r="AK306" i="2" s="1"/>
  <c r="AG306" i="2"/>
  <c r="D306" i="2" s="1"/>
  <c r="AQ306" i="2"/>
  <c r="M306" i="2" s="1"/>
  <c r="L305" i="2"/>
  <c r="E305" i="2"/>
  <c r="A330" i="10"/>
  <c r="F96" i="9"/>
  <c r="Q305" i="2"/>
  <c r="H305" i="2"/>
  <c r="N306" i="2"/>
  <c r="F306" i="2"/>
  <c r="P306" i="2"/>
  <c r="O306" i="2"/>
  <c r="B306" i="2"/>
  <c r="A307" i="2"/>
  <c r="AQ307" i="2" l="1"/>
  <c r="AG307" i="2"/>
  <c r="D307" i="2" s="1"/>
  <c r="AI307" i="2"/>
  <c r="AK307" i="2" s="1"/>
  <c r="AO306" i="2"/>
  <c r="AM306" i="2"/>
  <c r="AL314" i="2"/>
  <c r="AN314" i="2"/>
  <c r="L306" i="2"/>
  <c r="E306" i="2"/>
  <c r="G96" i="9"/>
  <c r="A331" i="10"/>
  <c r="Q306" i="2"/>
  <c r="H306" i="2"/>
  <c r="O307" i="2"/>
  <c r="N307" i="2"/>
  <c r="F307" i="2"/>
  <c r="M307" i="2"/>
  <c r="P307" i="2"/>
  <c r="A308" i="2"/>
  <c r="B307" i="2"/>
  <c r="AL315" i="2" l="1"/>
  <c r="AN315" i="2"/>
  <c r="AO307" i="2"/>
  <c r="AM307" i="2"/>
  <c r="AI308" i="2"/>
  <c r="AK308" i="2" s="1"/>
  <c r="AG308" i="2"/>
  <c r="D308" i="2" s="1"/>
  <c r="AQ308" i="2"/>
  <c r="M308" i="2" s="1"/>
  <c r="L307" i="2"/>
  <c r="E307" i="2"/>
  <c r="A332" i="10"/>
  <c r="H96" i="9"/>
  <c r="H307" i="2"/>
  <c r="Q307" i="2"/>
  <c r="P308" i="2"/>
  <c r="O308" i="2"/>
  <c r="N308" i="2"/>
  <c r="F308" i="2"/>
  <c r="B308" i="2"/>
  <c r="A309" i="2"/>
  <c r="AQ309" i="2" l="1"/>
  <c r="AG309" i="2"/>
  <c r="D309" i="2" s="1"/>
  <c r="AI309" i="2"/>
  <c r="AK309" i="2" s="1"/>
  <c r="AL316" i="2"/>
  <c r="AN316" i="2"/>
  <c r="AO308" i="2"/>
  <c r="AM308" i="2"/>
  <c r="L308" i="2"/>
  <c r="E308" i="2"/>
  <c r="B98" i="9"/>
  <c r="A333" i="10"/>
  <c r="Q308" i="2"/>
  <c r="H308" i="2"/>
  <c r="P309" i="2"/>
  <c r="O309" i="2"/>
  <c r="N309" i="2"/>
  <c r="M309" i="2"/>
  <c r="F309" i="2"/>
  <c r="A310" i="2"/>
  <c r="B309" i="2"/>
  <c r="AM309" i="2" l="1"/>
  <c r="AO309" i="2"/>
  <c r="AI310" i="2"/>
  <c r="AK310" i="2" s="1"/>
  <c r="AQ310" i="2"/>
  <c r="M310" i="2" s="1"/>
  <c r="AG310" i="2"/>
  <c r="D310" i="2" s="1"/>
  <c r="AN317" i="2"/>
  <c r="AL317" i="2"/>
  <c r="L309" i="2"/>
  <c r="E309" i="2"/>
  <c r="A334" i="10"/>
  <c r="C98" i="9"/>
  <c r="Q309" i="2"/>
  <c r="H309" i="2"/>
  <c r="N310" i="2"/>
  <c r="O310" i="2"/>
  <c r="P310" i="2"/>
  <c r="F310" i="2"/>
  <c r="B310" i="2"/>
  <c r="A311" i="2"/>
  <c r="AL318" i="2" l="1"/>
  <c r="AN318" i="2"/>
  <c r="AM310" i="2"/>
  <c r="AO310" i="2"/>
  <c r="AI311" i="2"/>
  <c r="AK311" i="2" s="1"/>
  <c r="AG311" i="2"/>
  <c r="D311" i="2" s="1"/>
  <c r="AQ311" i="2"/>
  <c r="M311" i="2" s="1"/>
  <c r="L310" i="2"/>
  <c r="E310" i="2"/>
  <c r="D98" i="9"/>
  <c r="A335" i="10"/>
  <c r="Q310" i="2"/>
  <c r="H310" i="2"/>
  <c r="N311" i="2"/>
  <c r="F311" i="2"/>
  <c r="P311" i="2"/>
  <c r="O311" i="2"/>
  <c r="A312" i="2"/>
  <c r="B311" i="2"/>
  <c r="AO311" i="2" l="1"/>
  <c r="AM311" i="2"/>
  <c r="AL319" i="2"/>
  <c r="AN319" i="2"/>
  <c r="AQ312" i="2"/>
  <c r="AG312" i="2"/>
  <c r="D312" i="2" s="1"/>
  <c r="AI312" i="2"/>
  <c r="AK312" i="2" s="1"/>
  <c r="L311" i="2"/>
  <c r="E311" i="2"/>
  <c r="A336" i="10"/>
  <c r="E98" i="9"/>
  <c r="H311" i="2"/>
  <c r="Q311" i="2"/>
  <c r="O312" i="2"/>
  <c r="N312" i="2"/>
  <c r="F312" i="2"/>
  <c r="P312" i="2"/>
  <c r="M312" i="2"/>
  <c r="B312" i="2"/>
  <c r="A313" i="2"/>
  <c r="AQ313" i="2" l="1"/>
  <c r="M313" i="2" s="1"/>
  <c r="AI313" i="2"/>
  <c r="AK313" i="2" s="1"/>
  <c r="AG313" i="2"/>
  <c r="D313" i="2" s="1"/>
  <c r="AL320" i="2"/>
  <c r="AN320" i="2"/>
  <c r="AM312" i="2"/>
  <c r="AO312" i="2"/>
  <c r="L312" i="2"/>
  <c r="E312" i="2"/>
  <c r="F98" i="9"/>
  <c r="A337" i="10"/>
  <c r="Q312" i="2"/>
  <c r="H312" i="2"/>
  <c r="P313" i="2"/>
  <c r="O313" i="2"/>
  <c r="F313" i="2"/>
  <c r="N313" i="2"/>
  <c r="A314" i="2"/>
  <c r="B313" i="2"/>
  <c r="AM313" i="2" l="1"/>
  <c r="AO313" i="2"/>
  <c r="AI314" i="2"/>
  <c r="AK314" i="2" s="1"/>
  <c r="AQ314" i="2"/>
  <c r="M314" i="2" s="1"/>
  <c r="AG314" i="2"/>
  <c r="D314" i="2" s="1"/>
  <c r="AN321" i="2"/>
  <c r="AL321" i="2"/>
  <c r="L313" i="2"/>
  <c r="E313" i="2"/>
  <c r="A338" i="10"/>
  <c r="G98" i="9"/>
  <c r="Q313" i="2"/>
  <c r="H313" i="2"/>
  <c r="P314" i="2"/>
  <c r="F314" i="2"/>
  <c r="O314" i="2"/>
  <c r="N314" i="2"/>
  <c r="B314" i="2"/>
  <c r="A315" i="2"/>
  <c r="AL322" i="2" l="1"/>
  <c r="AN322" i="2"/>
  <c r="AQ315" i="2"/>
  <c r="AG315" i="2"/>
  <c r="D315" i="2" s="1"/>
  <c r="AI315" i="2"/>
  <c r="AK315" i="2" s="1"/>
  <c r="AO314" i="2"/>
  <c r="AM314" i="2"/>
  <c r="L314" i="2"/>
  <c r="E314" i="2"/>
  <c r="H98" i="9"/>
  <c r="A339" i="10"/>
  <c r="Q314" i="2"/>
  <c r="H314" i="2"/>
  <c r="N315" i="2"/>
  <c r="F315" i="2"/>
  <c r="M315" i="2"/>
  <c r="O315" i="2"/>
  <c r="P315" i="2"/>
  <c r="B315" i="2"/>
  <c r="A316" i="2"/>
  <c r="AO315" i="2" l="1"/>
  <c r="AM315" i="2"/>
  <c r="AI316" i="2"/>
  <c r="AK316" i="2" s="1"/>
  <c r="AQ316" i="2"/>
  <c r="M316" i="2" s="1"/>
  <c r="AG316" i="2"/>
  <c r="D316" i="2" s="1"/>
  <c r="AN323" i="2"/>
  <c r="AL323" i="2"/>
  <c r="L315" i="2"/>
  <c r="E315" i="2"/>
  <c r="A340" i="10"/>
  <c r="B100" i="9"/>
  <c r="Q315" i="2"/>
  <c r="H315" i="2"/>
  <c r="O316" i="2"/>
  <c r="N316" i="2"/>
  <c r="F316" i="2"/>
  <c r="P316" i="2"/>
  <c r="B316" i="2"/>
  <c r="A317" i="2"/>
  <c r="AM316" i="2" l="1"/>
  <c r="AO316" i="2"/>
  <c r="AN324" i="2"/>
  <c r="AL324" i="2"/>
  <c r="AQ317" i="2"/>
  <c r="AG317" i="2"/>
  <c r="D317" i="2" s="1"/>
  <c r="AI317" i="2"/>
  <c r="AK317" i="2" s="1"/>
  <c r="L316" i="2"/>
  <c r="E316" i="2"/>
  <c r="C100" i="9"/>
  <c r="A341" i="10"/>
  <c r="Q316" i="2"/>
  <c r="H316" i="2"/>
  <c r="P317" i="2"/>
  <c r="O317" i="2"/>
  <c r="N317" i="2"/>
  <c r="F317" i="2"/>
  <c r="M317" i="2"/>
  <c r="B317" i="2"/>
  <c r="A318" i="2"/>
  <c r="N318" i="2" l="1"/>
  <c r="O318" i="2"/>
  <c r="Q318" i="2"/>
  <c r="P318" i="2"/>
  <c r="H318" i="2"/>
  <c r="F318" i="2"/>
  <c r="AM317" i="2"/>
  <c r="AO317" i="2"/>
  <c r="AI318" i="2"/>
  <c r="AQ318" i="2"/>
  <c r="M318" i="2" s="1"/>
  <c r="AG318" i="2"/>
  <c r="AL325" i="2"/>
  <c r="AN325" i="2"/>
  <c r="L317" i="2"/>
  <c r="E317" i="2"/>
  <c r="A342" i="10"/>
  <c r="D100" i="9"/>
  <c r="Q317" i="2"/>
  <c r="H317" i="2"/>
  <c r="B318" i="2"/>
  <c r="A319" i="2"/>
  <c r="P319" i="2" l="1"/>
  <c r="F319" i="2"/>
  <c r="N319" i="2"/>
  <c r="Q319" i="2"/>
  <c r="H319" i="2"/>
  <c r="O319" i="2"/>
  <c r="AK318" i="2"/>
  <c r="I318" i="2" s="1"/>
  <c r="L318" i="2"/>
  <c r="D318" i="2"/>
  <c r="E318" i="2"/>
  <c r="AN326" i="2"/>
  <c r="AL326" i="2"/>
  <c r="AM318" i="2"/>
  <c r="J318" i="2" s="1"/>
  <c r="AO318" i="2"/>
  <c r="K318" i="2" s="1"/>
  <c r="AQ319" i="2"/>
  <c r="M319" i="2" s="1"/>
  <c r="AG319" i="2"/>
  <c r="AI319" i="2"/>
  <c r="E100" i="9"/>
  <c r="A343" i="10"/>
  <c r="B319" i="2"/>
  <c r="A320" i="2"/>
  <c r="N320" i="2" l="1"/>
  <c r="H320" i="2"/>
  <c r="O320" i="2"/>
  <c r="Q320" i="2"/>
  <c r="F320" i="2"/>
  <c r="P320" i="2"/>
  <c r="D319" i="2"/>
  <c r="E319" i="2"/>
  <c r="AK319" i="2"/>
  <c r="I319" i="2" s="1"/>
  <c r="L319" i="2"/>
  <c r="AO319" i="2"/>
  <c r="K319" i="2" s="1"/>
  <c r="AM319" i="2"/>
  <c r="J319" i="2" s="1"/>
  <c r="AL327" i="2"/>
  <c r="AN327" i="2"/>
  <c r="AI320" i="2"/>
  <c r="AQ320" i="2"/>
  <c r="M320" i="2" s="1"/>
  <c r="AG320" i="2"/>
  <c r="A344" i="10"/>
  <c r="F100" i="9"/>
  <c r="B320" i="2"/>
  <c r="A321" i="2"/>
  <c r="P321" i="2" l="1"/>
  <c r="F321" i="2"/>
  <c r="H321" i="2"/>
  <c r="O321" i="2"/>
  <c r="Q321" i="2"/>
  <c r="N321" i="2"/>
  <c r="AK320" i="2"/>
  <c r="I320" i="2" s="1"/>
  <c r="L320" i="2"/>
  <c r="D320" i="2"/>
  <c r="E320" i="2"/>
  <c r="AN328" i="2"/>
  <c r="AL328" i="2"/>
  <c r="AO320" i="2"/>
  <c r="K320" i="2" s="1"/>
  <c r="AM320" i="2"/>
  <c r="J320" i="2" s="1"/>
  <c r="AQ321" i="2"/>
  <c r="M321" i="2" s="1"/>
  <c r="AG321" i="2"/>
  <c r="AI321" i="2"/>
  <c r="G100" i="9"/>
  <c r="A345" i="10"/>
  <c r="A322" i="2"/>
  <c r="B321" i="2"/>
  <c r="N322" i="2" l="1"/>
  <c r="Q322" i="2"/>
  <c r="F322" i="2"/>
  <c r="O322" i="2"/>
  <c r="H322" i="2"/>
  <c r="P322" i="2"/>
  <c r="AK321" i="2"/>
  <c r="I321" i="2" s="1"/>
  <c r="L321" i="2"/>
  <c r="E321" i="2"/>
  <c r="D321" i="2"/>
  <c r="AI322" i="2"/>
  <c r="AQ322" i="2"/>
  <c r="M322" i="2" s="1"/>
  <c r="AG322" i="2"/>
  <c r="AL329" i="2"/>
  <c r="AN329" i="2"/>
  <c r="AM321" i="2"/>
  <c r="J321" i="2" s="1"/>
  <c r="AO321" i="2"/>
  <c r="K321" i="2" s="1"/>
  <c r="A346" i="10"/>
  <c r="H100" i="9"/>
  <c r="B322" i="2"/>
  <c r="A323" i="2"/>
  <c r="P323" i="2" l="1"/>
  <c r="F323" i="2"/>
  <c r="Q323" i="2"/>
  <c r="O323" i="2"/>
  <c r="N323" i="2"/>
  <c r="H323" i="2"/>
  <c r="E322" i="2"/>
  <c r="D322" i="2"/>
  <c r="AK322" i="2"/>
  <c r="I322" i="2" s="1"/>
  <c r="L322" i="2"/>
  <c r="AM322" i="2"/>
  <c r="J322" i="2" s="1"/>
  <c r="AO322" i="2"/>
  <c r="K322" i="2" s="1"/>
  <c r="AQ323" i="2"/>
  <c r="M323" i="2" s="1"/>
  <c r="AG323" i="2"/>
  <c r="AI323" i="2"/>
  <c r="AN330" i="2"/>
  <c r="AL330" i="2"/>
  <c r="B102" i="9"/>
  <c r="A347" i="10"/>
  <c r="B323" i="2"/>
  <c r="A324" i="2"/>
  <c r="N324" i="2" l="1"/>
  <c r="P324" i="2"/>
  <c r="H324" i="2"/>
  <c r="Q324" i="2"/>
  <c r="F324" i="2"/>
  <c r="O324" i="2"/>
  <c r="D323" i="2"/>
  <c r="E323" i="2"/>
  <c r="AK323" i="2"/>
  <c r="I323" i="2" s="1"/>
  <c r="L323" i="2"/>
  <c r="AL331" i="2"/>
  <c r="AN331" i="2"/>
  <c r="AI324" i="2"/>
  <c r="AQ324" i="2"/>
  <c r="M324" i="2" s="1"/>
  <c r="AG324" i="2"/>
  <c r="AO323" i="2"/>
  <c r="K323" i="2" s="1"/>
  <c r="AM323" i="2"/>
  <c r="J323" i="2" s="1"/>
  <c r="A348" i="10"/>
  <c r="C102" i="9"/>
  <c r="A325" i="2"/>
  <c r="B324" i="2"/>
  <c r="P325" i="2" l="1"/>
  <c r="F325" i="2"/>
  <c r="O325" i="2"/>
  <c r="N325" i="2"/>
  <c r="H325" i="2"/>
  <c r="Q325" i="2"/>
  <c r="AK324" i="2"/>
  <c r="I324" i="2" s="1"/>
  <c r="L324" i="2"/>
  <c r="E324" i="2"/>
  <c r="D324" i="2"/>
  <c r="AQ325" i="2"/>
  <c r="M325" i="2" s="1"/>
  <c r="AG325" i="2"/>
  <c r="AI325" i="2"/>
  <c r="AM324" i="2"/>
  <c r="J324" i="2" s="1"/>
  <c r="AO324" i="2"/>
  <c r="K324" i="2" s="1"/>
  <c r="AL332" i="2"/>
  <c r="AN332" i="2"/>
  <c r="D102" i="9"/>
  <c r="A349" i="10"/>
  <c r="B325" i="2"/>
  <c r="A326" i="2"/>
  <c r="N326" i="2" l="1"/>
  <c r="O326" i="2"/>
  <c r="F326" i="2"/>
  <c r="P326" i="2"/>
  <c r="H326" i="2"/>
  <c r="Q326" i="2"/>
  <c r="AK325" i="2"/>
  <c r="I325" i="2" s="1"/>
  <c r="L325" i="2"/>
  <c r="D325" i="2"/>
  <c r="E325" i="2"/>
  <c r="AL333" i="2"/>
  <c r="AN333" i="2"/>
  <c r="AI326" i="2"/>
  <c r="AQ326" i="2"/>
  <c r="M326" i="2" s="1"/>
  <c r="AG326" i="2"/>
  <c r="AO325" i="2"/>
  <c r="K325" i="2" s="1"/>
  <c r="AM325" i="2"/>
  <c r="J325" i="2" s="1"/>
  <c r="A350" i="10"/>
  <c r="E102" i="9"/>
  <c r="B326" i="2"/>
  <c r="A327" i="2"/>
  <c r="P327" i="2" l="1"/>
  <c r="F327" i="2"/>
  <c r="N327" i="2"/>
  <c r="Q327" i="2"/>
  <c r="H327" i="2"/>
  <c r="O327" i="2"/>
  <c r="E326" i="2"/>
  <c r="D326" i="2"/>
  <c r="AK326" i="2"/>
  <c r="I326" i="2" s="1"/>
  <c r="L326" i="2"/>
  <c r="AO326" i="2"/>
  <c r="K326" i="2" s="1"/>
  <c r="AM326" i="2"/>
  <c r="J326" i="2" s="1"/>
  <c r="AL334" i="2"/>
  <c r="AN334" i="2"/>
  <c r="AQ327" i="2"/>
  <c r="M327" i="2" s="1"/>
  <c r="AG327" i="2"/>
  <c r="AI327" i="2"/>
  <c r="F102" i="9"/>
  <c r="A351" i="10"/>
  <c r="B327" i="2"/>
  <c r="A328" i="2"/>
  <c r="N328" i="2" l="1"/>
  <c r="H328" i="2"/>
  <c r="O328" i="2"/>
  <c r="Q328" i="2"/>
  <c r="F328" i="2"/>
  <c r="P328" i="2"/>
  <c r="AK327" i="2"/>
  <c r="I327" i="2" s="1"/>
  <c r="L327" i="2"/>
  <c r="D327" i="2"/>
  <c r="E327" i="2"/>
  <c r="AL335" i="2"/>
  <c r="AN335" i="2"/>
  <c r="AO327" i="2"/>
  <c r="K327" i="2" s="1"/>
  <c r="AM327" i="2"/>
  <c r="J327" i="2" s="1"/>
  <c r="AI328" i="2"/>
  <c r="AQ328" i="2"/>
  <c r="M328" i="2" s="1"/>
  <c r="AG328" i="2"/>
  <c r="A352" i="10"/>
  <c r="G102" i="9"/>
  <c r="A329" i="2"/>
  <c r="B328" i="2"/>
  <c r="P329" i="2" l="1"/>
  <c r="F329" i="2"/>
  <c r="H329" i="2"/>
  <c r="O329" i="2"/>
  <c r="Q329" i="2"/>
  <c r="N329" i="2"/>
  <c r="E328" i="2"/>
  <c r="D328" i="2"/>
  <c r="AK328" i="2"/>
  <c r="I328" i="2" s="1"/>
  <c r="L328" i="2"/>
  <c r="AQ329" i="2"/>
  <c r="M329" i="2" s="1"/>
  <c r="AG329" i="2"/>
  <c r="AI329" i="2"/>
  <c r="AN336" i="2"/>
  <c r="AL336" i="2"/>
  <c r="AO328" i="2"/>
  <c r="K328" i="2" s="1"/>
  <c r="AM328" i="2"/>
  <c r="J328" i="2" s="1"/>
  <c r="H102" i="9"/>
  <c r="A353" i="10"/>
  <c r="T329" i="2"/>
  <c r="B329" i="2"/>
  <c r="A330" i="2"/>
  <c r="N330" i="2" l="1"/>
  <c r="Q330" i="2"/>
  <c r="F330" i="2"/>
  <c r="H330" i="2"/>
  <c r="P330" i="2"/>
  <c r="O330" i="2"/>
  <c r="D329" i="2"/>
  <c r="E329" i="2"/>
  <c r="AK329" i="2"/>
  <c r="I329" i="2" s="1"/>
  <c r="L329" i="2"/>
  <c r="AO329" i="2"/>
  <c r="K329" i="2" s="1"/>
  <c r="AM329" i="2"/>
  <c r="J329" i="2" s="1"/>
  <c r="AL337" i="2"/>
  <c r="AN337" i="2"/>
  <c r="AI330" i="2"/>
  <c r="AQ330" i="2"/>
  <c r="M330" i="2" s="1"/>
  <c r="AG330" i="2"/>
  <c r="A354" i="10"/>
  <c r="B104" i="9"/>
  <c r="T330" i="2"/>
  <c r="A331" i="2"/>
  <c r="B330" i="2"/>
  <c r="P331" i="2" l="1"/>
  <c r="F331" i="2"/>
  <c r="Q331" i="2"/>
  <c r="O331" i="2"/>
  <c r="N331" i="2"/>
  <c r="H331" i="2"/>
  <c r="AK330" i="2"/>
  <c r="I330" i="2" s="1"/>
  <c r="L330" i="2"/>
  <c r="E330" i="2"/>
  <c r="D330" i="2"/>
  <c r="AN338" i="2"/>
  <c r="AL338" i="2"/>
  <c r="AM330" i="2"/>
  <c r="J330" i="2" s="1"/>
  <c r="AO330" i="2"/>
  <c r="K330" i="2" s="1"/>
  <c r="AQ331" i="2"/>
  <c r="M331" i="2" s="1"/>
  <c r="AG331" i="2"/>
  <c r="AI331" i="2"/>
  <c r="C104" i="9"/>
  <c r="A355" i="10"/>
  <c r="T331" i="2"/>
  <c r="B331" i="2"/>
  <c r="A332" i="2"/>
  <c r="N332" i="2" l="1"/>
  <c r="P332" i="2"/>
  <c r="F332" i="2"/>
  <c r="O332" i="2"/>
  <c r="H332" i="2"/>
  <c r="Q332" i="2"/>
  <c r="AK331" i="2"/>
  <c r="I331" i="2" s="1"/>
  <c r="L331" i="2"/>
  <c r="E331" i="2"/>
  <c r="D331" i="2"/>
  <c r="AO331" i="2"/>
  <c r="K331" i="2" s="1"/>
  <c r="AM331" i="2"/>
  <c r="J331" i="2" s="1"/>
  <c r="AL339" i="2"/>
  <c r="AN339" i="2"/>
  <c r="AI332" i="2"/>
  <c r="AQ332" i="2"/>
  <c r="M332" i="2" s="1"/>
  <c r="AG332" i="2"/>
  <c r="A356" i="10"/>
  <c r="D104" i="9"/>
  <c r="T332" i="2"/>
  <c r="A333" i="2"/>
  <c r="B332" i="2"/>
  <c r="P333" i="2" l="1"/>
  <c r="F333" i="2"/>
  <c r="O333" i="2"/>
  <c r="Q333" i="2"/>
  <c r="N333" i="2"/>
  <c r="H333" i="2"/>
  <c r="D332" i="2"/>
  <c r="E332" i="2"/>
  <c r="AK332" i="2"/>
  <c r="I332" i="2" s="1"/>
  <c r="L332" i="2"/>
  <c r="AN340" i="2"/>
  <c r="AL340" i="2"/>
  <c r="AO332" i="2"/>
  <c r="K332" i="2" s="1"/>
  <c r="AM332" i="2"/>
  <c r="J332" i="2" s="1"/>
  <c r="AQ333" i="2"/>
  <c r="M333" i="2" s="1"/>
  <c r="AG333" i="2"/>
  <c r="AI333" i="2"/>
  <c r="E104" i="9"/>
  <c r="A357" i="10"/>
  <c r="T333" i="2"/>
  <c r="B333" i="2"/>
  <c r="A334" i="2"/>
  <c r="N334" i="2" l="1"/>
  <c r="O334" i="2"/>
  <c r="H334" i="2"/>
  <c r="Q334" i="2"/>
  <c r="F334" i="2"/>
  <c r="P334" i="2"/>
  <c r="E333" i="2"/>
  <c r="D333" i="2"/>
  <c r="AK333" i="2"/>
  <c r="I333" i="2" s="1"/>
  <c r="L333" i="2"/>
  <c r="AN341" i="2"/>
  <c r="AL341" i="2"/>
  <c r="AI334" i="2"/>
  <c r="AQ334" i="2"/>
  <c r="M334" i="2" s="1"/>
  <c r="AG334" i="2"/>
  <c r="AO333" i="2"/>
  <c r="K333" i="2" s="1"/>
  <c r="AM333" i="2"/>
  <c r="J333" i="2" s="1"/>
  <c r="A358" i="10"/>
  <c r="F104" i="9"/>
  <c r="T334" i="2"/>
  <c r="B334" i="2"/>
  <c r="A335" i="2"/>
  <c r="P335" i="2" l="1"/>
  <c r="F335" i="2"/>
  <c r="N335" i="2"/>
  <c r="O335" i="2"/>
  <c r="H335" i="2"/>
  <c r="Q335" i="2"/>
  <c r="AK334" i="2"/>
  <c r="I334" i="2" s="1"/>
  <c r="L334" i="2"/>
  <c r="E334" i="2"/>
  <c r="D334" i="2"/>
  <c r="AO334" i="2"/>
  <c r="K334" i="2" s="1"/>
  <c r="AM334" i="2"/>
  <c r="J334" i="2" s="1"/>
  <c r="AL342" i="2"/>
  <c r="AN342" i="2"/>
  <c r="AQ335" i="2"/>
  <c r="M335" i="2" s="1"/>
  <c r="AG335" i="2"/>
  <c r="AI335" i="2"/>
  <c r="G104" i="9"/>
  <c r="A359" i="10"/>
  <c r="T335" i="2"/>
  <c r="B335" i="2"/>
  <c r="A336" i="2"/>
  <c r="N336" i="2" l="1"/>
  <c r="H336" i="2"/>
  <c r="Q336" i="2"/>
  <c r="F336" i="2"/>
  <c r="P336" i="2"/>
  <c r="O336" i="2"/>
  <c r="AK335" i="2"/>
  <c r="I335" i="2" s="1"/>
  <c r="L335" i="2"/>
  <c r="E335" i="2"/>
  <c r="D335" i="2"/>
  <c r="AI336" i="2"/>
  <c r="AQ336" i="2"/>
  <c r="M336" i="2" s="1"/>
  <c r="AG336" i="2"/>
  <c r="AL343" i="2"/>
  <c r="AN343" i="2"/>
  <c r="AO335" i="2"/>
  <c r="K335" i="2" s="1"/>
  <c r="AM335" i="2"/>
  <c r="J335" i="2" s="1"/>
  <c r="A360" i="10"/>
  <c r="H104" i="9"/>
  <c r="T336" i="2"/>
  <c r="A337" i="2"/>
  <c r="B336" i="2"/>
  <c r="P337" i="2" l="1"/>
  <c r="F337" i="2"/>
  <c r="H337" i="2"/>
  <c r="N337" i="2"/>
  <c r="Q337" i="2"/>
  <c r="O337" i="2"/>
  <c r="E336" i="2"/>
  <c r="D336" i="2"/>
  <c r="AK336" i="2"/>
  <c r="I336" i="2" s="1"/>
  <c r="L336" i="2"/>
  <c r="AQ337" i="2"/>
  <c r="M337" i="2" s="1"/>
  <c r="AG337" i="2"/>
  <c r="AI337" i="2"/>
  <c r="AO336" i="2"/>
  <c r="K336" i="2" s="1"/>
  <c r="AM336" i="2"/>
  <c r="J336" i="2" s="1"/>
  <c r="AN344" i="2"/>
  <c r="AL344" i="2"/>
  <c r="B106" i="9"/>
  <c r="A361" i="10"/>
  <c r="T337" i="2"/>
  <c r="A338" i="2"/>
  <c r="B337" i="2"/>
  <c r="N338" i="2" l="1"/>
  <c r="Q338" i="2"/>
  <c r="F338" i="2"/>
  <c r="P338" i="2"/>
  <c r="O338" i="2"/>
  <c r="H338" i="2"/>
  <c r="AK337" i="2"/>
  <c r="I337" i="2" s="1"/>
  <c r="L337" i="2"/>
  <c r="D337" i="2"/>
  <c r="E337" i="2"/>
  <c r="AI338" i="2"/>
  <c r="AQ338" i="2"/>
  <c r="M338" i="2" s="1"/>
  <c r="AG338" i="2"/>
  <c r="AL345" i="2"/>
  <c r="AN345" i="2"/>
  <c r="AM337" i="2"/>
  <c r="J337" i="2" s="1"/>
  <c r="AO337" i="2"/>
  <c r="K337" i="2" s="1"/>
  <c r="A362" i="10"/>
  <c r="C106" i="9"/>
  <c r="A106" i="9"/>
  <c r="T338" i="2"/>
  <c r="B338" i="2"/>
  <c r="A339" i="2"/>
  <c r="P339" i="2" l="1"/>
  <c r="F339" i="2"/>
  <c r="Q339" i="2"/>
  <c r="H339" i="2"/>
  <c r="O339" i="2"/>
  <c r="N339" i="2"/>
  <c r="E338" i="2"/>
  <c r="D338" i="2"/>
  <c r="AK338" i="2"/>
  <c r="I338" i="2" s="1"/>
  <c r="L338" i="2"/>
  <c r="AO338" i="2"/>
  <c r="K338" i="2" s="1"/>
  <c r="AM338" i="2"/>
  <c r="J338" i="2" s="1"/>
  <c r="AQ339" i="2"/>
  <c r="M339" i="2" s="1"/>
  <c r="AG339" i="2"/>
  <c r="AI339" i="2"/>
  <c r="AL346" i="2"/>
  <c r="AN346" i="2"/>
  <c r="D106" i="9"/>
  <c r="A363" i="10"/>
  <c r="T339" i="2"/>
  <c r="A340" i="2"/>
  <c r="B339" i="2"/>
  <c r="N340" i="2" l="1"/>
  <c r="P340" i="2"/>
  <c r="Q340" i="2"/>
  <c r="O340" i="2"/>
  <c r="H340" i="2"/>
  <c r="F340" i="2"/>
  <c r="E339" i="2"/>
  <c r="D339" i="2"/>
  <c r="AK339" i="2"/>
  <c r="I339" i="2" s="1"/>
  <c r="L339" i="2"/>
  <c r="AI340" i="2"/>
  <c r="AQ340" i="2"/>
  <c r="M340" i="2" s="1"/>
  <c r="AG340" i="2"/>
  <c r="AL347" i="2"/>
  <c r="AN347" i="2"/>
  <c r="AM339" i="2"/>
  <c r="J339" i="2" s="1"/>
  <c r="AO339" i="2"/>
  <c r="K339" i="2" s="1"/>
  <c r="A364" i="10"/>
  <c r="E106" i="9"/>
  <c r="T340" i="2"/>
  <c r="B340" i="2"/>
  <c r="A341" i="2"/>
  <c r="P341" i="2" l="1"/>
  <c r="F341" i="2"/>
  <c r="O341" i="2"/>
  <c r="N341" i="2"/>
  <c r="H341" i="2"/>
  <c r="Q341" i="2"/>
  <c r="D340" i="2"/>
  <c r="E340" i="2"/>
  <c r="AK340" i="2"/>
  <c r="I340" i="2" s="1"/>
  <c r="L340" i="2"/>
  <c r="AO340" i="2"/>
  <c r="K340" i="2" s="1"/>
  <c r="AM340" i="2"/>
  <c r="J340" i="2" s="1"/>
  <c r="AQ341" i="2"/>
  <c r="M341" i="2" s="1"/>
  <c r="AG341" i="2"/>
  <c r="AI341" i="2"/>
  <c r="AN348" i="2"/>
  <c r="AL348" i="2"/>
  <c r="F106" i="9"/>
  <c r="A365" i="10"/>
  <c r="T341" i="2"/>
  <c r="B341" i="2"/>
  <c r="A342" i="2"/>
  <c r="N342" i="2" l="1"/>
  <c r="O342" i="2"/>
  <c r="P342" i="2"/>
  <c r="H342" i="2"/>
  <c r="Q342" i="2"/>
  <c r="F342" i="2"/>
  <c r="E341" i="2"/>
  <c r="D341" i="2"/>
  <c r="AK341" i="2"/>
  <c r="I341" i="2" s="1"/>
  <c r="L341" i="2"/>
  <c r="AI342" i="2"/>
  <c r="AQ342" i="2"/>
  <c r="M342" i="2" s="1"/>
  <c r="AG342" i="2"/>
  <c r="AL349" i="2"/>
  <c r="AN349" i="2"/>
  <c r="AO341" i="2"/>
  <c r="K341" i="2" s="1"/>
  <c r="AM341" i="2"/>
  <c r="J341" i="2" s="1"/>
  <c r="A366" i="10"/>
  <c r="G106" i="9"/>
  <c r="T342" i="2"/>
  <c r="B342" i="2"/>
  <c r="A343" i="2"/>
  <c r="P343" i="2" l="1"/>
  <c r="F343" i="2"/>
  <c r="N343" i="2"/>
  <c r="H343" i="2"/>
  <c r="Q343" i="2"/>
  <c r="O343" i="2"/>
  <c r="E342" i="2"/>
  <c r="D342" i="2"/>
  <c r="AK342" i="2"/>
  <c r="I342" i="2" s="1"/>
  <c r="L342" i="2"/>
  <c r="AO342" i="2"/>
  <c r="K342" i="2" s="1"/>
  <c r="AM342" i="2"/>
  <c r="J342" i="2" s="1"/>
  <c r="AQ343" i="2"/>
  <c r="M343" i="2" s="1"/>
  <c r="AG343" i="2"/>
  <c r="AI343" i="2"/>
  <c r="AN350" i="2"/>
  <c r="AL350" i="2"/>
  <c r="H106" i="9"/>
  <c r="T343" i="2"/>
  <c r="B343" i="2"/>
  <c r="A344" i="2"/>
  <c r="G3" i="9" l="1"/>
  <c r="B5" i="9"/>
  <c r="F3" i="9"/>
  <c r="H3" i="9"/>
  <c r="N344" i="2"/>
  <c r="H344" i="2"/>
  <c r="O344" i="2"/>
  <c r="Q344" i="2"/>
  <c r="F344" i="2"/>
  <c r="P344" i="2"/>
  <c r="E343" i="2"/>
  <c r="D343" i="2"/>
  <c r="AK343" i="2"/>
  <c r="I343" i="2" s="1"/>
  <c r="L343" i="2"/>
  <c r="AL351" i="2"/>
  <c r="AN351" i="2"/>
  <c r="AO343" i="2"/>
  <c r="K343" i="2" s="1"/>
  <c r="AM343" i="2"/>
  <c r="J343" i="2" s="1"/>
  <c r="AI344" i="2"/>
  <c r="AQ344" i="2"/>
  <c r="M344" i="2" s="1"/>
  <c r="AG344" i="2"/>
  <c r="T344" i="2"/>
  <c r="B344" i="2"/>
  <c r="A345" i="2"/>
  <c r="P345" i="2" l="1"/>
  <c r="F345" i="2"/>
  <c r="H345" i="2"/>
  <c r="N345" i="2"/>
  <c r="Q345" i="2"/>
  <c r="O345" i="2"/>
  <c r="E344" i="2"/>
  <c r="D344" i="2"/>
  <c r="AK344" i="2"/>
  <c r="I344" i="2" s="1"/>
  <c r="L344" i="2"/>
  <c r="AQ345" i="2"/>
  <c r="M345" i="2" s="1"/>
  <c r="AG345" i="2"/>
  <c r="AI345" i="2"/>
  <c r="AL352" i="2"/>
  <c r="AN352" i="2"/>
  <c r="AO344" i="2"/>
  <c r="K344" i="2" s="1"/>
  <c r="AM344" i="2"/>
  <c r="J344" i="2" s="1"/>
  <c r="T345" i="2"/>
  <c r="A346" i="2"/>
  <c r="B345" i="2"/>
  <c r="N346" i="2" l="1"/>
  <c r="Q346" i="2"/>
  <c r="F346" i="2"/>
  <c r="P346" i="2"/>
  <c r="O346" i="2"/>
  <c r="H346" i="2"/>
  <c r="AK345" i="2"/>
  <c r="I345" i="2" s="1"/>
  <c r="L345" i="2"/>
  <c r="D345" i="2"/>
  <c r="E345" i="2"/>
  <c r="AO345" i="2"/>
  <c r="K345" i="2" s="1"/>
  <c r="AM345" i="2"/>
  <c r="J345" i="2" s="1"/>
  <c r="AI346" i="2"/>
  <c r="AQ346" i="2"/>
  <c r="M346" i="2" s="1"/>
  <c r="AG346" i="2"/>
  <c r="AN353" i="2"/>
  <c r="AL353" i="2"/>
  <c r="T346" i="2"/>
  <c r="B346" i="2"/>
  <c r="A347" i="2"/>
  <c r="P347" i="2" l="1"/>
  <c r="F347" i="2"/>
  <c r="Q347" i="2"/>
  <c r="H347" i="2"/>
  <c r="O347" i="2"/>
  <c r="N347" i="2"/>
  <c r="E346" i="2"/>
  <c r="D346" i="2"/>
  <c r="AK346" i="2"/>
  <c r="I346" i="2" s="1"/>
  <c r="L346" i="2"/>
  <c r="AN354" i="2"/>
  <c r="AL354" i="2"/>
  <c r="AQ347" i="2"/>
  <c r="M347" i="2" s="1"/>
  <c r="AG347" i="2"/>
  <c r="AI347" i="2"/>
  <c r="AO346" i="2"/>
  <c r="K346" i="2" s="1"/>
  <c r="AM346" i="2"/>
  <c r="J346" i="2" s="1"/>
  <c r="T347" i="2"/>
  <c r="A348" i="2"/>
  <c r="B347" i="2"/>
  <c r="N348" i="2" l="1"/>
  <c r="P348" i="2"/>
  <c r="O348" i="2"/>
  <c r="H348" i="2"/>
  <c r="Q348" i="2"/>
  <c r="F348" i="2"/>
  <c r="E347" i="2"/>
  <c r="D347" i="2"/>
  <c r="AK347" i="2"/>
  <c r="I347" i="2" s="1"/>
  <c r="L347" i="2"/>
  <c r="AO347" i="2"/>
  <c r="K347" i="2" s="1"/>
  <c r="AM347" i="2"/>
  <c r="J347" i="2" s="1"/>
  <c r="AI348" i="2"/>
  <c r="AQ348" i="2"/>
  <c r="M348" i="2" s="1"/>
  <c r="AG348" i="2"/>
  <c r="AN355" i="2"/>
  <c r="AL355" i="2"/>
  <c r="T348" i="2"/>
  <c r="A349" i="2"/>
  <c r="B348" i="2"/>
  <c r="P349" i="2" l="1"/>
  <c r="F349" i="2"/>
  <c r="O349" i="2"/>
  <c r="Q349" i="2"/>
  <c r="N349" i="2"/>
  <c r="H349" i="2"/>
  <c r="AK348" i="2"/>
  <c r="I348" i="2" s="1"/>
  <c r="L348" i="2"/>
  <c r="D348" i="2"/>
  <c r="E348" i="2"/>
  <c r="AQ349" i="2"/>
  <c r="M349" i="2" s="1"/>
  <c r="AG349" i="2"/>
  <c r="AI349" i="2"/>
  <c r="AO348" i="2"/>
  <c r="K348" i="2" s="1"/>
  <c r="AM348" i="2"/>
  <c r="J348" i="2" s="1"/>
  <c r="AN356" i="2"/>
  <c r="AL356" i="2"/>
  <c r="T349" i="2"/>
  <c r="A350" i="2"/>
  <c r="B349" i="2"/>
  <c r="N350" i="2" l="1"/>
  <c r="O350" i="2"/>
  <c r="H350" i="2"/>
  <c r="Q350" i="2"/>
  <c r="F350" i="2"/>
  <c r="P350" i="2"/>
  <c r="AK349" i="2"/>
  <c r="I349" i="2" s="1"/>
  <c r="L349" i="2"/>
  <c r="E349" i="2"/>
  <c r="D349" i="2"/>
  <c r="AL357" i="2"/>
  <c r="AN357" i="2"/>
  <c r="AI350" i="2"/>
  <c r="AQ350" i="2"/>
  <c r="M350" i="2" s="1"/>
  <c r="AG350" i="2"/>
  <c r="AO349" i="2"/>
  <c r="K349" i="2" s="1"/>
  <c r="AM349" i="2"/>
  <c r="J349" i="2" s="1"/>
  <c r="T350" i="2"/>
  <c r="A351" i="2"/>
  <c r="B350" i="2"/>
  <c r="P351" i="2" l="1"/>
  <c r="F351" i="2"/>
  <c r="N351" i="2"/>
  <c r="H351" i="2"/>
  <c r="Q351" i="2"/>
  <c r="O351" i="2"/>
  <c r="AK350" i="2"/>
  <c r="I350" i="2" s="1"/>
  <c r="L350" i="2"/>
  <c r="E350" i="2"/>
  <c r="D350" i="2"/>
  <c r="AO350" i="2"/>
  <c r="K350" i="2" s="1"/>
  <c r="AM350" i="2"/>
  <c r="J350" i="2" s="1"/>
  <c r="AL358" i="2"/>
  <c r="AN358" i="2"/>
  <c r="AQ351" i="2"/>
  <c r="M351" i="2" s="1"/>
  <c r="AG351" i="2"/>
  <c r="AI351" i="2"/>
  <c r="T351" i="2"/>
  <c r="A352" i="2"/>
  <c r="B351" i="2"/>
  <c r="N352" i="2" l="1"/>
  <c r="H352" i="2"/>
  <c r="Q352" i="2"/>
  <c r="F352" i="2"/>
  <c r="P352" i="2"/>
  <c r="O352" i="2"/>
  <c r="AK351" i="2"/>
  <c r="I351" i="2" s="1"/>
  <c r="L351" i="2"/>
  <c r="E351" i="2"/>
  <c r="D351" i="2"/>
  <c r="AL359" i="2"/>
  <c r="AN359" i="2"/>
  <c r="AO351" i="2"/>
  <c r="K351" i="2" s="1"/>
  <c r="AM351" i="2"/>
  <c r="J351" i="2" s="1"/>
  <c r="AI352" i="2"/>
  <c r="AQ352" i="2"/>
  <c r="M352" i="2" s="1"/>
  <c r="AG352" i="2"/>
  <c r="T352" i="2"/>
  <c r="A353" i="2"/>
  <c r="B352" i="2"/>
  <c r="P353" i="2" l="1"/>
  <c r="F353" i="2"/>
  <c r="H353" i="2"/>
  <c r="Q353" i="2"/>
  <c r="O353" i="2"/>
  <c r="N353" i="2"/>
  <c r="E352" i="2"/>
  <c r="D352" i="2"/>
  <c r="AK352" i="2"/>
  <c r="I352" i="2" s="1"/>
  <c r="L352" i="2"/>
  <c r="AL360" i="2"/>
  <c r="AN360" i="2"/>
  <c r="AQ353" i="2"/>
  <c r="M353" i="2" s="1"/>
  <c r="AG353" i="2"/>
  <c r="AI353" i="2"/>
  <c r="AO352" i="2"/>
  <c r="K352" i="2" s="1"/>
  <c r="AM352" i="2"/>
  <c r="J352" i="2" s="1"/>
  <c r="T353" i="2"/>
  <c r="A354" i="2"/>
  <c r="B353" i="2"/>
  <c r="N354" i="2" l="1"/>
  <c r="Q354" i="2"/>
  <c r="F354" i="2"/>
  <c r="H354" i="2"/>
  <c r="P354" i="2"/>
  <c r="O354" i="2"/>
  <c r="D353" i="2"/>
  <c r="E353" i="2"/>
  <c r="AK353" i="2"/>
  <c r="I353" i="2" s="1"/>
  <c r="L353" i="2"/>
  <c r="AM353" i="2"/>
  <c r="J353" i="2" s="1"/>
  <c r="AO353" i="2"/>
  <c r="K353" i="2" s="1"/>
  <c r="AI354" i="2"/>
  <c r="AQ354" i="2"/>
  <c r="M354" i="2" s="1"/>
  <c r="AG354" i="2"/>
  <c r="AL361" i="2"/>
  <c r="AN361" i="2"/>
  <c r="T354" i="2"/>
  <c r="B354" i="2"/>
  <c r="A355" i="2"/>
  <c r="P355" i="2" l="1"/>
  <c r="F355" i="2"/>
  <c r="Q355" i="2"/>
  <c r="O355" i="2"/>
  <c r="N355" i="2"/>
  <c r="H355" i="2"/>
  <c r="AK354" i="2"/>
  <c r="I354" i="2" s="1"/>
  <c r="L354" i="2"/>
  <c r="E354" i="2"/>
  <c r="D354" i="2"/>
  <c r="AQ355" i="2"/>
  <c r="M355" i="2" s="1"/>
  <c r="AG355" i="2"/>
  <c r="AI355" i="2"/>
  <c r="AL362" i="2"/>
  <c r="AN362" i="2"/>
  <c r="AM354" i="2"/>
  <c r="J354" i="2" s="1"/>
  <c r="AO354" i="2"/>
  <c r="K354" i="2" s="1"/>
  <c r="T355" i="2"/>
  <c r="A356" i="2"/>
  <c r="B355" i="2"/>
  <c r="N356" i="2" l="1"/>
  <c r="P356" i="2"/>
  <c r="O356" i="2"/>
  <c r="H356" i="2"/>
  <c r="Q356" i="2"/>
  <c r="F356" i="2"/>
  <c r="AK355" i="2"/>
  <c r="I355" i="2" s="1"/>
  <c r="L355" i="2"/>
  <c r="E355" i="2"/>
  <c r="D355" i="2"/>
  <c r="AI356" i="2"/>
  <c r="AQ356" i="2"/>
  <c r="M356" i="2" s="1"/>
  <c r="AG356" i="2"/>
  <c r="AM355" i="2"/>
  <c r="J355" i="2" s="1"/>
  <c r="AO355" i="2"/>
  <c r="K355" i="2" s="1"/>
  <c r="AL363" i="2"/>
  <c r="AN363" i="2"/>
  <c r="T356" i="2"/>
  <c r="A357" i="2"/>
  <c r="B356" i="2"/>
  <c r="P357" i="2" l="1"/>
  <c r="F357" i="2"/>
  <c r="O357" i="2"/>
  <c r="N357" i="2"/>
  <c r="H357" i="2"/>
  <c r="Q357" i="2"/>
  <c r="E356" i="2"/>
  <c r="D356" i="2"/>
  <c r="AK356" i="2"/>
  <c r="I356" i="2" s="1"/>
  <c r="L356" i="2"/>
  <c r="AN364" i="2"/>
  <c r="AL364" i="2"/>
  <c r="AQ357" i="2"/>
  <c r="M357" i="2" s="1"/>
  <c r="AG357" i="2"/>
  <c r="AI357" i="2"/>
  <c r="AM356" i="2"/>
  <c r="J356" i="2" s="1"/>
  <c r="AO356" i="2"/>
  <c r="K356" i="2" s="1"/>
  <c r="T357" i="2"/>
  <c r="A358" i="2"/>
  <c r="B357" i="2"/>
  <c r="N358" i="2" l="1"/>
  <c r="O358" i="2"/>
  <c r="H358" i="2"/>
  <c r="Q358" i="2"/>
  <c r="F358" i="2"/>
  <c r="P358" i="2"/>
  <c r="E357" i="2"/>
  <c r="D357" i="2"/>
  <c r="AK357" i="2"/>
  <c r="I357" i="2" s="1"/>
  <c r="L357" i="2"/>
  <c r="AI358" i="2"/>
  <c r="AQ358" i="2"/>
  <c r="M358" i="2" s="1"/>
  <c r="AG358" i="2"/>
  <c r="AM357" i="2"/>
  <c r="J357" i="2" s="1"/>
  <c r="AO357" i="2"/>
  <c r="K357" i="2" s="1"/>
  <c r="AN365" i="2"/>
  <c r="AL365" i="2"/>
  <c r="T358" i="2"/>
  <c r="B358" i="2"/>
  <c r="A359" i="2"/>
  <c r="P359" i="2" l="1"/>
  <c r="F359" i="2"/>
  <c r="N359" i="2"/>
  <c r="H359" i="2"/>
  <c r="Q359" i="2"/>
  <c r="O359" i="2"/>
  <c r="D358" i="2"/>
  <c r="E358" i="2"/>
  <c r="AK358" i="2"/>
  <c r="I358" i="2" s="1"/>
  <c r="L358" i="2"/>
  <c r="AL366" i="2"/>
  <c r="AN366" i="2"/>
  <c r="AQ359" i="2"/>
  <c r="M359" i="2" s="1"/>
  <c r="AG359" i="2"/>
  <c r="AI359" i="2"/>
  <c r="AM358" i="2"/>
  <c r="J358" i="2" s="1"/>
  <c r="AO358" i="2"/>
  <c r="K358" i="2" s="1"/>
  <c r="T359" i="2"/>
  <c r="A360" i="2"/>
  <c r="B359" i="2"/>
  <c r="N360" i="2" l="1"/>
  <c r="H360" i="2"/>
  <c r="Q360" i="2"/>
  <c r="F360" i="2"/>
  <c r="P360" i="2"/>
  <c r="O360" i="2"/>
  <c r="E359" i="2"/>
  <c r="D359" i="2"/>
  <c r="AK359" i="2"/>
  <c r="I359" i="2" s="1"/>
  <c r="L359" i="2"/>
  <c r="AM359" i="2"/>
  <c r="J359" i="2" s="1"/>
  <c r="AO359" i="2"/>
  <c r="K359" i="2" s="1"/>
  <c r="AI360" i="2"/>
  <c r="AQ360" i="2"/>
  <c r="M360" i="2" s="1"/>
  <c r="AG360" i="2"/>
  <c r="T360" i="2"/>
  <c r="B360" i="2"/>
  <c r="A361" i="2"/>
  <c r="P361" i="2" l="1"/>
  <c r="F361" i="2"/>
  <c r="O361" i="2"/>
  <c r="H361" i="2"/>
  <c r="Q361" i="2"/>
  <c r="N361" i="2"/>
  <c r="E360" i="2"/>
  <c r="D360" i="2"/>
  <c r="AK360" i="2"/>
  <c r="I360" i="2" s="1"/>
  <c r="L360" i="2"/>
  <c r="AM360" i="2"/>
  <c r="J360" i="2" s="1"/>
  <c r="AO360" i="2"/>
  <c r="K360" i="2" s="1"/>
  <c r="AQ361" i="2"/>
  <c r="M361" i="2" s="1"/>
  <c r="AG361" i="2"/>
  <c r="AI361" i="2"/>
  <c r="T361" i="2"/>
  <c r="A362" i="2"/>
  <c r="B361" i="2"/>
  <c r="N362" i="2" l="1"/>
  <c r="Q362" i="2"/>
  <c r="H362" i="2"/>
  <c r="O362" i="2"/>
  <c r="F362" i="2"/>
  <c r="P362" i="2"/>
  <c r="D361" i="2"/>
  <c r="E361" i="2"/>
  <c r="AK361" i="2"/>
  <c r="I361" i="2" s="1"/>
  <c r="L361" i="2"/>
  <c r="AI362" i="2"/>
  <c r="AQ362" i="2"/>
  <c r="M362" i="2" s="1"/>
  <c r="AG362" i="2"/>
  <c r="AM361" i="2"/>
  <c r="J361" i="2" s="1"/>
  <c r="AO361" i="2"/>
  <c r="K361" i="2" s="1"/>
  <c r="T362" i="2"/>
  <c r="A363" i="2"/>
  <c r="B362" i="2"/>
  <c r="P363" i="2" l="1"/>
  <c r="F363" i="2"/>
  <c r="O363" i="2"/>
  <c r="Q363" i="2"/>
  <c r="N363" i="2"/>
  <c r="H363" i="2"/>
  <c r="E362" i="2"/>
  <c r="D362" i="2"/>
  <c r="AK362" i="2"/>
  <c r="I362" i="2" s="1"/>
  <c r="L362" i="2"/>
  <c r="AQ363" i="2"/>
  <c r="M363" i="2" s="1"/>
  <c r="AG363" i="2"/>
  <c r="AI363" i="2"/>
  <c r="AM362" i="2"/>
  <c r="J362" i="2" s="1"/>
  <c r="AO362" i="2"/>
  <c r="K362" i="2" s="1"/>
  <c r="T363" i="2"/>
  <c r="A364" i="2"/>
  <c r="B363" i="2"/>
  <c r="N364" i="2" l="1"/>
  <c r="Q364" i="2"/>
  <c r="H364" i="2"/>
  <c r="P364" i="2"/>
  <c r="O364" i="2"/>
  <c r="F364" i="2"/>
  <c r="AK363" i="2"/>
  <c r="I363" i="2" s="1"/>
  <c r="L363" i="2"/>
  <c r="E363" i="2"/>
  <c r="D363" i="2"/>
  <c r="AI364" i="2"/>
  <c r="AQ364" i="2"/>
  <c r="M364" i="2" s="1"/>
  <c r="AG364" i="2"/>
  <c r="AM363" i="2"/>
  <c r="J363" i="2" s="1"/>
  <c r="AO363" i="2"/>
  <c r="K363" i="2" s="1"/>
  <c r="T364" i="2"/>
  <c r="B364" i="2"/>
  <c r="A365" i="2"/>
  <c r="P365" i="2" l="1"/>
  <c r="F365" i="2"/>
  <c r="O365" i="2"/>
  <c r="H365" i="2"/>
  <c r="Q365" i="2"/>
  <c r="N365" i="2"/>
  <c r="E364" i="2"/>
  <c r="D364" i="2"/>
  <c r="AK364" i="2"/>
  <c r="I364" i="2" s="1"/>
  <c r="L364" i="2"/>
  <c r="AQ365" i="2"/>
  <c r="M365" i="2" s="1"/>
  <c r="AG365" i="2"/>
  <c r="AI365" i="2"/>
  <c r="AM364" i="2"/>
  <c r="J364" i="2" s="1"/>
  <c r="AO364" i="2"/>
  <c r="K364" i="2" s="1"/>
  <c r="T365" i="2"/>
  <c r="A366" i="2"/>
  <c r="B365" i="2"/>
  <c r="N366" i="2" l="1"/>
  <c r="Q366" i="2"/>
  <c r="H366" i="2"/>
  <c r="O366" i="2"/>
  <c r="P366" i="2"/>
  <c r="F366" i="2"/>
  <c r="AK365" i="2"/>
  <c r="I365" i="2" s="1"/>
  <c r="L365" i="2"/>
  <c r="E365" i="2"/>
  <c r="D365" i="2"/>
  <c r="AI366" i="2"/>
  <c r="AQ366" i="2"/>
  <c r="M366" i="2" s="1"/>
  <c r="AG366" i="2"/>
  <c r="AM365" i="2"/>
  <c r="J365" i="2" s="1"/>
  <c r="AO365" i="2"/>
  <c r="K365" i="2" s="1"/>
  <c r="B366" i="2"/>
  <c r="T366" i="2"/>
  <c r="C84" i="4"/>
  <c r="D366" i="2" l="1"/>
  <c r="E366" i="2"/>
  <c r="AK366" i="2"/>
  <c r="I366" i="2" s="1"/>
  <c r="L366" i="2"/>
  <c r="B8" i="10"/>
  <c r="C5" i="9" s="1"/>
  <c r="B15" i="10"/>
  <c r="B20" i="10"/>
  <c r="B17" i="10"/>
  <c r="B11" i="10"/>
  <c r="B16" i="10"/>
  <c r="B21" i="10"/>
  <c r="B25" i="10"/>
  <c r="B26" i="10"/>
  <c r="B9" i="10"/>
  <c r="D5" i="9" s="1"/>
  <c r="B24" i="10"/>
  <c r="B12" i="10"/>
  <c r="B13" i="10"/>
  <c r="H5" i="9" s="1"/>
  <c r="B19" i="10"/>
  <c r="G7" i="9" s="1"/>
  <c r="B23" i="10"/>
  <c r="D9" i="9" s="1"/>
  <c r="B14" i="10"/>
  <c r="B7" i="9" s="1"/>
  <c r="B22" i="10"/>
  <c r="C9" i="9" s="1"/>
  <c r="B10" i="10"/>
  <c r="E5" i="9" s="1"/>
  <c r="B18" i="10"/>
  <c r="F7" i="9" s="1"/>
  <c r="B28" i="10"/>
  <c r="B11" i="9" s="1"/>
  <c r="B27" i="10"/>
  <c r="H9" i="9" s="1"/>
  <c r="B30" i="10"/>
  <c r="D11" i="9" s="1"/>
  <c r="B29" i="10"/>
  <c r="C11" i="9" s="1"/>
  <c r="B31" i="10"/>
  <c r="B32" i="10"/>
  <c r="B33" i="10"/>
  <c r="G11" i="9" s="1"/>
  <c r="B34" i="10"/>
  <c r="H11" i="9" s="1"/>
  <c r="B35" i="10"/>
  <c r="B37" i="10"/>
  <c r="D13" i="9" s="1"/>
  <c r="B36" i="10"/>
  <c r="C13" i="9" s="1"/>
  <c r="B38" i="10"/>
  <c r="B39" i="10"/>
  <c r="F13" i="9" s="1"/>
  <c r="B40" i="10"/>
  <c r="G13" i="9" s="1"/>
  <c r="B41" i="10"/>
  <c r="H13" i="9" s="1"/>
  <c r="B42" i="10"/>
  <c r="B15" i="9" s="1"/>
  <c r="B43" i="10"/>
  <c r="B45" i="10"/>
  <c r="E15" i="9" s="1"/>
  <c r="B44" i="10"/>
  <c r="D15" i="9" s="1"/>
  <c r="B46" i="10"/>
  <c r="B47" i="10"/>
  <c r="B49" i="10"/>
  <c r="B17" i="9" s="1"/>
  <c r="B48" i="10"/>
  <c r="H15" i="9" s="1"/>
  <c r="B50" i="10"/>
  <c r="B51" i="10"/>
  <c r="B52" i="10"/>
  <c r="B53" i="10"/>
  <c r="F17" i="9" s="1"/>
  <c r="B54" i="10"/>
  <c r="G17" i="9" s="1"/>
  <c r="B55" i="10"/>
  <c r="B57" i="10"/>
  <c r="C19" i="9" s="1"/>
  <c r="B56" i="10"/>
  <c r="B19" i="9" s="1"/>
  <c r="B59" i="10"/>
  <c r="E19" i="9" s="1"/>
  <c r="B58" i="10"/>
  <c r="B60" i="10"/>
  <c r="F19" i="9" s="1"/>
  <c r="B62" i="10"/>
  <c r="H19" i="9" s="1"/>
  <c r="B61" i="10"/>
  <c r="G19" i="9" s="1"/>
  <c r="B63" i="10"/>
  <c r="B64" i="10"/>
  <c r="B65" i="10"/>
  <c r="D21" i="9" s="1"/>
  <c r="B66" i="10"/>
  <c r="E21" i="9" s="1"/>
  <c r="B67" i="10"/>
  <c r="B68" i="10"/>
  <c r="B69" i="10"/>
  <c r="H21" i="9" s="1"/>
  <c r="B70" i="10"/>
  <c r="B23" i="9" s="1"/>
  <c r="B71" i="10"/>
  <c r="B72" i="10"/>
  <c r="B73" i="10"/>
  <c r="E23" i="9" s="1"/>
  <c r="B74" i="10"/>
  <c r="F23" i="9" s="1"/>
  <c r="B75" i="10"/>
  <c r="B76" i="10"/>
  <c r="B77" i="10"/>
  <c r="B25" i="9" s="1"/>
  <c r="B78" i="10"/>
  <c r="C25" i="9" s="1"/>
  <c r="B79" i="10"/>
  <c r="B80" i="10"/>
  <c r="B82" i="10"/>
  <c r="G25" i="9" s="1"/>
  <c r="B81" i="10"/>
  <c r="F25" i="9" s="1"/>
  <c r="B83" i="10"/>
  <c r="B84" i="10"/>
  <c r="B86" i="10"/>
  <c r="D27" i="9" s="1"/>
  <c r="B85" i="10"/>
  <c r="C27" i="9" s="1"/>
  <c r="B87" i="10"/>
  <c r="B88" i="10"/>
  <c r="B89" i="10"/>
  <c r="G27" i="9" s="1"/>
  <c r="B90" i="10"/>
  <c r="H27" i="9" s="1"/>
  <c r="B91" i="10"/>
  <c r="B92" i="10"/>
  <c r="B94" i="10"/>
  <c r="E29" i="9" s="1"/>
  <c r="B93" i="10"/>
  <c r="D29" i="9" s="1"/>
  <c r="B96" i="10"/>
  <c r="B95" i="10"/>
  <c r="B97" i="10"/>
  <c r="H29" i="9" s="1"/>
  <c r="B98" i="10"/>
  <c r="B31" i="9" s="1"/>
  <c r="B99" i="10"/>
  <c r="B100" i="10"/>
  <c r="B101" i="10"/>
  <c r="E31" i="9" s="1"/>
  <c r="B102" i="10"/>
  <c r="F31" i="9" s="1"/>
  <c r="B103" i="10"/>
  <c r="B104" i="10"/>
  <c r="B105" i="10"/>
  <c r="B33" i="9" s="1"/>
  <c r="B106" i="10"/>
  <c r="C33" i="9" s="1"/>
  <c r="B107" i="10"/>
  <c r="B108" i="10"/>
  <c r="B109" i="10"/>
  <c r="F33" i="9" s="1"/>
  <c r="B111" i="10"/>
  <c r="B110" i="10"/>
  <c r="B112" i="10"/>
  <c r="B113" i="10"/>
  <c r="C35" i="9" s="1"/>
  <c r="B114" i="10"/>
  <c r="D35" i="9" s="1"/>
  <c r="B116" i="10"/>
  <c r="B115" i="10"/>
  <c r="B117" i="10"/>
  <c r="G35" i="9" s="1"/>
  <c r="B118" i="10"/>
  <c r="H35" i="9" s="1"/>
  <c r="B119" i="10"/>
  <c r="B120" i="10"/>
  <c r="B121" i="10"/>
  <c r="D37" i="9" s="1"/>
  <c r="B123" i="10"/>
  <c r="B122" i="10"/>
  <c r="B124" i="10"/>
  <c r="B125" i="10"/>
  <c r="H37" i="9" s="1"/>
  <c r="B126" i="10"/>
  <c r="B39" i="9" s="1"/>
  <c r="B127" i="10"/>
  <c r="B128" i="10"/>
  <c r="B129" i="10"/>
  <c r="E39" i="9" s="1"/>
  <c r="B130" i="10"/>
  <c r="F39" i="9" s="1"/>
  <c r="B131" i="10"/>
  <c r="B132" i="10"/>
  <c r="B133" i="10"/>
  <c r="B41" i="9" s="1"/>
  <c r="B134" i="10"/>
  <c r="C41" i="9" s="1"/>
  <c r="B135" i="10"/>
  <c r="B136" i="10"/>
  <c r="B137" i="10"/>
  <c r="F41" i="9" s="1"/>
  <c r="B139" i="10"/>
  <c r="B138" i="10"/>
  <c r="B140" i="10"/>
  <c r="B141" i="10"/>
  <c r="C43" i="9" s="1"/>
  <c r="B142" i="10"/>
  <c r="D43" i="9" s="1"/>
  <c r="B143" i="10"/>
  <c r="B144" i="10"/>
  <c r="B145" i="10"/>
  <c r="G43" i="9" s="1"/>
  <c r="B146" i="10"/>
  <c r="H43" i="9" s="1"/>
  <c r="B147" i="10"/>
  <c r="B148" i="10"/>
  <c r="B149" i="10"/>
  <c r="D45" i="9" s="1"/>
  <c r="B151" i="10"/>
  <c r="B150" i="10"/>
  <c r="B152" i="10"/>
  <c r="B154" i="10"/>
  <c r="B47" i="9" s="1"/>
  <c r="B153" i="10"/>
  <c r="H45" i="9" s="1"/>
  <c r="B155" i="10"/>
  <c r="B157" i="10"/>
  <c r="B156" i="10"/>
  <c r="D47" i="9" s="1"/>
  <c r="B159" i="10"/>
  <c r="G47" i="9" s="1"/>
  <c r="B158" i="10"/>
  <c r="B160" i="10"/>
  <c r="B161" i="10"/>
  <c r="B49" i="9" s="1"/>
  <c r="B162" i="10"/>
  <c r="C49" i="9" s="1"/>
  <c r="B163" i="10"/>
  <c r="B164" i="10"/>
  <c r="B165" i="10"/>
  <c r="F49" i="9" s="1"/>
  <c r="B166" i="10"/>
  <c r="G49" i="9" s="1"/>
  <c r="B167" i="10"/>
  <c r="B169" i="10"/>
  <c r="B168" i="10"/>
  <c r="B51" i="9" s="1"/>
  <c r="B170" i="10"/>
  <c r="B171" i="10"/>
  <c r="B172" i="10"/>
  <c r="B173" i="10"/>
  <c r="G51" i="9" s="1"/>
  <c r="B175" i="10"/>
  <c r="B174" i="10"/>
  <c r="B176" i="10"/>
  <c r="B177" i="10"/>
  <c r="D53" i="9" s="1"/>
  <c r="B178" i="10"/>
  <c r="E53" i="9" s="1"/>
  <c r="B180" i="10"/>
  <c r="B179" i="10"/>
  <c r="B181" i="10"/>
  <c r="H53" i="9" s="1"/>
  <c r="B182" i="10"/>
  <c r="B55" i="9" s="1"/>
  <c r="B183" i="10"/>
  <c r="B184" i="10"/>
  <c r="B185" i="10"/>
  <c r="E55" i="9" s="1"/>
  <c r="B186" i="10"/>
  <c r="F55" i="9" s="1"/>
  <c r="B188" i="10"/>
  <c r="B187" i="10"/>
  <c r="B190" i="10"/>
  <c r="C57" i="9" s="1"/>
  <c r="B189" i="10"/>
  <c r="B57" i="9" s="1"/>
  <c r="B191" i="10"/>
  <c r="B192" i="10"/>
  <c r="B194" i="10"/>
  <c r="G57" i="9" s="1"/>
  <c r="B193" i="10"/>
  <c r="F57" i="9" s="1"/>
  <c r="B195" i="10"/>
  <c r="B196" i="10"/>
  <c r="B198" i="10"/>
  <c r="D59" i="9" s="1"/>
  <c r="B197" i="10"/>
  <c r="C59" i="9" s="1"/>
  <c r="B199" i="10"/>
  <c r="B200" i="10"/>
  <c r="B201" i="10"/>
  <c r="G59" i="9" s="1"/>
  <c r="B202" i="10"/>
  <c r="H59" i="9" s="1"/>
  <c r="B203" i="10"/>
  <c r="B205" i="10"/>
  <c r="B204" i="10"/>
  <c r="C61" i="9" s="1"/>
  <c r="B206" i="10"/>
  <c r="B207" i="10"/>
  <c r="B208" i="10"/>
  <c r="B209" i="10"/>
  <c r="H61" i="9" s="1"/>
  <c r="B210" i="10"/>
  <c r="B63" i="9" s="1"/>
  <c r="B211" i="10"/>
  <c r="B212" i="10"/>
  <c r="B214" i="10"/>
  <c r="F63" i="9" s="1"/>
  <c r="B213" i="10"/>
  <c r="E63" i="9" s="1"/>
  <c r="B216" i="10"/>
  <c r="B215" i="10"/>
  <c r="B217" i="10"/>
  <c r="B65" i="9" s="1"/>
  <c r="B218" i="10"/>
  <c r="C65" i="9" s="1"/>
  <c r="B220" i="10"/>
  <c r="B219" i="10"/>
  <c r="B221" i="10"/>
  <c r="F65" i="9" s="1"/>
  <c r="B223" i="10"/>
  <c r="B222" i="10"/>
  <c r="G65" i="9" s="1"/>
  <c r="B224" i="10"/>
  <c r="B225" i="10"/>
  <c r="C67" i="9" s="1"/>
  <c r="B226" i="10"/>
  <c r="D67" i="9" s="1"/>
  <c r="B227" i="10"/>
  <c r="B228" i="10"/>
  <c r="B229" i="10"/>
  <c r="G67" i="9" s="1"/>
  <c r="B230" i="10"/>
  <c r="H67" i="9" s="1"/>
  <c r="B231" i="10"/>
  <c r="B232" i="10"/>
  <c r="B233" i="10"/>
  <c r="D69" i="9" s="1"/>
  <c r="B234" i="10"/>
  <c r="E69" i="9" s="1"/>
  <c r="B235" i="10"/>
  <c r="B236" i="10"/>
  <c r="B237" i="10"/>
  <c r="H69" i="9" s="1"/>
  <c r="B238" i="10"/>
  <c r="B71" i="9" s="1"/>
  <c r="B239" i="10"/>
  <c r="B240" i="10"/>
  <c r="B241" i="10"/>
  <c r="E71" i="9" s="1"/>
  <c r="B242" i="10"/>
  <c r="F71" i="9" s="1"/>
  <c r="B243" i="10"/>
  <c r="B245" i="10"/>
  <c r="B244" i="10"/>
  <c r="H71" i="9" s="1"/>
  <c r="B246" i="10"/>
  <c r="B248" i="10"/>
  <c r="B247" i="10"/>
  <c r="D73" i="9" s="1"/>
  <c r="B249" i="10"/>
  <c r="F73" i="9" s="1"/>
  <c r="B250" i="10"/>
  <c r="G73" i="9" s="1"/>
  <c r="B251" i="10"/>
  <c r="B252" i="10"/>
  <c r="B253" i="10"/>
  <c r="C75" i="9" s="1"/>
  <c r="B254" i="10"/>
  <c r="D75" i="9" s="1"/>
  <c r="B255" i="10"/>
  <c r="B256" i="10"/>
  <c r="B258" i="10"/>
  <c r="H75" i="9" s="1"/>
  <c r="B257" i="10"/>
  <c r="G75" i="9" s="1"/>
  <c r="B260" i="10"/>
  <c r="B259" i="10"/>
  <c r="B262" i="10"/>
  <c r="E77" i="9" s="1"/>
  <c r="B261" i="10"/>
  <c r="D77" i="9" s="1"/>
  <c r="B263" i="10"/>
  <c r="B264" i="10"/>
  <c r="B265" i="10"/>
  <c r="H77" i="9" s="1"/>
  <c r="B266" i="10"/>
  <c r="B79" i="9" s="1"/>
  <c r="B267" i="10"/>
  <c r="B269" i="10"/>
  <c r="B268" i="10"/>
  <c r="D79" i="9" s="1"/>
  <c r="B270" i="10"/>
  <c r="B271" i="10"/>
  <c r="B272" i="10"/>
  <c r="B273" i="10"/>
  <c r="B81" i="9" s="1"/>
  <c r="B274" i="10"/>
  <c r="C81" i="9" s="1"/>
  <c r="B276" i="10"/>
  <c r="B275" i="10"/>
  <c r="B277" i="10"/>
  <c r="F81" i="9" s="1"/>
  <c r="B278" i="10"/>
  <c r="G81" i="9" s="1"/>
  <c r="B279" i="10"/>
  <c r="B280" i="10"/>
  <c r="B282" i="10"/>
  <c r="D83" i="9" s="1"/>
  <c r="B281" i="10"/>
  <c r="C83" i="9" s="1"/>
  <c r="B283" i="10"/>
  <c r="B284" i="10"/>
  <c r="B286" i="10"/>
  <c r="H83" i="9" s="1"/>
  <c r="B285" i="10"/>
  <c r="G83" i="9" s="1"/>
  <c r="B287" i="10"/>
  <c r="B289" i="10"/>
  <c r="B288" i="10"/>
  <c r="C85" i="9" s="1"/>
  <c r="B291" i="10"/>
  <c r="F85" i="9" s="1"/>
  <c r="B290" i="10"/>
  <c r="B292" i="10"/>
  <c r="B294" i="10"/>
  <c r="B87" i="9" s="1"/>
  <c r="B293" i="10"/>
  <c r="H85" i="9" s="1"/>
  <c r="B295" i="10"/>
  <c r="B297" i="10"/>
  <c r="B296" i="10"/>
  <c r="D87" i="9" s="1"/>
  <c r="B298" i="10"/>
  <c r="B299" i="10"/>
  <c r="B300" i="10"/>
  <c r="B301" i="10"/>
  <c r="B89" i="9" s="1"/>
  <c r="B302" i="10"/>
  <c r="C89" i="9" s="1"/>
  <c r="B303" i="10"/>
  <c r="B304" i="10"/>
  <c r="B306" i="10"/>
  <c r="G89" i="9" s="1"/>
  <c r="B305" i="10"/>
  <c r="F89" i="9" s="1"/>
  <c r="B307" i="10"/>
  <c r="B309" i="10"/>
  <c r="B308" i="10"/>
  <c r="B311" i="10"/>
  <c r="E91" i="9" s="1"/>
  <c r="B310" i="10"/>
  <c r="B312" i="10"/>
  <c r="B314" i="10"/>
  <c r="H91" i="9" s="1"/>
  <c r="B313" i="10"/>
  <c r="G91" i="9" s="1"/>
  <c r="B315" i="10"/>
  <c r="B316" i="10"/>
  <c r="B318" i="10"/>
  <c r="E93" i="9" s="1"/>
  <c r="B317" i="10"/>
  <c r="D93" i="9" s="1"/>
  <c r="B320" i="10"/>
  <c r="B319" i="10"/>
  <c r="B321" i="10"/>
  <c r="H93" i="9" s="1"/>
  <c r="B322" i="10"/>
  <c r="B95" i="9" s="1"/>
  <c r="B323" i="10"/>
  <c r="B324" i="10"/>
  <c r="B325" i="10"/>
  <c r="E95" i="9" s="1"/>
  <c r="B326" i="10"/>
  <c r="F95" i="9" s="1"/>
  <c r="B327" i="10"/>
  <c r="B328" i="10"/>
  <c r="B329" i="10"/>
  <c r="B97" i="9" s="1"/>
  <c r="B330" i="10"/>
  <c r="C97" i="9" s="1"/>
  <c r="B331" i="10"/>
  <c r="B332" i="10"/>
  <c r="B333" i="10"/>
  <c r="F97" i="9" s="1"/>
  <c r="B334" i="10"/>
  <c r="G97" i="9" s="1"/>
  <c r="B335" i="10"/>
  <c r="B336" i="10"/>
  <c r="B337" i="10"/>
  <c r="C99" i="9" s="1"/>
  <c r="B338" i="10"/>
  <c r="D99" i="9" s="1"/>
  <c r="B339" i="10"/>
  <c r="B341" i="10"/>
  <c r="B340" i="10"/>
  <c r="F99" i="9" s="1"/>
  <c r="B342" i="10"/>
  <c r="B344" i="10"/>
  <c r="B343" i="10"/>
  <c r="B101" i="9" s="1"/>
  <c r="B345" i="10"/>
  <c r="D101" i="9" s="1"/>
  <c r="B346" i="10"/>
  <c r="E101" i="9" s="1"/>
  <c r="B347" i="10"/>
  <c r="B349" i="10"/>
  <c r="B348" i="10"/>
  <c r="G101" i="9" s="1"/>
  <c r="B350" i="10"/>
  <c r="B351" i="10"/>
  <c r="B353" i="10"/>
  <c r="B352" i="10"/>
  <c r="B354" i="10"/>
  <c r="B356" i="10"/>
  <c r="B355" i="10"/>
  <c r="G103" i="9" s="1"/>
  <c r="B357" i="10"/>
  <c r="B105" i="9" s="1"/>
  <c r="B358" i="10"/>
  <c r="C105" i="9" s="1"/>
  <c r="B360" i="10"/>
  <c r="B359" i="10"/>
  <c r="B361" i="10"/>
  <c r="F105" i="9" s="1"/>
  <c r="B362" i="10"/>
  <c r="G105" i="9" s="1"/>
  <c r="B363" i="10"/>
  <c r="B364" i="10"/>
  <c r="B365" i="10"/>
  <c r="C107" i="9" s="1"/>
  <c r="B366" i="10"/>
  <c r="G51" i="4"/>
  <c r="AM366" i="2"/>
  <c r="J366" i="2" s="1"/>
  <c r="AO366" i="2"/>
  <c r="K366" i="2" s="1"/>
  <c r="I3" i="9"/>
  <c r="I7" i="9"/>
  <c r="I9" i="9"/>
  <c r="I5" i="9"/>
  <c r="I11" i="9"/>
  <c r="I13" i="9"/>
  <c r="I15" i="9"/>
  <c r="I17" i="9"/>
  <c r="I19" i="9"/>
  <c r="I21" i="9"/>
  <c r="I23" i="9"/>
  <c r="I25" i="9"/>
  <c r="I27" i="9"/>
  <c r="I29" i="9"/>
  <c r="I31" i="9"/>
  <c r="I33" i="9"/>
  <c r="I35" i="9"/>
  <c r="I37" i="9"/>
  <c r="I39" i="9"/>
  <c r="I41" i="9"/>
  <c r="I43" i="9"/>
  <c r="I45" i="9"/>
  <c r="I47" i="9"/>
  <c r="I49" i="9"/>
  <c r="I51" i="9"/>
  <c r="I53" i="9"/>
  <c r="I55" i="9"/>
  <c r="I57" i="9"/>
  <c r="I59" i="9"/>
  <c r="I61" i="9"/>
  <c r="I63" i="9"/>
  <c r="I65" i="9"/>
  <c r="I67" i="9"/>
  <c r="I69" i="9"/>
  <c r="I71" i="9"/>
  <c r="I73" i="9"/>
  <c r="I75" i="9"/>
  <c r="I77" i="9"/>
  <c r="I79" i="9"/>
  <c r="I81" i="9"/>
  <c r="I83" i="9"/>
  <c r="I85" i="9"/>
  <c r="I87" i="9"/>
  <c r="I89" i="9"/>
  <c r="I91" i="9"/>
  <c r="I93" i="9"/>
  <c r="I95" i="9"/>
  <c r="I97" i="9"/>
  <c r="I99" i="9"/>
  <c r="I101" i="9"/>
  <c r="I103" i="9"/>
  <c r="I105" i="9"/>
  <c r="I107" i="9"/>
  <c r="D73" i="4"/>
  <c r="E25" i="4"/>
  <c r="C3" i="4"/>
  <c r="F25" i="4"/>
  <c r="D8" i="4"/>
  <c r="C24" i="4"/>
  <c r="C23" i="4"/>
  <c r="D24" i="4"/>
  <c r="E24" i="4"/>
  <c r="G25" i="4"/>
  <c r="D25" i="4"/>
  <c r="G26" i="4"/>
  <c r="E26" i="4"/>
  <c r="F26" i="4"/>
  <c r="G23" i="4"/>
  <c r="F34" i="4"/>
  <c r="F50" i="4"/>
  <c r="D42" i="4"/>
  <c r="F64" i="4"/>
  <c r="F54" i="4"/>
  <c r="F73" i="4"/>
  <c r="F32" i="4"/>
  <c r="F65" i="4"/>
  <c r="G42" i="4"/>
  <c r="G78" i="4"/>
  <c r="G40" i="4"/>
  <c r="G49" i="4"/>
  <c r="G71" i="4"/>
  <c r="G65" i="4"/>
  <c r="G45" i="4"/>
  <c r="G47" i="4"/>
  <c r="F82" i="4"/>
  <c r="D103" i="9" l="1"/>
  <c r="C103" i="9"/>
  <c r="G87" i="9"/>
  <c r="G79" i="9"/>
  <c r="F61" i="9"/>
  <c r="H51" i="9"/>
  <c r="E51" i="9"/>
  <c r="E45" i="9"/>
  <c r="G41" i="9"/>
  <c r="E37" i="9"/>
  <c r="G33" i="9"/>
  <c r="D17" i="9"/>
  <c r="G15" i="9"/>
  <c r="E107" i="9"/>
  <c r="H105" i="9"/>
  <c r="E105" i="9"/>
  <c r="H103" i="9"/>
  <c r="F101" i="9"/>
  <c r="C101" i="9"/>
  <c r="E99" i="9"/>
  <c r="H97" i="9"/>
  <c r="D97" i="9"/>
  <c r="G95" i="9"/>
  <c r="C95" i="9"/>
  <c r="G93" i="9"/>
  <c r="B93" i="9"/>
  <c r="D91" i="9"/>
  <c r="H89" i="9"/>
  <c r="D89" i="9"/>
  <c r="C87" i="9"/>
  <c r="E85" i="9"/>
  <c r="B85" i="9"/>
  <c r="E83" i="9"/>
  <c r="H81" i="9"/>
  <c r="E81" i="9"/>
  <c r="C79" i="9"/>
  <c r="F77" i="9"/>
  <c r="C77" i="9"/>
  <c r="E75" i="9"/>
  <c r="H73" i="9"/>
  <c r="E73" i="9"/>
  <c r="G71" i="9"/>
  <c r="C71" i="9"/>
  <c r="F69" i="9"/>
  <c r="B69" i="9"/>
  <c r="E67" i="9"/>
  <c r="E65" i="9"/>
  <c r="H63" i="9"/>
  <c r="C63" i="9"/>
  <c r="B61" i="9"/>
  <c r="E59" i="9"/>
  <c r="H57" i="9"/>
  <c r="D57" i="9"/>
  <c r="H55" i="9"/>
  <c r="C55" i="9"/>
  <c r="G53" i="9"/>
  <c r="H49" i="9"/>
  <c r="D49" i="9"/>
  <c r="F47" i="9"/>
  <c r="C47" i="9"/>
  <c r="B45" i="9"/>
  <c r="E43" i="9"/>
  <c r="D41" i="9"/>
  <c r="G39" i="9"/>
  <c r="C39" i="9"/>
  <c r="B37" i="9"/>
  <c r="F35" i="9"/>
  <c r="D33" i="9"/>
  <c r="G31" i="9"/>
  <c r="C31" i="9"/>
  <c r="G29" i="9"/>
  <c r="B29" i="9"/>
  <c r="E27" i="9"/>
  <c r="H25" i="9"/>
  <c r="D25" i="9"/>
  <c r="G23" i="9"/>
  <c r="C23" i="9"/>
  <c r="F21" i="9"/>
  <c r="B21" i="9"/>
  <c r="D19" i="9"/>
  <c r="H17" i="9"/>
  <c r="C15" i="9"/>
  <c r="B13" i="9"/>
  <c r="E11" i="9"/>
  <c r="G5" i="9"/>
  <c r="F9" i="9"/>
  <c r="E7" i="9"/>
  <c r="F103" i="9"/>
  <c r="B103" i="9"/>
  <c r="H99" i="9"/>
  <c r="F87" i="9"/>
  <c r="F79" i="9"/>
  <c r="C73" i="9"/>
  <c r="H65" i="9"/>
  <c r="E61" i="9"/>
  <c r="B53" i="9"/>
  <c r="D51" i="9"/>
  <c r="F45" i="9"/>
  <c r="H41" i="9"/>
  <c r="F37" i="9"/>
  <c r="H33" i="9"/>
  <c r="C17" i="9"/>
  <c r="F15" i="9"/>
  <c r="E13" i="9"/>
  <c r="E9" i="9"/>
  <c r="B9" i="9"/>
  <c r="H7" i="9"/>
  <c r="D7" i="9"/>
  <c r="C7" i="9"/>
  <c r="D107" i="9"/>
  <c r="F107" i="9"/>
  <c r="B91" i="9"/>
  <c r="B107" i="9"/>
  <c r="D105" i="9"/>
  <c r="E103" i="9"/>
  <c r="H101" i="9"/>
  <c r="G99" i="9"/>
  <c r="B99" i="9"/>
  <c r="E97" i="9"/>
  <c r="H95" i="9"/>
  <c r="D95" i="9"/>
  <c r="F93" i="9"/>
  <c r="C93" i="9"/>
  <c r="F91" i="9"/>
  <c r="C91" i="9"/>
  <c r="E89" i="9"/>
  <c r="H87" i="9"/>
  <c r="E87" i="9"/>
  <c r="G85" i="9"/>
  <c r="D85" i="9"/>
  <c r="F83" i="9"/>
  <c r="B83" i="9"/>
  <c r="D81" i="9"/>
  <c r="H79" i="9"/>
  <c r="E79" i="9"/>
  <c r="G77" i="9"/>
  <c r="B77" i="9"/>
  <c r="F75" i="9"/>
  <c r="B75" i="9"/>
  <c r="B73" i="9"/>
  <c r="D71" i="9"/>
  <c r="G69" i="9"/>
  <c r="C69" i="9"/>
  <c r="F67" i="9"/>
  <c r="B67" i="9"/>
  <c r="D65" i="9"/>
  <c r="G63" i="9"/>
  <c r="D63" i="9"/>
  <c r="G61" i="9"/>
  <c r="D61" i="9"/>
  <c r="F59" i="9"/>
  <c r="B59" i="9"/>
  <c r="E57" i="9"/>
  <c r="G55" i="9"/>
  <c r="D55" i="9"/>
  <c r="F53" i="9"/>
  <c r="C53" i="9"/>
  <c r="F51" i="9"/>
  <c r="C51" i="9"/>
  <c r="E49" i="9"/>
  <c r="H47" i="9"/>
  <c r="E47" i="9"/>
  <c r="G45" i="9"/>
  <c r="C45" i="9"/>
  <c r="F43" i="9"/>
  <c r="B43" i="9"/>
  <c r="E41" i="9"/>
  <c r="H39" i="9"/>
  <c r="D39" i="9"/>
  <c r="G37" i="9"/>
  <c r="C37" i="9"/>
  <c r="E35" i="9"/>
  <c r="B35" i="9"/>
  <c r="E33" i="9"/>
  <c r="H31" i="9"/>
  <c r="D31" i="9"/>
  <c r="F29" i="9"/>
  <c r="C29" i="9"/>
  <c r="F27" i="9"/>
  <c r="B27" i="9"/>
  <c r="E25" i="9"/>
  <c r="H23" i="9"/>
  <c r="D23" i="9"/>
  <c r="G21" i="9"/>
  <c r="C21" i="9"/>
  <c r="E17" i="9"/>
  <c r="F11" i="9"/>
  <c r="G9" i="9"/>
  <c r="F5" i="9"/>
  <c r="G77" i="4"/>
  <c r="G73" i="4"/>
  <c r="G39" i="4"/>
  <c r="G72" i="4"/>
  <c r="G82" i="4"/>
  <c r="G33" i="4"/>
  <c r="G79" i="4"/>
  <c r="G34" i="4"/>
  <c r="G61" i="4"/>
  <c r="G38" i="4"/>
  <c r="F60" i="4"/>
  <c r="F68" i="4"/>
  <c r="F43" i="4"/>
  <c r="F49" i="4"/>
  <c r="F62" i="4"/>
  <c r="F36" i="4"/>
  <c r="F78" i="4"/>
  <c r="F46" i="4"/>
  <c r="F77" i="4"/>
  <c r="F51" i="4"/>
  <c r="F72" i="4"/>
  <c r="F59" i="4"/>
  <c r="F80" i="4"/>
  <c r="F75" i="4"/>
  <c r="F70" i="4"/>
  <c r="F69" i="4"/>
  <c r="F83" i="4"/>
  <c r="F53" i="4"/>
  <c r="F33" i="4"/>
  <c r="F57" i="4"/>
  <c r="F47" i="4"/>
  <c r="F66" i="4"/>
  <c r="F41" i="4"/>
  <c r="F45" i="4"/>
  <c r="F35" i="4"/>
  <c r="F40" i="4"/>
  <c r="F81" i="4"/>
  <c r="F79" i="4"/>
  <c r="F56" i="4"/>
  <c r="F71" i="4"/>
  <c r="F55" i="4"/>
  <c r="F39" i="4"/>
  <c r="E10" i="4"/>
  <c r="G53" i="4"/>
  <c r="G81" i="4"/>
  <c r="G41" i="4"/>
  <c r="G44" i="4"/>
  <c r="G83" i="4"/>
  <c r="G55" i="4"/>
  <c r="G66" i="4"/>
  <c r="G74" i="4"/>
  <c r="G50" i="4"/>
  <c r="G36" i="4"/>
  <c r="F74" i="4"/>
  <c r="F52" i="4"/>
  <c r="G59" i="4"/>
  <c r="G60" i="4"/>
  <c r="G43" i="4"/>
  <c r="G52" i="4"/>
  <c r="G35" i="4"/>
  <c r="G67" i="4"/>
  <c r="G63" i="4"/>
  <c r="G48" i="4"/>
  <c r="G69" i="4"/>
  <c r="G56" i="4"/>
  <c r="F38" i="4"/>
  <c r="F42" i="4"/>
  <c r="F67" i="4"/>
  <c r="F48" i="4"/>
  <c r="F37" i="4"/>
  <c r="F63" i="4"/>
  <c r="F61" i="4"/>
  <c r="F44" i="4"/>
  <c r="F31" i="4"/>
  <c r="F58" i="4"/>
  <c r="E23" i="4"/>
  <c r="D23" i="4"/>
  <c r="F76" i="4"/>
  <c r="G24" i="4"/>
  <c r="C26" i="4"/>
  <c r="E3" i="4"/>
  <c r="C5" i="4"/>
  <c r="G6" i="4"/>
  <c r="F9" i="4"/>
  <c r="G46" i="4"/>
  <c r="G70" i="4"/>
  <c r="G32" i="4"/>
  <c r="G54" i="4"/>
  <c r="G68" i="4"/>
  <c r="G76" i="4"/>
  <c r="G37" i="4"/>
  <c r="G75" i="4"/>
  <c r="G80" i="4"/>
  <c r="G64" i="4"/>
  <c r="G57" i="4"/>
  <c r="G58" i="4"/>
  <c r="G62" i="4"/>
  <c r="E16" i="4"/>
  <c r="F23" i="4"/>
  <c r="D26" i="4"/>
  <c r="D14" i="4"/>
  <c r="F24" i="4"/>
  <c r="C25" i="4"/>
  <c r="F7" i="4"/>
  <c r="D74" i="4"/>
  <c r="D33" i="4"/>
  <c r="G5" i="4"/>
  <c r="F4" i="4"/>
  <c r="D7" i="4"/>
  <c r="C16" i="4"/>
  <c r="G15" i="4"/>
  <c r="D12" i="4"/>
  <c r="G11" i="4"/>
  <c r="C15" i="4"/>
  <c r="D53" i="4"/>
  <c r="D55" i="4"/>
  <c r="D51" i="4"/>
  <c r="D78" i="4"/>
  <c r="D69" i="4"/>
  <c r="D59" i="4"/>
  <c r="D16" i="4"/>
  <c r="D6" i="4"/>
  <c r="E14" i="4"/>
  <c r="F5" i="4"/>
  <c r="E8" i="4"/>
  <c r="D4" i="4"/>
  <c r="D9" i="4"/>
  <c r="D10" i="4"/>
  <c r="G7" i="4"/>
  <c r="C12" i="4"/>
  <c r="D43" i="4"/>
  <c r="D83" i="4"/>
  <c r="D48" i="4"/>
  <c r="D77" i="4"/>
  <c r="F15" i="4"/>
  <c r="F6" i="4"/>
  <c r="F2" i="4"/>
  <c r="G12" i="4"/>
  <c r="D3" i="4"/>
  <c r="D11" i="4"/>
  <c r="C9" i="4"/>
  <c r="C4" i="4"/>
  <c r="C10" i="4"/>
  <c r="D41" i="4"/>
  <c r="D46" i="4"/>
  <c r="D31" i="4"/>
  <c r="D39" i="4"/>
  <c r="D52" i="4"/>
  <c r="D58" i="4"/>
  <c r="D49" i="4"/>
  <c r="D47" i="4"/>
  <c r="D50" i="4"/>
  <c r="D81" i="4"/>
  <c r="D70" i="4"/>
  <c r="D54" i="4"/>
  <c r="D36" i="4"/>
  <c r="D68" i="4"/>
  <c r="D67" i="4"/>
  <c r="D37" i="4"/>
  <c r="D75" i="4"/>
  <c r="D72" i="4"/>
  <c r="D60" i="4"/>
  <c r="D62" i="4"/>
  <c r="D76" i="4"/>
  <c r="D65" i="4"/>
  <c r="D38" i="4"/>
  <c r="D64" i="4"/>
  <c r="D61" i="4"/>
  <c r="D44" i="4"/>
  <c r="D82" i="4"/>
  <c r="G16" i="4"/>
  <c r="F16" i="4"/>
  <c r="D15" i="4"/>
  <c r="E6" i="4"/>
  <c r="E2" i="4"/>
  <c r="D2" i="4"/>
  <c r="D21" i="4" s="1"/>
  <c r="D5" i="4"/>
  <c r="E12" i="4"/>
  <c r="F8" i="4"/>
  <c r="F3" i="4"/>
  <c r="E4" i="4"/>
  <c r="E11" i="4"/>
  <c r="E9" i="4"/>
  <c r="C11" i="4"/>
  <c r="F10" i="4"/>
  <c r="C7" i="4"/>
  <c r="C2" i="4"/>
  <c r="E7" i="4"/>
  <c r="G14" i="4"/>
  <c r="D56" i="4"/>
  <c r="D57" i="4"/>
  <c r="D79" i="4"/>
  <c r="D35" i="4"/>
  <c r="D40" i="4"/>
  <c r="D34" i="4"/>
  <c r="D80" i="4"/>
  <c r="D45" i="4"/>
  <c r="D71" i="4"/>
  <c r="D32" i="4"/>
  <c r="D63" i="4"/>
  <c r="D66" i="4"/>
  <c r="E15" i="4"/>
  <c r="F14" i="4"/>
  <c r="E5" i="4"/>
  <c r="F12" i="4"/>
  <c r="G8" i="4"/>
  <c r="G3" i="4"/>
  <c r="G4" i="4"/>
  <c r="G2" i="4"/>
  <c r="F11" i="4"/>
  <c r="G9" i="4"/>
  <c r="G10" i="4"/>
  <c r="C6" i="4"/>
  <c r="C14" i="4"/>
  <c r="C8" i="4"/>
  <c r="G31" i="4"/>
  <c r="E31" i="4"/>
  <c r="G84" i="4" l="1"/>
  <c r="C21" i="4"/>
  <c r="D17" i="4"/>
  <c r="F85" i="4"/>
  <c r="F84" i="4"/>
  <c r="F21" i="4"/>
  <c r="D85" i="4"/>
  <c r="D84" i="4"/>
  <c r="E21" i="4"/>
  <c r="G21" i="4"/>
  <c r="C17" i="4"/>
  <c r="E17" i="4"/>
  <c r="C20" i="4"/>
  <c r="G17" i="4"/>
  <c r="F17" i="4"/>
  <c r="E48" i="4"/>
  <c r="E50" i="4"/>
  <c r="G85" i="4"/>
  <c r="E78" i="4"/>
  <c r="E58" i="4"/>
  <c r="E70" i="4"/>
  <c r="E80" i="4"/>
  <c r="E44" i="4"/>
  <c r="E51" i="4"/>
  <c r="E75" i="4"/>
  <c r="E77" i="4"/>
  <c r="E37" i="4"/>
  <c r="E83" i="4"/>
  <c r="E55" i="4"/>
  <c r="E53" i="4"/>
  <c r="E40" i="4"/>
  <c r="E57" i="4"/>
  <c r="E45" i="4"/>
  <c r="E54" i="4"/>
  <c r="E76" i="4"/>
  <c r="E82" i="4"/>
  <c r="E59" i="4"/>
  <c r="E32" i="4"/>
  <c r="E39" i="4"/>
  <c r="E42" i="4"/>
  <c r="E69" i="4"/>
  <c r="E63" i="4"/>
  <c r="E61" i="4"/>
  <c r="E79" i="4"/>
  <c r="E72" i="4"/>
  <c r="E52" i="4"/>
  <c r="E66" i="4"/>
  <c r="E73" i="4"/>
  <c r="E46" i="4"/>
  <c r="E49" i="4"/>
  <c r="E71" i="4"/>
  <c r="E41" i="4"/>
  <c r="E64" i="4"/>
  <c r="E62" i="4"/>
  <c r="E47" i="4"/>
  <c r="E74" i="4"/>
  <c r="E36" i="4"/>
  <c r="E68" i="4"/>
  <c r="E81" i="4"/>
  <c r="E33" i="4"/>
  <c r="E34" i="4"/>
  <c r="E67" i="4"/>
  <c r="E60" i="4"/>
  <c r="E56" i="4"/>
  <c r="E38" i="4"/>
  <c r="E35" i="4"/>
  <c r="E65" i="4"/>
  <c r="E43" i="4"/>
  <c r="Y11" i="4"/>
  <c r="X11" i="4"/>
  <c r="E85" i="4" l="1"/>
  <c r="E84" i="4"/>
  <c r="X10" i="4"/>
  <c r="Y10" i="4"/>
  <c r="L15" i="2"/>
  <c r="L43" i="2"/>
  <c r="L51" i="2"/>
  <c r="H73" i="4"/>
  <c r="M181" i="2"/>
  <c r="M180" i="2"/>
  <c r="M179" i="2"/>
  <c r="L179" i="2"/>
  <c r="L178" i="2"/>
  <c r="L173" i="2"/>
  <c r="L177" i="2"/>
  <c r="L181" i="2"/>
  <c r="L180" i="2"/>
  <c r="M178" i="2"/>
  <c r="M177" i="2"/>
  <c r="M174" i="2"/>
  <c r="L174" i="2"/>
  <c r="M172" i="2"/>
  <c r="M171" i="2"/>
  <c r="M170" i="2"/>
  <c r="L170" i="2"/>
  <c r="M166" i="2"/>
  <c r="L166" i="2"/>
  <c r="L165" i="2"/>
  <c r="L164" i="2"/>
  <c r="M146" i="2"/>
  <c r="M145" i="2"/>
  <c r="L145" i="2"/>
  <c r="M143" i="2"/>
  <c r="M142" i="2"/>
  <c r="M141" i="2"/>
  <c r="M167" i="2"/>
  <c r="L167" i="2"/>
  <c r="M165" i="2"/>
  <c r="M164" i="2"/>
  <c r="M163" i="2"/>
  <c r="L163" i="2"/>
  <c r="L160" i="2"/>
  <c r="M158" i="2"/>
  <c r="M157" i="2"/>
  <c r="L157" i="2"/>
  <c r="L156" i="2"/>
  <c r="M148" i="2"/>
  <c r="M169" i="2"/>
  <c r="M160" i="2"/>
  <c r="M159" i="2"/>
  <c r="L159" i="2"/>
  <c r="L158" i="2"/>
  <c r="M156" i="2"/>
  <c r="M155" i="2"/>
  <c r="L155" i="2"/>
  <c r="L153" i="2"/>
  <c r="L152" i="2"/>
  <c r="L151" i="2"/>
  <c r="L150" i="2"/>
  <c r="L146" i="2"/>
  <c r="M144" i="2"/>
  <c r="L143" i="2"/>
  <c r="M176" i="2"/>
  <c r="M173" i="2"/>
  <c r="L172" i="2"/>
  <c r="L171" i="2"/>
  <c r="M162" i="2"/>
  <c r="L162" i="2"/>
  <c r="M153" i="2"/>
  <c r="M152" i="2"/>
  <c r="M151" i="2"/>
  <c r="M150" i="2"/>
  <c r="M149" i="2"/>
  <c r="L149" i="2"/>
  <c r="L148" i="2"/>
  <c r="L144" i="2"/>
  <c r="L141" i="2"/>
  <c r="L68" i="2"/>
  <c r="M55" i="2"/>
  <c r="L55" i="2"/>
  <c r="M68" i="2"/>
  <c r="L66" i="2"/>
  <c r="M64" i="2"/>
  <c r="L61" i="2"/>
  <c r="M58" i="2"/>
  <c r="M53" i="2"/>
  <c r="L53" i="2"/>
  <c r="M69" i="2"/>
  <c r="L69" i="2"/>
  <c r="M66" i="2"/>
  <c r="M65" i="2"/>
  <c r="L65" i="2"/>
  <c r="L64" i="2"/>
  <c r="L62" i="2"/>
  <c r="M57" i="2"/>
  <c r="L30" i="2"/>
  <c r="M62" i="2"/>
  <c r="M61" i="2"/>
  <c r="M59" i="2"/>
  <c r="L59" i="2"/>
  <c r="L58" i="2"/>
  <c r="L57" i="2"/>
  <c r="M51" i="2"/>
  <c r="M16" i="2"/>
  <c r="L17" i="2"/>
  <c r="L10" i="2"/>
  <c r="M9" i="2"/>
  <c r="M6" i="2"/>
  <c r="L9" i="2"/>
  <c r="L6" i="2"/>
  <c r="M26" i="2"/>
  <c r="M19" i="2"/>
  <c r="L44" i="2"/>
  <c r="L48" i="2"/>
  <c r="M32" i="2"/>
  <c r="L47" i="2"/>
  <c r="M36" i="2"/>
  <c r="L33" i="2"/>
  <c r="L40" i="2"/>
  <c r="M38" i="2"/>
  <c r="M37" i="2"/>
  <c r="M47" i="2"/>
  <c r="M40" i="2"/>
  <c r="M30" i="2"/>
  <c r="M48" i="2"/>
  <c r="L20" i="2"/>
  <c r="L16" i="2"/>
  <c r="L13" i="2"/>
  <c r="M12" i="2"/>
  <c r="M29" i="2"/>
  <c r="L29" i="2"/>
  <c r="L19" i="2"/>
  <c r="L12" i="2"/>
  <c r="M5" i="2"/>
  <c r="L5" i="2"/>
  <c r="M3" i="2"/>
  <c r="M2" i="2"/>
  <c r="M8" i="2"/>
  <c r="M25" i="2"/>
  <c r="L26" i="2"/>
  <c r="L25" i="2"/>
  <c r="M23" i="2"/>
  <c r="L3" i="2"/>
  <c r="M43" i="2"/>
  <c r="M34" i="2"/>
  <c r="L34" i="2"/>
  <c r="L41" i="2"/>
  <c r="M33" i="2"/>
  <c r="M44" i="2"/>
  <c r="M45" i="2"/>
  <c r="L38" i="2"/>
  <c r="L37" i="2"/>
  <c r="M41" i="2"/>
  <c r="L32" i="2"/>
  <c r="L45" i="2"/>
  <c r="M20" i="2"/>
  <c r="M17" i="2"/>
  <c r="M15" i="2"/>
  <c r="M13" i="2"/>
  <c r="M10" i="2"/>
  <c r="H59" i="4" l="1"/>
  <c r="H61" i="4"/>
  <c r="H39" i="4"/>
  <c r="H32" i="4"/>
  <c r="H36" i="4"/>
  <c r="H33" i="4"/>
  <c r="L23" i="2"/>
  <c r="H35" i="4"/>
  <c r="H38" i="4"/>
  <c r="H37" i="4"/>
  <c r="J3" i="2"/>
  <c r="H55" i="4"/>
  <c r="L169" i="2"/>
  <c r="H53" i="4"/>
  <c r="H43" i="4"/>
  <c r="H47" i="4"/>
  <c r="H40" i="4"/>
  <c r="H54" i="4"/>
  <c r="H34" i="4"/>
  <c r="H48" i="4"/>
  <c r="H52" i="4"/>
  <c r="H41" i="4"/>
  <c r="L176" i="2"/>
  <c r="H56" i="4"/>
  <c r="H44" i="4"/>
  <c r="H51" i="4"/>
  <c r="L142" i="2"/>
  <c r="H45" i="4"/>
  <c r="H49" i="4"/>
  <c r="H42" i="4"/>
  <c r="H50" i="4"/>
  <c r="H46" i="4"/>
  <c r="H31" i="4"/>
  <c r="L2" i="2"/>
  <c r="H63" i="4"/>
  <c r="H58" i="4"/>
  <c r="H62" i="4"/>
  <c r="H68" i="4"/>
  <c r="H76" i="4"/>
  <c r="H82" i="4"/>
  <c r="H65" i="4"/>
  <c r="H81" i="4"/>
  <c r="H60" i="4"/>
  <c r="H67" i="4"/>
  <c r="H70" i="4"/>
  <c r="H77" i="4"/>
  <c r="H71" i="4"/>
  <c r="H79" i="4"/>
  <c r="H83" i="4"/>
  <c r="H66" i="4"/>
  <c r="H80" i="4"/>
  <c r="H69" i="4"/>
  <c r="H74" i="4"/>
  <c r="H78" i="4"/>
  <c r="H75" i="4"/>
  <c r="H72" i="4"/>
  <c r="H64" i="4"/>
  <c r="H57" i="4"/>
  <c r="L36" i="2"/>
  <c r="L8" i="2"/>
  <c r="K4" i="2" l="1"/>
  <c r="I4" i="2"/>
  <c r="I3" i="2"/>
  <c r="H84" i="4"/>
  <c r="H85" i="4"/>
  <c r="I5" i="2"/>
  <c r="K5" i="2" l="1"/>
  <c r="J4" i="2"/>
  <c r="I6" i="2"/>
  <c r="K6" i="2" l="1"/>
  <c r="J5" i="2"/>
  <c r="I7" i="2"/>
  <c r="K7" i="2" l="1"/>
  <c r="J6" i="2"/>
  <c r="I8" i="2"/>
  <c r="K8" i="2" l="1"/>
  <c r="J7" i="2"/>
  <c r="I9" i="2"/>
  <c r="K9" i="2" l="1"/>
  <c r="J8" i="2"/>
  <c r="I10" i="2"/>
  <c r="K10" i="2" l="1"/>
  <c r="J9" i="2"/>
  <c r="I11" i="2"/>
  <c r="K11" i="2" l="1"/>
  <c r="J10" i="2"/>
  <c r="I12" i="2"/>
  <c r="K12" i="2" l="1"/>
  <c r="J11" i="2"/>
  <c r="I13" i="2"/>
  <c r="K13" i="2" l="1"/>
  <c r="J12" i="2"/>
  <c r="I14" i="2"/>
  <c r="K14" i="2" l="1"/>
  <c r="J13" i="2"/>
  <c r="I15" i="2"/>
  <c r="K15" i="2" l="1"/>
  <c r="J14" i="2"/>
  <c r="I16" i="2"/>
  <c r="K16" i="2" l="1"/>
  <c r="J15" i="2"/>
  <c r="I17" i="2"/>
  <c r="K17" i="2" l="1"/>
  <c r="J16" i="2"/>
  <c r="I18" i="2"/>
  <c r="K18" i="2" l="1"/>
  <c r="J17" i="2"/>
  <c r="I19" i="2"/>
  <c r="K19" i="2" l="1"/>
  <c r="J18" i="2"/>
  <c r="I20" i="2"/>
  <c r="K20" i="2" l="1"/>
  <c r="J19" i="2"/>
  <c r="I21" i="2"/>
  <c r="K21" i="2" l="1"/>
  <c r="J20" i="2"/>
  <c r="I22" i="2"/>
  <c r="K22" i="2" l="1"/>
  <c r="J21" i="2"/>
  <c r="I23" i="2"/>
  <c r="K23" i="2" l="1"/>
  <c r="J22" i="2"/>
  <c r="I24" i="2"/>
  <c r="K24" i="2" l="1"/>
  <c r="J23" i="2"/>
  <c r="I25" i="2"/>
  <c r="K25" i="2" l="1"/>
  <c r="J24" i="2"/>
  <c r="I26" i="2"/>
  <c r="K26" i="2" l="1"/>
  <c r="J25" i="2"/>
  <c r="I27" i="2"/>
  <c r="K27" i="2" l="1"/>
  <c r="J26" i="2"/>
  <c r="I28" i="2"/>
  <c r="K28" i="2" l="1"/>
  <c r="J27" i="2"/>
  <c r="I29" i="2"/>
  <c r="K29" i="2" l="1"/>
  <c r="J28" i="2"/>
  <c r="I30" i="2"/>
  <c r="K30" i="2" l="1"/>
  <c r="J29" i="2"/>
  <c r="I31" i="2"/>
  <c r="K31" i="2" l="1"/>
  <c r="J30" i="2"/>
  <c r="I32" i="2"/>
  <c r="K32" i="2" l="1"/>
  <c r="J31" i="2"/>
  <c r="I33" i="2"/>
  <c r="K33" i="2" l="1"/>
  <c r="J32" i="2"/>
  <c r="I34" i="2"/>
  <c r="K34" i="2" l="1"/>
  <c r="J33" i="2"/>
  <c r="I35" i="2"/>
  <c r="K35" i="2" l="1"/>
  <c r="J34" i="2"/>
  <c r="I36" i="2"/>
  <c r="K36" i="2" l="1"/>
  <c r="J35" i="2"/>
  <c r="I37" i="2"/>
  <c r="K37" i="2" l="1"/>
  <c r="J36" i="2"/>
  <c r="I38" i="2"/>
  <c r="K38" i="2" l="1"/>
  <c r="J37" i="2"/>
  <c r="I39" i="2"/>
  <c r="K39" i="2" l="1"/>
  <c r="J38" i="2"/>
  <c r="I40" i="2"/>
  <c r="K40" i="2" l="1"/>
  <c r="J39" i="2"/>
  <c r="I41" i="2"/>
  <c r="K41" i="2" l="1"/>
  <c r="J40" i="2"/>
  <c r="I42" i="2"/>
  <c r="K42" i="2" l="1"/>
  <c r="J41" i="2"/>
  <c r="I43" i="2"/>
  <c r="K43" i="2" l="1"/>
  <c r="J42" i="2"/>
  <c r="I44" i="2"/>
  <c r="K44" i="2" l="1"/>
  <c r="J43" i="2"/>
  <c r="I45" i="2"/>
  <c r="K45" i="2" l="1"/>
  <c r="J44" i="2"/>
  <c r="I46" i="2"/>
  <c r="K46" i="2" l="1"/>
  <c r="J45" i="2"/>
  <c r="I47" i="2"/>
  <c r="K47" i="2" l="1"/>
  <c r="J46" i="2"/>
  <c r="I48" i="2"/>
  <c r="K48" i="2" l="1"/>
  <c r="J47" i="2"/>
  <c r="I49" i="2"/>
  <c r="K49" i="2" l="1"/>
  <c r="J48" i="2"/>
  <c r="I50" i="2"/>
  <c r="K50" i="2" l="1"/>
  <c r="J49" i="2"/>
  <c r="I51" i="2"/>
  <c r="K51" i="2" l="1"/>
  <c r="J50" i="2"/>
  <c r="I52" i="2"/>
  <c r="K52" i="2" l="1"/>
  <c r="J51" i="2"/>
  <c r="I53" i="2"/>
  <c r="K53" i="2" l="1"/>
  <c r="J52" i="2"/>
  <c r="I54" i="2"/>
  <c r="K54" i="2" l="1"/>
  <c r="J53" i="2"/>
  <c r="I55" i="2"/>
  <c r="K55" i="2" l="1"/>
  <c r="J54" i="2"/>
  <c r="I56" i="2"/>
  <c r="K56" i="2" l="1"/>
  <c r="J55" i="2"/>
  <c r="I57" i="2"/>
  <c r="K57" i="2" l="1"/>
  <c r="J56" i="2"/>
  <c r="I58" i="2"/>
  <c r="K58" i="2" l="1"/>
  <c r="J57" i="2"/>
  <c r="I59" i="2"/>
  <c r="K59" i="2" l="1"/>
  <c r="J58" i="2"/>
  <c r="I60" i="2"/>
  <c r="K60" i="2" l="1"/>
  <c r="J59" i="2"/>
  <c r="I61" i="2"/>
  <c r="K61" i="2" l="1"/>
  <c r="J60" i="2"/>
  <c r="I62" i="2"/>
  <c r="K62" i="2" l="1"/>
  <c r="J61" i="2"/>
  <c r="I63" i="2"/>
  <c r="K63" i="2" l="1"/>
  <c r="J62" i="2"/>
  <c r="I64" i="2"/>
  <c r="K64" i="2" l="1"/>
  <c r="J63" i="2"/>
  <c r="I65" i="2"/>
  <c r="K65" i="2" l="1"/>
  <c r="J64" i="2"/>
  <c r="I66" i="2"/>
  <c r="K66" i="2" l="1"/>
  <c r="J65" i="2"/>
  <c r="I67" i="2"/>
  <c r="K67" i="2" l="1"/>
  <c r="J66" i="2"/>
  <c r="I68" i="2"/>
  <c r="K68" i="2" l="1"/>
  <c r="J67" i="2"/>
  <c r="I69" i="2"/>
  <c r="K69" i="2" l="1"/>
  <c r="J68" i="2"/>
  <c r="I70" i="2"/>
  <c r="K70" i="2" l="1"/>
  <c r="J69" i="2"/>
  <c r="I71" i="2"/>
  <c r="K71" i="2" l="1"/>
  <c r="J70" i="2"/>
  <c r="I72" i="2"/>
  <c r="K72" i="2" l="1"/>
  <c r="J71" i="2"/>
  <c r="I73" i="2"/>
  <c r="K73" i="2" l="1"/>
  <c r="J72" i="2"/>
  <c r="I74" i="2"/>
  <c r="K74" i="2" l="1"/>
  <c r="J73" i="2"/>
  <c r="I75" i="2"/>
  <c r="K75" i="2" l="1"/>
  <c r="J74" i="2"/>
  <c r="I76" i="2"/>
  <c r="K76" i="2" l="1"/>
  <c r="J75" i="2"/>
  <c r="I77" i="2"/>
  <c r="K77" i="2" l="1"/>
  <c r="J76" i="2"/>
  <c r="I78" i="2"/>
  <c r="K78" i="2" l="1"/>
  <c r="J77" i="2"/>
  <c r="I79" i="2"/>
  <c r="K79" i="2" l="1"/>
  <c r="J78" i="2"/>
  <c r="I80" i="2"/>
  <c r="K80" i="2" l="1"/>
  <c r="J79" i="2"/>
  <c r="I81" i="2"/>
  <c r="K81" i="2" l="1"/>
  <c r="J80" i="2"/>
  <c r="I82" i="2"/>
  <c r="K82" i="2" l="1"/>
  <c r="J81" i="2"/>
  <c r="I83" i="2"/>
  <c r="K83" i="2" l="1"/>
  <c r="J82" i="2"/>
  <c r="I84" i="2"/>
  <c r="K84" i="2" l="1"/>
  <c r="J83" i="2"/>
  <c r="I85" i="2"/>
  <c r="K85" i="2" l="1"/>
  <c r="J84" i="2"/>
  <c r="I86" i="2"/>
  <c r="K86" i="2" l="1"/>
  <c r="J85" i="2"/>
  <c r="I87" i="2"/>
  <c r="K87" i="2" l="1"/>
  <c r="J86" i="2"/>
  <c r="I88" i="2"/>
  <c r="K88" i="2" l="1"/>
  <c r="J87" i="2"/>
  <c r="I89" i="2"/>
  <c r="K89" i="2" l="1"/>
  <c r="J88" i="2"/>
  <c r="I90" i="2"/>
  <c r="K90" i="2" l="1"/>
  <c r="J89" i="2"/>
  <c r="I91" i="2"/>
  <c r="K91" i="2" l="1"/>
  <c r="J90" i="2"/>
  <c r="I92" i="2"/>
  <c r="K92" i="2" l="1"/>
  <c r="J91" i="2"/>
  <c r="I93" i="2"/>
  <c r="K93" i="2" l="1"/>
  <c r="J92" i="2"/>
  <c r="I94" i="2"/>
  <c r="K94" i="2" l="1"/>
  <c r="J93" i="2"/>
  <c r="I95" i="2"/>
  <c r="K95" i="2" l="1"/>
  <c r="J94" i="2"/>
  <c r="I96" i="2"/>
  <c r="K96" i="2" l="1"/>
  <c r="J95" i="2"/>
  <c r="I97" i="2"/>
  <c r="K97" i="2" l="1"/>
  <c r="J96" i="2"/>
  <c r="I98" i="2"/>
  <c r="K98" i="2" l="1"/>
  <c r="J97" i="2"/>
  <c r="I99" i="2"/>
  <c r="K99" i="2" l="1"/>
  <c r="J98" i="2"/>
  <c r="I100" i="2"/>
  <c r="K100" i="2" l="1"/>
  <c r="J99" i="2"/>
  <c r="I101" i="2"/>
  <c r="K101" i="2" l="1"/>
  <c r="J100" i="2"/>
  <c r="I102" i="2"/>
  <c r="K102" i="2" l="1"/>
  <c r="J101" i="2"/>
  <c r="I103" i="2"/>
  <c r="K103" i="2" l="1"/>
  <c r="J102" i="2"/>
  <c r="I104" i="2"/>
  <c r="K104" i="2" l="1"/>
  <c r="J103" i="2"/>
  <c r="I105" i="2"/>
  <c r="K105" i="2" l="1"/>
  <c r="J104" i="2"/>
  <c r="I106" i="2"/>
  <c r="K106" i="2" l="1"/>
  <c r="J105" i="2"/>
  <c r="I107" i="2"/>
  <c r="K107" i="2" l="1"/>
  <c r="J106" i="2"/>
  <c r="I108" i="2"/>
  <c r="K108" i="2" l="1"/>
  <c r="J107" i="2"/>
  <c r="I109" i="2"/>
  <c r="K109" i="2" l="1"/>
  <c r="J108" i="2"/>
  <c r="I110" i="2"/>
  <c r="K110" i="2" l="1"/>
  <c r="J109" i="2"/>
  <c r="I111" i="2"/>
  <c r="K111" i="2" l="1"/>
  <c r="J110" i="2"/>
  <c r="I112" i="2"/>
  <c r="K112" i="2" l="1"/>
  <c r="J111" i="2"/>
  <c r="I113" i="2"/>
  <c r="K113" i="2" l="1"/>
  <c r="J112" i="2"/>
  <c r="I114" i="2"/>
  <c r="K114" i="2" l="1"/>
  <c r="J113" i="2"/>
  <c r="I115" i="2"/>
  <c r="K115" i="2" l="1"/>
  <c r="J114" i="2"/>
  <c r="I116" i="2"/>
  <c r="K116" i="2" l="1"/>
  <c r="J115" i="2"/>
  <c r="I117" i="2"/>
  <c r="K117" i="2" l="1"/>
  <c r="J116" i="2"/>
  <c r="I118" i="2"/>
  <c r="K118" i="2" l="1"/>
  <c r="J117" i="2"/>
  <c r="I119" i="2"/>
  <c r="K119" i="2" l="1"/>
  <c r="J118" i="2"/>
  <c r="I120" i="2"/>
  <c r="K120" i="2" l="1"/>
  <c r="J119" i="2"/>
  <c r="I121" i="2"/>
  <c r="K121" i="2" l="1"/>
  <c r="J120" i="2"/>
  <c r="I122" i="2"/>
  <c r="K122" i="2" l="1"/>
  <c r="J121" i="2"/>
  <c r="I123" i="2"/>
  <c r="K123" i="2" l="1"/>
  <c r="J122" i="2"/>
  <c r="I124" i="2"/>
  <c r="K124" i="2" l="1"/>
  <c r="J123" i="2"/>
  <c r="I125" i="2"/>
  <c r="K125" i="2" l="1"/>
  <c r="J124" i="2"/>
  <c r="I126" i="2"/>
  <c r="K126" i="2" l="1"/>
  <c r="J125" i="2"/>
  <c r="I127" i="2"/>
  <c r="K127" i="2" l="1"/>
  <c r="J126" i="2"/>
  <c r="I128" i="2"/>
  <c r="K128" i="2" l="1"/>
  <c r="J127" i="2"/>
  <c r="I129" i="2"/>
  <c r="K129" i="2" l="1"/>
  <c r="J128" i="2"/>
  <c r="I130" i="2"/>
  <c r="K130" i="2" l="1"/>
  <c r="J129" i="2"/>
  <c r="I131" i="2"/>
  <c r="K131" i="2" l="1"/>
  <c r="J130" i="2"/>
  <c r="I132" i="2"/>
  <c r="K132" i="2" l="1"/>
  <c r="J131" i="2"/>
  <c r="I133" i="2"/>
  <c r="K133" i="2" l="1"/>
  <c r="J132" i="2"/>
  <c r="I134" i="2"/>
  <c r="K134" i="2" l="1"/>
  <c r="J133" i="2"/>
  <c r="I135" i="2"/>
  <c r="K135" i="2" l="1"/>
  <c r="J134" i="2"/>
  <c r="I136" i="2"/>
  <c r="K136" i="2" l="1"/>
  <c r="J135" i="2"/>
  <c r="I137" i="2"/>
  <c r="K137" i="2" l="1"/>
  <c r="J136" i="2"/>
  <c r="I138" i="2"/>
  <c r="K138" i="2" l="1"/>
  <c r="J137" i="2"/>
  <c r="I139" i="2"/>
  <c r="K139" i="2" l="1"/>
  <c r="J138" i="2"/>
  <c r="I140" i="2"/>
  <c r="K140" i="2" l="1"/>
  <c r="J139" i="2"/>
  <c r="I141" i="2"/>
  <c r="K141" i="2" l="1"/>
  <c r="J140" i="2"/>
  <c r="I142" i="2"/>
  <c r="K142" i="2" l="1"/>
  <c r="J141" i="2"/>
  <c r="I143" i="2"/>
  <c r="K143" i="2" l="1"/>
  <c r="J142" i="2"/>
  <c r="I144" i="2"/>
  <c r="K144" i="2" l="1"/>
  <c r="J143" i="2"/>
  <c r="I145" i="2"/>
  <c r="K145" i="2" l="1"/>
  <c r="J144" i="2"/>
  <c r="I146" i="2"/>
  <c r="K146" i="2" l="1"/>
  <c r="J145" i="2"/>
  <c r="I147" i="2"/>
  <c r="K147" i="2" l="1"/>
  <c r="J146" i="2"/>
  <c r="I148" i="2"/>
  <c r="K148" i="2" l="1"/>
  <c r="J147" i="2"/>
  <c r="I149" i="2"/>
  <c r="K149" i="2" l="1"/>
  <c r="J148" i="2"/>
  <c r="I150" i="2"/>
  <c r="K150" i="2" l="1"/>
  <c r="J149" i="2"/>
  <c r="I151" i="2"/>
  <c r="K151" i="2" l="1"/>
  <c r="J150" i="2"/>
  <c r="I152" i="2"/>
  <c r="K152" i="2" l="1"/>
  <c r="J151" i="2"/>
  <c r="I153" i="2"/>
  <c r="K153" i="2" l="1"/>
  <c r="J152" i="2"/>
  <c r="I154" i="2"/>
  <c r="K154" i="2" l="1"/>
  <c r="J153" i="2"/>
  <c r="I155" i="2"/>
  <c r="K155" i="2" l="1"/>
  <c r="J154" i="2"/>
  <c r="I156" i="2"/>
  <c r="K156" i="2" l="1"/>
  <c r="J155" i="2"/>
  <c r="I157" i="2"/>
  <c r="K157" i="2" l="1"/>
  <c r="J156" i="2"/>
  <c r="I158" i="2"/>
  <c r="K158" i="2" l="1"/>
  <c r="J157" i="2"/>
  <c r="I159" i="2"/>
  <c r="K159" i="2" l="1"/>
  <c r="J158" i="2"/>
  <c r="I160" i="2"/>
  <c r="K160" i="2" l="1"/>
  <c r="J159" i="2"/>
  <c r="I161" i="2"/>
  <c r="K161" i="2" l="1"/>
  <c r="J160" i="2"/>
  <c r="I162" i="2"/>
  <c r="K162" i="2" l="1"/>
  <c r="J161" i="2"/>
  <c r="I163" i="2"/>
  <c r="K163" i="2" l="1"/>
  <c r="J162" i="2"/>
  <c r="I164" i="2"/>
  <c r="K164" i="2" l="1"/>
  <c r="J163" i="2"/>
  <c r="I165" i="2"/>
  <c r="K165" i="2" l="1"/>
  <c r="J164" i="2"/>
  <c r="I166" i="2"/>
  <c r="K166" i="2" l="1"/>
  <c r="J165" i="2"/>
  <c r="I167" i="2"/>
  <c r="K167" i="2" l="1"/>
  <c r="J166" i="2"/>
  <c r="I168" i="2"/>
  <c r="K168" i="2" l="1"/>
  <c r="J167" i="2"/>
  <c r="I169" i="2"/>
  <c r="K169" i="2" l="1"/>
  <c r="J168" i="2"/>
  <c r="I170" i="2"/>
  <c r="K170" i="2" l="1"/>
  <c r="J169" i="2"/>
  <c r="I171" i="2"/>
  <c r="K171" i="2" l="1"/>
  <c r="J170" i="2"/>
  <c r="I172" i="2"/>
  <c r="K172" i="2" l="1"/>
  <c r="J171" i="2"/>
  <c r="I173" i="2"/>
  <c r="K173" i="2" l="1"/>
  <c r="J172" i="2"/>
  <c r="I174" i="2"/>
  <c r="K174" i="2" l="1"/>
  <c r="J173" i="2"/>
  <c r="I175" i="2"/>
  <c r="K175" i="2" l="1"/>
  <c r="J174" i="2"/>
  <c r="I176" i="2"/>
  <c r="K176" i="2" l="1"/>
  <c r="J175" i="2"/>
  <c r="I177" i="2"/>
  <c r="K177" i="2" l="1"/>
  <c r="J176" i="2"/>
  <c r="I178" i="2"/>
  <c r="K178" i="2" l="1"/>
  <c r="J177" i="2"/>
  <c r="I179" i="2"/>
  <c r="K179" i="2" l="1"/>
  <c r="J178" i="2"/>
  <c r="I180" i="2"/>
  <c r="K180" i="2" l="1"/>
  <c r="J179" i="2"/>
  <c r="I181" i="2"/>
  <c r="K181" i="2" l="1"/>
  <c r="J180" i="2"/>
  <c r="I182" i="2"/>
  <c r="K182" i="2" l="1"/>
  <c r="J181" i="2"/>
  <c r="I183" i="2"/>
  <c r="K183" i="2" l="1"/>
  <c r="J182" i="2"/>
  <c r="I184" i="2"/>
  <c r="K184" i="2" l="1"/>
  <c r="J183" i="2"/>
  <c r="I185" i="2"/>
  <c r="K185" i="2" l="1"/>
  <c r="J184" i="2"/>
  <c r="I186" i="2"/>
  <c r="K186" i="2" l="1"/>
  <c r="J185" i="2"/>
  <c r="I187" i="2"/>
  <c r="K187" i="2" l="1"/>
  <c r="J186" i="2"/>
  <c r="I188" i="2"/>
  <c r="K188" i="2" l="1"/>
  <c r="J187" i="2"/>
  <c r="I189" i="2"/>
  <c r="K189" i="2" l="1"/>
  <c r="J188" i="2"/>
  <c r="I190" i="2"/>
  <c r="K190" i="2" l="1"/>
  <c r="J189" i="2"/>
  <c r="I191" i="2"/>
  <c r="K191" i="2" l="1"/>
  <c r="J190" i="2"/>
  <c r="I192" i="2"/>
  <c r="K192" i="2" l="1"/>
  <c r="J191" i="2"/>
  <c r="I193" i="2"/>
  <c r="K193" i="2" l="1"/>
  <c r="J192" i="2"/>
  <c r="I194" i="2"/>
  <c r="K194" i="2" l="1"/>
  <c r="J193" i="2"/>
  <c r="I195" i="2"/>
  <c r="K195" i="2" l="1"/>
  <c r="J194" i="2"/>
  <c r="I196" i="2"/>
  <c r="K196" i="2" l="1"/>
  <c r="J195" i="2"/>
  <c r="I197" i="2"/>
  <c r="K197" i="2" l="1"/>
  <c r="J196" i="2"/>
  <c r="I198" i="2"/>
  <c r="K198" i="2" l="1"/>
  <c r="J197" i="2"/>
  <c r="I199" i="2"/>
  <c r="K199" i="2" l="1"/>
  <c r="J198" i="2"/>
  <c r="I200" i="2"/>
  <c r="K200" i="2" l="1"/>
  <c r="J199" i="2"/>
  <c r="I201" i="2"/>
  <c r="K201" i="2" l="1"/>
  <c r="J200" i="2"/>
  <c r="I202" i="2"/>
  <c r="K202" i="2" l="1"/>
  <c r="J201" i="2"/>
  <c r="I203" i="2"/>
  <c r="K203" i="2" l="1"/>
  <c r="J202" i="2"/>
  <c r="I204" i="2"/>
  <c r="K204" i="2" l="1"/>
  <c r="J203" i="2"/>
  <c r="I205" i="2"/>
  <c r="K205" i="2" l="1"/>
  <c r="J204" i="2"/>
  <c r="I206" i="2"/>
  <c r="K206" i="2" l="1"/>
  <c r="J205" i="2"/>
  <c r="I207" i="2"/>
  <c r="K207" i="2" l="1"/>
  <c r="J206" i="2"/>
  <c r="I208" i="2"/>
  <c r="K208" i="2" l="1"/>
  <c r="J207" i="2"/>
  <c r="I209" i="2"/>
  <c r="K209" i="2" l="1"/>
  <c r="J208" i="2"/>
  <c r="I210" i="2"/>
  <c r="K210" i="2" l="1"/>
  <c r="J209" i="2"/>
  <c r="I211" i="2"/>
  <c r="K211" i="2" l="1"/>
  <c r="J210" i="2"/>
  <c r="I212" i="2"/>
  <c r="K212" i="2" l="1"/>
  <c r="J211" i="2"/>
  <c r="I213" i="2"/>
  <c r="K213" i="2" l="1"/>
  <c r="J212" i="2"/>
  <c r="I214" i="2"/>
  <c r="K214" i="2" l="1"/>
  <c r="J213" i="2"/>
  <c r="I215" i="2"/>
  <c r="K215" i="2" l="1"/>
  <c r="J214" i="2"/>
  <c r="I216" i="2"/>
  <c r="K216" i="2" l="1"/>
  <c r="J215" i="2"/>
  <c r="I217" i="2"/>
  <c r="K217" i="2" l="1"/>
  <c r="J216" i="2"/>
  <c r="I218" i="2"/>
  <c r="K218" i="2" l="1"/>
  <c r="J217" i="2"/>
  <c r="I219" i="2"/>
  <c r="K219" i="2" l="1"/>
  <c r="J218" i="2"/>
  <c r="I220" i="2"/>
  <c r="K220" i="2" l="1"/>
  <c r="J219" i="2"/>
  <c r="I221" i="2"/>
  <c r="K221" i="2" l="1"/>
  <c r="J220" i="2"/>
  <c r="I222" i="2"/>
  <c r="K222" i="2" l="1"/>
  <c r="J221" i="2"/>
  <c r="I223" i="2"/>
  <c r="K223" i="2" l="1"/>
  <c r="J222" i="2"/>
  <c r="I224" i="2"/>
  <c r="K224" i="2" l="1"/>
  <c r="J223" i="2"/>
  <c r="I225" i="2"/>
  <c r="K225" i="2" l="1"/>
  <c r="J224" i="2"/>
  <c r="I226" i="2"/>
  <c r="K226" i="2" l="1"/>
  <c r="J225" i="2"/>
  <c r="I227" i="2"/>
  <c r="K227" i="2" l="1"/>
  <c r="J226" i="2"/>
  <c r="I228" i="2"/>
  <c r="K228" i="2" l="1"/>
  <c r="J227" i="2"/>
  <c r="I229" i="2"/>
  <c r="K229" i="2" l="1"/>
  <c r="J228" i="2"/>
  <c r="I230" i="2"/>
  <c r="K230" i="2" l="1"/>
  <c r="J229" i="2"/>
  <c r="I231" i="2"/>
  <c r="K231" i="2" l="1"/>
  <c r="J230" i="2"/>
  <c r="I232" i="2"/>
  <c r="K232" i="2" l="1"/>
  <c r="J231" i="2"/>
  <c r="I233" i="2"/>
  <c r="K233" i="2" l="1"/>
  <c r="J232" i="2"/>
  <c r="I234" i="2"/>
  <c r="K234" i="2" l="1"/>
  <c r="J233" i="2"/>
  <c r="I235" i="2"/>
  <c r="K235" i="2" l="1"/>
  <c r="J234" i="2"/>
  <c r="I236" i="2"/>
  <c r="K236" i="2" l="1"/>
  <c r="J235" i="2"/>
  <c r="I237" i="2"/>
  <c r="K237" i="2" l="1"/>
  <c r="J236" i="2"/>
  <c r="I238" i="2"/>
  <c r="K238" i="2" l="1"/>
  <c r="J237" i="2"/>
  <c r="I239" i="2"/>
  <c r="K239" i="2" l="1"/>
  <c r="J238" i="2"/>
  <c r="I240" i="2"/>
  <c r="K240" i="2" l="1"/>
  <c r="J239" i="2"/>
  <c r="I241" i="2"/>
  <c r="K241" i="2" l="1"/>
  <c r="J240" i="2"/>
  <c r="I242" i="2"/>
  <c r="K242" i="2" l="1"/>
  <c r="J241" i="2"/>
  <c r="I243" i="2"/>
  <c r="K243" i="2" l="1"/>
  <c r="J242" i="2"/>
  <c r="I244" i="2"/>
  <c r="K244" i="2" l="1"/>
  <c r="J243" i="2"/>
  <c r="I245" i="2"/>
  <c r="K245" i="2" l="1"/>
  <c r="J244" i="2"/>
  <c r="I246" i="2"/>
  <c r="K246" i="2" l="1"/>
  <c r="J245" i="2"/>
  <c r="I247" i="2"/>
  <c r="K247" i="2" l="1"/>
  <c r="J246" i="2"/>
  <c r="I248" i="2"/>
  <c r="K248" i="2" l="1"/>
  <c r="J247" i="2"/>
  <c r="I249" i="2"/>
  <c r="K249" i="2" l="1"/>
  <c r="J248" i="2"/>
  <c r="I250" i="2"/>
  <c r="K250" i="2" l="1"/>
  <c r="J249" i="2"/>
  <c r="I251" i="2"/>
  <c r="K251" i="2" l="1"/>
  <c r="J250" i="2"/>
  <c r="I252" i="2"/>
  <c r="K252" i="2" l="1"/>
  <c r="J251" i="2"/>
  <c r="I253" i="2"/>
  <c r="K253" i="2" l="1"/>
  <c r="J252" i="2"/>
  <c r="I254" i="2"/>
  <c r="K254" i="2" l="1"/>
  <c r="J253" i="2"/>
  <c r="I255" i="2"/>
  <c r="K255" i="2" l="1"/>
  <c r="J254" i="2"/>
  <c r="I256" i="2"/>
  <c r="K256" i="2" l="1"/>
  <c r="J255" i="2"/>
  <c r="I257" i="2"/>
  <c r="K257" i="2" l="1"/>
  <c r="J256" i="2"/>
  <c r="I258" i="2"/>
  <c r="K258" i="2" l="1"/>
  <c r="J257" i="2"/>
  <c r="I259" i="2"/>
  <c r="K259" i="2" l="1"/>
  <c r="J258" i="2"/>
  <c r="I260" i="2"/>
  <c r="K260" i="2" l="1"/>
  <c r="J259" i="2"/>
  <c r="I261" i="2"/>
  <c r="K261" i="2" l="1"/>
  <c r="J260" i="2"/>
  <c r="I262" i="2"/>
  <c r="K262" i="2" l="1"/>
  <c r="J261" i="2"/>
  <c r="I263" i="2"/>
  <c r="K263" i="2" l="1"/>
  <c r="J262" i="2"/>
  <c r="I264" i="2"/>
  <c r="K264" i="2" l="1"/>
  <c r="J263" i="2"/>
  <c r="I265" i="2"/>
  <c r="K265" i="2" l="1"/>
  <c r="J264" i="2"/>
  <c r="I266" i="2"/>
  <c r="K266" i="2" l="1"/>
  <c r="J265" i="2"/>
  <c r="I267" i="2"/>
  <c r="K267" i="2" l="1"/>
  <c r="J266" i="2"/>
  <c r="I268" i="2"/>
  <c r="K268" i="2" l="1"/>
  <c r="J267" i="2"/>
  <c r="I269" i="2"/>
  <c r="K269" i="2" l="1"/>
  <c r="J268" i="2"/>
  <c r="I270" i="2"/>
  <c r="K270" i="2" l="1"/>
  <c r="J269" i="2"/>
  <c r="I271" i="2"/>
  <c r="K271" i="2" l="1"/>
  <c r="J270" i="2"/>
  <c r="I272" i="2"/>
  <c r="K272" i="2" l="1"/>
  <c r="J271" i="2"/>
  <c r="I273" i="2"/>
  <c r="K273" i="2" l="1"/>
  <c r="J272" i="2"/>
  <c r="I274" i="2"/>
  <c r="K274" i="2" l="1"/>
  <c r="J273" i="2"/>
  <c r="I275" i="2"/>
  <c r="K275" i="2" l="1"/>
  <c r="J274" i="2"/>
  <c r="I276" i="2"/>
  <c r="K276" i="2" l="1"/>
  <c r="J275" i="2"/>
  <c r="I277" i="2"/>
  <c r="K277" i="2" l="1"/>
  <c r="J276" i="2"/>
  <c r="I278" i="2"/>
  <c r="K278" i="2" l="1"/>
  <c r="J277" i="2"/>
  <c r="I279" i="2"/>
  <c r="K279" i="2" l="1"/>
  <c r="J278" i="2"/>
  <c r="I280" i="2"/>
  <c r="K280" i="2" l="1"/>
  <c r="J279" i="2"/>
  <c r="I281" i="2"/>
  <c r="K281" i="2" l="1"/>
  <c r="J280" i="2"/>
  <c r="I282" i="2"/>
  <c r="K282" i="2" l="1"/>
  <c r="J281" i="2"/>
  <c r="I283" i="2"/>
  <c r="K283" i="2" l="1"/>
  <c r="J282" i="2"/>
  <c r="I284" i="2"/>
  <c r="K284" i="2" l="1"/>
  <c r="J283" i="2"/>
  <c r="I285" i="2"/>
  <c r="K285" i="2" l="1"/>
  <c r="J284" i="2"/>
  <c r="I286" i="2"/>
  <c r="K286" i="2" l="1"/>
  <c r="J285" i="2"/>
  <c r="I287" i="2"/>
  <c r="K287" i="2" l="1"/>
  <c r="J286" i="2"/>
  <c r="I288" i="2"/>
  <c r="K288" i="2" l="1"/>
  <c r="J287" i="2"/>
  <c r="I289" i="2"/>
  <c r="K289" i="2" l="1"/>
  <c r="J288" i="2"/>
  <c r="I290" i="2"/>
  <c r="K290" i="2" l="1"/>
  <c r="J289" i="2"/>
  <c r="I291" i="2"/>
  <c r="K291" i="2" l="1"/>
  <c r="J290" i="2"/>
  <c r="I292" i="2"/>
  <c r="K292" i="2" l="1"/>
  <c r="J291" i="2"/>
  <c r="I293" i="2"/>
  <c r="K293" i="2" l="1"/>
  <c r="J292" i="2"/>
  <c r="I294" i="2"/>
  <c r="K294" i="2" l="1"/>
  <c r="J293" i="2"/>
  <c r="I295" i="2"/>
  <c r="K295" i="2" l="1"/>
  <c r="J294" i="2"/>
  <c r="I296" i="2"/>
  <c r="K296" i="2" l="1"/>
  <c r="J295" i="2"/>
  <c r="I297" i="2"/>
  <c r="K297" i="2" l="1"/>
  <c r="J296" i="2"/>
  <c r="I298" i="2"/>
  <c r="K298" i="2" l="1"/>
  <c r="J297" i="2"/>
  <c r="I299" i="2"/>
  <c r="K299" i="2" l="1"/>
  <c r="J298" i="2"/>
  <c r="I300" i="2"/>
  <c r="K300" i="2" l="1"/>
  <c r="J299" i="2"/>
  <c r="I301" i="2"/>
  <c r="K301" i="2" l="1"/>
  <c r="J300" i="2"/>
  <c r="I302" i="2"/>
  <c r="K302" i="2" l="1"/>
  <c r="J301" i="2"/>
  <c r="I303" i="2"/>
  <c r="K303" i="2" l="1"/>
  <c r="J302" i="2"/>
  <c r="I304" i="2"/>
  <c r="K304" i="2" l="1"/>
  <c r="J303" i="2"/>
  <c r="I305" i="2"/>
  <c r="K305" i="2" l="1"/>
  <c r="J304" i="2"/>
  <c r="I306" i="2"/>
  <c r="K306" i="2" l="1"/>
  <c r="J305" i="2"/>
  <c r="I307" i="2"/>
  <c r="K307" i="2" l="1"/>
  <c r="J306" i="2"/>
  <c r="I308" i="2"/>
  <c r="K308" i="2" l="1"/>
  <c r="J307" i="2"/>
  <c r="I309" i="2"/>
  <c r="K309" i="2" l="1"/>
  <c r="J308" i="2"/>
  <c r="I310" i="2"/>
  <c r="K310" i="2" l="1"/>
  <c r="J309" i="2"/>
  <c r="I311" i="2"/>
  <c r="K311" i="2" l="1"/>
  <c r="J310" i="2"/>
  <c r="I312" i="2"/>
  <c r="K312" i="2" l="1"/>
  <c r="J311" i="2"/>
  <c r="I313" i="2"/>
  <c r="K313" i="2" l="1"/>
  <c r="J312" i="2"/>
  <c r="I314" i="2"/>
  <c r="K314" i="2" l="1"/>
  <c r="J313" i="2"/>
  <c r="I315" i="2"/>
  <c r="K315" i="2" l="1"/>
  <c r="J314" i="2"/>
  <c r="I316" i="2"/>
  <c r="K316" i="2" l="1"/>
  <c r="J315" i="2"/>
  <c r="I317" i="2"/>
  <c r="K317" i="2" l="1"/>
  <c r="J316" i="2"/>
  <c r="J317" i="2" l="1"/>
</calcChain>
</file>

<file path=xl/sharedStrings.xml><?xml version="1.0" encoding="utf-8"?>
<sst xmlns="http://schemas.openxmlformats.org/spreadsheetml/2006/main" count="974" uniqueCount="365">
  <si>
    <t>Week</t>
  </si>
  <si>
    <t>TSS</t>
  </si>
  <si>
    <t>Race days</t>
  </si>
  <si>
    <t>Riding days</t>
  </si>
  <si>
    <t>#</t>
  </si>
  <si>
    <t>Date</t>
  </si>
  <si>
    <t>Bike</t>
  </si>
  <si>
    <t>Miles</t>
  </si>
  <si>
    <t>M.Time (min)</t>
  </si>
  <si>
    <t>MPH</t>
  </si>
  <si>
    <t>Elevation Gain (ft)</t>
  </si>
  <si>
    <t>Gain (ft/mi)</t>
  </si>
  <si>
    <t>Temp</t>
  </si>
  <si>
    <t>Notes</t>
  </si>
  <si>
    <t>Addict</t>
  </si>
  <si>
    <t>Type</t>
  </si>
  <si>
    <t>S3</t>
  </si>
  <si>
    <t>T</t>
  </si>
  <si>
    <t>RR</t>
  </si>
  <si>
    <t>GR</t>
  </si>
  <si>
    <t>Road race</t>
  </si>
  <si>
    <t>MTB</t>
  </si>
  <si>
    <t>MTBR</t>
  </si>
  <si>
    <t>Mountain bike race</t>
  </si>
  <si>
    <t>MTBG</t>
  </si>
  <si>
    <t>Group MTB ride</t>
  </si>
  <si>
    <t>Group road ride</t>
  </si>
  <si>
    <t>CRIT</t>
  </si>
  <si>
    <t>Criterium race</t>
  </si>
  <si>
    <t>CX</t>
  </si>
  <si>
    <t>Cyclocross race</t>
  </si>
  <si>
    <t>Solo road ride</t>
  </si>
  <si>
    <t>SR</t>
  </si>
  <si>
    <t>Solo MTB ride</t>
  </si>
  <si>
    <t>M.Time (hrs)</t>
  </si>
  <si>
    <t>Air9</t>
  </si>
  <si>
    <t>Crux</t>
  </si>
  <si>
    <t>Use CTRL+SHIFT+ENTER</t>
  </si>
  <si>
    <t>Rides</t>
  </si>
  <si>
    <t>Norm. Power</t>
  </si>
  <si>
    <t>CTL</t>
  </si>
  <si>
    <t>TSB</t>
  </si>
  <si>
    <t>Max HR</t>
  </si>
  <si>
    <t>IF</t>
  </si>
  <si>
    <t>Weight training</t>
  </si>
  <si>
    <t>W</t>
  </si>
  <si>
    <t>GVL</t>
  </si>
  <si>
    <t>Avg HR</t>
  </si>
  <si>
    <t>CT</t>
  </si>
  <si>
    <t>ATL</t>
  </si>
  <si>
    <t>Day</t>
  </si>
  <si>
    <t>Start ATL</t>
  </si>
  <si>
    <t>Start CTL</t>
  </si>
  <si>
    <t>ATL Constant</t>
  </si>
  <si>
    <t>CTL Constant</t>
  </si>
  <si>
    <t>Start TSB</t>
  </si>
  <si>
    <t>Run</t>
  </si>
  <si>
    <t>RUN</t>
  </si>
  <si>
    <t>Cross Training (Yoga, etc)</t>
  </si>
  <si>
    <t>Trainer ride</t>
  </si>
  <si>
    <t>Max CTL</t>
  </si>
  <si>
    <t>Max ATL</t>
  </si>
  <si>
    <t>Gravel group ride</t>
  </si>
  <si>
    <t>Gravel race</t>
  </si>
  <si>
    <t>GGR</t>
  </si>
  <si>
    <t>NP</t>
  </si>
  <si>
    <t>Monday</t>
  </si>
  <si>
    <t>Id</t>
  </si>
  <si>
    <t>Tuesday</t>
  </si>
  <si>
    <t>Ramp Test</t>
  </si>
  <si>
    <t>Wednesday</t>
  </si>
  <si>
    <t>Thursday</t>
  </si>
  <si>
    <t>Friday</t>
  </si>
  <si>
    <t>Saturday</t>
  </si>
  <si>
    <t>Sunday</t>
  </si>
  <si>
    <t>Minutes</t>
  </si>
  <si>
    <t>Plan</t>
  </si>
  <si>
    <t>Plan TSS</t>
  </si>
  <si>
    <t>Plan CTL</t>
  </si>
  <si>
    <t>Weekly Total</t>
  </si>
  <si>
    <t>Plan
TSS</t>
  </si>
  <si>
    <t>Plan IF</t>
  </si>
  <si>
    <t>30 minute run</t>
  </si>
  <si>
    <t>Road Race</t>
  </si>
  <si>
    <t>Standard Events &amp; Workouts</t>
  </si>
  <si>
    <t>Description</t>
  </si>
  <si>
    <t>Race Prep @ 100 RPM</t>
  </si>
  <si>
    <t>Gieger</t>
  </si>
  <si>
    <t>Antelope</t>
  </si>
  <si>
    <t>Pettit</t>
  </si>
  <si>
    <t>Hunter</t>
  </si>
  <si>
    <t>Wright Peak -2</t>
  </si>
  <si>
    <t>Geiger +2</t>
  </si>
  <si>
    <t>Tallac</t>
  </si>
  <si>
    <t>Carillon +2</t>
  </si>
  <si>
    <t>Juneau -1</t>
  </si>
  <si>
    <t>Tallac +3</t>
  </si>
  <si>
    <t>Eclipse</t>
  </si>
  <si>
    <t>Glassy</t>
  </si>
  <si>
    <t>Wright Peak -1</t>
  </si>
  <si>
    <t>Galena +3</t>
  </si>
  <si>
    <t>Looking Glass</t>
  </si>
  <si>
    <t>Galena</t>
  </si>
  <si>
    <t>Fletcher</t>
  </si>
  <si>
    <t>Brasstown</t>
  </si>
  <si>
    <t>Taku</t>
  </si>
  <si>
    <t>Boarstone</t>
  </si>
  <si>
    <t>Andrews</t>
  </si>
  <si>
    <t>Hunter -1</t>
  </si>
  <si>
    <t>Antelope +5</t>
  </si>
  <si>
    <t>Antelope +4</t>
  </si>
  <si>
    <t>Eclipse +3</t>
  </si>
  <si>
    <t>Hunter -2</t>
  </si>
  <si>
    <t>Tallac +2</t>
  </si>
  <si>
    <t>Tallac +4</t>
  </si>
  <si>
    <t>Beech</t>
  </si>
  <si>
    <t>Bays +1</t>
  </si>
  <si>
    <t>Stromlo +6</t>
  </si>
  <si>
    <t>Palisade</t>
  </si>
  <si>
    <t>Round Bald +3</t>
  </si>
  <si>
    <t>Shortoff +6</t>
  </si>
  <si>
    <t>Cheaha</t>
  </si>
  <si>
    <t>Budawang +5</t>
  </si>
  <si>
    <t>McAdie +1</t>
  </si>
  <si>
    <t>Spruce Knob +3</t>
  </si>
  <si>
    <t>Monadnock +6</t>
  </si>
  <si>
    <t>Bays</t>
  </si>
  <si>
    <t>Stromlo +7</t>
  </si>
  <si>
    <t>Picket Guard</t>
  </si>
  <si>
    <t>Tray Mountain +3</t>
  </si>
  <si>
    <t>Boarstone -1</t>
  </si>
  <si>
    <t>Thimble +4</t>
  </si>
  <si>
    <t>Spanish Needle +2</t>
  </si>
  <si>
    <t>Pisgah +6</t>
  </si>
  <si>
    <t>English +4</t>
  </si>
  <si>
    <t>Lion Rock +1</t>
  </si>
  <si>
    <t>South Twin +6</t>
  </si>
  <si>
    <t>Mokelumne</t>
  </si>
  <si>
    <t>English +5</t>
  </si>
  <si>
    <t>Bald Knob</t>
  </si>
  <si>
    <t>McDuffie +3</t>
  </si>
  <si>
    <t>Tallac+4</t>
  </si>
  <si>
    <t>Hatch</t>
  </si>
  <si>
    <t>Plan
TSB</t>
  </si>
  <si>
    <t>Elev. Gain (ft)</t>
  </si>
  <si>
    <t>Plan ATL</t>
  </si>
  <si>
    <t>TSS
(Plan)</t>
  </si>
  <si>
    <t>ATL
(Plan)</t>
  </si>
  <si>
    <t>CTL
(Plan)</t>
  </si>
  <si>
    <t>TSB
(Plan)</t>
  </si>
  <si>
    <t>IF
(Plan)</t>
  </si>
  <si>
    <t>&lt;- Rows must be visible for charts</t>
  </si>
  <si>
    <t>Indoor Temp</t>
  </si>
  <si>
    <t>Trainer Road Workouts</t>
  </si>
  <si>
    <t>Fastcat</t>
  </si>
  <si>
    <t>Pettit +1</t>
  </si>
  <si>
    <t>Antelope +2</t>
  </si>
  <si>
    <t>Geiger +4</t>
  </si>
  <si>
    <t>Totals</t>
  </si>
  <si>
    <t>Average</t>
  </si>
  <si>
    <t>3 x 12 minutes ON (zone 3) 6 minutes OFF
-
Perform the Intervals by riding between 76-90% of your FTP. You should feel like you are working but not "suffering"
For More Information Please Read:
https://fascatcoaching.com/tips/tempo-training/</t>
  </si>
  <si>
    <t>4 x 45 seconds on 90 seconds off. FULL GAS!!
-
Pre-Race Openers: short quick intervals, designed to "open" your legs up for the very next day's race</t>
  </si>
  <si>
    <t>Complete these intervals at FULL GAS! Warm up and cool down in Zones 1/2.</t>
  </si>
  <si>
    <t>2 sets of 2 x 4 minutes ON 4 minutes OFF; 8 min b/w sets
-
How To Perform VO2Max Intervals Properly:
https://www.fascatcoaching.com/tips/vo2-max-intervals/
The Right WAY and WRONG WAY:
https://www.fascatcoaching.com/tips/how-to-perform-intervals-properly-using-your-powermeter/
-</t>
  </si>
  <si>
    <t>3 x 10 minutes ON; 5 minutes OFF
-
These efforts are done at "Tempo" for the duration, while the "cross" is done at FTP, then returned to Tempo.
-
1-4 min @ TEMPO
4-5 min @ FTP WATTs
5-9 min @ TEMPO
9-10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</si>
  <si>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sets of 2 x 5 minutes ON 5 minutes OFF; 8 min b/w sets
-
How To Perform VO2Max Intervals Properly:
https://www.fascatcoaching.com/tips/vo2-max-intervals/
The Right WAY and WRONG WAY:
https://www.fascatcoaching.com/tips/how-to-perform-intervals-properly-using-your-powermeter/
-</t>
  </si>
  <si>
    <t>Steady "All Day" Pace. Aim for mostly Zone 2
Zone 2 is your all day pace - the foundation of your aerobic engine. Power should be 56% - 75% of FTP
-
SPRINTS: for the middle 60 minutes I want you to do 6 sprints (1 every 10 minutes) max 5 second effort on flat or slightly uphill terrain. Out of the saddle full gas using a mailbox, tree or pole as your finish line.
-
For More Information, please Read:
https://www.fascatcoaching.com/tips/training-zones/</t>
  </si>
  <si>
    <t>4 x 8 minutes ON Zone4; 6 minutes OFF
-
To help increase your Functional Threshold Power (FTP) This is race pace for long climbs, breakaways, or time trials. Help train your body to work with the build up of Lactic Acid.</t>
  </si>
  <si>
    <t>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</si>
  <si>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4 x 8 minutes ON; 4 minutes OFF
-
These efforts are done at "Tempo" for the duration, while the "cross" is done at VO2 Wattages, then returned to Tempo.
-
1-3 min @ TEMPO
3-4 min @ VO2 Wattage
4-7 min @ TEMPO
7-8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4 minutes of Recovery @ Zone 2 watts &amp; HR
-
To read more about Criss Cross Intervals, see:
https://fascatcoaching.com/tips/criss-cross-intervals/</t>
  </si>
  <si>
    <t>4 x 5 minutes ON 5 min OFF
-
First 15 seconds of interval is 125% of FTP, then 'settle' into zone 4. Finish with last 15 seconds, Full Gas &gt; 150% of FTP
5 minutes off
-
Teaching you to clear the lactic acid from the system and respond to hard efforts at the beginning of a tough section in a ride or race</t>
  </si>
  <si>
    <t>Steep Hill Work: Race Simulation
3x5 min ON, 5 min OFF FULL GAS! Find a steep hill if available (&gt;8%)</t>
  </si>
  <si>
    <t>Rest Day</t>
  </si>
  <si>
    <t>3 x 8 minutes ON; 4 minutes recovery
-
Building a Hemi-Powered Aerobic Engine!
For More Information Visit:
https://www.fascatcoaching.com/tips/sweet-spot-training/
-
Use your FasCat Zones worksheet (click paperclip icon in the upper left) for Sweet Spot Wattages &amp; Heart Rates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</si>
  <si>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115 and also fun. Lots of freedom &amp; flexibility
-
For more about Sweet Spotting during a group Ride, please read:
-
https://fascatcoaching.com/tips/group-ride-sweet-spot-training/</t>
  </si>
  <si>
    <t>3 x 12 minutes ON; 6 minutes recovery
-
Building a Hemi-Powered Aerobic Engine!
For More Information Visit: http://www.fascatcoaching.com/sweetspottraining.html
-
Use your FasCat Zones worksheet (click paperclip icon in the upper left) for Sweet Spot Wattages &amp; Heart Rates</t>
  </si>
  <si>
    <t>3 x 10 minutes ON (zone 3) 3.5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</si>
  <si>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140 and also fun. Lots of freedom &amp; flexibility
-
For more about Sweet Spotting during a group Ride, please read:
-
https://fascatcoaching.com/tips/group-ride-sweet-spot-training/</t>
  </si>
  <si>
    <t>4 x 10 minutes ON; 5 minutes recovery
-
Building a Hemi-Powered Aerobic Engine!
For More Information Visit:
https://fascatcoaching.com/tips/sweet-spot-training/</t>
  </si>
  <si>
    <t>4 x 8 minutes ON (zone 3) 4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</si>
  <si>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165 and also fun. Lots of freedom &amp; flexibility
-
For more about Sweet Spotting during a group Ride, please read:
-
https://fascatcoaching.com/tips/group-ride-sweet-spot-training/</t>
  </si>
  <si>
    <t>4 x 9 minutes ON; 4.5 minutes recovery
-
Building a Hemi-Powered Aerobic Engine!
For More Information Visit:
https://fascatcoaching.com/tips/sweet-spot-training/
-
Use your FasCat Zones worksheet (click paperclip icon in the upper left) for Sweet Spot Wattages &amp; Heart Rates</t>
  </si>
  <si>
    <t>3 x 12 minutes ON (zone 3) 6 minutes OFF
-
Perform the Intervals by riding between 76-90% of your FTP. You should feel like you are working but not "suffering"
For More Information Please Read:
https://fascatcoaching.com/tips/tempo-training/
-
-
**FasCat Zones Sheet Attached again for your convenience**</t>
  </si>
  <si>
    <t>Ride on the shorter side today (&lt; 2 hours) per your Regeneration Week. Your legs should be feeling GOOD with the Regen week's rest so make a note of your power and how you FEEL in your Post Activity Comments. Feeling Good and making good power is equivalent to IMPROVEMENT &amp; PROGRESS, yes! And often times a prelude to an increased FTP when you test again!</t>
  </si>
  <si>
    <t>More is better so ride longer in zone 2 if you can and have time ; tomorrow is an 'easy' workout so you can generate some fatigue and still be OK</t>
  </si>
  <si>
    <t>Pre-activity comments</t>
  </si>
  <si>
    <t>4 x 8 minutes ON in Sweet Spot with a 'burst' every 2 minutes; 4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https://fascatcoaching.com/tips/sweet-spot-training/</t>
  </si>
  <si>
    <t>more is better so ride longer in zone 2 if you can and have time AS LONG as it doesn't affect your recovery and POWER OUTPUT for the workouts downstream</t>
  </si>
  <si>
    <t>3 x 10 minutes ON; 5 minutes recovery
-
Building a Hemi-Powered Aerobic Engine!
For More Information Visit:
https://www.fascatcoaching.com/tips/sweet-spot-training/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</si>
  <si>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152 and also fun. Lots of freedom &amp; flexibility
-
For more about Sweet Spotting during a group Ride, please read:
-
https://fascatcoaching.com/tips/group-ride-sweet-spot-training/</t>
  </si>
  <si>
    <t>Get in as much time in your sweet spot training zones as possible today.
-
For example, 45 minutes total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</si>
  <si>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You may also flip flop today's freestyle workout with yesterday's group ride if the group ride occurs on Sunday, for example</t>
  </si>
  <si>
    <t>Steady "All Day" Pace. Aim for mostly Zone 2
Zone 2 is your all day pace - the foundation of your aerobic engine. Power should be 56% - 75% of FTP
-
SPRINTS: for the middle 30 minutes I want you to do 3 sprints (1 every 10 minutes) max 5 second effort on flat or slightly uphill terrain. Out of the saddle full gas using a mailbox, tree or pole as your finish line.
-
For More Information, please Read:
https://www.fascatcoaching.com/tips/training-zones/</t>
  </si>
  <si>
    <t>3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</si>
  <si>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243 and also fun. Lots of freedom &amp; flexibility
-
For more about Sweet Spotting during a group Ride, please read:
-
https://fascatcoaching.com/tips/group-ride-sweet-spot-training/</t>
  </si>
  <si>
    <t>Get in as much time in your sweet spot training zones as possible today.
-
For example, 60 minutes total, 15 more than last week's freestyle workout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</si>
  <si>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3 x 10 minutes ON; 5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</si>
  <si>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270 and also fun. Lots of freedom &amp; flexibility
-
For more about Sweet Spotting during a group Ride, please read:
-
https://fascatcoaching.com/tips/group-ride-sweet-spot-training/</t>
  </si>
  <si>
    <t>2 x 15 minutes ON; 7.5 minutes recovery
-
Building a Hemi-Powered Aerobic Engine!
For More Information Visit:
https://fascatcoaching.com/tips/sweet-spot-training/
-
Sweet Spot = 83 - 97% of FTP &amp; 90 - 99 % of Threshold Heart Rate
-
Use your FasCat Zones worksheet (click paperclip icon in the upper left) for Sweet Spot Wattages &amp; Heart Rates</t>
  </si>
  <si>
    <t>4 x 12 minutes ON (zone 3) 6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</si>
  <si>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180 and also fun. Lots of freedom &amp; flexibility
-
For more about Sweet Spotting during a group Ride, please read:
-
https://fascatcoaching.com/tips/group-ride-sweet-spot-training/</t>
  </si>
  <si>
    <t>4 x 12 minutes ON; 6 minutes recovery
-
Building a Hemi-Powered Aerobic Engine!
For More Information Visit: http://www.fascatcoaching.com/sweetspottraining.html
-
Sweet Spot = 83 - 97% of FTP &amp; 90 - 99 % of Threshold Heart Rate
-
Use your FasCat Zones worksheet (click paperclip icon in the upper left) for Sweet Spot Wattages &amp; Heart Rates</t>
  </si>
  <si>
    <t>3 x 20 minutes ON (zone 3) 10 minutes OFF
-
Perform the Intervals by riding between 76-90% of your FTP. You should feel like you are working but not "suffering"
For More Information Please Read:
https://fascatcoaching.com/tips/tempo-training/
-
**FasCat Zones Sheet Attached again for your convenience**</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</si>
  <si>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200 and also fun. Lots of freedom &amp; flexibility
-
For more about Sweet Spotting during a group Ride, please read:
-
https://fascatcoaching.com/tips/group-ride-sweet-spot-training/</t>
  </si>
  <si>
    <t>3 x 15 minutes ON; 7.5 minutes recovery
-
Building a Hemi-Powered Aerobic Engine!
For More Information Visit:
https://fascatcoaching.com/tips/sweet-spot-training/
-
Use your FasCat Zones worksheet (click paperclip icon in the upper left) for Sweet Spot Wattages &amp; Heart Rates
-
Sweet Spot = 83 - 97% of FTP &amp; 90 - 99 % of Threshold Heart Rate</t>
  </si>
  <si>
    <t>3 x 12 minutes ON (zone 3) 6 minutes OFF
-
Perform the Intervals by riding between 76-90% of your FTP. You should feel like you are working but not "suffering"
For More Information Please Read:
https://fascatcoaching.com/tips/tempo-training/
-
**FasCat Zones Sheet Attached again for your convenience**</t>
  </si>
  <si>
    <t>2 x 15 minutes ON Threshold; 7.5 minutes recovery
-
98 - 105% of your race pace. HARD. Zone 4 threshold/wattages-Recommend doing these on a climb if possible.</t>
  </si>
  <si>
    <t>4 x 10 minutes ON in Sweet Spot with a 'burst' every 2 minutes; 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
https://fascatcoaching.com/tips/sweet-spot-training/</t>
  </si>
  <si>
    <t>3 x 8 minutes ON; 4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</si>
  <si>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Get in as much time in your sweet spot training zones as possible today.
-
For example, 45 minutes total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</si>
  <si>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4 x 8 minutes ON in Sweet Spot with a 'burst' every 2 minutes; 4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</si>
  <si>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2 x 20 minutes ON Sweet Spot; 10 minutes OFF
-
10 minutes Zone 2
-
20 minutes Hard Zone 2 / 3 Effort
-
Building a Hemi-Powered Aerobic Engine!
For More Information Visit:
https://fascatcoaching.com/tips/sweet-spot-training/</t>
  </si>
  <si>
    <t>3 x 10 minutes ON; 5 minutes OFF
-
These efforts are done at "Tempo" for the duration, while the "cross" is done at Sweet Spot, then returned to Tempo.
-
1-4 min @ TEMPO
5-6 min @ Sweet Spot Watts
6-9 min @ TEMPO
9-10 min @ Sweet Spot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</si>
  <si>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170 and also fun. Lots of freedom &amp; flexibility
-
For more about Sweet Spotting during a group Ride, please read:
-
https://fascatcoaching.com/tips/group-ride-sweet-spot-training/</t>
  </si>
  <si>
    <t>Sweet Spot Training: 84 - 97% of FTP
-
This is a 'freestyle' workout. There are no structured intervals for this workout, however your goal is to achieve 45 (60 if you feel good) total minutes of Sweet Spot Climbing.
-
Choose climbs in the 8 - 45 minute range and climb for a total of 45 minutes from BOTTOM to TOP
-
This is your choice as an athlete &amp; a great way to fit in a workout over varied terrain or even during a group ride
For more information about Sweet Spot Training please see:
https://fascatcoaching.com/tips/how-to-sweet-spot-train/</t>
  </si>
  <si>
    <t>4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</si>
  <si>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x 20 minutes ON (zone 3) 10 minutes OFF
-
Perform the Intervals by riding between 76-90% of your FTP. You should feel like you are working but not "suffering"
For More Information Please Read:
https://fascatcoaching.com/tips/tempo-training/</t>
  </si>
  <si>
    <t>4 x 5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</si>
  <si>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Sweet Spot Training: 84 - 97% of FTP
-
This is a 'freestyle' workout. There are no structured intervals for this workout, however your goal is to achieve 60total minutes of Sweet Spot Climbing.
-
Choose climbs in the 8 - 45 minute range and climb for a total of 60 minutes from BOTTOM to TOP
-
This is your choice as an athlete &amp; a great way to fit in a workout over varied terrain or even during a group ride
For more information about Sweet Spot Training please see:
https://fascatcoaching.com/tips/how-to-sweet-spot-train/</t>
  </si>
  <si>
    <t>4 x 8 minutes ON; 4 minutes OFF
-
These efforts are done at "Tempo" for the duration, while the "cross" is done at threshold, then returned to Tempo.
-
1-3 min @ TEMPO
3-4 min @ FTP WATTs
4-7 min @ TEMPO
7-8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</si>
  <si>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15 minutes on w/ a 'Burst' every 3 minutes during ; 7.5 minutes OFF
-
Perform the effort at TEMPO/Zone 3, then 'burst' out of the saddle for 5 secs 200% of your FTP then return to tempo. You should feel like you are working but not "suffering"
-
Bursts are meant to help emulate the stochastic nature of bike rides, where you have to give it some 'gas'/hard efforts to get up a steep section, out of a corner or close a gap to a wheel
-
For More Information Visit:
http://www.fascatcoaching.com/mtbpower.html</t>
  </si>
  <si>
    <t>5 x 4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</si>
  <si>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4 x 1 min on 1 min off; FuULL GAS
-
Zone 6/FG Intervals! As hard as you can.</t>
  </si>
  <si>
    <t>3 x 10 minutes ON; 5 minutes OFF
-
These efforts are done at "Tempo" for the duration, while the "cross" is done at VO2 Wattages, then returned to Tempo.
-
1-4 min @ TEMPO
4-5 min @ VO2 Wattage
5-9 min @ TEMPO
9-10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</si>
  <si>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8 min On 4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</si>
  <si>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2 x 10 minutes ON; 5 minutes OFF
-
These efforts are done at Zone 4 for the duration, while the "cross" is done in Zone 6 then returned to Zone 4
-
0 - 4 min @ FTP wattages
4 - 5 min in Zone 6
5- 9 min @ FTP wattages
9 - 10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</si>
  <si>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10 minutes ON in Sweet Spot with a 'burst' every 2 minutes; 5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</si>
  <si>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Opposite of Sweet Spot Group Ride - now you want to add in some race like intensity to your group rides:
-
Therefore use the group's dynamics and terrain to attack / counter attack, hail mary and then come back and sit in in zone 2 draft and recovery before you go crazy hard again.
-
I'm thinking 5-6 really good hard full gas effort over the course of the four hour ride.</t>
  </si>
  <si>
    <t>3 x 8 minutes ON; 5 minutes OFF
-
These efforts are done at Zone 4 for the duration, while the "cross" is done in Zone 6 then returned to Zone 4
-
0 - 3 min @ FTP wattages
3 - 4 min in Zone 6
4- 7 min @ FTP Wattages
7 - 8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</si>
  <si>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5 minutes ON 5 min OFF
-
First 30 seconds of interval is 125% of FTP, then 'settle' into zone 4. Finish with last 30 seconds, Full Gas &gt; 150% of FTP
5 minutes off
-
Teaching you to clear the lactic acid from the system and respond to hard efforts at the beginning of a tough section in a ride or race</t>
  </si>
  <si>
    <t>Get in as much time in your sweet spot training zones as possible today.
-
For example, 90 minutes total, double last week's freestyle workout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</si>
  <si>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FileName</t>
  </si>
  <si>
    <t>IF YOU DON'T RACE - 2 sets of 3 x 3 minutes ON 3 minutes OFF; 6 min b/w sets
-
How To Perform VO2Max Intervals Properly:
https://www.fascatcoaching.com/tips/vo2-max-intervals/
The Right WAY and WRONG WAY:
https://www.fascatcoaching.com/tips/how-to-perform-intervals-properly-using-your-powermeter/
-
Choose a flat to slightly uphill stretch of road that lasts at LEAST 3 minutes. Go back and forth if its a hill or continue on if flat-ish. Avoid downhill sections
Warm up and cool down in Zones 1/2.</t>
  </si>
  <si>
    <t>IF YOU DON'T RACE - Complete these intervals at FULL GAS! Warm up and cool down in Zones 1/2.</t>
  </si>
  <si>
    <t>IF YOU DON'T RACE - 3 x 10 minutes ON; 5 minutes recovery
-
Building a Hemi-Powered Aerobic Engine!
For More Information Visit:
https://fascatcoaching.com/tips/sweet-spot-training/</t>
  </si>
  <si>
    <t>IF YOU DON'T RACE - 2 sets of 8 x 20 sec on 10 sec off Full Gas!!
-
10 min rest b/w sets
-
170% of your FTP (yes, they are hard)
-
Some of the best race specific training. A 2:1 Work/Rest Ratio makes these extremely taxing, but will make you FAST!
-
Read the Training Tip here:
https://fascatcoaching.com/tips/tabata-intervals/</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</si>
  <si>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120 [ +/- 25] and also fun</t>
  </si>
  <si>
    <t>IF YOU DON'T RACE - 3 x 10 minutes ON Zone4; 5 minutes OFF
-
To help increase your Functional Threshold Power (FTP) This is race pace for long climbs, breakaways, or time trials. Help train your body to work with the build up of Lactic Acid.</t>
  </si>
  <si>
    <t>IF YOU DON'T RACE - 3 x 15 minutes ON in Sweet Spot with a 'burst' every 3 minutes; 7.5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</si>
  <si>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177 [ +/- 25] and also fun</t>
  </si>
  <si>
    <t>IF YOU DON'T RACE - 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</si>
  <si>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IF YOU DON'T RACE - 3 x 15 minutes ON in Sweet Spot with a 'burst' every 3 minutes; 7.5 minutes recovery
-
Perform the effort at Sweet Spot Wattages, then 'burst' out of the saddle for 10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</si>
  <si>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150 [ +/- 25] and also fun</t>
  </si>
  <si>
    <t>IF YOU DON'T RACE - 3 x 10 minutes ON (zone 3) 5 minutes OFF
-
Perform the Intervals by riding between 76-90% of your FTP. You should feel like you are working but not "suffering"
For More Information Please Read:
https://fascatcoaching.com/tips/tempo-training/</t>
  </si>
  <si>
    <t>IF YOU DON'T RACE - 2 x 25 minutes ON (zone 3) 15 minutes OFF
-
Perform the Intervals by riding between 76-90% of your FTP. You should feel like you are working but not "suffering"
For More Information Please Read:
https://fascatcoaching.com/tips/tempo-training/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</si>
  <si>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180 [ +/- 25] and also fun</t>
  </si>
  <si>
    <t>IF YOU DON'T RACE - 3 sets of 6 x 40 sec on 20 sec off Full Gas!!
-
5 min rest b/w sets
-
170% of your FTP (yes, they are hard)
-
Some of the best race specific training. A 2:1 Work/Rest Ratio makes these extremely taxing, but will make you FAST!
-
Read the Training Tip here:
https://fascatcoaching.com/tips/tabata-intervals/</t>
  </si>
  <si>
    <t>Workout</t>
  </si>
  <si>
    <t>Time
(Plan)</t>
  </si>
  <si>
    <t>Plan
Time</t>
  </si>
  <si>
    <t>Activity
Type</t>
  </si>
  <si>
    <t>RR-01 Tempo 3 x 12 minutes</t>
  </si>
  <si>
    <t>RR-02 Openers 4 x 45 seconds: FULL GAS</t>
  </si>
  <si>
    <t>RR-03 Zone 5/VO2 Max: 3 minuters</t>
  </si>
  <si>
    <t>RR-04 Zone 6: 2 sets of 5x30 seconds ON, 1 min OFF</t>
  </si>
  <si>
    <t>RR-05 Zone 5/VO2: 4 minuters</t>
  </si>
  <si>
    <t>RR-06 Criss Cross, Tempo / Threshold: 3 x 10 minutes</t>
  </si>
  <si>
    <t>RR-07 Sweet Spot: 3 x 10 minutes</t>
  </si>
  <si>
    <t>RR-08 Tabatas! 20/10's</t>
  </si>
  <si>
    <t>RR-09 Weekend Group Ride</t>
  </si>
  <si>
    <t>RR-10 Zone 6: 2 sets of 3x1 min ON, 1 min OFF</t>
  </si>
  <si>
    <t>RR-11 Zone 5/VO2: 5 minuters</t>
  </si>
  <si>
    <t>RR-12 Lactate Threshold: 3 x 10 minutes</t>
  </si>
  <si>
    <t>RR-13 Sweet Spot Bursts: 3 x 15 minutes</t>
  </si>
  <si>
    <t>RR-14 Weekend Group Ride</t>
  </si>
  <si>
    <t>RR-15 Zone 2: Endurance + SPRINTS</t>
  </si>
  <si>
    <t>RR-16 Lactate Threshold: 4 x 8 minutes</t>
  </si>
  <si>
    <t>RR-18 Zone 5/VO2 Max: 2 minuters</t>
  </si>
  <si>
    <t>RR-19 Criss Cross, Tempo &gt; VO2: 4 x 8 minutes</t>
  </si>
  <si>
    <t>RR-20 Sweet Spot Bursts: 3 x 15 minutes</t>
  </si>
  <si>
    <t>RR-21 Weekend Group Ride</t>
  </si>
  <si>
    <t>RR-22 Tempo 3 x 10 minutes</t>
  </si>
  <si>
    <t>RR-23 Over-Unders 4 x 5 minute (15 seconds)</t>
  </si>
  <si>
    <t>RR-24 Hill Work: 3 x 5 Full Gas!</t>
  </si>
  <si>
    <t>RR-25 Tempo 2 x 25 minutes</t>
  </si>
  <si>
    <t>RR-26 Weekend Group Ride</t>
  </si>
  <si>
    <t>RR-27 Tabatas! 40/20's</t>
  </si>
  <si>
    <t>SS-01 Sweet Spot 3 x 8 minutes</t>
  </si>
  <si>
    <t>SS-03 Sweet Spot Group Ride</t>
  </si>
  <si>
    <t>SS-05 Sweet Spot 3 x 12 minutes</t>
  </si>
  <si>
    <t>SS-06 Tempo 3 x 10 minutes</t>
  </si>
  <si>
    <t>SS-08 Sweet Spot Group Ride</t>
  </si>
  <si>
    <t>SS-10 Sweet Spot 4 x 10 minutes</t>
  </si>
  <si>
    <t>SS-11 Tempo 4 x 8 minutes</t>
  </si>
  <si>
    <t>SS-13 Sweet Spot Group Ride</t>
  </si>
  <si>
    <t>SS-15 Sweet Spot 4 x 9 minutes</t>
  </si>
  <si>
    <t>SS-16 Tempo 3 x 12 minutes</t>
  </si>
  <si>
    <t>SS-17 Sweet Spot Group Ride</t>
  </si>
  <si>
    <t>SS-18 Sweet Spot Burst 4 x 8 minutes</t>
  </si>
  <si>
    <t>SS-19 Sweet Spot 3 x 10 minutes</t>
  </si>
  <si>
    <t>SS-21 Sweet Spot Group Ride</t>
  </si>
  <si>
    <t>SS-23 Zone 2: Endurance + 3 SPRINTS</t>
  </si>
  <si>
    <t>SS-24 Crisscross: Zone 3 Tempo / Sweet Spot 3 x 10 minutes</t>
  </si>
  <si>
    <t>SS-26 Sweet Spot Group Ride</t>
  </si>
  <si>
    <t>SS-28 Sweet Spot Bursts: 3 x 15 minutes</t>
  </si>
  <si>
    <t>SS-29 Sweet Spot 3 x 10 minutes</t>
  </si>
  <si>
    <t>SS-31 Sweet Spot Group Ride</t>
  </si>
  <si>
    <t>SS-33 Sweet Spot 2 x 15 minutes</t>
  </si>
  <si>
    <t>SS-34 Tempo 4 x 12 minutes</t>
  </si>
  <si>
    <t>SS-35 Sweet Spot Group Ride</t>
  </si>
  <si>
    <t>SS-36 Sweet Spot 4 x 12 minutes</t>
  </si>
  <si>
    <t>SS-37 Tempo 3 x 20 minutes</t>
  </si>
  <si>
    <t>SS-39 Sweet Spot Group Ride</t>
  </si>
  <si>
    <t>SS-41 Sweet Spot 3 x 15 minutes</t>
  </si>
  <si>
    <t>SS-42 Tempo 3 x 12 minutes</t>
  </si>
  <si>
    <t>SS-44 Sweet Spot Group Ride</t>
  </si>
  <si>
    <t>SS-46 Threshold Intervals 2 x 15 minutes</t>
  </si>
  <si>
    <t>SS-47 Sweet Spot Bursts: 4 x 10 minutes</t>
  </si>
  <si>
    <t>SS-48 Sweet Spot 3 x 8 minutes</t>
  </si>
  <si>
    <t>SS-49 Sweet Spot Group Ride</t>
  </si>
  <si>
    <t>SS-51 Sweet Spot Bursts: 4 x 8 minutes</t>
  </si>
  <si>
    <t>SS-53 Sweet Spot Group Ride</t>
  </si>
  <si>
    <t>SS-54 Sweet Spot 2 x 20 minutes and Tempo</t>
  </si>
  <si>
    <t>SS-56 Crisscross: Tempo / Sweet Spot: 3 x 10 minutes</t>
  </si>
  <si>
    <t>SS-57 Sweet Spot Group Ride</t>
  </si>
  <si>
    <t>SS-58 FreeStyle Sweet Spot - 45 minutes worth</t>
  </si>
  <si>
    <t>SS-59 Crisscross: Tempo / Sweet Spot 4 x 10 minutes</t>
  </si>
  <si>
    <t>SS-60 Tempo 2 x 20 minutes</t>
  </si>
  <si>
    <t>SS-61 Sweet Spot Over-Unders 4 x 5 minutes</t>
  </si>
  <si>
    <t>SS-62 Sweet Spot Group Ride</t>
  </si>
  <si>
    <t>SS-63 FreeStyle Sweet Spot Climbing - 60 minutes worth</t>
  </si>
  <si>
    <t>SS-64 Crisscross: Tempo / Zone 4 Threshold 4 x 8 minutes</t>
  </si>
  <si>
    <t>SS-65 Tempo Bursts: 3 x 15 minutes</t>
  </si>
  <si>
    <t>SS-66 Sweet Spot Over-Unders 5 x 4 minutes</t>
  </si>
  <si>
    <t>SS-67 Sweet Spot Group Ride</t>
  </si>
  <si>
    <t>SS-68 Zone 6: FOUR 1 minuters</t>
  </si>
  <si>
    <t>SS-69 Criss Cross, Tempo &gt; VO2: 3 x 10 minutes</t>
  </si>
  <si>
    <t>SS-70 Sweet Spot Over-Unders 4 x 8 minutes</t>
  </si>
  <si>
    <t>SS-71 Sweet Spot Group Ride</t>
  </si>
  <si>
    <t>SS-72 Criss Cross, Threshold &gt; Zone 6: 2 x 10 minutes (Diabolical)</t>
  </si>
  <si>
    <t>SS-73 Sweet Spot Bursts: 3 x 10 minutes</t>
  </si>
  <si>
    <t>SS-74 Over-Unders 4 x 5 minute (15 seconds)</t>
  </si>
  <si>
    <t>SS-75 Attack Interval-Esque Group Ride</t>
  </si>
  <si>
    <t>SS-76 Zone 2: Endurance + SPRINTS</t>
  </si>
  <si>
    <t>SS-77 Criss Cross, Threshold &gt; Zone 6: 3 x 8 minutes (Diabolical)</t>
  </si>
  <si>
    <t>SS-78 Sweet Spot Bursts: 4 x 8 minutes</t>
  </si>
  <si>
    <t>SS-79 Over-Unders 4 x 5 minute (30 seconds)</t>
  </si>
  <si>
    <t>SS-80 Attack Interval-Esque Group Ride</t>
  </si>
  <si>
    <t>ACA Oval</t>
  </si>
  <si>
    <t>Criterium</t>
  </si>
  <si>
    <t>Warm up - 5min @ 50% FTP
Zone 2 - 9:30min @ 68% FTP
Repeat 3x 
&gt; Work - 5min @ 90% FTP + 100RPM
&gt; Sprint - 10sec
&gt; Recovery - 10min @ 50% FTP</t>
  </si>
  <si>
    <t>RR-17 Endurance Zone 2</t>
  </si>
  <si>
    <t>SS-02 Endurance Zone 2</t>
  </si>
  <si>
    <t>SS-43 Endurance Zone 2</t>
  </si>
  <si>
    <t>SS-45 Endurance Zone 2</t>
  </si>
  <si>
    <t>SS-50 FreeStyle Sweet Spot - 45 minutes worth</t>
  </si>
  <si>
    <t>SS-52 Endurance Zone 2</t>
  </si>
  <si>
    <t>SS-55 Endurance Zone 2</t>
  </si>
  <si>
    <t>SS-04 Endurance Zone 2</t>
  </si>
  <si>
    <t>SS-07 Endurance Zone 2</t>
  </si>
  <si>
    <t>SS-09 Endurance Zone 2</t>
  </si>
  <si>
    <t>SS-12 Endurance Zone 2</t>
  </si>
  <si>
    <t>SS-14 Endurance Zone 2</t>
  </si>
  <si>
    <t>SS-20 Endurance Zone 2</t>
  </si>
  <si>
    <t>SS-22 FreeStyle Sweet Spot - 45 minutes worth</t>
  </si>
  <si>
    <t>SS-25 Endurance Zone 2</t>
  </si>
  <si>
    <t>SS-30 Endurance Zone 2</t>
  </si>
  <si>
    <t>SS-32 Endurance Zone 2</t>
  </si>
  <si>
    <t>SS-38 Endurance Zone 2</t>
  </si>
  <si>
    <t>SS-40 Endurance Zone 2</t>
  </si>
  <si>
    <t>SS-27 FreeStyle Sweet Spot - 60 min worth</t>
  </si>
  <si>
    <t>SS-81 FreeStyle Sweet Spot - 90 min worth</t>
  </si>
  <si>
    <t>Race plus ride down and back</t>
  </si>
  <si>
    <t>SG</t>
  </si>
  <si>
    <t>Solo gravel 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</si>
</sst>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m\-yy"/>
    <numFmt numFmtId="166" formatCode="#,##0.0"/>
    <numFmt numFmtId="167" formatCode="[$-409]d\-mmm;@"/>
    <numFmt numFmtId="168" formatCode="mmmm"/>
    <numFmt numFmtId="169" formatCode="[$-F800]dddd\,\ mmmm\ dd\,\ yyyy"/>
  </numFmts>
  <fonts count="13" x14ac:knownFonts="1">
    <font>
      <sz val="10"/>
      <name val="Arial"/>
    </font>
    <font>
      <b/>
      <sz val="10"/>
      <color indexed="9"/>
      <name val="Arial"/>
      <family val="2"/>
    </font>
    <font>
      <sz val="10"/>
      <name val="Arial"/>
      <family val="2"/>
    </font>
    <font>
      <sz val="10"/>
      <color indexed="8"/>
      <name val="Arial"/>
      <family val="2"/>
    </font>
    <font>
      <b/>
      <sz val="10"/>
      <name val="Arial"/>
      <family val="2"/>
    </font>
    <font>
      <b/>
      <sz val="10"/>
      <color indexed="9"/>
      <name val="Arial"/>
      <family val="2"/>
    </font>
    <font>
      <sz val="10"/>
      <name val="Arial"/>
      <family val="2"/>
    </font>
    <font>
      <sz val="10"/>
      <color indexed="8"/>
      <name val="Arial"/>
      <family val="2"/>
    </font>
    <font>
      <b/>
      <sz val="10"/>
      <color theme="0"/>
      <name val="Arial"/>
      <family val="2"/>
    </font>
    <font>
      <sz val="10"/>
      <color theme="1"/>
      <name val="Arial"/>
      <family val="2"/>
    </font>
    <font>
      <b/>
      <sz val="10"/>
      <color theme="8" tint="-0.249977111117893"/>
      <name val="Arial"/>
      <family val="2"/>
    </font>
    <font>
      <b/>
      <sz val="10"/>
      <color rgb="FFFF33CC"/>
      <name val="Arial"/>
      <family val="2"/>
    </font>
    <font>
      <sz val="8"/>
      <name val="Arial"/>
      <family val="2"/>
    </font>
  </fonts>
  <fills count="7">
    <fill>
      <patternFill patternType="none"/>
    </fill>
    <fill>
      <patternFill patternType="gray125"/>
    </fill>
    <fill>
      <patternFill patternType="solid">
        <fgColor rgb="FF0070C0"/>
        <bgColor indexed="64"/>
      </patternFill>
    </fill>
    <fill>
      <patternFill patternType="solid">
        <fgColor rgb="FF003264"/>
        <bgColor indexed="64"/>
      </patternFill>
    </fill>
    <fill>
      <patternFill patternType="solid">
        <fgColor rgb="FFFF33CC"/>
        <bgColor indexed="64"/>
      </patternFill>
    </fill>
    <fill>
      <patternFill patternType="solid">
        <fgColor theme="1"/>
        <bgColor indexed="64"/>
      </patternFill>
    </fill>
    <fill>
      <patternFill patternType="solid">
        <fgColor rgb="FFB9DCFF"/>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2">
    <xf numFmtId="0" fontId="0" fillId="0" borderId="0"/>
    <xf numFmtId="0" fontId="2" fillId="0" borderId="0"/>
  </cellStyleXfs>
  <cellXfs count="161">
    <xf numFmtId="0" fontId="0" fillId="0" borderId="0" xfId="0"/>
    <xf numFmtId="0" fontId="2" fillId="0" borderId="0" xfId="0" applyFont="1"/>
    <xf numFmtId="0" fontId="2" fillId="0" borderId="0" xfId="0" applyFont="1" applyAlignment="1">
      <alignment horizontal="center"/>
    </xf>
    <xf numFmtId="1" fontId="0" fillId="0" borderId="0" xfId="0" applyNumberFormat="1"/>
    <xf numFmtId="0" fontId="0" fillId="0" borderId="1" xfId="0" applyBorder="1"/>
    <xf numFmtId="0" fontId="4" fillId="0" borderId="0" xfId="0" applyFont="1"/>
    <xf numFmtId="3" fontId="0" fillId="0" borderId="0" xfId="0" applyNumberFormat="1"/>
    <xf numFmtId="3" fontId="0" fillId="0" borderId="1" xfId="0" applyNumberFormat="1" applyBorder="1"/>
    <xf numFmtId="3" fontId="4" fillId="0" borderId="0" xfId="0" applyNumberFormat="1" applyFont="1"/>
    <xf numFmtId="1" fontId="4" fillId="0" borderId="0" xfId="0" applyNumberFormat="1" applyFont="1"/>
    <xf numFmtId="1" fontId="1" fillId="0" borderId="0" xfId="0" applyNumberFormat="1" applyFont="1" applyAlignment="1">
      <alignment horizontal="center" wrapText="1"/>
    </xf>
    <xf numFmtId="165" fontId="0" fillId="0" borderId="0" xfId="0" applyNumberFormat="1"/>
    <xf numFmtId="165" fontId="0" fillId="0" borderId="1" xfId="0" applyNumberFormat="1" applyBorder="1"/>
    <xf numFmtId="49" fontId="0" fillId="0" borderId="0" xfId="0" applyNumberFormat="1"/>
    <xf numFmtId="0" fontId="6" fillId="0" borderId="0" xfId="0" applyFont="1"/>
    <xf numFmtId="0" fontId="7" fillId="0" borderId="0" xfId="0" applyFont="1" applyAlignment="1">
      <alignment horizontal="center"/>
    </xf>
    <xf numFmtId="2" fontId="7" fillId="0" borderId="0" xfId="0" applyNumberFormat="1" applyFont="1"/>
    <xf numFmtId="0" fontId="6" fillId="0" borderId="0" xfId="0" applyFont="1" applyAlignment="1">
      <alignment horizontal="center"/>
    </xf>
    <xf numFmtId="3" fontId="6" fillId="0" borderId="0" xfId="0" applyNumberFormat="1" applyFont="1" applyAlignment="1">
      <alignment horizontal="center"/>
    </xf>
    <xf numFmtId="1" fontId="6" fillId="0" borderId="0" xfId="0" applyNumberFormat="1" applyFont="1" applyAlignment="1">
      <alignment horizontal="center"/>
    </xf>
    <xf numFmtId="2" fontId="6" fillId="0" borderId="0" xfId="0" applyNumberFormat="1" applyFont="1" applyAlignment="1">
      <alignment horizontal="center"/>
    </xf>
    <xf numFmtId="2" fontId="6" fillId="0" borderId="0" xfId="0" applyNumberFormat="1" applyFont="1"/>
    <xf numFmtId="167" fontId="6" fillId="0" borderId="0" xfId="0" applyNumberFormat="1" applyFont="1" applyAlignment="1">
      <alignment horizontal="center"/>
    </xf>
    <xf numFmtId="164" fontId="6" fillId="0" borderId="0" xfId="0" applyNumberFormat="1" applyFont="1" applyAlignment="1">
      <alignment horizontal="right"/>
    </xf>
    <xf numFmtId="3" fontId="2" fillId="0" borderId="0" xfId="0" applyNumberFormat="1" applyFont="1"/>
    <xf numFmtId="0" fontId="2" fillId="0" borderId="0" xfId="0" applyFont="1" applyFill="1" applyAlignment="1">
      <alignment horizontal="center"/>
    </xf>
    <xf numFmtId="0" fontId="2" fillId="0" borderId="0" xfId="0" applyFont="1" applyFill="1"/>
    <xf numFmtId="3" fontId="2" fillId="0" borderId="0" xfId="0" applyNumberFormat="1" applyFont="1" applyFill="1" applyAlignment="1">
      <alignment horizontal="center"/>
    </xf>
    <xf numFmtId="15" fontId="1" fillId="3" borderId="0" xfId="0" applyNumberFormat="1" applyFont="1" applyFill="1" applyAlignment="1">
      <alignment horizontal="center"/>
    </xf>
    <xf numFmtId="1" fontId="1" fillId="3" borderId="0" xfId="0" applyNumberFormat="1" applyFont="1" applyFill="1" applyAlignment="1">
      <alignment horizontal="center"/>
    </xf>
    <xf numFmtId="49" fontId="1" fillId="3" borderId="0" xfId="0" applyNumberFormat="1" applyFont="1" applyFill="1" applyAlignment="1">
      <alignment horizontal="center" wrapText="1"/>
    </xf>
    <xf numFmtId="0" fontId="0" fillId="3" borderId="0" xfId="0" applyFill="1"/>
    <xf numFmtId="1" fontId="1" fillId="3" borderId="0" xfId="0" applyNumberFormat="1" applyFont="1" applyFill="1" applyAlignment="1">
      <alignment horizontal="center" wrapText="1"/>
    </xf>
    <xf numFmtId="167" fontId="5" fillId="3" borderId="0" xfId="0" applyNumberFormat="1" applyFont="1" applyFill="1" applyAlignment="1">
      <alignment horizontal="center"/>
    </xf>
    <xf numFmtId="167" fontId="1" fillId="3" borderId="0" xfId="0" applyNumberFormat="1" applyFont="1" applyFill="1" applyAlignment="1">
      <alignment horizontal="center"/>
    </xf>
    <xf numFmtId="2" fontId="1" fillId="3" borderId="0" xfId="0" applyNumberFormat="1" applyFont="1" applyFill="1" applyAlignment="1">
      <alignment horizontal="center" wrapText="1"/>
    </xf>
    <xf numFmtId="3" fontId="5" fillId="3" borderId="0" xfId="0" applyNumberFormat="1" applyFont="1" applyFill="1" applyAlignment="1">
      <alignment horizontal="center" wrapText="1"/>
    </xf>
    <xf numFmtId="49" fontId="5" fillId="3" borderId="0" xfId="0" applyNumberFormat="1" applyFont="1" applyFill="1" applyAlignment="1">
      <alignment horizontal="center" wrapText="1"/>
    </xf>
    <xf numFmtId="164" fontId="5" fillId="3" borderId="0" xfId="0" applyNumberFormat="1" applyFont="1" applyFill="1" applyAlignment="1">
      <alignment horizontal="right"/>
    </xf>
    <xf numFmtId="2" fontId="5" fillId="3" borderId="0" xfId="0" applyNumberFormat="1" applyFont="1" applyFill="1" applyAlignment="1">
      <alignment horizontal="center" wrapText="1"/>
    </xf>
    <xf numFmtId="164" fontId="1" fillId="3" borderId="0" xfId="0" applyNumberFormat="1" applyFont="1" applyFill="1" applyAlignment="1">
      <alignment horizontal="right"/>
    </xf>
    <xf numFmtId="0" fontId="1" fillId="3" borderId="0" xfId="0" applyFont="1" applyFill="1" applyAlignment="1">
      <alignment horizontal="center" wrapText="1"/>
    </xf>
    <xf numFmtId="3" fontId="1" fillId="3" borderId="0" xfId="0" applyNumberFormat="1" applyFont="1" applyFill="1" applyAlignment="1">
      <alignment horizontal="center" wrapText="1"/>
    </xf>
    <xf numFmtId="167" fontId="0" fillId="0" borderId="0" xfId="0" applyNumberFormat="1"/>
    <xf numFmtId="0" fontId="6" fillId="0" borderId="0" xfId="0" applyNumberFormat="1" applyFont="1" applyAlignment="1">
      <alignment horizontal="center"/>
    </xf>
    <xf numFmtId="0" fontId="0" fillId="0" borderId="0" xfId="0" applyAlignment="1">
      <alignment horizontal="center"/>
    </xf>
    <xf numFmtId="0" fontId="8" fillId="3" borderId="0" xfId="0" applyFont="1" applyFill="1" applyAlignment="1">
      <alignment horizontal="center" vertical="center"/>
    </xf>
    <xf numFmtId="0" fontId="2" fillId="0" borderId="1" xfId="0" applyFont="1" applyBorder="1"/>
    <xf numFmtId="0" fontId="0" fillId="0" borderId="1" xfId="0" applyBorder="1" applyAlignment="1">
      <alignment horizontal="center"/>
    </xf>
    <xf numFmtId="2" fontId="8" fillId="3" borderId="0" xfId="0" applyNumberFormat="1" applyFont="1" applyFill="1" applyAlignment="1">
      <alignment horizontal="center" vertical="center"/>
    </xf>
    <xf numFmtId="2" fontId="0" fillId="0" borderId="0" xfId="0" applyNumberFormat="1" applyAlignment="1">
      <alignment horizontal="center"/>
    </xf>
    <xf numFmtId="2" fontId="0" fillId="0" borderId="1" xfId="0" applyNumberFormat="1" applyBorder="1" applyAlignment="1">
      <alignment horizontal="center"/>
    </xf>
    <xf numFmtId="0" fontId="8" fillId="4" borderId="0" xfId="0" applyFont="1" applyFill="1" applyAlignment="1">
      <alignment horizontal="center" vertical="center"/>
    </xf>
    <xf numFmtId="0" fontId="8" fillId="4" borderId="0" xfId="0" applyFont="1" applyFill="1" applyAlignment="1">
      <alignment vertical="center"/>
    </xf>
    <xf numFmtId="0" fontId="0" fillId="4" borderId="0" xfId="0" applyFill="1"/>
    <xf numFmtId="3" fontId="1" fillId="2" borderId="0" xfId="0" applyNumberFormat="1" applyFont="1" applyFill="1" applyAlignment="1">
      <alignment horizontal="center" wrapText="1"/>
    </xf>
    <xf numFmtId="3" fontId="0" fillId="0" borderId="0" xfId="0" applyNumberFormat="1" applyBorder="1"/>
    <xf numFmtId="1" fontId="1" fillId="0" borderId="0" xfId="0" applyNumberFormat="1" applyFont="1" applyFill="1" applyAlignment="1">
      <alignment horizontal="center" wrapText="1"/>
    </xf>
    <xf numFmtId="0" fontId="8" fillId="4" borderId="0" xfId="0" applyFont="1" applyFill="1" applyAlignment="1">
      <alignment horizontal="left" vertical="center"/>
    </xf>
    <xf numFmtId="0" fontId="2" fillId="0" borderId="0" xfId="0" applyFont="1" applyAlignment="1">
      <alignment vertical="center"/>
    </xf>
    <xf numFmtId="0" fontId="0" fillId="0" borderId="0" xfId="0" applyAlignment="1">
      <alignment vertical="center"/>
    </xf>
    <xf numFmtId="0" fontId="2" fillId="0" borderId="1" xfId="0" applyFont="1" applyBorder="1" applyAlignment="1">
      <alignment vertical="center"/>
    </xf>
    <xf numFmtId="49" fontId="6" fillId="0" borderId="0" xfId="0" applyNumberFormat="1" applyFont="1" applyAlignment="1">
      <alignment horizontal="center"/>
    </xf>
    <xf numFmtId="0" fontId="9" fillId="0" borderId="0" xfId="0" applyFont="1" applyAlignment="1">
      <alignment horizontal="left" vertical="center"/>
    </xf>
    <xf numFmtId="49" fontId="1" fillId="5" borderId="0" xfId="0" applyNumberFormat="1" applyFont="1" applyFill="1" applyAlignment="1">
      <alignment horizontal="center" wrapText="1"/>
    </xf>
    <xf numFmtId="1" fontId="5" fillId="5" borderId="0" xfId="0" applyNumberFormat="1" applyFont="1" applyFill="1" applyAlignment="1">
      <alignment horizontal="center" wrapText="1"/>
    </xf>
    <xf numFmtId="1" fontId="1" fillId="5" borderId="0" xfId="0" applyNumberFormat="1" applyFont="1" applyFill="1" applyAlignment="1">
      <alignment horizontal="center" wrapText="1"/>
    </xf>
    <xf numFmtId="2" fontId="5" fillId="5" borderId="0" xfId="0" applyNumberFormat="1" applyFont="1" applyFill="1" applyAlignment="1">
      <alignment horizontal="center" wrapText="1"/>
    </xf>
    <xf numFmtId="1" fontId="2" fillId="0" borderId="0" xfId="0" applyNumberFormat="1" applyFont="1" applyFill="1" applyAlignment="1">
      <alignment horizontal="center"/>
    </xf>
    <xf numFmtId="2" fontId="2" fillId="0" borderId="0" xfId="0" applyNumberFormat="1" applyFont="1" applyFill="1" applyAlignment="1">
      <alignment horizontal="center"/>
    </xf>
    <xf numFmtId="0" fontId="8" fillId="3" borderId="0" xfId="1" applyFont="1" applyFill="1" applyAlignment="1">
      <alignment horizontal="center" vertical="center"/>
    </xf>
    <xf numFmtId="2" fontId="8" fillId="3" borderId="0" xfId="1" applyNumberFormat="1" applyFont="1" applyFill="1" applyAlignment="1">
      <alignment horizontal="center" vertical="center"/>
    </xf>
    <xf numFmtId="0" fontId="2" fillId="0" borderId="0" xfId="1"/>
    <xf numFmtId="0" fontId="8" fillId="4" borderId="0" xfId="1" applyFont="1" applyFill="1" applyAlignment="1">
      <alignment horizontal="left" vertical="center"/>
    </xf>
    <xf numFmtId="0" fontId="8" fillId="4" borderId="0" xfId="1" applyFont="1" applyFill="1" applyAlignment="1">
      <alignment horizontal="center" vertical="center"/>
    </xf>
    <xf numFmtId="0" fontId="2" fillId="4" borderId="0" xfId="1" applyFill="1"/>
    <xf numFmtId="0" fontId="2" fillId="0" borderId="0" xfId="1" applyAlignment="1">
      <alignment horizontal="center"/>
    </xf>
    <xf numFmtId="2" fontId="2" fillId="0" borderId="0" xfId="1" applyNumberFormat="1" applyAlignment="1">
      <alignment horizontal="center"/>
    </xf>
    <xf numFmtId="0" fontId="8" fillId="4" borderId="0" xfId="1" applyFont="1" applyFill="1" applyAlignment="1">
      <alignment vertical="center"/>
    </xf>
    <xf numFmtId="0" fontId="2" fillId="0" borderId="0" xfId="1" applyAlignment="1">
      <alignment vertical="center"/>
    </xf>
    <xf numFmtId="0" fontId="2" fillId="0" borderId="0" xfId="0" applyFont="1" applyBorder="1" applyAlignment="1">
      <alignment vertical="center"/>
    </xf>
    <xf numFmtId="0" fontId="0" fillId="0" borderId="0" xfId="0" applyBorder="1" applyAlignment="1">
      <alignment horizontal="center"/>
    </xf>
    <xf numFmtId="2" fontId="0" fillId="0" borderId="0" xfId="0" applyNumberFormat="1" applyBorder="1" applyAlignment="1">
      <alignment horizontal="center"/>
    </xf>
    <xf numFmtId="0" fontId="2" fillId="0" borderId="1" xfId="1" applyBorder="1" applyAlignment="1">
      <alignment vertical="center"/>
    </xf>
    <xf numFmtId="0" fontId="2" fillId="0" borderId="1" xfId="1" applyBorder="1" applyAlignment="1">
      <alignment horizontal="center"/>
    </xf>
    <xf numFmtId="2" fontId="2" fillId="0" borderId="1" xfId="1" applyNumberFormat="1" applyBorder="1" applyAlignment="1">
      <alignment horizontal="center"/>
    </xf>
    <xf numFmtId="49" fontId="2" fillId="0" borderId="0" xfId="1" applyNumberFormat="1" applyAlignment="1">
      <alignment vertical="top" wrapText="1"/>
    </xf>
    <xf numFmtId="49" fontId="8" fillId="3" borderId="0" xfId="1" applyNumberFormat="1" applyFont="1" applyFill="1" applyAlignment="1">
      <alignment horizontal="center" vertical="top" wrapText="1"/>
    </xf>
    <xf numFmtId="0" fontId="2" fillId="0" borderId="0" xfId="1" applyAlignment="1">
      <alignment vertical="top" wrapText="1"/>
    </xf>
    <xf numFmtId="0" fontId="2" fillId="0" borderId="0" xfId="1" applyAlignment="1">
      <alignment vertical="top"/>
    </xf>
    <xf numFmtId="0" fontId="2" fillId="0" borderId="0" xfId="1" applyFill="1" applyAlignment="1">
      <alignment vertical="top"/>
    </xf>
    <xf numFmtId="0" fontId="8" fillId="3" borderId="0" xfId="1" applyFont="1" applyFill="1" applyAlignment="1">
      <alignment horizontal="center" vertical="top"/>
    </xf>
    <xf numFmtId="0" fontId="2" fillId="4" borderId="0" xfId="1" applyFill="1" applyAlignment="1">
      <alignment vertical="top"/>
    </xf>
    <xf numFmtId="0" fontId="2" fillId="0" borderId="0" xfId="1" applyAlignment="1">
      <alignment horizontal="center" vertical="center"/>
    </xf>
    <xf numFmtId="2" fontId="2" fillId="0" borderId="0" xfId="1" applyNumberFormat="1" applyAlignment="1">
      <alignment horizontal="center" vertical="center"/>
    </xf>
    <xf numFmtId="2" fontId="0" fillId="0" borderId="0" xfId="0" applyNumberFormat="1" applyAlignment="1">
      <alignment horizontal="center" vertical="center"/>
    </xf>
    <xf numFmtId="0" fontId="8" fillId="3" borderId="0" xfId="0" applyFont="1" applyFill="1" applyAlignment="1">
      <alignment horizontal="center"/>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Border="1" applyAlignment="1">
      <alignment horizontal="left"/>
    </xf>
    <xf numFmtId="0" fontId="2" fillId="0" borderId="0" xfId="0" applyFont="1" applyBorder="1" applyAlignment="1">
      <alignment horizontal="left" vertical="top" wrapText="1"/>
    </xf>
    <xf numFmtId="167" fontId="10" fillId="6" borderId="0" xfId="0" applyNumberFormat="1" applyFont="1" applyFill="1" applyBorder="1" applyAlignment="1">
      <alignment horizontal="left"/>
    </xf>
    <xf numFmtId="167" fontId="10" fillId="6" borderId="0" xfId="0" applyNumberFormat="1" applyFont="1" applyFill="1" applyAlignment="1">
      <alignment horizontal="left"/>
    </xf>
    <xf numFmtId="0" fontId="11" fillId="3" borderId="0" xfId="0" applyFont="1" applyFill="1" applyAlignment="1">
      <alignment horizontal="center" vertical="top"/>
    </xf>
    <xf numFmtId="168" fontId="11" fillId="0" borderId="0" xfId="0" applyNumberFormat="1" applyFont="1" applyAlignment="1">
      <alignment horizontal="center" vertical="top"/>
    </xf>
    <xf numFmtId="0" fontId="11" fillId="0" borderId="0" xfId="0" applyFont="1" applyAlignment="1">
      <alignment horizontal="center" vertical="top" wrapText="1"/>
    </xf>
    <xf numFmtId="0" fontId="11" fillId="0" borderId="0" xfId="0" applyFont="1" applyAlignment="1">
      <alignment horizontal="center" vertical="top"/>
    </xf>
    <xf numFmtId="0" fontId="8" fillId="3" borderId="0" xfId="0" applyFont="1" applyFill="1" applyAlignment="1">
      <alignment horizontal="center" wrapText="1"/>
    </xf>
    <xf numFmtId="0" fontId="0" fillId="0" borderId="0" xfId="0" applyAlignment="1">
      <alignment vertical="top" wrapText="1"/>
    </xf>
    <xf numFmtId="169" fontId="0" fillId="0" borderId="0" xfId="0" applyNumberFormat="1" applyAlignment="1">
      <alignment vertical="top" wrapText="1"/>
    </xf>
    <xf numFmtId="0" fontId="5" fillId="5" borderId="0" xfId="0" applyFont="1" applyFill="1" applyAlignment="1">
      <alignment horizontal="center" wrapText="1"/>
    </xf>
    <xf numFmtId="0" fontId="1" fillId="5" borderId="0" xfId="0" applyFont="1" applyFill="1" applyAlignment="1">
      <alignment horizontal="center" wrapText="1"/>
    </xf>
    <xf numFmtId="2" fontId="6" fillId="0" borderId="0" xfId="0" applyNumberFormat="1" applyFont="1" applyAlignment="1">
      <alignment horizontal="center" wrapText="1"/>
    </xf>
    <xf numFmtId="167" fontId="2" fillId="0" borderId="0" xfId="0" applyNumberFormat="1" applyFont="1" applyAlignment="1">
      <alignment horizontal="center" vertical="top"/>
    </xf>
    <xf numFmtId="164" fontId="2" fillId="0" borderId="0" xfId="0" applyNumberFormat="1" applyFont="1" applyAlignment="1">
      <alignment horizontal="right" vertical="top"/>
    </xf>
    <xf numFmtId="3" fontId="2" fillId="0" borderId="0" xfId="0" applyNumberFormat="1" applyFont="1" applyAlignment="1">
      <alignment vertical="top"/>
    </xf>
    <xf numFmtId="0" fontId="2" fillId="0" borderId="0" xfId="0" applyFont="1" applyAlignment="1">
      <alignment horizontal="center" vertical="top"/>
    </xf>
    <xf numFmtId="1" fontId="2" fillId="0" borderId="0" xfId="0" applyNumberFormat="1" applyFont="1" applyAlignment="1">
      <alignment horizontal="center" vertical="top"/>
    </xf>
    <xf numFmtId="2" fontId="2" fillId="0" borderId="0" xfId="0" applyNumberFormat="1" applyFont="1" applyAlignment="1">
      <alignment horizontal="center" vertical="top"/>
    </xf>
    <xf numFmtId="49" fontId="2" fillId="0" borderId="0" xfId="0" applyNumberFormat="1" applyFont="1" applyAlignment="1">
      <alignment horizontal="center" vertical="top"/>
    </xf>
    <xf numFmtId="3" fontId="2" fillId="0" borderId="0" xfId="0" applyNumberFormat="1" applyFont="1" applyAlignment="1">
      <alignment horizontal="center" vertical="top"/>
    </xf>
    <xf numFmtId="0" fontId="2" fillId="0" borderId="0" xfId="0" applyFont="1" applyAlignment="1">
      <alignment horizontal="right" vertical="top"/>
    </xf>
    <xf numFmtId="0" fontId="2" fillId="0" borderId="0" xfId="0" applyFont="1" applyAlignment="1">
      <alignment vertical="top"/>
    </xf>
    <xf numFmtId="0" fontId="3" fillId="0" borderId="0" xfId="0" applyFont="1" applyAlignment="1">
      <alignment horizontal="center" vertical="top"/>
    </xf>
    <xf numFmtId="167"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2" fontId="2" fillId="0" borderId="0" xfId="0" applyNumberFormat="1" applyFont="1" applyAlignment="1">
      <alignment vertical="center"/>
    </xf>
    <xf numFmtId="164" fontId="2" fillId="0" borderId="0" xfId="0" applyNumberFormat="1" applyFont="1" applyAlignment="1">
      <alignment horizontal="right" vertical="center"/>
    </xf>
    <xf numFmtId="2" fontId="2" fillId="0" borderId="0" xfId="0" applyNumberFormat="1" applyFont="1" applyAlignment="1">
      <alignment horizontal="center" vertical="center"/>
    </xf>
    <xf numFmtId="2" fontId="2" fillId="6" borderId="0" xfId="0" applyNumberFormat="1" applyFont="1" applyFill="1" applyAlignment="1">
      <alignment horizontal="center" vertical="center"/>
    </xf>
    <xf numFmtId="1" fontId="2" fillId="0" borderId="0" xfId="0" applyNumberFormat="1" applyFont="1" applyAlignment="1">
      <alignment horizontal="center" vertical="center"/>
    </xf>
    <xf numFmtId="0" fontId="2" fillId="0" borderId="0" xfId="0" applyNumberFormat="1" applyFont="1" applyAlignment="1">
      <alignment horizontal="center" vertical="center"/>
    </xf>
    <xf numFmtId="167" fontId="2" fillId="0" borderId="0" xfId="0" applyNumberFormat="1" applyFont="1" applyFill="1" applyAlignment="1">
      <alignment horizontal="center" vertical="center"/>
    </xf>
    <xf numFmtId="0" fontId="2" fillId="0" borderId="0" xfId="0" applyFont="1" applyFill="1" applyAlignment="1">
      <alignment horizontal="center" vertical="center"/>
    </xf>
    <xf numFmtId="167" fontId="6" fillId="0" borderId="0" xfId="0" applyNumberFormat="1" applyFont="1" applyAlignment="1">
      <alignment horizontal="left"/>
    </xf>
    <xf numFmtId="1" fontId="2" fillId="0" borderId="0" xfId="1" applyNumberFormat="1" applyAlignment="1">
      <alignment horizontal="center" vertical="center"/>
    </xf>
    <xf numFmtId="1" fontId="0" fillId="0" borderId="0" xfId="0" applyNumberFormat="1" applyAlignment="1">
      <alignment horizontal="center" vertical="center"/>
    </xf>
    <xf numFmtId="0" fontId="2" fillId="0" borderId="0" xfId="0" applyFont="1" applyAlignment="1">
      <alignment horizontal="left" vertical="center" wrapText="1"/>
    </xf>
    <xf numFmtId="0" fontId="2" fillId="0" borderId="0" xfId="0" applyFont="1" applyFill="1" applyAlignment="1">
      <alignment horizontal="left" vertical="center" wrapText="1"/>
    </xf>
    <xf numFmtId="0" fontId="9" fillId="0" borderId="0" xfId="0" applyFont="1" applyAlignment="1">
      <alignment horizontal="left" vertical="center" wrapText="1"/>
    </xf>
    <xf numFmtId="0" fontId="6" fillId="0" borderId="0" xfId="0" applyFont="1" applyAlignment="1">
      <alignment vertical="center" wrapText="1"/>
    </xf>
    <xf numFmtId="0" fontId="12" fillId="4" borderId="0" xfId="1" applyFont="1" applyFill="1" applyAlignment="1">
      <alignment vertical="center"/>
    </xf>
    <xf numFmtId="0" fontId="12" fillId="0" borderId="0" xfId="1" applyFont="1" applyAlignment="1">
      <alignment vertical="center"/>
    </xf>
    <xf numFmtId="0" fontId="12" fillId="0" borderId="0" xfId="0" applyFont="1" applyAlignment="1">
      <alignment vertical="center"/>
    </xf>
    <xf numFmtId="3" fontId="0" fillId="0" borderId="0" xfId="0" applyNumberFormat="1" applyAlignment="1">
      <alignment horizontal="center"/>
    </xf>
    <xf numFmtId="166" fontId="0" fillId="0" borderId="0" xfId="0" applyNumberFormat="1" applyAlignment="1">
      <alignment horizontal="center"/>
    </xf>
    <xf numFmtId="3" fontId="0" fillId="0" borderId="1" xfId="0" applyNumberFormat="1" applyBorder="1" applyAlignment="1">
      <alignment horizontal="center"/>
    </xf>
    <xf numFmtId="166" fontId="0" fillId="0" borderId="1" xfId="0" applyNumberFormat="1" applyBorder="1" applyAlignment="1">
      <alignment horizontal="center"/>
    </xf>
    <xf numFmtId="3" fontId="4" fillId="0" borderId="0" xfId="0" applyNumberFormat="1" applyFont="1" applyAlignment="1">
      <alignment horizontal="center"/>
    </xf>
    <xf numFmtId="1" fontId="4" fillId="0" borderId="0" xfId="0" applyNumberFormat="1" applyFon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5" fontId="1"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49" fontId="1" fillId="3" borderId="0" xfId="0" applyNumberFormat="1" applyFont="1" applyFill="1" applyAlignment="1">
      <alignment horizontal="center" vertical="center" wrapText="1"/>
    </xf>
    <xf numFmtId="1" fontId="1" fillId="3" borderId="0" xfId="0" applyNumberFormat="1" applyFont="1" applyFill="1" applyAlignment="1">
      <alignment horizontal="center" vertical="center" wrapText="1"/>
    </xf>
    <xf numFmtId="167" fontId="10" fillId="0" borderId="0" xfId="0" applyNumberFormat="1" applyFont="1" applyFill="1" applyBorder="1" applyAlignment="1">
      <alignment horizontal="left"/>
    </xf>
    <xf numFmtId="0" fontId="8" fillId="4" borderId="2" xfId="0" applyFont="1" applyFill="1" applyBorder="1" applyAlignment="1">
      <alignment horizontal="left" vertical="center"/>
    </xf>
  </cellXfs>
  <cellStyles count="2">
    <cellStyle name="Normal" xfId="0" builtinId="0"/>
    <cellStyle name="Normal 2" xfId="1" xr:uid="{F1EEDD5A-5D7A-4035-939D-4FF98DCF48A1}"/>
  </cellStyles>
  <dxfs count="2">
    <dxf>
      <font>
        <color theme="1"/>
      </font>
      <fill>
        <patternFill>
          <bgColor rgb="FFFF99FF"/>
        </patternFill>
      </fill>
    </dxf>
    <dxf>
      <font>
        <color theme="1"/>
      </font>
      <fill>
        <patternFill>
          <bgColor rgb="FFFF99FF"/>
        </patternFill>
      </fill>
    </dxf>
  </dxfs>
  <tableStyles count="0" defaultTableStyle="TableStyleMedium2" defaultPivotStyle="PivotStyleLight16"/>
  <colors>
    <mruColors>
      <color rgb="FF0073CF"/>
      <color rgb="FF003264"/>
      <color rgb="FFFF99FF"/>
      <color rgb="FFFF00FF"/>
      <color rgb="FFFF33CC"/>
      <color rgb="FFB9D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Miles by Week</a:t>
            </a:r>
          </a:p>
        </c:rich>
      </c:tx>
      <c:layout>
        <c:manualLayout>
          <c:xMode val="edge"/>
          <c:yMode val="edge"/>
          <c:x val="0.43316222558482387"/>
          <c:y val="3.3846204696821959E-2"/>
        </c:manualLayout>
      </c:layout>
      <c:overlay val="0"/>
      <c:spPr>
        <a:noFill/>
        <a:ln w="25400">
          <a:noFill/>
        </a:ln>
      </c:spPr>
    </c:title>
    <c:autoTitleDeleted val="0"/>
    <c:plotArea>
      <c:layout>
        <c:manualLayout>
          <c:layoutTarget val="inner"/>
          <c:xMode val="edge"/>
          <c:yMode val="edge"/>
          <c:x val="6.1696696819203395E-2"/>
          <c:y val="0.19384644508179849"/>
          <c:w val="0.9203090608864507"/>
          <c:h val="0.67077023853701701"/>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Charts!$D$31:$D$82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B1FE-4EBF-9563-12D8EFB00FC5}"/>
            </c:ext>
          </c:extLst>
        </c:ser>
        <c:dLbls>
          <c:showLegendKey val="0"/>
          <c:showVal val="0"/>
          <c:showCatName val="0"/>
          <c:showSerName val="0"/>
          <c:showPercent val="0"/>
          <c:showBubbleSize val="0"/>
        </c:dLbls>
        <c:gapWidth val="150"/>
        <c:axId val="410905216"/>
        <c:axId val="1"/>
      </c:barChart>
      <c:catAx>
        <c:axId val="410905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52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Feet Elevation Gain by Week</a:t>
            </a:r>
          </a:p>
        </c:rich>
      </c:tx>
      <c:layout>
        <c:manualLayout>
          <c:xMode val="edge"/>
          <c:yMode val="edge"/>
          <c:x val="0.3774069319640565"/>
          <c:y val="3.3742331288343558E-2"/>
        </c:manualLayout>
      </c:layout>
      <c:overlay val="0"/>
      <c:spPr>
        <a:noFill/>
        <a:ln w="25400">
          <a:noFill/>
        </a:ln>
      </c:spPr>
    </c:title>
    <c:autoTitleDeleted val="0"/>
    <c:plotArea>
      <c:layout>
        <c:manualLayout>
          <c:layoutTarget val="inner"/>
          <c:xMode val="edge"/>
          <c:yMode val="edge"/>
          <c:x val="8.3440308087291401E-2"/>
          <c:y val="0.19325153374233128"/>
          <c:w val="0.89858793324775355"/>
          <c:h val="0.6717791411042944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Charts!$E$31:$E$82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AF8B-4302-B031-802CE7B7924C}"/>
            </c:ext>
          </c:extLst>
        </c:ser>
        <c:dLbls>
          <c:showLegendKey val="0"/>
          <c:showVal val="0"/>
          <c:showCatName val="0"/>
          <c:showSerName val="0"/>
          <c:showPercent val="0"/>
          <c:showBubbleSize val="0"/>
        </c:dLbls>
        <c:gapWidth val="150"/>
        <c:axId val="410903576"/>
        <c:axId val="1"/>
      </c:barChart>
      <c:catAx>
        <c:axId val="410903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35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Moving Time in Hours by Week</a:t>
            </a:r>
          </a:p>
        </c:rich>
      </c:tx>
      <c:layout>
        <c:manualLayout>
          <c:xMode val="edge"/>
          <c:yMode val="edge"/>
          <c:x val="0.36585365853658536"/>
          <c:y val="3.3333423756032321E-2"/>
        </c:manualLayout>
      </c:layout>
      <c:overlay val="0"/>
      <c:spPr>
        <a:noFill/>
        <a:ln w="25400">
          <a:noFill/>
        </a:ln>
      </c:spPr>
    </c:title>
    <c:autoTitleDeleted val="0"/>
    <c:plotArea>
      <c:layout>
        <c:manualLayout>
          <c:layoutTarget val="inner"/>
          <c:xMode val="edge"/>
          <c:yMode val="edge"/>
          <c:x val="6.6752246469833118E-2"/>
          <c:y val="0.19166718659718587"/>
          <c:w val="0.91527599486521183"/>
          <c:h val="0.6833351869986626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Charts!$F$31:$F$82</c:f>
              <c:numCache>
                <c:formatCode>#,##0.0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D227-4106-9D69-7280BA6B40D5}"/>
            </c:ext>
          </c:extLst>
        </c:ser>
        <c:dLbls>
          <c:showLegendKey val="0"/>
          <c:showVal val="0"/>
          <c:showCatName val="0"/>
          <c:showSerName val="0"/>
          <c:showPercent val="0"/>
          <c:showBubbleSize val="0"/>
        </c:dLbls>
        <c:gapWidth val="150"/>
        <c:axId val="411904832"/>
        <c:axId val="1"/>
      </c:barChart>
      <c:catAx>
        <c:axId val="411904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a:pPr>
            <a:endParaRPr lang="en-US"/>
          </a:p>
        </c:txPr>
        <c:crossAx val="4119048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Training Stress Score by Week</a:t>
            </a:r>
          </a:p>
        </c:rich>
      </c:tx>
      <c:layout>
        <c:manualLayout>
          <c:xMode val="edge"/>
          <c:yMode val="edge"/>
          <c:x val="0.34615427954011363"/>
          <c:y val="3.023761288220176E-2"/>
        </c:manualLayout>
      </c:layout>
      <c:overlay val="0"/>
      <c:spPr>
        <a:noFill/>
        <a:ln w="25400">
          <a:noFill/>
        </a:ln>
      </c:spPr>
    </c:title>
    <c:autoTitleDeleted val="0"/>
    <c:plotArea>
      <c:layout>
        <c:manualLayout>
          <c:layoutTarget val="inner"/>
          <c:xMode val="edge"/>
          <c:yMode val="edge"/>
          <c:x val="7.5641120343950749E-2"/>
          <c:y val="0.15766755288576631"/>
          <c:w val="0.90641139124022341"/>
          <c:h val="0.74514117459711482"/>
        </c:manualLayout>
      </c:layout>
      <c:barChart>
        <c:barDir val="col"/>
        <c:grouping val="clustered"/>
        <c:varyColors val="0"/>
        <c:ser>
          <c:idx val="0"/>
          <c:order val="0"/>
          <c:tx>
            <c:v>TSS</c:v>
          </c:tx>
          <c:spPr>
            <a:solidFill>
              <a:srgbClr val="FF33CC"/>
            </a:solidFill>
            <a:ln w="12700">
              <a:solidFill>
                <a:srgbClr val="FF33CC"/>
              </a:solidFill>
              <a:prstDash val="solid"/>
            </a:ln>
          </c:spPr>
          <c:invertIfNegative val="0"/>
          <c:val>
            <c:numRef>
              <c:f>Charts!$G$31:$G$82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8FEC-4D6B-851C-A88F410230E3}"/>
            </c:ext>
          </c:extLst>
        </c:ser>
        <c:ser>
          <c:idx val="1"/>
          <c:order val="1"/>
          <c:tx>
            <c:v>Plan TSS</c:v>
          </c:tx>
          <c:spPr>
            <a:solidFill>
              <a:srgbClr val="0070C0"/>
            </a:solidFill>
          </c:spPr>
          <c:invertIfNegative val="0"/>
          <c:val>
            <c:numRef>
              <c:f>Charts!$H$31:$H$82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93AB-47B2-8239-86B861349B26}"/>
            </c:ext>
          </c:extLst>
        </c:ser>
        <c:dLbls>
          <c:showLegendKey val="0"/>
          <c:showVal val="0"/>
          <c:showCatName val="0"/>
          <c:showSerName val="0"/>
          <c:showPercent val="0"/>
          <c:showBubbleSize val="0"/>
        </c:dLbls>
        <c:gapWidth val="100"/>
        <c:axId val="411904504"/>
        <c:axId val="1"/>
      </c:barChart>
      <c:catAx>
        <c:axId val="411904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411904504"/>
        <c:crosses val="autoZero"/>
        <c:crossBetween val="between"/>
      </c:valAx>
      <c:spPr>
        <a:solidFill>
          <a:srgbClr val="C0C0C0"/>
        </a:solidFill>
        <a:ln w="12700">
          <a:solidFill>
            <a:srgbClr val="808080"/>
          </a:solidFill>
          <a:prstDash val="solid"/>
        </a:ln>
      </c:spPr>
    </c:plotArea>
    <c:legend>
      <c:legendPos val="t"/>
      <c:layout>
        <c:manualLayout>
          <c:xMode val="edge"/>
          <c:yMode val="edge"/>
          <c:x val="0.77856693300373325"/>
          <c:y val="8.0748663101604279E-2"/>
          <c:w val="0.1809306146379632"/>
          <c:h val="6.0831473605906211E-2"/>
        </c:manualLayout>
      </c:layout>
      <c:overlay val="0"/>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r>
              <a:rPr lang="en-US"/>
              <a:t>Performance Management Chart</a:t>
            </a:r>
          </a:p>
        </c:rich>
      </c:tx>
      <c:overlay val="0"/>
      <c:spPr>
        <a:noFill/>
        <a:ln>
          <a:noFill/>
        </a:ln>
        <a:effectLst/>
      </c:spPr>
      <c:txPr>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66553021078557E-2"/>
          <c:y val="0.15451505016722408"/>
          <c:w val="0.90383310333630973"/>
          <c:h val="0.74203671029415641"/>
        </c:manualLayout>
      </c:layout>
      <c:lineChart>
        <c:grouping val="standard"/>
        <c:varyColors val="0"/>
        <c:ser>
          <c:idx val="1"/>
          <c:order val="0"/>
          <c:tx>
            <c:v>ATL</c:v>
          </c:tx>
          <c:spPr>
            <a:ln w="19050" cap="rnd">
              <a:solidFill>
                <a:srgbClr val="00B0F0"/>
              </a:solidFill>
              <a:round/>
            </a:ln>
            <a:effectLst>
              <a:outerShdw blurRad="88900" dist="50800" dir="5400000" sx="1000" sy="1000" algn="ctr" rotWithShape="0">
                <a:srgbClr val="000000">
                  <a:alpha val="43137"/>
                </a:srgbClr>
              </a:outerShdw>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Log'!$AK$2:$AK$366</c:f>
              <c:numCache>
                <c:formatCode>0</c:formatCode>
                <c:ptCount val="365"/>
                <c:pt idx="0" formatCode="#,##0">
                  <c:v>61</c:v>
                </c:pt>
                <c:pt idx="1">
                  <c:v>52.285714285714285</c:v>
                </c:pt>
                <c:pt idx="2">
                  <c:v>44.816326530612244</c:v>
                </c:pt>
                <c:pt idx="3">
                  <c:v>38.413994169096206</c:v>
                </c:pt>
                <c:pt idx="4">
                  <c:v>32.926280716368176</c:v>
                </c:pt>
                <c:pt idx="5">
                  <c:v>28.222526328315581</c:v>
                </c:pt>
                <c:pt idx="6">
                  <c:v>24.190736852841926</c:v>
                </c:pt>
                <c:pt idx="7">
                  <c:v>20.734917302435935</c:v>
                </c:pt>
                <c:pt idx="8">
                  <c:v>17.772786259230802</c:v>
                </c:pt>
                <c:pt idx="9">
                  <c:v>15.233816793626403</c:v>
                </c:pt>
                <c:pt idx="10">
                  <c:v>13.057557251679775</c:v>
                </c:pt>
                <c:pt idx="11">
                  <c:v>11.192191930011235</c:v>
                </c:pt>
                <c:pt idx="12">
                  <c:v>9.5933073685810584</c:v>
                </c:pt>
                <c:pt idx="13">
                  <c:v>8.2228348873551926</c:v>
                </c:pt>
                <c:pt idx="14">
                  <c:v>7.0481441891615937</c:v>
                </c:pt>
                <c:pt idx="15">
                  <c:v>6.0412664478527951</c:v>
                </c:pt>
                <c:pt idx="16">
                  <c:v>5.1782283838738241</c:v>
                </c:pt>
                <c:pt idx="17">
                  <c:v>4.4384814718918495</c:v>
                </c:pt>
                <c:pt idx="18">
                  <c:v>3.804412690193014</c:v>
                </c:pt>
                <c:pt idx="19">
                  <c:v>3.2609251630225833</c:v>
                </c:pt>
                <c:pt idx="20">
                  <c:v>2.7950787111622142</c:v>
                </c:pt>
                <c:pt idx="21">
                  <c:v>2.3957817524247549</c:v>
                </c:pt>
                <c:pt idx="22">
                  <c:v>2.0535272163640754</c:v>
                </c:pt>
                <c:pt idx="23">
                  <c:v>1.7601661854549218</c:v>
                </c:pt>
                <c:pt idx="24">
                  <c:v>1.5087138732470757</c:v>
                </c:pt>
                <c:pt idx="25">
                  <c:v>1.2931833199260649</c:v>
                </c:pt>
                <c:pt idx="26">
                  <c:v>1.1084428456509128</c:v>
                </c:pt>
                <c:pt idx="27">
                  <c:v>0.95009386770078241</c:v>
                </c:pt>
                <c:pt idx="28">
                  <c:v>0.81436617231495634</c:v>
                </c:pt>
                <c:pt idx="29">
                  <c:v>0.69802814769853405</c:v>
                </c:pt>
                <c:pt idx="30">
                  <c:v>0.59830984088445771</c:v>
                </c:pt>
                <c:pt idx="31">
                  <c:v>0.51283700647239228</c:v>
                </c:pt>
                <c:pt idx="32">
                  <c:v>0.43957457697633623</c:v>
                </c:pt>
                <c:pt idx="33">
                  <c:v>0.37677820883685964</c:v>
                </c:pt>
                <c:pt idx="34">
                  <c:v>0.32295275043159399</c:v>
                </c:pt>
                <c:pt idx="35">
                  <c:v>0.27681664322708055</c:v>
                </c:pt>
                <c:pt idx="36">
                  <c:v>0.23727140848035477</c:v>
                </c:pt>
                <c:pt idx="37">
                  <c:v>0.20337549298316124</c:v>
                </c:pt>
                <c:pt idx="38">
                  <c:v>0.17432185112842391</c:v>
                </c:pt>
                <c:pt idx="39">
                  <c:v>0.14941872953864907</c:v>
                </c:pt>
                <c:pt idx="40">
                  <c:v>0.12807319674741349</c:v>
                </c:pt>
                <c:pt idx="41">
                  <c:v>0.10977702578349728</c:v>
                </c:pt>
                <c:pt idx="42">
                  <c:v>9.4094593528711953E-2</c:v>
                </c:pt>
                <c:pt idx="43">
                  <c:v>8.0652508738895956E-2</c:v>
                </c:pt>
                <c:pt idx="44">
                  <c:v>6.913072177619653E-2</c:v>
                </c:pt>
                <c:pt idx="45">
                  <c:v>5.9254904379597025E-2</c:v>
                </c:pt>
                <c:pt idx="46">
                  <c:v>5.0789918039654589E-2</c:v>
                </c:pt>
                <c:pt idx="47">
                  <c:v>4.3534215462561074E-2</c:v>
                </c:pt>
                <c:pt idx="48">
                  <c:v>3.7315041825052346E-2</c:v>
                </c:pt>
                <c:pt idx="49">
                  <c:v>3.1984321564330585E-2</c:v>
                </c:pt>
                <c:pt idx="50">
                  <c:v>2.7415132769426215E-2</c:v>
                </c:pt>
                <c:pt idx="51">
                  <c:v>2.3498685230936754E-2</c:v>
                </c:pt>
                <c:pt idx="52">
                  <c:v>2.0141730197945788E-2</c:v>
                </c:pt>
                <c:pt idx="53">
                  <c:v>1.7264340169667818E-2</c:v>
                </c:pt>
                <c:pt idx="54">
                  <c:v>1.4798005859715272E-2</c:v>
                </c:pt>
                <c:pt idx="55">
                  <c:v>1.268400502261309E-2</c:v>
                </c:pt>
                <c:pt idx="56">
                  <c:v>1.0872004305096935E-2</c:v>
                </c:pt>
                <c:pt idx="57">
                  <c:v>9.3188608329402307E-3</c:v>
                </c:pt>
                <c:pt idx="58">
                  <c:v>7.9875949996630544E-3</c:v>
                </c:pt>
                <c:pt idx="59">
                  <c:v>6.8465099997111895E-3</c:v>
                </c:pt>
                <c:pt idx="60">
                  <c:v>5.8684371426095915E-3</c:v>
                </c:pt>
                <c:pt idx="61">
                  <c:v>5.0300889793796497E-3</c:v>
                </c:pt>
                <c:pt idx="62">
                  <c:v>4.3115048394682708E-3</c:v>
                </c:pt>
                <c:pt idx="63">
                  <c:v>3.6955755766870891E-3</c:v>
                </c:pt>
                <c:pt idx="64">
                  <c:v>3.1676362085889336E-3</c:v>
                </c:pt>
                <c:pt idx="65">
                  <c:v>2.7151167502190861E-3</c:v>
                </c:pt>
                <c:pt idx="66">
                  <c:v>2.3272429287592169E-3</c:v>
                </c:pt>
                <c:pt idx="67">
                  <c:v>1.9947796532221859E-3</c:v>
                </c:pt>
                <c:pt idx="68">
                  <c:v>1.7098111313333022E-3</c:v>
                </c:pt>
                <c:pt idx="69">
                  <c:v>1.4655523982856876E-3</c:v>
                </c:pt>
                <c:pt idx="70">
                  <c:v>1.2561877699591609E-3</c:v>
                </c:pt>
                <c:pt idx="71">
                  <c:v>1.0767323742507094E-3</c:v>
                </c:pt>
                <c:pt idx="72">
                  <c:v>9.2291346364346523E-4</c:v>
                </c:pt>
                <c:pt idx="73">
                  <c:v>7.9106868312297021E-4</c:v>
                </c:pt>
                <c:pt idx="74">
                  <c:v>6.7805887124826021E-4</c:v>
                </c:pt>
                <c:pt idx="75">
                  <c:v>5.8119331821279447E-4</c:v>
                </c:pt>
                <c:pt idx="76">
                  <c:v>4.9816570132525239E-4</c:v>
                </c:pt>
                <c:pt idx="77">
                  <c:v>4.2699917256450203E-4</c:v>
                </c:pt>
                <c:pt idx="78">
                  <c:v>3.6599929076957318E-4</c:v>
                </c:pt>
                <c:pt idx="79">
                  <c:v>3.1371367780249129E-4</c:v>
                </c:pt>
                <c:pt idx="80">
                  <c:v>2.6889743811642111E-4</c:v>
                </c:pt>
                <c:pt idx="81">
                  <c:v>2.3048351838550382E-4</c:v>
                </c:pt>
                <c:pt idx="82">
                  <c:v>1.9755730147328899E-4</c:v>
                </c:pt>
                <c:pt idx="83">
                  <c:v>1.6933482983424772E-4</c:v>
                </c:pt>
                <c:pt idx="84">
                  <c:v>1.4514413985792661E-4</c:v>
                </c:pt>
                <c:pt idx="85">
                  <c:v>1.2440926273536566E-4</c:v>
                </c:pt>
                <c:pt idx="86">
                  <c:v>1.0663651091602771E-4</c:v>
                </c:pt>
                <c:pt idx="87">
                  <c:v>9.1402723642309463E-5</c:v>
                </c:pt>
                <c:pt idx="88">
                  <c:v>7.8345191693408105E-5</c:v>
                </c:pt>
                <c:pt idx="89">
                  <c:v>6.7153021451492667E-5</c:v>
                </c:pt>
                <c:pt idx="90">
                  <c:v>5.7559732672708001E-5</c:v>
                </c:pt>
                <c:pt idx="91">
                  <c:v>4.9336913719463999E-5</c:v>
                </c:pt>
                <c:pt idx="92">
                  <c:v>4.2288783188111998E-5</c:v>
                </c:pt>
                <c:pt idx="93">
                  <c:v>3.6247528446953141E-5</c:v>
                </c:pt>
                <c:pt idx="94">
                  <c:v>3.1069310097388404E-5</c:v>
                </c:pt>
                <c:pt idx="95">
                  <c:v>2.663083722633292E-5</c:v>
                </c:pt>
                <c:pt idx="96">
                  <c:v>2.2826431908285359E-5</c:v>
                </c:pt>
                <c:pt idx="97">
                  <c:v>1.9565513064244593E-5</c:v>
                </c:pt>
                <c:pt idx="98">
                  <c:v>1.6770439769352509E-5</c:v>
                </c:pt>
                <c:pt idx="99">
                  <c:v>1.4374662659445008E-5</c:v>
                </c:pt>
                <c:pt idx="100">
                  <c:v>1.2321139422381436E-5</c:v>
                </c:pt>
                <c:pt idx="101">
                  <c:v>1.0560976647755516E-5</c:v>
                </c:pt>
                <c:pt idx="102">
                  <c:v>9.0522656980761563E-6</c:v>
                </c:pt>
                <c:pt idx="103">
                  <c:v>7.7590848840652764E-6</c:v>
                </c:pt>
                <c:pt idx="104">
                  <c:v>6.6506441863416654E-6</c:v>
                </c:pt>
                <c:pt idx="105">
                  <c:v>5.7005521597214272E-6</c:v>
                </c:pt>
                <c:pt idx="106">
                  <c:v>4.8861875654755086E-6</c:v>
                </c:pt>
                <c:pt idx="107">
                  <c:v>4.1881607704075785E-6</c:v>
                </c:pt>
                <c:pt idx="108">
                  <c:v>3.5898520889207815E-6</c:v>
                </c:pt>
                <c:pt idx="109">
                  <c:v>3.0770160762178126E-6</c:v>
                </c:pt>
                <c:pt idx="110">
                  <c:v>2.6374423510438394E-6</c:v>
                </c:pt>
                <c:pt idx="111">
                  <c:v>2.2606648723232907E-6</c:v>
                </c:pt>
                <c:pt idx="112">
                  <c:v>1.9377127477056778E-6</c:v>
                </c:pt>
                <c:pt idx="113">
                  <c:v>1.660896640890581E-6</c:v>
                </c:pt>
                <c:pt idx="114">
                  <c:v>1.4236256921919265E-6</c:v>
                </c:pt>
                <c:pt idx="115">
                  <c:v>1.2202505933073656E-6</c:v>
                </c:pt>
                <c:pt idx="116">
                  <c:v>1.0459290799777419E-6</c:v>
                </c:pt>
                <c:pt idx="117">
                  <c:v>8.9651063998092171E-7</c:v>
                </c:pt>
                <c:pt idx="118">
                  <c:v>7.684376914122186E-7</c:v>
                </c:pt>
                <c:pt idx="119">
                  <c:v>6.5866087835333027E-7</c:v>
                </c:pt>
                <c:pt idx="120">
                  <c:v>5.645664671599974E-7</c:v>
                </c:pt>
                <c:pt idx="121">
                  <c:v>4.839141147085692E-7</c:v>
                </c:pt>
                <c:pt idx="122">
                  <c:v>4.1478352689305933E-7</c:v>
                </c:pt>
                <c:pt idx="123">
                  <c:v>3.5552873733690802E-7</c:v>
                </c:pt>
                <c:pt idx="124">
                  <c:v>3.0473891771734972E-7</c:v>
                </c:pt>
                <c:pt idx="125">
                  <c:v>2.612047866148712E-7</c:v>
                </c:pt>
                <c:pt idx="126">
                  <c:v>2.2388981709846102E-7</c:v>
                </c:pt>
                <c:pt idx="127">
                  <c:v>1.919055575129666E-7</c:v>
                </c:pt>
                <c:pt idx="128">
                  <c:v>1.6449047786825707E-7</c:v>
                </c:pt>
                <c:pt idx="129">
                  <c:v>1.4099183817279177E-7</c:v>
                </c:pt>
                <c:pt idx="130">
                  <c:v>1.208501470052501E-7</c:v>
                </c:pt>
                <c:pt idx="131">
                  <c:v>1.0358584029021437E-7</c:v>
                </c:pt>
                <c:pt idx="132">
                  <c:v>8.8787863105898038E-8</c:v>
                </c:pt>
                <c:pt idx="133">
                  <c:v>7.6103882662198314E-8</c:v>
                </c:pt>
                <c:pt idx="134">
                  <c:v>6.5231899424741418E-8</c:v>
                </c:pt>
                <c:pt idx="135">
                  <c:v>5.591305664977836E-8</c:v>
                </c:pt>
                <c:pt idx="136">
                  <c:v>4.7925477128381452E-8</c:v>
                </c:pt>
                <c:pt idx="137">
                  <c:v>4.1078980395755532E-8</c:v>
                </c:pt>
                <c:pt idx="138">
                  <c:v>3.5210554624933312E-8</c:v>
                </c:pt>
                <c:pt idx="139">
                  <c:v>3.0180475392799981E-8</c:v>
                </c:pt>
                <c:pt idx="140">
                  <c:v>2.5868978908114271E-8</c:v>
                </c:pt>
                <c:pt idx="141">
                  <c:v>2.2173410492669376E-8</c:v>
                </c:pt>
                <c:pt idx="142">
                  <c:v>1.9005780422288035E-8</c:v>
                </c:pt>
                <c:pt idx="143">
                  <c:v>1.6290668933389743E-8</c:v>
                </c:pt>
                <c:pt idx="144">
                  <c:v>1.3963430514334065E-8</c:v>
                </c:pt>
                <c:pt idx="145">
                  <c:v>1.1968654726572056E-8</c:v>
                </c:pt>
                <c:pt idx="146">
                  <c:v>1.0258846908490334E-8</c:v>
                </c:pt>
                <c:pt idx="147">
                  <c:v>8.7932973501345717E-9</c:v>
                </c:pt>
                <c:pt idx="148">
                  <c:v>7.5371120144010615E-9</c:v>
                </c:pt>
                <c:pt idx="149">
                  <c:v>6.4603817266294814E-9</c:v>
                </c:pt>
                <c:pt idx="150">
                  <c:v>5.5374700513966981E-9</c:v>
                </c:pt>
                <c:pt idx="151">
                  <c:v>4.7464029011971696E-9</c:v>
                </c:pt>
                <c:pt idx="152">
                  <c:v>4.0683453438832886E-9</c:v>
                </c:pt>
                <c:pt idx="153">
                  <c:v>3.4871531518999616E-9</c:v>
                </c:pt>
                <c:pt idx="154">
                  <c:v>2.9889884159142526E-9</c:v>
                </c:pt>
                <c:pt idx="155">
                  <c:v>2.5619900707836451E-9</c:v>
                </c:pt>
                <c:pt idx="156">
                  <c:v>2.1959914892431246E-9</c:v>
                </c:pt>
                <c:pt idx="157">
                  <c:v>1.8822784193512495E-9</c:v>
                </c:pt>
                <c:pt idx="158">
                  <c:v>1.613381502301071E-9</c:v>
                </c:pt>
                <c:pt idx="159">
                  <c:v>1.3828984305437752E-9</c:v>
                </c:pt>
                <c:pt idx="160">
                  <c:v>1.1853415118946645E-9</c:v>
                </c:pt>
                <c:pt idx="161">
                  <c:v>1.0160070101954268E-9</c:v>
                </c:pt>
                <c:pt idx="162">
                  <c:v>8.7086315159608015E-10</c:v>
                </c:pt>
                <c:pt idx="163">
                  <c:v>7.4645412993949725E-10</c:v>
                </c:pt>
                <c:pt idx="164">
                  <c:v>6.3981782566242619E-10</c:v>
                </c:pt>
                <c:pt idx="165">
                  <c:v>5.4841527913922243E-10</c:v>
                </c:pt>
                <c:pt idx="166">
                  <c:v>4.7007023926219061E-10</c:v>
                </c:pt>
                <c:pt idx="167">
                  <c:v>4.0291734793902054E-10</c:v>
                </c:pt>
                <c:pt idx="168">
                  <c:v>3.4535772680487473E-10</c:v>
                </c:pt>
                <c:pt idx="169">
                  <c:v>2.9602090868989263E-10</c:v>
                </c:pt>
                <c:pt idx="170">
                  <c:v>2.5373220744847939E-10</c:v>
                </c:pt>
                <c:pt idx="171">
                  <c:v>2.1748474924155378E-10</c:v>
                </c:pt>
                <c:pt idx="172">
                  <c:v>1.8641549934990322E-10</c:v>
                </c:pt>
                <c:pt idx="173">
                  <c:v>1.5978471372848847E-10</c:v>
                </c:pt>
                <c:pt idx="174">
                  <c:v>1.3695832605299011E-10</c:v>
                </c:pt>
                <c:pt idx="175">
                  <c:v>1.1739285090256295E-10</c:v>
                </c:pt>
                <c:pt idx="176">
                  <c:v>1.0062244363076824E-10</c:v>
                </c:pt>
                <c:pt idx="177">
                  <c:v>8.6247808826372768E-11</c:v>
                </c:pt>
                <c:pt idx="178">
                  <c:v>7.3926693279748083E-11</c:v>
                </c:pt>
                <c:pt idx="179">
                  <c:v>6.3365737096926928E-11</c:v>
                </c:pt>
                <c:pt idx="180">
                  <c:v>5.4313488940223078E-11</c:v>
                </c:pt>
                <c:pt idx="181">
                  <c:v>4.655441909161978E-11</c:v>
                </c:pt>
                <c:pt idx="182">
                  <c:v>3.9903787792816952E-11</c:v>
                </c:pt>
                <c:pt idx="183">
                  <c:v>3.4203246679557387E-11</c:v>
                </c:pt>
                <c:pt idx="184">
                  <c:v>2.9317068582477758E-11</c:v>
                </c:pt>
                <c:pt idx="185">
                  <c:v>2.5128915927838078E-11</c:v>
                </c:pt>
                <c:pt idx="186">
                  <c:v>2.1539070795289782E-11</c:v>
                </c:pt>
                <c:pt idx="187">
                  <c:v>1.8462060681676955E-11</c:v>
                </c:pt>
                <c:pt idx="188">
                  <c:v>1.582462344143739E-11</c:v>
                </c:pt>
                <c:pt idx="189">
                  <c:v>1.3563962949803478E-11</c:v>
                </c:pt>
                <c:pt idx="190">
                  <c:v>1.1626253956974409E-11</c:v>
                </c:pt>
                <c:pt idx="191">
                  <c:v>9.9653605345494934E-12</c:v>
                </c:pt>
                <c:pt idx="192">
                  <c:v>8.5417376010424222E-12</c:v>
                </c:pt>
                <c:pt idx="193">
                  <c:v>7.3214893723220769E-12</c:v>
                </c:pt>
                <c:pt idx="194">
                  <c:v>6.2755623191332083E-12</c:v>
                </c:pt>
                <c:pt idx="195">
                  <c:v>5.3790534163998926E-12</c:v>
                </c:pt>
                <c:pt idx="196">
                  <c:v>4.6106172140570508E-12</c:v>
                </c:pt>
                <c:pt idx="197">
                  <c:v>3.9519576120489009E-12</c:v>
                </c:pt>
                <c:pt idx="198">
                  <c:v>3.3873922388990579E-12</c:v>
                </c:pt>
                <c:pt idx="199">
                  <c:v>2.903479061913478E-12</c:v>
                </c:pt>
                <c:pt idx="200">
                  <c:v>2.488696338782981E-12</c:v>
                </c:pt>
                <c:pt idx="201">
                  <c:v>2.1331682903854121E-12</c:v>
                </c:pt>
                <c:pt idx="202">
                  <c:v>1.8284299631874962E-12</c:v>
                </c:pt>
                <c:pt idx="203">
                  <c:v>1.5672256827321397E-12</c:v>
                </c:pt>
                <c:pt idx="204">
                  <c:v>1.3433362994846912E-12</c:v>
                </c:pt>
                <c:pt idx="205">
                  <c:v>1.151431113844021E-12</c:v>
                </c:pt>
                <c:pt idx="206">
                  <c:v>9.8694095472344664E-13</c:v>
                </c:pt>
                <c:pt idx="207">
                  <c:v>8.4594938976295421E-13</c:v>
                </c:pt>
                <c:pt idx="208">
                  <c:v>7.2509947693967503E-13</c:v>
                </c:pt>
                <c:pt idx="209">
                  <c:v>6.2151383737686433E-13</c:v>
                </c:pt>
                <c:pt idx="210">
                  <c:v>5.3272614632302657E-13</c:v>
                </c:pt>
                <c:pt idx="211">
                  <c:v>4.566224111340228E-13</c:v>
                </c:pt>
                <c:pt idx="212">
                  <c:v>3.9139063811487669E-13</c:v>
                </c:pt>
                <c:pt idx="213">
                  <c:v>3.3547768981275143E-13</c:v>
                </c:pt>
                <c:pt idx="214">
                  <c:v>2.8755230555378695E-13</c:v>
                </c:pt>
                <c:pt idx="215">
                  <c:v>2.4647340476038883E-13</c:v>
                </c:pt>
                <c:pt idx="216">
                  <c:v>2.1126291836604756E-13</c:v>
                </c:pt>
                <c:pt idx="217">
                  <c:v>1.810825014566122E-13</c:v>
                </c:pt>
                <c:pt idx="218">
                  <c:v>1.5521357267709617E-13</c:v>
                </c:pt>
                <c:pt idx="219">
                  <c:v>1.3304020515179672E-13</c:v>
                </c:pt>
                <c:pt idx="220">
                  <c:v>1.140344615586829E-13</c:v>
                </c:pt>
                <c:pt idx="221">
                  <c:v>9.7743824193156772E-14</c:v>
                </c:pt>
                <c:pt idx="222">
                  <c:v>8.3780420736991519E-14</c:v>
                </c:pt>
                <c:pt idx="223">
                  <c:v>7.1811789203135582E-14</c:v>
                </c:pt>
                <c:pt idx="224">
                  <c:v>6.1552962174116215E-14</c:v>
                </c:pt>
                <c:pt idx="225">
                  <c:v>5.2759681863528188E-14</c:v>
                </c:pt>
                <c:pt idx="226">
                  <c:v>4.5222584454452731E-14</c:v>
                </c:pt>
                <c:pt idx="227">
                  <c:v>3.8762215246673772E-14</c:v>
                </c:pt>
                <c:pt idx="228">
                  <c:v>3.3224755925720376E-14</c:v>
                </c:pt>
                <c:pt idx="229">
                  <c:v>2.8478362222046037E-14</c:v>
                </c:pt>
                <c:pt idx="230">
                  <c:v>2.4410024761753747E-14</c:v>
                </c:pt>
                <c:pt idx="231">
                  <c:v>2.0922878367217497E-14</c:v>
                </c:pt>
                <c:pt idx="232">
                  <c:v>1.7933895743329282E-14</c:v>
                </c:pt>
                <c:pt idx="233">
                  <c:v>1.5371910637139384E-14</c:v>
                </c:pt>
                <c:pt idx="234">
                  <c:v>1.3175923403262329E-14</c:v>
                </c:pt>
                <c:pt idx="235">
                  <c:v>1.1293648631367711E-14</c:v>
                </c:pt>
                <c:pt idx="236">
                  <c:v>9.6802702554580384E-15</c:v>
                </c:pt>
                <c:pt idx="237">
                  <c:v>8.2973745046783184E-15</c:v>
                </c:pt>
                <c:pt idx="238">
                  <c:v>7.112035289724273E-15</c:v>
                </c:pt>
                <c:pt idx="239">
                  <c:v>6.0960302483350907E-15</c:v>
                </c:pt>
                <c:pt idx="240">
                  <c:v>5.2251687842872207E-15</c:v>
                </c:pt>
                <c:pt idx="241">
                  <c:v>4.4787161008176175E-15</c:v>
                </c:pt>
                <c:pt idx="242">
                  <c:v>3.8388995149865296E-15</c:v>
                </c:pt>
                <c:pt idx="243">
                  <c:v>3.2904852985598828E-15</c:v>
                </c:pt>
                <c:pt idx="244">
                  <c:v>2.8204159701941853E-15</c:v>
                </c:pt>
                <c:pt idx="245">
                  <c:v>2.4174994030235875E-15</c:v>
                </c:pt>
                <c:pt idx="246">
                  <c:v>2.0721423454487894E-15</c:v>
                </c:pt>
                <c:pt idx="247">
                  <c:v>1.7761220103846768E-15</c:v>
                </c:pt>
                <c:pt idx="248">
                  <c:v>1.5223902946154372E-15</c:v>
                </c:pt>
                <c:pt idx="249">
                  <c:v>1.304905966813232E-15</c:v>
                </c:pt>
                <c:pt idx="250">
                  <c:v>1.118490828697056E-15</c:v>
                </c:pt>
                <c:pt idx="251">
                  <c:v>9.5870642459747663E-16</c:v>
                </c:pt>
                <c:pt idx="252">
                  <c:v>8.217483639406942E-16</c:v>
                </c:pt>
                <c:pt idx="253">
                  <c:v>7.04355740520595E-16</c:v>
                </c:pt>
                <c:pt idx="254">
                  <c:v>6.037334918747957E-16</c:v>
                </c:pt>
                <c:pt idx="255">
                  <c:v>5.1748585017839627E-16</c:v>
                </c:pt>
                <c:pt idx="256">
                  <c:v>4.435593001529111E-16</c:v>
                </c:pt>
                <c:pt idx="257">
                  <c:v>3.8019368584535237E-16</c:v>
                </c:pt>
                <c:pt idx="258">
                  <c:v>3.2588030215315919E-16</c:v>
                </c:pt>
                <c:pt idx="259">
                  <c:v>2.7932597327413645E-16</c:v>
                </c:pt>
                <c:pt idx="260">
                  <c:v>2.3942226280640269E-16</c:v>
                </c:pt>
                <c:pt idx="261">
                  <c:v>2.0521908240548803E-16</c:v>
                </c:pt>
                <c:pt idx="262">
                  <c:v>1.7590207063327545E-16</c:v>
                </c:pt>
                <c:pt idx="263">
                  <c:v>1.5077320339995039E-16</c:v>
                </c:pt>
                <c:pt idx="264">
                  <c:v>1.2923417434281462E-16</c:v>
                </c:pt>
                <c:pt idx="265">
                  <c:v>1.1077214943669825E-16</c:v>
                </c:pt>
                <c:pt idx="266">
                  <c:v>9.4947556660027062E-17</c:v>
                </c:pt>
                <c:pt idx="267">
                  <c:v>8.1383619994308915E-17</c:v>
                </c:pt>
                <c:pt idx="268">
                  <c:v>6.9757388566550495E-17</c:v>
                </c:pt>
                <c:pt idx="269">
                  <c:v>5.9792047342757571E-17</c:v>
                </c:pt>
                <c:pt idx="270">
                  <c:v>5.1250326293792206E-17</c:v>
                </c:pt>
                <c:pt idx="271">
                  <c:v>4.3928851108964751E-17</c:v>
                </c:pt>
                <c:pt idx="272">
                  <c:v>3.7653300950541217E-17</c:v>
                </c:pt>
                <c:pt idx="273">
                  <c:v>3.2274257957606757E-17</c:v>
                </c:pt>
                <c:pt idx="274">
                  <c:v>2.7663649677948649E-17</c:v>
                </c:pt>
                <c:pt idx="275">
                  <c:v>2.3711699723955983E-17</c:v>
                </c:pt>
                <c:pt idx="276">
                  <c:v>2.0324314049105129E-17</c:v>
                </c:pt>
                <c:pt idx="277">
                  <c:v>1.7420840613518682E-17</c:v>
                </c:pt>
                <c:pt idx="278">
                  <c:v>1.4932149097301728E-17</c:v>
                </c:pt>
                <c:pt idx="279">
                  <c:v>1.2798984940544338E-17</c:v>
                </c:pt>
                <c:pt idx="280">
                  <c:v>1.0970558520466576E-17</c:v>
                </c:pt>
                <c:pt idx="281">
                  <c:v>9.4033358746856357E-18</c:v>
                </c:pt>
                <c:pt idx="282">
                  <c:v>8.0600021783019741E-18</c:v>
                </c:pt>
                <c:pt idx="283">
                  <c:v>6.9085732956874062E-18</c:v>
                </c:pt>
                <c:pt idx="284">
                  <c:v>5.9216342534463484E-18</c:v>
                </c:pt>
                <c:pt idx="285">
                  <c:v>5.0756865029540132E-18</c:v>
                </c:pt>
                <c:pt idx="286">
                  <c:v>4.35058843110344E-18</c:v>
                </c:pt>
                <c:pt idx="287">
                  <c:v>3.729075798088663E-18</c:v>
                </c:pt>
                <c:pt idx="288">
                  <c:v>3.1963506840759969E-18</c:v>
                </c:pt>
                <c:pt idx="289">
                  <c:v>2.7397291577794259E-18</c:v>
                </c:pt>
                <c:pt idx="290">
                  <c:v>2.3483392780966506E-18</c:v>
                </c:pt>
                <c:pt idx="291">
                  <c:v>2.0128622383685578E-18</c:v>
                </c:pt>
                <c:pt idx="292">
                  <c:v>1.7253104900301924E-18</c:v>
                </c:pt>
                <c:pt idx="293">
                  <c:v>1.4788375628830221E-18</c:v>
                </c:pt>
                <c:pt idx="294">
                  <c:v>1.2675750538997331E-18</c:v>
                </c:pt>
                <c:pt idx="295">
                  <c:v>1.0864929033426283E-18</c:v>
                </c:pt>
                <c:pt idx="296">
                  <c:v>9.3127963143653851E-19</c:v>
                </c:pt>
                <c:pt idx="297">
                  <c:v>7.9823968408846152E-19</c:v>
                </c:pt>
                <c:pt idx="298">
                  <c:v>6.8420544350439565E-19</c:v>
                </c:pt>
                <c:pt idx="299">
                  <c:v>5.8646180871805337E-19</c:v>
                </c:pt>
                <c:pt idx="300">
                  <c:v>5.0268155032976006E-19</c:v>
                </c:pt>
                <c:pt idx="301">
                  <c:v>4.3086990028265149E-19</c:v>
                </c:pt>
                <c:pt idx="302">
                  <c:v>3.6931705738512987E-19</c:v>
                </c:pt>
                <c:pt idx="303">
                  <c:v>3.1655747775868275E-19</c:v>
                </c:pt>
                <c:pt idx="304">
                  <c:v>2.7133498093601379E-19</c:v>
                </c:pt>
                <c:pt idx="305">
                  <c:v>2.3257284080229752E-19</c:v>
                </c:pt>
                <c:pt idx="306">
                  <c:v>1.9934814925911216E-19</c:v>
                </c:pt>
                <c:pt idx="307">
                  <c:v>1.7086984222209615E-19</c:v>
                </c:pt>
                <c:pt idx="308">
                  <c:v>1.4645986476179671E-19</c:v>
                </c:pt>
                <c:pt idx="309">
                  <c:v>1.255370269386829E-19</c:v>
                </c:pt>
                <c:pt idx="310">
                  <c:v>1.0760316594744249E-19</c:v>
                </c:pt>
                <c:pt idx="311">
                  <c:v>9.2231285097807848E-20</c:v>
                </c:pt>
                <c:pt idx="312">
                  <c:v>7.9055387226692441E-20</c:v>
                </c:pt>
                <c:pt idx="313">
                  <c:v>6.7761760480022089E-20</c:v>
                </c:pt>
                <c:pt idx="314">
                  <c:v>5.8081508982876074E-20</c:v>
                </c:pt>
                <c:pt idx="315">
                  <c:v>4.9784150556750919E-20</c:v>
                </c:pt>
                <c:pt idx="316">
                  <c:v>4.2672129048643644E-20</c:v>
                </c:pt>
                <c:pt idx="317">
                  <c:v>3.6576110613123124E-20</c:v>
                </c:pt>
                <c:pt idx="318">
                  <c:v>3.1350951954105532E-20</c:v>
                </c:pt>
                <c:pt idx="319">
                  <c:v>2.6872244532090455E-20</c:v>
                </c:pt>
                <c:pt idx="320">
                  <c:v>2.3033352456077532E-20</c:v>
                </c:pt>
                <c:pt idx="321">
                  <c:v>1.9742873533780743E-20</c:v>
                </c:pt>
                <c:pt idx="322">
                  <c:v>1.6922463028954922E-20</c:v>
                </c:pt>
                <c:pt idx="323">
                  <c:v>1.4504968310532792E-20</c:v>
                </c:pt>
                <c:pt idx="324">
                  <c:v>1.2432829980456679E-20</c:v>
                </c:pt>
                <c:pt idx="325">
                  <c:v>1.0656711411820011E-20</c:v>
                </c:pt>
                <c:pt idx="326">
                  <c:v>9.1343240672742948E-21</c:v>
                </c:pt>
                <c:pt idx="327">
                  <c:v>7.8294206290922525E-21</c:v>
                </c:pt>
                <c:pt idx="328">
                  <c:v>6.7109319677933589E-21</c:v>
                </c:pt>
                <c:pt idx="329">
                  <c:v>5.7522274009657361E-21</c:v>
                </c:pt>
                <c:pt idx="330">
                  <c:v>4.9304806293992021E-21</c:v>
                </c:pt>
                <c:pt idx="331">
                  <c:v>4.2261262537707449E-21</c:v>
                </c:pt>
                <c:pt idx="332">
                  <c:v>3.6223939318034958E-21</c:v>
                </c:pt>
                <c:pt idx="333">
                  <c:v>3.1049090844029963E-21</c:v>
                </c:pt>
                <c:pt idx="334">
                  <c:v>2.6613506437739969E-21</c:v>
                </c:pt>
                <c:pt idx="335">
                  <c:v>2.2811576946634258E-21</c:v>
                </c:pt>
                <c:pt idx="336">
                  <c:v>1.955278023997222E-21</c:v>
                </c:pt>
                <c:pt idx="337">
                  <c:v>1.6759525919976189E-21</c:v>
                </c:pt>
                <c:pt idx="338">
                  <c:v>1.4365307931408161E-21</c:v>
                </c:pt>
                <c:pt idx="339">
                  <c:v>1.2313121084064138E-21</c:v>
                </c:pt>
                <c:pt idx="340">
                  <c:v>1.055410378634069E-21</c:v>
                </c:pt>
                <c:pt idx="341">
                  <c:v>9.046374674006305E-22</c:v>
                </c:pt>
                <c:pt idx="342">
                  <c:v>7.7540354348625474E-22</c:v>
                </c:pt>
                <c:pt idx="343">
                  <c:v>6.6463160870250412E-22</c:v>
                </c:pt>
                <c:pt idx="344">
                  <c:v>5.6968423603071782E-22</c:v>
                </c:pt>
                <c:pt idx="345">
                  <c:v>4.883007737406153E-22</c:v>
                </c:pt>
                <c:pt idx="346">
                  <c:v>4.185435203490988E-22</c:v>
                </c:pt>
                <c:pt idx="347">
                  <c:v>3.5875158887065613E-22</c:v>
                </c:pt>
                <c:pt idx="348">
                  <c:v>3.075013618891338E-22</c:v>
                </c:pt>
                <c:pt idx="349">
                  <c:v>2.6357259590497184E-22</c:v>
                </c:pt>
                <c:pt idx="350">
                  <c:v>2.2591936791854728E-22</c:v>
                </c:pt>
                <c:pt idx="351">
                  <c:v>1.9364517250161196E-22</c:v>
                </c:pt>
                <c:pt idx="352">
                  <c:v>1.6598157642995311E-22</c:v>
                </c:pt>
                <c:pt idx="353">
                  <c:v>1.4226992265424553E-22</c:v>
                </c:pt>
                <c:pt idx="354">
                  <c:v>1.2194564798935332E-22</c:v>
                </c:pt>
                <c:pt idx="355">
                  <c:v>1.0452484113373142E-22</c:v>
                </c:pt>
                <c:pt idx="356">
                  <c:v>8.9592720971769784E-23</c:v>
                </c:pt>
                <c:pt idx="357">
                  <c:v>7.6793760832945531E-23</c:v>
                </c:pt>
                <c:pt idx="358">
                  <c:v>6.5823223571096169E-23</c:v>
                </c:pt>
                <c:pt idx="359">
                  <c:v>5.6419905918082427E-23</c:v>
                </c:pt>
                <c:pt idx="360">
                  <c:v>4.8359919358356366E-23</c:v>
                </c:pt>
                <c:pt idx="361">
                  <c:v>4.1451359450019742E-23</c:v>
                </c:pt>
                <c:pt idx="362">
                  <c:v>3.5529736671445493E-23</c:v>
                </c:pt>
                <c:pt idx="363">
                  <c:v>3.0454060004096136E-23</c:v>
                </c:pt>
                <c:pt idx="364">
                  <c:v>2.6103480003510973E-23</c:v>
                </c:pt>
              </c:numCache>
            </c:numRef>
          </c:val>
          <c:smooth val="0"/>
          <c:extLst>
            <c:ext xmlns:c16="http://schemas.microsoft.com/office/drawing/2014/chart" uri="{C3380CC4-5D6E-409C-BE32-E72D297353CC}">
              <c16:uniqueId val="{00000000-1EBF-44EA-B55B-832D62DF2C63}"/>
            </c:ext>
          </c:extLst>
        </c:ser>
        <c:ser>
          <c:idx val="0"/>
          <c:order val="1"/>
          <c:tx>
            <c:v>CTL</c:v>
          </c:tx>
          <c:spPr>
            <a:ln w="19050" cap="rnd">
              <a:solidFill>
                <a:srgbClr val="FF33CC"/>
              </a:solidFill>
              <a:round/>
            </a:ln>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Log'!$AM$2:$AM$366</c:f>
              <c:numCache>
                <c:formatCode>0</c:formatCode>
                <c:ptCount val="365"/>
                <c:pt idx="0" formatCode="#,##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1-1EBF-44EA-B55B-832D62DF2C63}"/>
            </c:ext>
          </c:extLst>
        </c:ser>
        <c:ser>
          <c:idx val="2"/>
          <c:order val="2"/>
          <c:tx>
            <c:v>Plan CTL</c:v>
          </c:tx>
          <c:spPr>
            <a:ln w="19050" cap="rnd">
              <a:solidFill>
                <a:srgbClr val="0070C0"/>
              </a:solidFill>
              <a:round/>
            </a:ln>
            <a:effectLst/>
          </c:spPr>
          <c:marker>
            <c:symbol val="none"/>
          </c:marker>
          <c:val>
            <c:numRef>
              <c:f>'Ride Log'!$AL$2:$AL$366</c:f>
              <c:numCache>
                <c:formatCode>0</c:formatCode>
                <c:ptCount val="365"/>
                <c:pt idx="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0-551D-4E21-B65F-CEEEA8B2A581}"/>
            </c:ext>
          </c:extLst>
        </c:ser>
        <c:dLbls>
          <c:showLegendKey val="0"/>
          <c:showVal val="0"/>
          <c:showCatName val="0"/>
          <c:showSerName val="0"/>
          <c:showPercent val="0"/>
          <c:showBubbleSize val="0"/>
        </c:dLbls>
        <c:smooth val="0"/>
        <c:axId val="374785736"/>
        <c:axId val="374785080"/>
      </c:lineChart>
      <c:dateAx>
        <c:axId val="374785736"/>
        <c:scaling>
          <c:orientation val="minMax"/>
        </c:scaling>
        <c:delete val="0"/>
        <c:axPos val="b"/>
        <c:numFmt formatCode="[$-409]d\-mmm;@"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080"/>
        <c:crosses val="autoZero"/>
        <c:auto val="1"/>
        <c:lblOffset val="100"/>
        <c:baseTimeUnit val="days"/>
      </c:dateAx>
      <c:valAx>
        <c:axId val="374785080"/>
        <c:scaling>
          <c:orientation val="minMax"/>
        </c:scaling>
        <c:delete val="0"/>
        <c:axPos val="l"/>
        <c:majorGridlines>
          <c:spPr>
            <a:ln w="6350" cap="flat" cmpd="sng" algn="ctr">
              <a:solidFill>
                <a:schemeClr val="dk1"/>
              </a:solidFill>
              <a:prstDash val="solid"/>
              <a:miter lim="800000"/>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736"/>
        <c:crosses val="autoZero"/>
        <c:crossBetween val="between"/>
      </c:valAx>
      <c:spPr>
        <a:solidFill>
          <a:schemeClr val="bg1">
            <a:lumMod val="75000"/>
          </a:schemeClr>
        </a:solidFill>
        <a:ln>
          <a:solidFill>
            <a:schemeClr val="tx1"/>
          </a:solidFill>
        </a:ln>
        <a:effectLst/>
      </c:spPr>
    </c:plotArea>
    <c:legend>
      <c:legendPos val="t"/>
      <c:layout>
        <c:manualLayout>
          <c:xMode val="edge"/>
          <c:yMode val="edge"/>
          <c:x val="0.69559669635913968"/>
          <c:y val="6.9831849653808106E-2"/>
          <c:w val="0.26344933929488706"/>
          <c:h val="7.07225246695795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900">
          <a:solidFill>
            <a:schemeClr val="dk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9525</xdr:colOff>
      <xdr:row>42</xdr:row>
      <xdr:rowOff>38100</xdr:rowOff>
    </xdr:from>
    <xdr:to>
      <xdr:col>21</xdr:col>
      <xdr:colOff>104775</xdr:colOff>
      <xdr:row>61</xdr:row>
      <xdr:rowOff>57150</xdr:rowOff>
    </xdr:to>
    <xdr:graphicFrame macro="">
      <xdr:nvGraphicFramePr>
        <xdr:cNvPr id="1026" name="Chart 2">
          <a:extLst>
            <a:ext uri="{FF2B5EF4-FFF2-40B4-BE49-F238E27FC236}">
              <a16:creationId xmlns:a16="http://schemas.microsoft.com/office/drawing/2014/main" id="{D8C55AF1-3EC6-4702-95BA-F6CFCAACD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84</xdr:row>
      <xdr:rowOff>47625</xdr:rowOff>
    </xdr:from>
    <xdr:to>
      <xdr:col>21</xdr:col>
      <xdr:colOff>114300</xdr:colOff>
      <xdr:row>104</xdr:row>
      <xdr:rowOff>76200</xdr:rowOff>
    </xdr:to>
    <xdr:graphicFrame macro="">
      <xdr:nvGraphicFramePr>
        <xdr:cNvPr id="1027" name="Chart 3">
          <a:extLst>
            <a:ext uri="{FF2B5EF4-FFF2-40B4-BE49-F238E27FC236}">
              <a16:creationId xmlns:a16="http://schemas.microsoft.com/office/drawing/2014/main" id="{EB923FB7-0308-417F-99EB-28BC83F9B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62</xdr:row>
      <xdr:rowOff>38100</xdr:rowOff>
    </xdr:from>
    <xdr:to>
      <xdr:col>21</xdr:col>
      <xdr:colOff>104775</xdr:colOff>
      <xdr:row>83</xdr:row>
      <xdr:rowOff>57150</xdr:rowOff>
    </xdr:to>
    <xdr:graphicFrame macro="">
      <xdr:nvGraphicFramePr>
        <xdr:cNvPr id="1028" name="Chart 4">
          <a:extLst>
            <a:ext uri="{FF2B5EF4-FFF2-40B4-BE49-F238E27FC236}">
              <a16:creationId xmlns:a16="http://schemas.microsoft.com/office/drawing/2014/main" id="{C2394F78-C14A-4D5A-9625-0E661D7FF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9526</xdr:colOff>
      <xdr:row>20</xdr:row>
      <xdr:rowOff>95250</xdr:rowOff>
    </xdr:from>
    <xdr:to>
      <xdr:col>21</xdr:col>
      <xdr:colOff>76200</xdr:colOff>
      <xdr:row>41</xdr:row>
      <xdr:rowOff>66675</xdr:rowOff>
    </xdr:to>
    <xdr:graphicFrame macro="">
      <xdr:nvGraphicFramePr>
        <xdr:cNvPr id="1029" name="Chart 5">
          <a:extLst>
            <a:ext uri="{FF2B5EF4-FFF2-40B4-BE49-F238E27FC236}">
              <a16:creationId xmlns:a16="http://schemas.microsoft.com/office/drawing/2014/main" id="{7C68AF31-9BBE-401E-B74B-B11556034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9524</xdr:colOff>
      <xdr:row>0</xdr:row>
      <xdr:rowOff>133350</xdr:rowOff>
    </xdr:from>
    <xdr:to>
      <xdr:col>21</xdr:col>
      <xdr:colOff>66675</xdr:colOff>
      <xdr:row>19</xdr:row>
      <xdr:rowOff>76200</xdr:rowOff>
    </xdr:to>
    <xdr:graphicFrame macro="">
      <xdr:nvGraphicFramePr>
        <xdr:cNvPr id="6" name="Chart 5" title="PMC">
          <a:extLst>
            <a:ext uri="{FF2B5EF4-FFF2-40B4-BE49-F238E27FC236}">
              <a16:creationId xmlns:a16="http://schemas.microsoft.com/office/drawing/2014/main" id="{B6819DE8-CBE6-48BE-B1EC-FF8AF8EDF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AR520"/>
  <sheetViews>
    <sheetView workbookViewId="0">
      <pane xSplit="1" ySplit="1" topLeftCell="B2" activePane="bottomRight" state="frozen"/>
      <selection activeCell="C34" sqref="C34"/>
      <selection pane="topRight" activeCell="C34" sqref="C34"/>
      <selection pane="bottomLeft" activeCell="C34" sqref="C34"/>
      <selection pane="bottomRight" activeCell="E8" sqref="E8"/>
    </sheetView>
  </sheetViews>
  <sheetFormatPr defaultRowHeight="12.75" x14ac:dyDescent="0.2"/>
  <cols>
    <col min="1" max="1" width="7.140625" style="22" bestFit="1" customWidth="1"/>
    <col min="2" max="2" width="7.140625" style="22" customWidth="1"/>
    <col min="3" max="3" width="54" style="137" bestFit="1" customWidth="1"/>
    <col min="4" max="4" width="13.5703125" style="113" customWidth="1"/>
    <col min="5" max="5" width="6.7109375" style="21" customWidth="1"/>
    <col min="6" max="6" width="6.5703125" style="23" customWidth="1"/>
    <col min="7" max="8" width="6.7109375" style="17" customWidth="1"/>
    <col min="9" max="13" width="10.7109375" style="20" customWidth="1"/>
    <col min="14" max="15" width="6.7109375" style="17" customWidth="1"/>
    <col min="16" max="16" width="6.7109375" style="18" customWidth="1"/>
    <col min="17" max="17" width="6.7109375" style="17" customWidth="1"/>
    <col min="18" max="18" width="7.140625" style="62" customWidth="1"/>
    <col min="19" max="19" width="7.28515625" style="44" customWidth="1"/>
    <col min="20" max="20" width="62.28515625" style="143" customWidth="1"/>
    <col min="21" max="31" width="9.140625" style="14"/>
    <col min="32" max="33" width="7.5703125" style="14" customWidth="1"/>
    <col min="34" max="34" width="6.7109375" style="17" customWidth="1"/>
    <col min="35" max="35" width="6.7109375" style="19" customWidth="1"/>
    <col min="36" max="39" width="6.7109375" style="17" customWidth="1"/>
    <col min="40" max="41" width="6.7109375" style="19" customWidth="1"/>
    <col min="42" max="42" width="6.7109375" style="17" customWidth="1"/>
    <col min="43" max="43" width="6.7109375" style="20" customWidth="1"/>
    <col min="44" max="44" width="35.5703125" style="14" customWidth="1"/>
    <col min="45" max="16384" width="9.140625" style="14"/>
  </cols>
  <sheetData>
    <row r="1" spans="1:44" ht="27" customHeight="1" x14ac:dyDescent="0.2">
      <c r="A1" s="33" t="s">
        <v>5</v>
      </c>
      <c r="B1" s="34" t="s">
        <v>50</v>
      </c>
      <c r="C1" s="42" t="s">
        <v>76</v>
      </c>
      <c r="D1" s="35" t="s">
        <v>248</v>
      </c>
      <c r="E1" s="39" t="s">
        <v>9</v>
      </c>
      <c r="F1" s="38" t="s">
        <v>7</v>
      </c>
      <c r="G1" s="30" t="s">
        <v>144</v>
      </c>
      <c r="H1" s="37" t="s">
        <v>11</v>
      </c>
      <c r="I1" s="35" t="s">
        <v>147</v>
      </c>
      <c r="J1" s="35" t="s">
        <v>148</v>
      </c>
      <c r="K1" s="35" t="s">
        <v>149</v>
      </c>
      <c r="L1" s="35" t="s">
        <v>146</v>
      </c>
      <c r="M1" s="35" t="s">
        <v>150</v>
      </c>
      <c r="N1" s="30" t="s">
        <v>65</v>
      </c>
      <c r="O1" s="30" t="s">
        <v>47</v>
      </c>
      <c r="P1" s="36" t="s">
        <v>42</v>
      </c>
      <c r="Q1" s="36" t="s">
        <v>12</v>
      </c>
      <c r="R1" s="36" t="s">
        <v>6</v>
      </c>
      <c r="S1" s="30" t="s">
        <v>15</v>
      </c>
      <c r="T1" s="30" t="s">
        <v>13</v>
      </c>
      <c r="AF1" s="112" t="s">
        <v>249</v>
      </c>
      <c r="AG1" s="111" t="s">
        <v>8</v>
      </c>
      <c r="AH1" s="64" t="s">
        <v>77</v>
      </c>
      <c r="AI1" s="65" t="s">
        <v>1</v>
      </c>
      <c r="AJ1" s="64" t="s">
        <v>145</v>
      </c>
      <c r="AK1" s="66" t="s">
        <v>49</v>
      </c>
      <c r="AL1" s="64" t="s">
        <v>78</v>
      </c>
      <c r="AM1" s="66" t="s">
        <v>40</v>
      </c>
      <c r="AN1" s="66" t="s">
        <v>143</v>
      </c>
      <c r="AO1" s="66" t="s">
        <v>41</v>
      </c>
      <c r="AP1" s="64" t="s">
        <v>81</v>
      </c>
      <c r="AQ1" s="67" t="s">
        <v>43</v>
      </c>
      <c r="AR1" s="66" t="s">
        <v>151</v>
      </c>
    </row>
    <row r="2" spans="1:44" s="1" customFormat="1" x14ac:dyDescent="0.2">
      <c r="A2" s="125">
        <v>44197</v>
      </c>
      <c r="B2" s="126" t="str">
        <f>TEXT(A2,"ddd")</f>
        <v>Fri</v>
      </c>
      <c r="C2" s="140"/>
      <c r="D2" s="128" t="str">
        <f>IF(AG2="","",INT(AG2/60)&amp;":"&amp;RIGHT("00"&amp;MOD(AG2,60),2)&amp;" ")
&amp;IF(OR(AF2="",AF2=0),"","("&amp;INT(AF2/60)&amp;":"&amp;RIGHT("00"&amp;MOD(AF2,60),2)&amp;")")</f>
        <v/>
      </c>
      <c r="E2" s="129" t="str">
        <f>IF(SUMIF(Data!B:B,A2,Data!D:D)=0,"",F2/SUMIF(Data!B:B,A2,Data!D:D)*60)</f>
        <v/>
      </c>
      <c r="F2" s="130" t="str">
        <f>IF(SUMIF(Data!B:B,A2,Data!C:C)=0,"",SUMIF(Data!B:B,A2,Data!C:C))</f>
        <v/>
      </c>
      <c r="G2" s="126" t="str">
        <f>IF(OR(S2="T",S2="RUN",SUMIF(Data!B:B,A2,Data!E:E)=0),"",SUMIF(Data!B:B,A2,Data!E:E))</f>
        <v/>
      </c>
      <c r="H2" s="126" t="str">
        <f t="shared" ref="H2:H65" si="0">IF(G2&lt;&gt;"",INT(G2/F2),"")</f>
        <v/>
      </c>
      <c r="I2" s="131" t="str">
        <f t="shared" ref="I2:I65" si="1">ROUND(AK2,0)&amp;IF(AJ2="",""," ("&amp;ROUND(AJ2,0)&amp;")")</f>
        <v>61 (61)</v>
      </c>
      <c r="J2" s="131" t="str">
        <f t="shared" ref="J2:J65" si="2">ROUND(AM2,0)&amp;IF(AL2="",""," ("&amp;ROUND(AL2,0)&amp;")")</f>
        <v>55 (55)</v>
      </c>
      <c r="K2" s="131" t="str">
        <f t="shared" ref="K2:K65" si="3">AO2&amp;IF(AN2="",""," ("&amp;AN2&amp;")")</f>
        <v>0 (0)</v>
      </c>
      <c r="L2" s="132" t="str">
        <f t="shared" ref="L2:L65" si="4">AI2&amp;IF(AH2="",""," ("&amp;AH2&amp;")")</f>
        <v/>
      </c>
      <c r="M2" s="131" t="str">
        <f t="shared" ref="M2:M65" si="5">TEXT(AQ2,"0.00")&amp;IF(AP2="",""," ("&amp;TEXT(AP2,"0.00")&amp;")")</f>
        <v/>
      </c>
      <c r="N2" s="126" t="str">
        <f>IF(ISNA(MATCH(A2,Data!B:B,0)),"",INDEX(Data!H:H,MATCH(A2,Data!B:B,1))) &amp; ""</f>
        <v/>
      </c>
      <c r="O2" s="126" t="str">
        <f>IF(ISNA(MATCH(A2,Data!B:B,0)),"",INDEX(Data!I:I,MATCH(A2,Data!B:B,1))) &amp; ""</f>
        <v/>
      </c>
      <c r="P2" s="133" t="str">
        <f>IF(ISNA(MATCH(A2,Data!B:B,0)),"",INDEX(Data!J:J,MATCH(A2,Data!B:B,1))) &amp; ""</f>
        <v/>
      </c>
      <c r="Q2" s="126" t="str">
        <f>IF(S2="T",Charts!$X$7,IF(ISNA(MATCH(A2,Data!B:B,0)),"",INDEX(Data!K:K,MATCH(A2,Data!B:B,1)))) &amp; ""</f>
        <v/>
      </c>
      <c r="R2" s="134"/>
      <c r="S2" s="134"/>
      <c r="T2" s="127"/>
      <c r="AF2" s="24" t="str">
        <f>IF(C2="","",INDEX(Workouts!B:B,MATCH(C2,Workouts!A:A,0)))</f>
        <v/>
      </c>
      <c r="AG2" s="24" t="str">
        <f>IF(SUMIF(Data!B:B,A2,Data!D:D)=0,"",SUMIF(Data!B:B,A2,Data!D:D))</f>
        <v/>
      </c>
      <c r="AH2" s="25" t="str">
        <f>IF(C2="","",INDEX(Workouts!C:C,MATCH(C2,Workouts!A:A,0)))</f>
        <v/>
      </c>
      <c r="AI2" s="68" t="str">
        <f>IF(SUMIF(Data!B:B,A2,Data!F:F)=0,"",SUMIF(Data!B:B,A2,Data!F:F))</f>
        <v/>
      </c>
      <c r="AJ2" s="68">
        <f>Charts!X2</f>
        <v>61</v>
      </c>
      <c r="AK2" s="27">
        <f>Charts!X2</f>
        <v>61</v>
      </c>
      <c r="AL2" s="68">
        <f>Charts!X3</f>
        <v>55</v>
      </c>
      <c r="AM2" s="27">
        <f>Charts!X3</f>
        <v>55</v>
      </c>
      <c r="AN2" s="68" t="str">
        <f>TEXT(Charts!X4,"0")</f>
        <v>0</v>
      </c>
      <c r="AO2" s="68" t="str">
        <f>TEXT(Charts!X4,"0")</f>
        <v>0</v>
      </c>
      <c r="AP2" s="69" t="str">
        <f>IF(C2="","",INDEX(Workouts!D:D,MATCH(C2,Workouts!A:A,0)))</f>
        <v/>
      </c>
      <c r="AQ2" s="69" t="str">
        <f>IF(ISNA(MATCH(A2,Data!B:B,0)),"",INDEX(Data!G:G,MATCH(A2,Data!B:B,1)))</f>
        <v/>
      </c>
    </row>
    <row r="3" spans="1:44" s="1" customFormat="1" x14ac:dyDescent="0.2">
      <c r="A3" s="125">
        <f>A2+1</f>
        <v>44198</v>
      </c>
      <c r="B3" s="126" t="str">
        <f t="shared" ref="B3:B66" si="6">TEXT(A3,"ddd")</f>
        <v>Sat</v>
      </c>
      <c r="C3" s="140"/>
      <c r="D3" s="128" t="str">
        <f t="shared" ref="D3:D66" si="7">IF(AG3="","",INT(AG3/60)&amp;":"&amp;RIGHT("00"&amp;MOD(AG3,60),2)&amp;" ")
&amp;IF(OR(AF3="",AF3=0),"","("&amp;INT(AF3/60)&amp;":"&amp;RIGHT("00"&amp;MOD(AF3,60),2)&amp;")")</f>
        <v/>
      </c>
      <c r="E3" s="129" t="str">
        <f t="shared" ref="E3:E66" si="8">IF(AG3&lt;&gt;"",F3/AG3*60,"")</f>
        <v/>
      </c>
      <c r="F3" s="130" t="str">
        <f>IF(SUMIF(Data!B:B,A3,Data!C:C)=0,"",SUMIF(Data!B:B,A3,Data!C:C))</f>
        <v/>
      </c>
      <c r="G3" s="126" t="str">
        <f>IF(OR(S3="T",S3="RUN",SUMIF(Data!B:B,A3,Data!E:E)=0),"",SUMIF(Data!B:B,A3,Data!E:E))</f>
        <v/>
      </c>
      <c r="H3" s="126" t="str">
        <f t="shared" si="0"/>
        <v/>
      </c>
      <c r="I3" s="131" t="str">
        <f t="shared" si="1"/>
        <v>52 (52)</v>
      </c>
      <c r="J3" s="131" t="str">
        <f t="shared" si="2"/>
        <v>54 (54)</v>
      </c>
      <c r="K3" s="131" t="str">
        <f t="shared" si="3"/>
        <v>-6 (-6)</v>
      </c>
      <c r="L3" s="132" t="str">
        <f t="shared" si="4"/>
        <v/>
      </c>
      <c r="M3" s="131" t="str">
        <f t="shared" si="5"/>
        <v/>
      </c>
      <c r="N3" s="126" t="str">
        <f>IF(ISNA(MATCH(A3,Data!B:B,0)),"",INDEX(Data!H:H,MATCH(A3,Data!B:B,1))) &amp; ""</f>
        <v/>
      </c>
      <c r="O3" s="126" t="str">
        <f>IF(ISNA(MATCH(A3,Data!B:B,0)),"",INDEX(Data!I:I,MATCH(A3,Data!B:B,1))) &amp; ""</f>
        <v/>
      </c>
      <c r="P3" s="133" t="str">
        <f>IF(ISNA(MATCH(A3,Data!B:B,0)),"",INDEX(Data!J:J,MATCH(A3,Data!B:B,1))) &amp; ""</f>
        <v/>
      </c>
      <c r="Q3" s="126" t="str">
        <f>IF(S3="T",Charts!$X$7,IF(ISNA(MATCH(A3,Data!B:B,0)),"",INDEX(Data!K:K,MATCH(A3,Data!B:B,1)))) &amp; ""</f>
        <v/>
      </c>
      <c r="R3" s="134"/>
      <c r="S3" s="134"/>
      <c r="T3" s="127"/>
      <c r="AF3" s="24" t="str">
        <f>IF(C3="","",INDEX(Workouts!B:B,MATCH(C3,Workouts!A:A,0)))</f>
        <v/>
      </c>
      <c r="AG3" s="24" t="str">
        <f>IF(SUMIF(Data!B:B,A3,Data!D:D)=0,"",SUMIF(Data!B:B,A3,Data!D:D))</f>
        <v/>
      </c>
      <c r="AH3" s="25" t="str">
        <f>IF(C3="","",INDEX(Workouts!C:C,MATCH(C3,Workouts!A:A,0)))</f>
        <v/>
      </c>
      <c r="AI3" s="68" t="str">
        <f>IF(SUMIF(Data!B:B,A3,Data!F:F)=0,"",SUMIF(Data!B:B,A3,Data!F:F))</f>
        <v/>
      </c>
      <c r="AJ3" s="68">
        <f>AJ2+ (IF(AH3="",0,AH3)-AJ2)/Charts!$X$5</f>
        <v>52.285714285714285</v>
      </c>
      <c r="AK3" s="68">
        <f>AK2+ (IF(AI3="",0,AI3)-AK2)/Charts!$X$5</f>
        <v>52.285714285714285</v>
      </c>
      <c r="AL3" s="68">
        <f>AL2+ (IF(AH3="",0,AH3)-AL2)/Charts!$X$6</f>
        <v>53.69047619047619</v>
      </c>
      <c r="AM3" s="68">
        <f>AM2+ (IF(AI3="",0,AI3)-AM2)/Charts!$X$6</f>
        <v>53.69047619047619</v>
      </c>
      <c r="AN3" s="68" t="str">
        <f>TEXT(ROUND(AL2,0)-ROUND(AJ2,0),"0")</f>
        <v>-6</v>
      </c>
      <c r="AO3" s="68" t="str">
        <f>TEXT(ROUND(AM2,0)-ROUND(AK2,0),"0")</f>
        <v>-6</v>
      </c>
      <c r="AP3" s="69" t="str">
        <f>IF(C3="","",INDEX(Workouts!D:D,MATCH(C3,Workouts!A:A,0)))</f>
        <v/>
      </c>
      <c r="AQ3" s="69" t="str">
        <f>IF(ISNA(MATCH(A3,Data!B:B,0)),"",INDEX(Data!G:G,MATCH(A3,Data!B:B,1)))</f>
        <v/>
      </c>
    </row>
    <row r="4" spans="1:44" s="1" customFormat="1" x14ac:dyDescent="0.2">
      <c r="A4" s="125">
        <f t="shared" ref="A4:A67" si="9">A3+1</f>
        <v>44199</v>
      </c>
      <c r="B4" s="126" t="str">
        <f t="shared" si="6"/>
        <v>Sun</v>
      </c>
      <c r="C4" s="140"/>
      <c r="D4" s="128" t="str">
        <f t="shared" si="7"/>
        <v/>
      </c>
      <c r="E4" s="129" t="str">
        <f t="shared" si="8"/>
        <v/>
      </c>
      <c r="F4" s="130" t="str">
        <f>IF(SUMIF(Data!B:B,A4,Data!C:C)=0,"",SUMIF(Data!B:B,A4,Data!C:C))</f>
        <v/>
      </c>
      <c r="G4" s="126" t="str">
        <f>IF(OR(S4="T",S4="RUN",SUMIF(Data!B:B,A4,Data!E:E)=0),"",SUMIF(Data!B:B,A4,Data!E:E))</f>
        <v/>
      </c>
      <c r="H4" s="126" t="str">
        <f t="shared" si="0"/>
        <v/>
      </c>
      <c r="I4" s="131" t="str">
        <f t="shared" si="1"/>
        <v>45 (45)</v>
      </c>
      <c r="J4" s="131" t="str">
        <f t="shared" si="2"/>
        <v>52 (52)</v>
      </c>
      <c r="K4" s="131" t="str">
        <f t="shared" si="3"/>
        <v>2 (2)</v>
      </c>
      <c r="L4" s="132" t="str">
        <f t="shared" si="4"/>
        <v/>
      </c>
      <c r="M4" s="131" t="str">
        <f t="shared" si="5"/>
        <v/>
      </c>
      <c r="N4" s="126" t="str">
        <f>IF(ISNA(MATCH(A4,Data!B:B,0)),"",INDEX(Data!H:H,MATCH(A4,Data!B:B,1))) &amp; ""</f>
        <v/>
      </c>
      <c r="O4" s="126" t="str">
        <f>IF(ISNA(MATCH(A4,Data!B:B,0)),"",INDEX(Data!I:I,MATCH(A4,Data!B:B,1))) &amp; ""</f>
        <v/>
      </c>
      <c r="P4" s="133" t="str">
        <f>IF(ISNA(MATCH(A4,Data!B:B,0)),"",INDEX(Data!J:J,MATCH(A4,Data!B:B,1))) &amp; ""</f>
        <v/>
      </c>
      <c r="Q4" s="126" t="str">
        <f>IF(S4="T",Charts!$X$7,IF(ISNA(MATCH(A4,Data!B:B,0)),"",INDEX(Data!K:K,MATCH(A4,Data!B:B,1)))) &amp; ""</f>
        <v/>
      </c>
      <c r="R4" s="134"/>
      <c r="S4" s="134"/>
      <c r="T4" s="127"/>
      <c r="AF4" s="24" t="str">
        <f>IF(C4="","",INDEX(Workouts!B:B,MATCH(C4,Workouts!A:A,0)))</f>
        <v/>
      </c>
      <c r="AG4" s="24" t="str">
        <f>IF(SUMIF(Data!B:B,A4,Data!D:D)=0,"",SUMIF(Data!B:B,A4,Data!D:D))</f>
        <v/>
      </c>
      <c r="AH4" s="25" t="str">
        <f>IF(C4="","",INDEX(Workouts!C:C,MATCH(C4,Workouts!A:A,0)))</f>
        <v/>
      </c>
      <c r="AI4" s="68" t="str">
        <f>IF(SUMIF(Data!B:B,A4,Data!F:F)=0,"",SUMIF(Data!B:B,A4,Data!F:F))</f>
        <v/>
      </c>
      <c r="AJ4" s="68">
        <f>AJ3+ (IF(AH4="",0,AH4)-AJ3)/Charts!$X$5</f>
        <v>44.816326530612244</v>
      </c>
      <c r="AK4" s="68">
        <f>AK3+ (IF(AI4="",0,AI4)-AK3)/Charts!$X$5</f>
        <v>44.816326530612244</v>
      </c>
      <c r="AL4" s="68">
        <f>AL3+ (IF(AH4="",0,AH4)-AL3)/Charts!$X$6</f>
        <v>52.412131519274375</v>
      </c>
      <c r="AM4" s="68">
        <f>AM3+ (IF(AI4="",0,AI4)-AM3)/Charts!$X$6</f>
        <v>52.412131519274375</v>
      </c>
      <c r="AN4" s="68" t="str">
        <f t="shared" ref="AN4:AN67" si="10">TEXT(ROUND(AL3,0)-ROUND(AJ3,0),"0")</f>
        <v>2</v>
      </c>
      <c r="AO4" s="68" t="str">
        <f t="shared" ref="AO4:AO67" si="11">TEXT(ROUND(AM3,0)-ROUND(AK3,0),"0")</f>
        <v>2</v>
      </c>
      <c r="AP4" s="69" t="str">
        <f>IF(C4="","",INDEX(Workouts!D:D,MATCH(C4,Workouts!A:A,0)))</f>
        <v/>
      </c>
      <c r="AQ4" s="69" t="str">
        <f>IF(ISNA(MATCH(A4,Data!B:B,0)),"",INDEX(Data!G:G,MATCH(A4,Data!B:B,1)))</f>
        <v/>
      </c>
    </row>
    <row r="5" spans="1:44" s="1" customFormat="1" x14ac:dyDescent="0.2">
      <c r="A5" s="125">
        <f t="shared" si="9"/>
        <v>44200</v>
      </c>
      <c r="B5" s="126" t="str">
        <f t="shared" si="6"/>
        <v>Mon</v>
      </c>
      <c r="C5" s="140"/>
      <c r="D5" s="128" t="str">
        <f t="shared" si="7"/>
        <v/>
      </c>
      <c r="E5" s="129" t="str">
        <f t="shared" si="8"/>
        <v/>
      </c>
      <c r="F5" s="130" t="str">
        <f>IF(SUMIF(Data!B:B,A5,Data!C:C)=0,"",SUMIF(Data!B:B,A5,Data!C:C))</f>
        <v/>
      </c>
      <c r="G5" s="126" t="str">
        <f>IF(OR(S5="T",S5="RUN",SUMIF(Data!B:B,A5,Data!E:E)=0),"",SUMIF(Data!B:B,A5,Data!E:E))</f>
        <v/>
      </c>
      <c r="H5" s="126" t="str">
        <f t="shared" si="0"/>
        <v/>
      </c>
      <c r="I5" s="131" t="str">
        <f t="shared" si="1"/>
        <v>38 (38)</v>
      </c>
      <c r="J5" s="131" t="str">
        <f t="shared" si="2"/>
        <v>51 (51)</v>
      </c>
      <c r="K5" s="131" t="str">
        <f t="shared" si="3"/>
        <v>7 (7)</v>
      </c>
      <c r="L5" s="132" t="str">
        <f t="shared" si="4"/>
        <v/>
      </c>
      <c r="M5" s="131" t="str">
        <f t="shared" si="5"/>
        <v/>
      </c>
      <c r="N5" s="126" t="str">
        <f>IF(ISNA(MATCH(A5,Data!B:B,0)),"",INDEX(Data!H:H,MATCH(A5,Data!B:B,1))) &amp; ""</f>
        <v/>
      </c>
      <c r="O5" s="126" t="str">
        <f>IF(ISNA(MATCH(A5,Data!B:B,0)),"",INDEX(Data!I:I,MATCH(A5,Data!B:B,1))) &amp; ""</f>
        <v/>
      </c>
      <c r="P5" s="133" t="str">
        <f>IF(ISNA(MATCH(A5,Data!B:B,0)),"",INDEX(Data!J:J,MATCH(A5,Data!B:B,1))) &amp; ""</f>
        <v/>
      </c>
      <c r="Q5" s="126" t="str">
        <f>IF(S5="T",Charts!$X$7,IF(ISNA(MATCH(A5,Data!B:B,0)),"",INDEX(Data!K:K,MATCH(A5,Data!B:B,1)))) &amp; ""</f>
        <v/>
      </c>
      <c r="R5" s="134"/>
      <c r="S5" s="134"/>
      <c r="T5" s="127"/>
      <c r="AF5" s="24" t="str">
        <f>IF(C5="","",INDEX(Workouts!B:B,MATCH(C5,Workouts!A:A,0)))</f>
        <v/>
      </c>
      <c r="AG5" s="24" t="str">
        <f>IF(SUMIF(Data!B:B,A5,Data!D:D)=0,"",SUMIF(Data!B:B,A5,Data!D:D))</f>
        <v/>
      </c>
      <c r="AH5" s="25" t="str">
        <f>IF(C5="","",INDEX(Workouts!C:C,MATCH(C5,Workouts!A:A,0)))</f>
        <v/>
      </c>
      <c r="AI5" s="68" t="str">
        <f>IF(SUMIF(Data!B:B,A5,Data!F:F)=0,"",SUMIF(Data!B:B,A5,Data!F:F))</f>
        <v/>
      </c>
      <c r="AJ5" s="68">
        <f>AJ4+ (IF(AH5="",0,AH5)-AJ4)/Charts!$X$5</f>
        <v>38.413994169096206</v>
      </c>
      <c r="AK5" s="68">
        <f>AK4+ (IF(AI5="",0,AI5)-AK4)/Charts!$X$5</f>
        <v>38.413994169096206</v>
      </c>
      <c r="AL5" s="68">
        <f>AL4+ (IF(AH5="",0,AH5)-AL4)/Charts!$X$6</f>
        <v>51.164223625958321</v>
      </c>
      <c r="AM5" s="68">
        <f>AM4+ (IF(AI5="",0,AI5)-AM4)/Charts!$X$6</f>
        <v>51.164223625958321</v>
      </c>
      <c r="AN5" s="68" t="str">
        <f t="shared" si="10"/>
        <v>7</v>
      </c>
      <c r="AO5" s="68" t="str">
        <f t="shared" si="11"/>
        <v>7</v>
      </c>
      <c r="AP5" s="69" t="str">
        <f>IF(C5="","",INDEX(Workouts!D:D,MATCH(C5,Workouts!A:A,0)))</f>
        <v/>
      </c>
      <c r="AQ5" s="69" t="str">
        <f>IF(ISNA(MATCH(A5,Data!B:B,0)),"",INDEX(Data!G:G,MATCH(A5,Data!B:B,1)))</f>
        <v/>
      </c>
    </row>
    <row r="6" spans="1:44" s="1" customFormat="1" x14ac:dyDescent="0.2">
      <c r="A6" s="125">
        <f t="shared" si="9"/>
        <v>44201</v>
      </c>
      <c r="B6" s="126" t="str">
        <f t="shared" si="6"/>
        <v>Tue</v>
      </c>
      <c r="C6" s="140"/>
      <c r="D6" s="128" t="str">
        <f t="shared" si="7"/>
        <v/>
      </c>
      <c r="E6" s="129" t="str">
        <f t="shared" si="8"/>
        <v/>
      </c>
      <c r="F6" s="130" t="str">
        <f>IF(SUMIF(Data!B:B,A6,Data!C:C)=0,"",SUMIF(Data!B:B,A6,Data!C:C))</f>
        <v/>
      </c>
      <c r="G6" s="126" t="str">
        <f>IF(OR(S6="T",S6="RUN",SUMIF(Data!B:B,A6,Data!E:E)=0),"",SUMIF(Data!B:B,A6,Data!E:E))</f>
        <v/>
      </c>
      <c r="H6" s="126" t="str">
        <f t="shared" si="0"/>
        <v/>
      </c>
      <c r="I6" s="131" t="str">
        <f t="shared" si="1"/>
        <v>33 (33)</v>
      </c>
      <c r="J6" s="131" t="str">
        <f t="shared" si="2"/>
        <v>50 (50)</v>
      </c>
      <c r="K6" s="131" t="str">
        <f t="shared" si="3"/>
        <v>13 (13)</v>
      </c>
      <c r="L6" s="132" t="str">
        <f t="shared" si="4"/>
        <v/>
      </c>
      <c r="M6" s="131" t="str">
        <f t="shared" si="5"/>
        <v/>
      </c>
      <c r="N6" s="126" t="str">
        <f>IF(ISNA(MATCH(A6,Data!B:B,0)),"",INDEX(Data!H:H,MATCH(A6,Data!B:B,1))) &amp; ""</f>
        <v/>
      </c>
      <c r="O6" s="126" t="str">
        <f>IF(ISNA(MATCH(A6,Data!B:B,0)),"",INDEX(Data!I:I,MATCH(A6,Data!B:B,1))) &amp; ""</f>
        <v/>
      </c>
      <c r="P6" s="133" t="str">
        <f>IF(ISNA(MATCH(A6,Data!B:B,0)),"",INDEX(Data!J:J,MATCH(A6,Data!B:B,1))) &amp; ""</f>
        <v/>
      </c>
      <c r="Q6" s="126" t="str">
        <f>IF(S6="T",Charts!$X$7,IF(ISNA(MATCH(A6,Data!B:B,0)),"",INDEX(Data!K:K,MATCH(A6,Data!B:B,1)))) &amp; ""</f>
        <v/>
      </c>
      <c r="R6" s="134"/>
      <c r="S6" s="134"/>
      <c r="T6" s="127"/>
      <c r="AF6" s="24" t="str">
        <f>IF(C6="","",INDEX(Workouts!B:B,MATCH(C6,Workouts!A:A,0)))</f>
        <v/>
      </c>
      <c r="AG6" s="24" t="str">
        <f>IF(SUMIF(Data!B:B,A6,Data!D:D)=0,"",SUMIF(Data!B:B,A6,Data!D:D))</f>
        <v/>
      </c>
      <c r="AH6" s="25" t="str">
        <f>IF(C6="","",INDEX(Workouts!C:C,MATCH(C6,Workouts!A:A,0)))</f>
        <v/>
      </c>
      <c r="AI6" s="68" t="str">
        <f>IF(SUMIF(Data!B:B,A6,Data!F:F)=0,"",SUMIF(Data!B:B,A6,Data!F:F))</f>
        <v/>
      </c>
      <c r="AJ6" s="68">
        <f>AJ5+ (IF(AH6="",0,AH6)-AJ5)/Charts!$X$5</f>
        <v>32.926280716368176</v>
      </c>
      <c r="AK6" s="68">
        <f>AK5+ (IF(AI6="",0,AI6)-AK5)/Charts!$X$5</f>
        <v>32.926280716368176</v>
      </c>
      <c r="AL6" s="68">
        <f>AL5+ (IF(AH6="",0,AH6)-AL5)/Charts!$X$6</f>
        <v>49.946027825340266</v>
      </c>
      <c r="AM6" s="68">
        <f>AM5+ (IF(AI6="",0,AI6)-AM5)/Charts!$X$6</f>
        <v>49.946027825340266</v>
      </c>
      <c r="AN6" s="68" t="str">
        <f t="shared" si="10"/>
        <v>13</v>
      </c>
      <c r="AO6" s="68" t="str">
        <f t="shared" si="11"/>
        <v>13</v>
      </c>
      <c r="AP6" s="69" t="str">
        <f>IF(C6="","",INDEX(Workouts!D:D,MATCH(C6,Workouts!A:A,0)))</f>
        <v/>
      </c>
      <c r="AQ6" s="69" t="str">
        <f>IF(ISNA(MATCH(A6,Data!B:B,0)),"",INDEX(Data!G:G,MATCH(A6,Data!B:B,1)))</f>
        <v/>
      </c>
    </row>
    <row r="7" spans="1:44" s="1" customFormat="1" x14ac:dyDescent="0.2">
      <c r="A7" s="125">
        <f t="shared" si="9"/>
        <v>44202</v>
      </c>
      <c r="B7" s="126" t="str">
        <f t="shared" si="6"/>
        <v>Wed</v>
      </c>
      <c r="C7" s="140"/>
      <c r="D7" s="128" t="str">
        <f t="shared" si="7"/>
        <v/>
      </c>
      <c r="E7" s="129" t="str">
        <f t="shared" si="8"/>
        <v/>
      </c>
      <c r="F7" s="130" t="str">
        <f>IF(SUMIF(Data!B:B,A7,Data!C:C)=0,"",SUMIF(Data!B:B,A7,Data!C:C))</f>
        <v/>
      </c>
      <c r="G7" s="126" t="str">
        <f>IF(OR(S7="T",S7="RUN",SUMIF(Data!B:B,A7,Data!E:E)=0),"",SUMIF(Data!B:B,A7,Data!E:E))</f>
        <v/>
      </c>
      <c r="H7" s="126" t="str">
        <f t="shared" si="0"/>
        <v/>
      </c>
      <c r="I7" s="131" t="str">
        <f t="shared" si="1"/>
        <v>28 (28)</v>
      </c>
      <c r="J7" s="131" t="str">
        <f t="shared" si="2"/>
        <v>49 (49)</v>
      </c>
      <c r="K7" s="131" t="str">
        <f t="shared" si="3"/>
        <v>17 (17)</v>
      </c>
      <c r="L7" s="132" t="str">
        <f t="shared" si="4"/>
        <v/>
      </c>
      <c r="M7" s="131" t="str">
        <f t="shared" si="5"/>
        <v/>
      </c>
      <c r="N7" s="126" t="str">
        <f>IF(ISNA(MATCH(A7,Data!B:B,0)),"",INDEX(Data!H:H,MATCH(A7,Data!B:B,1))) &amp; ""</f>
        <v/>
      </c>
      <c r="O7" s="126" t="str">
        <f>IF(ISNA(MATCH(A7,Data!B:B,0)),"",INDEX(Data!I:I,MATCH(A7,Data!B:B,1))) &amp; ""</f>
        <v/>
      </c>
      <c r="P7" s="133" t="str">
        <f>IF(ISNA(MATCH(A7,Data!B:B,0)),"",INDEX(Data!J:J,MATCH(A7,Data!B:B,1))) &amp; ""</f>
        <v/>
      </c>
      <c r="Q7" s="126" t="str">
        <f>IF(S7="T",Charts!$X$7,IF(ISNA(MATCH(A7,Data!B:B,0)),"",INDEX(Data!K:K,MATCH(A7,Data!B:B,1)))) &amp; ""</f>
        <v/>
      </c>
      <c r="R7" s="134"/>
      <c r="S7" s="134"/>
      <c r="T7" s="127"/>
      <c r="AF7" s="24" t="str">
        <f>IF(C7="","",INDEX(Workouts!B:B,MATCH(C7,Workouts!A:A,0)))</f>
        <v/>
      </c>
      <c r="AG7" s="24" t="str">
        <f>IF(SUMIF(Data!B:B,A7,Data!D:D)=0,"",SUMIF(Data!B:B,A7,Data!D:D))</f>
        <v/>
      </c>
      <c r="AH7" s="25" t="str">
        <f>IF(C7="","",INDEX(Workouts!C:C,MATCH(C7,Workouts!A:A,0)))</f>
        <v/>
      </c>
      <c r="AI7" s="68" t="str">
        <f>IF(SUMIF(Data!B:B,A7,Data!F:F)=0,"",SUMIF(Data!B:B,A7,Data!F:F))</f>
        <v/>
      </c>
      <c r="AJ7" s="68">
        <f>AJ6+ (IF(AH7="",0,AH7)-AJ6)/Charts!$X$5</f>
        <v>28.222526328315581</v>
      </c>
      <c r="AK7" s="68">
        <f>AK6+ (IF(AI7="",0,AI7)-AK6)/Charts!$X$5</f>
        <v>28.222526328315581</v>
      </c>
      <c r="AL7" s="68">
        <f>AL6+ (IF(AH7="",0,AH7)-AL6)/Charts!$X$6</f>
        <v>48.756836686641691</v>
      </c>
      <c r="AM7" s="68">
        <f>AM6+ (IF(AI7="",0,AI7)-AM6)/Charts!$X$6</f>
        <v>48.756836686641691</v>
      </c>
      <c r="AN7" s="68" t="str">
        <f t="shared" si="10"/>
        <v>17</v>
      </c>
      <c r="AO7" s="68" t="str">
        <f t="shared" si="11"/>
        <v>17</v>
      </c>
      <c r="AP7" s="69" t="str">
        <f>IF(C7="","",INDEX(Workouts!D:D,MATCH(C7,Workouts!A:A,0)))</f>
        <v/>
      </c>
      <c r="AQ7" s="69" t="str">
        <f>IF(ISNA(MATCH(A7,Data!B:B,0)),"",INDEX(Data!G:G,MATCH(A7,Data!B:B,1)))</f>
        <v/>
      </c>
    </row>
    <row r="8" spans="1:44" s="1" customFormat="1" x14ac:dyDescent="0.2">
      <c r="A8" s="125">
        <f t="shared" si="9"/>
        <v>44203</v>
      </c>
      <c r="B8" s="126" t="str">
        <f t="shared" si="6"/>
        <v>Thu</v>
      </c>
      <c r="C8" s="140"/>
      <c r="D8" s="128" t="str">
        <f t="shared" si="7"/>
        <v/>
      </c>
      <c r="E8" s="129" t="str">
        <f t="shared" si="8"/>
        <v/>
      </c>
      <c r="F8" s="130" t="str">
        <f>IF(SUMIF(Data!B:B,A8,Data!C:C)=0,"",SUMIF(Data!B:B,A8,Data!C:C))</f>
        <v/>
      </c>
      <c r="G8" s="126" t="str">
        <f>IF(OR(S8="T",S8="RUN",SUMIF(Data!B:B,A8,Data!E:E)=0),"",SUMIF(Data!B:B,A8,Data!E:E))</f>
        <v/>
      </c>
      <c r="H8" s="126" t="str">
        <f t="shared" si="0"/>
        <v/>
      </c>
      <c r="I8" s="131" t="str">
        <f t="shared" si="1"/>
        <v>24 (24)</v>
      </c>
      <c r="J8" s="131" t="str">
        <f t="shared" si="2"/>
        <v>48 (48)</v>
      </c>
      <c r="K8" s="131" t="str">
        <f t="shared" si="3"/>
        <v>21 (21)</v>
      </c>
      <c r="L8" s="132" t="str">
        <f t="shared" si="4"/>
        <v/>
      </c>
      <c r="M8" s="131" t="str">
        <f t="shared" si="5"/>
        <v/>
      </c>
      <c r="N8" s="126" t="str">
        <f>IF(ISNA(MATCH(A8,Data!B:B,0)),"",INDEX(Data!H:H,MATCH(A8,Data!B:B,1))) &amp; ""</f>
        <v/>
      </c>
      <c r="O8" s="126" t="str">
        <f>IF(ISNA(MATCH(A8,Data!B:B,0)),"",INDEX(Data!I:I,MATCH(A8,Data!B:B,1))) &amp; ""</f>
        <v/>
      </c>
      <c r="P8" s="133" t="str">
        <f>IF(ISNA(MATCH(A8,Data!B:B,0)),"",INDEX(Data!J:J,MATCH(A8,Data!B:B,1))) &amp; ""</f>
        <v/>
      </c>
      <c r="Q8" s="126" t="str">
        <f>IF(S8="T",Charts!$X$7,IF(ISNA(MATCH(A8,Data!B:B,0)),"",INDEX(Data!K:K,MATCH(A8,Data!B:B,1)))) &amp; ""</f>
        <v/>
      </c>
      <c r="R8" s="134"/>
      <c r="S8" s="134"/>
      <c r="T8" s="127"/>
      <c r="AF8" s="24" t="str">
        <f>IF(C8="","",INDEX(Workouts!B:B,MATCH(C8,Workouts!A:A,0)))</f>
        <v/>
      </c>
      <c r="AG8" s="24" t="str">
        <f>IF(SUMIF(Data!B:B,A8,Data!D:D)=0,"",SUMIF(Data!B:B,A8,Data!D:D))</f>
        <v/>
      </c>
      <c r="AH8" s="25" t="str">
        <f>IF(C8="","",INDEX(Workouts!C:C,MATCH(C8,Workouts!A:A,0)))</f>
        <v/>
      </c>
      <c r="AI8" s="68" t="str">
        <f>IF(SUMIF(Data!B:B,A8,Data!F:F)=0,"",SUMIF(Data!B:B,A8,Data!F:F))</f>
        <v/>
      </c>
      <c r="AJ8" s="68">
        <f>AJ7+ (IF(AH8="",0,AH8)-AJ7)/Charts!$X$5</f>
        <v>24.190736852841926</v>
      </c>
      <c r="AK8" s="68">
        <f>AK7+ (IF(AI8="",0,AI8)-AK7)/Charts!$X$5</f>
        <v>24.190736852841926</v>
      </c>
      <c r="AL8" s="68">
        <f>AL7+ (IF(AH8="",0,AH8)-AL7)/Charts!$X$6</f>
        <v>47.59595962267403</v>
      </c>
      <c r="AM8" s="68">
        <f>AM7+ (IF(AI8="",0,AI8)-AM7)/Charts!$X$6</f>
        <v>47.59595962267403</v>
      </c>
      <c r="AN8" s="68" t="str">
        <f t="shared" si="10"/>
        <v>21</v>
      </c>
      <c r="AO8" s="68" t="str">
        <f t="shared" si="11"/>
        <v>21</v>
      </c>
      <c r="AP8" s="69" t="str">
        <f>IF(C8="","",INDEX(Workouts!D:D,MATCH(C8,Workouts!A:A,0)))</f>
        <v/>
      </c>
      <c r="AQ8" s="69" t="str">
        <f>IF(ISNA(MATCH(A8,Data!B:B,0)),"",INDEX(Data!G:G,MATCH(A8,Data!B:B,1)))</f>
        <v/>
      </c>
    </row>
    <row r="9" spans="1:44" s="1" customFormat="1" x14ac:dyDescent="0.2">
      <c r="A9" s="125">
        <f t="shared" si="9"/>
        <v>44204</v>
      </c>
      <c r="B9" s="126" t="str">
        <f t="shared" si="6"/>
        <v>Fri</v>
      </c>
      <c r="C9" s="140"/>
      <c r="D9" s="128" t="str">
        <f t="shared" si="7"/>
        <v/>
      </c>
      <c r="E9" s="129" t="str">
        <f t="shared" si="8"/>
        <v/>
      </c>
      <c r="F9" s="130" t="str">
        <f>IF(SUMIF(Data!B:B,A9,Data!C:C)=0,"",SUMIF(Data!B:B,A9,Data!C:C))</f>
        <v/>
      </c>
      <c r="G9" s="126" t="str">
        <f>IF(OR(S9="T",S9="RUN",SUMIF(Data!B:B,A9,Data!E:E)=0),"",SUMIF(Data!B:B,A9,Data!E:E))</f>
        <v/>
      </c>
      <c r="H9" s="126" t="str">
        <f t="shared" si="0"/>
        <v/>
      </c>
      <c r="I9" s="131" t="str">
        <f t="shared" si="1"/>
        <v>21 (21)</v>
      </c>
      <c r="J9" s="131" t="str">
        <f t="shared" si="2"/>
        <v>46 (46)</v>
      </c>
      <c r="K9" s="131" t="str">
        <f t="shared" si="3"/>
        <v>24 (24)</v>
      </c>
      <c r="L9" s="132" t="str">
        <f t="shared" si="4"/>
        <v/>
      </c>
      <c r="M9" s="131" t="str">
        <f t="shared" si="5"/>
        <v/>
      </c>
      <c r="N9" s="126" t="str">
        <f>IF(ISNA(MATCH(A9,Data!B:B,0)),"",INDEX(Data!H:H,MATCH(A9,Data!B:B,1))) &amp; ""</f>
        <v/>
      </c>
      <c r="O9" s="126" t="str">
        <f>IF(ISNA(MATCH(A9,Data!B:B,0)),"",INDEX(Data!I:I,MATCH(A9,Data!B:B,1))) &amp; ""</f>
        <v/>
      </c>
      <c r="P9" s="133" t="str">
        <f>IF(ISNA(MATCH(A9,Data!B:B,0)),"",INDEX(Data!J:J,MATCH(A9,Data!B:B,1))) &amp; ""</f>
        <v/>
      </c>
      <c r="Q9" s="126" t="str">
        <f>IF(S9="T",Charts!$X$7,IF(ISNA(MATCH(A9,Data!B:B,0)),"",INDEX(Data!K:K,MATCH(A9,Data!B:B,1)))) &amp; ""</f>
        <v/>
      </c>
      <c r="R9" s="134"/>
      <c r="S9" s="134"/>
      <c r="T9" s="127"/>
      <c r="AF9" s="24" t="str">
        <f>IF(C9="","",INDEX(Workouts!B:B,MATCH(C9,Workouts!A:A,0)))</f>
        <v/>
      </c>
      <c r="AG9" s="24" t="str">
        <f>IF(SUMIF(Data!B:B,A9,Data!D:D)=0,"",SUMIF(Data!B:B,A9,Data!D:D))</f>
        <v/>
      </c>
      <c r="AH9" s="25" t="str">
        <f>IF(C9="","",INDEX(Workouts!C:C,MATCH(C9,Workouts!A:A,0)))</f>
        <v/>
      </c>
      <c r="AI9" s="68" t="str">
        <f>IF(SUMIF(Data!B:B,A9,Data!F:F)=0,"",SUMIF(Data!B:B,A9,Data!F:F))</f>
        <v/>
      </c>
      <c r="AJ9" s="68">
        <f>AJ8+ (IF(AH9="",0,AH9)-AJ8)/Charts!$X$5</f>
        <v>20.734917302435935</v>
      </c>
      <c r="AK9" s="68">
        <f>AK8+ (IF(AI9="",0,AI9)-AK8)/Charts!$X$5</f>
        <v>20.734917302435935</v>
      </c>
      <c r="AL9" s="68">
        <f>AL8+ (IF(AH9="",0,AH9)-AL8)/Charts!$X$6</f>
        <v>46.462722488800836</v>
      </c>
      <c r="AM9" s="68">
        <f>AM8+ (IF(AI9="",0,AI9)-AM8)/Charts!$X$6</f>
        <v>46.462722488800836</v>
      </c>
      <c r="AN9" s="68" t="str">
        <f t="shared" si="10"/>
        <v>24</v>
      </c>
      <c r="AO9" s="68" t="str">
        <f t="shared" si="11"/>
        <v>24</v>
      </c>
      <c r="AP9" s="69" t="str">
        <f>IF(C9="","",INDEX(Workouts!D:D,MATCH(C9,Workouts!A:A,0)))</f>
        <v/>
      </c>
      <c r="AQ9" s="69" t="str">
        <f>IF(ISNA(MATCH(A9,Data!B:B,0)),"",INDEX(Data!G:G,MATCH(A9,Data!B:B,1)))</f>
        <v/>
      </c>
    </row>
    <row r="10" spans="1:44" s="1" customFormat="1" x14ac:dyDescent="0.2">
      <c r="A10" s="125">
        <f t="shared" si="9"/>
        <v>44205</v>
      </c>
      <c r="B10" s="126" t="str">
        <f t="shared" si="6"/>
        <v>Sat</v>
      </c>
      <c r="C10" s="140"/>
      <c r="D10" s="128" t="str">
        <f t="shared" si="7"/>
        <v/>
      </c>
      <c r="E10" s="129" t="str">
        <f t="shared" si="8"/>
        <v/>
      </c>
      <c r="F10" s="130" t="str">
        <f>IF(SUMIF(Data!B:B,A10,Data!C:C)=0,"",SUMIF(Data!B:B,A10,Data!C:C))</f>
        <v/>
      </c>
      <c r="G10" s="126" t="str">
        <f>IF(OR(S10="T",S10="RUN",SUMIF(Data!B:B,A10,Data!E:E)=0),"",SUMIF(Data!B:B,A10,Data!E:E))</f>
        <v/>
      </c>
      <c r="H10" s="126" t="str">
        <f t="shared" si="0"/>
        <v/>
      </c>
      <c r="I10" s="131" t="str">
        <f t="shared" si="1"/>
        <v>18 (18)</v>
      </c>
      <c r="J10" s="131" t="str">
        <f t="shared" si="2"/>
        <v>45 (45)</v>
      </c>
      <c r="K10" s="131" t="str">
        <f t="shared" si="3"/>
        <v>25 (25)</v>
      </c>
      <c r="L10" s="132" t="str">
        <f t="shared" si="4"/>
        <v/>
      </c>
      <c r="M10" s="131" t="str">
        <f t="shared" si="5"/>
        <v/>
      </c>
      <c r="N10" s="126" t="str">
        <f>IF(ISNA(MATCH(A10,Data!B:B,0)),"",INDEX(Data!H:H,MATCH(A10,Data!B:B,1))) &amp; ""</f>
        <v/>
      </c>
      <c r="O10" s="126" t="str">
        <f>IF(ISNA(MATCH(A10,Data!B:B,0)),"",INDEX(Data!I:I,MATCH(A10,Data!B:B,1))) &amp; ""</f>
        <v/>
      </c>
      <c r="P10" s="133" t="str">
        <f>IF(ISNA(MATCH(A10,Data!B:B,0)),"",INDEX(Data!J:J,MATCH(A10,Data!B:B,1))) &amp; ""</f>
        <v/>
      </c>
      <c r="Q10" s="126" t="str">
        <f>IF(S10="T",Charts!$X$7,IF(ISNA(MATCH(A10,Data!B:B,0)),"",INDEX(Data!K:K,MATCH(A10,Data!B:B,1)))) &amp; ""</f>
        <v/>
      </c>
      <c r="R10" s="134"/>
      <c r="S10" s="134"/>
      <c r="T10" s="127"/>
      <c r="AF10" s="24" t="str">
        <f>IF(C10="","",INDEX(Workouts!B:B,MATCH(C10,Workouts!A:A,0)))</f>
        <v/>
      </c>
      <c r="AG10" s="24" t="str">
        <f>IF(SUMIF(Data!B:B,A10,Data!D:D)=0,"",SUMIF(Data!B:B,A10,Data!D:D))</f>
        <v/>
      </c>
      <c r="AH10" s="25" t="str">
        <f>IF(C10="","",INDEX(Workouts!C:C,MATCH(C10,Workouts!A:A,0)))</f>
        <v/>
      </c>
      <c r="AI10" s="68" t="str">
        <f>IF(SUMIF(Data!B:B,A10,Data!F:F)=0,"",SUMIF(Data!B:B,A10,Data!F:F))</f>
        <v/>
      </c>
      <c r="AJ10" s="68">
        <f>AJ9+ (IF(AH10="",0,AH10)-AJ9)/Charts!$X$5</f>
        <v>17.772786259230802</v>
      </c>
      <c r="AK10" s="68">
        <f>AK9+ (IF(AI10="",0,AI10)-AK9)/Charts!$X$5</f>
        <v>17.772786259230802</v>
      </c>
      <c r="AL10" s="68">
        <f>AL9+ (IF(AH10="",0,AH10)-AL9)/Charts!$X$6</f>
        <v>45.356467191448438</v>
      </c>
      <c r="AM10" s="68">
        <f>AM9+ (IF(AI10="",0,AI10)-AM9)/Charts!$X$6</f>
        <v>45.356467191448438</v>
      </c>
      <c r="AN10" s="68" t="str">
        <f t="shared" si="10"/>
        <v>25</v>
      </c>
      <c r="AO10" s="68" t="str">
        <f t="shared" si="11"/>
        <v>25</v>
      </c>
      <c r="AP10" s="69" t="str">
        <f>IF(C10="","",INDEX(Workouts!D:D,MATCH(C10,Workouts!A:A,0)))</f>
        <v/>
      </c>
      <c r="AQ10" s="69" t="str">
        <f>IF(ISNA(MATCH(A10,Data!B:B,0)),"",INDEX(Data!G:G,MATCH(A10,Data!B:B,1)))</f>
        <v/>
      </c>
    </row>
    <row r="11" spans="1:44" s="1" customFormat="1" x14ac:dyDescent="0.2">
      <c r="A11" s="125">
        <f t="shared" si="9"/>
        <v>44206</v>
      </c>
      <c r="B11" s="126" t="str">
        <f t="shared" si="6"/>
        <v>Sun</v>
      </c>
      <c r="C11" s="140"/>
      <c r="D11" s="128" t="str">
        <f t="shared" si="7"/>
        <v/>
      </c>
      <c r="E11" s="129" t="str">
        <f t="shared" si="8"/>
        <v/>
      </c>
      <c r="F11" s="130" t="str">
        <f>IF(SUMIF(Data!B:B,A11,Data!C:C)=0,"",SUMIF(Data!B:B,A11,Data!C:C))</f>
        <v/>
      </c>
      <c r="G11" s="126" t="str">
        <f>IF(OR(S11="T",S11="RUN",SUMIF(Data!B:B,A11,Data!E:E)=0),"",SUMIF(Data!B:B,A11,Data!E:E))</f>
        <v/>
      </c>
      <c r="H11" s="126" t="str">
        <f t="shared" si="0"/>
        <v/>
      </c>
      <c r="I11" s="131" t="str">
        <f t="shared" si="1"/>
        <v>15 (15)</v>
      </c>
      <c r="J11" s="131" t="str">
        <f t="shared" si="2"/>
        <v>44 (44)</v>
      </c>
      <c r="K11" s="131" t="str">
        <f t="shared" si="3"/>
        <v>27 (27)</v>
      </c>
      <c r="L11" s="132" t="str">
        <f t="shared" si="4"/>
        <v/>
      </c>
      <c r="M11" s="131" t="str">
        <f t="shared" si="5"/>
        <v/>
      </c>
      <c r="N11" s="126" t="str">
        <f>IF(ISNA(MATCH(A11,Data!B:B,0)),"",INDEX(Data!H:H,MATCH(A11,Data!B:B,1))) &amp; ""</f>
        <v/>
      </c>
      <c r="O11" s="126" t="str">
        <f>IF(ISNA(MATCH(A11,Data!B:B,0)),"",INDEX(Data!I:I,MATCH(A11,Data!B:B,1))) &amp; ""</f>
        <v/>
      </c>
      <c r="P11" s="133" t="str">
        <f>IF(ISNA(MATCH(A11,Data!B:B,0)),"",INDEX(Data!J:J,MATCH(A11,Data!B:B,1))) &amp; ""</f>
        <v/>
      </c>
      <c r="Q11" s="126" t="str">
        <f>IF(S11="T",Charts!$X$7,IF(ISNA(MATCH(A11,Data!B:B,0)),"",INDEX(Data!K:K,MATCH(A11,Data!B:B,1)))) &amp; ""</f>
        <v/>
      </c>
      <c r="R11" s="134"/>
      <c r="S11" s="134"/>
      <c r="T11" s="127"/>
      <c r="AF11" s="24" t="str">
        <f>IF(C11="","",INDEX(Workouts!B:B,MATCH(C11,Workouts!A:A,0)))</f>
        <v/>
      </c>
      <c r="AG11" s="24" t="str">
        <f>IF(SUMIF(Data!B:B,A11,Data!D:D)=0,"",SUMIF(Data!B:B,A11,Data!D:D))</f>
        <v/>
      </c>
      <c r="AH11" s="25" t="str">
        <f>IF(C11="","",INDEX(Workouts!C:C,MATCH(C11,Workouts!A:A,0)))</f>
        <v/>
      </c>
      <c r="AI11" s="68" t="str">
        <f>IF(SUMIF(Data!B:B,A11,Data!F:F)=0,"",SUMIF(Data!B:B,A11,Data!F:F))</f>
        <v/>
      </c>
      <c r="AJ11" s="68">
        <f>AJ10+ (IF(AH11="",0,AH11)-AJ10)/Charts!$X$5</f>
        <v>15.233816793626403</v>
      </c>
      <c r="AK11" s="68">
        <f>AK10+ (IF(AI11="",0,AI11)-AK10)/Charts!$X$5</f>
        <v>15.233816793626403</v>
      </c>
      <c r="AL11" s="68">
        <f>AL10+ (IF(AH11="",0,AH11)-AL10)/Charts!$X$6</f>
        <v>44.276551305937758</v>
      </c>
      <c r="AM11" s="68">
        <f>AM10+ (IF(AI11="",0,AI11)-AM10)/Charts!$X$6</f>
        <v>44.276551305937758</v>
      </c>
      <c r="AN11" s="68" t="str">
        <f t="shared" si="10"/>
        <v>27</v>
      </c>
      <c r="AO11" s="68" t="str">
        <f t="shared" si="11"/>
        <v>27</v>
      </c>
      <c r="AP11" s="69" t="str">
        <f>IF(C11="","",INDEX(Workouts!D:D,MATCH(C11,Workouts!A:A,0)))</f>
        <v/>
      </c>
      <c r="AQ11" s="69" t="str">
        <f>IF(ISNA(MATCH(A11,Data!B:B,0)),"",INDEX(Data!G:G,MATCH(A11,Data!B:B,1)))</f>
        <v/>
      </c>
    </row>
    <row r="12" spans="1:44" s="1" customFormat="1" x14ac:dyDescent="0.2">
      <c r="A12" s="125">
        <f t="shared" si="9"/>
        <v>44207</v>
      </c>
      <c r="B12" s="126" t="str">
        <f t="shared" si="6"/>
        <v>Mon</v>
      </c>
      <c r="C12" s="140"/>
      <c r="D12" s="128" t="str">
        <f t="shared" si="7"/>
        <v/>
      </c>
      <c r="E12" s="129" t="str">
        <f t="shared" si="8"/>
        <v/>
      </c>
      <c r="F12" s="130" t="str">
        <f>IF(SUMIF(Data!B:B,A12,Data!C:C)=0,"",SUMIF(Data!B:B,A12,Data!C:C))</f>
        <v/>
      </c>
      <c r="G12" s="126" t="str">
        <f>IF(OR(S12="T",S12="RUN",SUMIF(Data!B:B,A12,Data!E:E)=0),"",SUMIF(Data!B:B,A12,Data!E:E))</f>
        <v/>
      </c>
      <c r="H12" s="126" t="str">
        <f t="shared" si="0"/>
        <v/>
      </c>
      <c r="I12" s="131" t="str">
        <f t="shared" si="1"/>
        <v>13 (13)</v>
      </c>
      <c r="J12" s="131" t="str">
        <f t="shared" si="2"/>
        <v>43 (43)</v>
      </c>
      <c r="K12" s="131" t="str">
        <f t="shared" si="3"/>
        <v>29 (29)</v>
      </c>
      <c r="L12" s="132" t="str">
        <f t="shared" si="4"/>
        <v/>
      </c>
      <c r="M12" s="131" t="str">
        <f t="shared" si="5"/>
        <v/>
      </c>
      <c r="N12" s="126" t="str">
        <f>IF(ISNA(MATCH(A12,Data!B:B,0)),"",INDEX(Data!H:H,MATCH(A12,Data!B:B,1))) &amp; ""</f>
        <v/>
      </c>
      <c r="O12" s="126" t="str">
        <f>IF(ISNA(MATCH(A12,Data!B:B,0)),"",INDEX(Data!I:I,MATCH(A12,Data!B:B,1))) &amp; ""</f>
        <v/>
      </c>
      <c r="P12" s="133" t="str">
        <f>IF(ISNA(MATCH(A12,Data!B:B,0)),"",INDEX(Data!J:J,MATCH(A12,Data!B:B,1))) &amp; ""</f>
        <v/>
      </c>
      <c r="Q12" s="126" t="str">
        <f>IF(S12="T",Charts!$X$7,IF(ISNA(MATCH(A12,Data!B:B,0)),"",INDEX(Data!K:K,MATCH(A12,Data!B:B,1)))) &amp; ""</f>
        <v/>
      </c>
      <c r="R12" s="134"/>
      <c r="S12" s="134"/>
      <c r="T12" s="127"/>
      <c r="AF12" s="24" t="str">
        <f>IF(C12="","",INDEX(Workouts!B:B,MATCH(C12,Workouts!A:A,0)))</f>
        <v/>
      </c>
      <c r="AG12" s="24" t="str">
        <f>IF(SUMIF(Data!B:B,A12,Data!D:D)=0,"",SUMIF(Data!B:B,A12,Data!D:D))</f>
        <v/>
      </c>
      <c r="AH12" s="25" t="str">
        <f>IF(C12="","",INDEX(Workouts!C:C,MATCH(C12,Workouts!A:A,0)))</f>
        <v/>
      </c>
      <c r="AI12" s="68" t="str">
        <f>IF(SUMIF(Data!B:B,A12,Data!F:F)=0,"",SUMIF(Data!B:B,A12,Data!F:F))</f>
        <v/>
      </c>
      <c r="AJ12" s="68">
        <f>AJ11+ (IF(AH12="",0,AH12)-AJ11)/Charts!$X$5</f>
        <v>13.057557251679775</v>
      </c>
      <c r="AK12" s="68">
        <f>AK11+ (IF(AI12="",0,AI12)-AK11)/Charts!$X$5</f>
        <v>13.057557251679775</v>
      </c>
      <c r="AL12" s="68">
        <f>AL11+ (IF(AH12="",0,AH12)-AL11)/Charts!$X$6</f>
        <v>43.22234770341543</v>
      </c>
      <c r="AM12" s="68">
        <f>AM11+ (IF(AI12="",0,AI12)-AM11)/Charts!$X$6</f>
        <v>43.22234770341543</v>
      </c>
      <c r="AN12" s="68" t="str">
        <f t="shared" si="10"/>
        <v>29</v>
      </c>
      <c r="AO12" s="68" t="str">
        <f t="shared" si="11"/>
        <v>29</v>
      </c>
      <c r="AP12" s="69" t="str">
        <f>IF(C12="","",INDEX(Workouts!D:D,MATCH(C12,Workouts!A:A,0)))</f>
        <v/>
      </c>
      <c r="AQ12" s="69" t="str">
        <f>IF(ISNA(MATCH(A12,Data!B:B,0)),"",INDEX(Data!G:G,MATCH(A12,Data!B:B,1)))</f>
        <v/>
      </c>
    </row>
    <row r="13" spans="1:44" s="1" customFormat="1" x14ac:dyDescent="0.2">
      <c r="A13" s="125">
        <f t="shared" si="9"/>
        <v>44208</v>
      </c>
      <c r="B13" s="126" t="str">
        <f t="shared" si="6"/>
        <v>Tue</v>
      </c>
      <c r="C13" s="140"/>
      <c r="D13" s="128" t="str">
        <f t="shared" si="7"/>
        <v/>
      </c>
      <c r="E13" s="129" t="str">
        <f t="shared" si="8"/>
        <v/>
      </c>
      <c r="F13" s="130" t="str">
        <f>IF(SUMIF(Data!B:B,A13,Data!C:C)=0,"",SUMIF(Data!B:B,A13,Data!C:C))</f>
        <v/>
      </c>
      <c r="G13" s="126" t="str">
        <f>IF(OR(S13="T",S13="RUN",SUMIF(Data!B:B,A13,Data!E:E)=0),"",SUMIF(Data!B:B,A13,Data!E:E))</f>
        <v/>
      </c>
      <c r="H13" s="126" t="str">
        <f t="shared" si="0"/>
        <v/>
      </c>
      <c r="I13" s="131" t="str">
        <f t="shared" si="1"/>
        <v>11 (11)</v>
      </c>
      <c r="J13" s="131" t="str">
        <f t="shared" si="2"/>
        <v>42 (42)</v>
      </c>
      <c r="K13" s="131" t="str">
        <f t="shared" si="3"/>
        <v>30 (30)</v>
      </c>
      <c r="L13" s="132" t="str">
        <f t="shared" si="4"/>
        <v/>
      </c>
      <c r="M13" s="131" t="str">
        <f t="shared" si="5"/>
        <v/>
      </c>
      <c r="N13" s="126" t="str">
        <f>IF(ISNA(MATCH(A13,Data!B:B,0)),"",INDEX(Data!H:H,MATCH(A13,Data!B:B,1))) &amp; ""</f>
        <v/>
      </c>
      <c r="O13" s="126" t="str">
        <f>IF(ISNA(MATCH(A13,Data!B:B,0)),"",INDEX(Data!I:I,MATCH(A13,Data!B:B,1))) &amp; ""</f>
        <v/>
      </c>
      <c r="P13" s="133" t="str">
        <f>IF(ISNA(MATCH(A13,Data!B:B,0)),"",INDEX(Data!J:J,MATCH(A13,Data!B:B,1))) &amp; ""</f>
        <v/>
      </c>
      <c r="Q13" s="126" t="str">
        <f>IF(S13="T",Charts!$X$7,IF(ISNA(MATCH(A13,Data!B:B,0)),"",INDEX(Data!K:K,MATCH(A13,Data!B:B,1)))) &amp; ""</f>
        <v/>
      </c>
      <c r="R13" s="134"/>
      <c r="S13" s="134"/>
      <c r="T13" s="127"/>
      <c r="AF13" s="24" t="str">
        <f>IF(C13="","",INDEX(Workouts!B:B,MATCH(C13,Workouts!A:A,0)))</f>
        <v/>
      </c>
      <c r="AG13" s="24" t="str">
        <f>IF(SUMIF(Data!B:B,A13,Data!D:D)=0,"",SUMIF(Data!B:B,A13,Data!D:D))</f>
        <v/>
      </c>
      <c r="AH13" s="25" t="str">
        <f>IF(C13="","",INDEX(Workouts!C:C,MATCH(C13,Workouts!A:A,0)))</f>
        <v/>
      </c>
      <c r="AI13" s="68" t="str">
        <f>IF(SUMIF(Data!B:B,A13,Data!F:F)=0,"",SUMIF(Data!B:B,A13,Data!F:F))</f>
        <v/>
      </c>
      <c r="AJ13" s="68">
        <f>AJ12+ (IF(AH13="",0,AH13)-AJ12)/Charts!$X$5</f>
        <v>11.192191930011235</v>
      </c>
      <c r="AK13" s="68">
        <f>AK12+ (IF(AI13="",0,AI13)-AK12)/Charts!$X$5</f>
        <v>11.192191930011235</v>
      </c>
      <c r="AL13" s="68">
        <f>AL12+ (IF(AH13="",0,AH13)-AL12)/Charts!$X$6</f>
        <v>42.193244186667442</v>
      </c>
      <c r="AM13" s="68">
        <f>AM12+ (IF(AI13="",0,AI13)-AM12)/Charts!$X$6</f>
        <v>42.193244186667442</v>
      </c>
      <c r="AN13" s="68" t="str">
        <f t="shared" si="10"/>
        <v>30</v>
      </c>
      <c r="AO13" s="68" t="str">
        <f t="shared" si="11"/>
        <v>30</v>
      </c>
      <c r="AP13" s="69" t="str">
        <f>IF(C13="","",INDEX(Workouts!D:D,MATCH(C13,Workouts!A:A,0)))</f>
        <v/>
      </c>
      <c r="AQ13" s="69" t="str">
        <f>IF(ISNA(MATCH(A13,Data!B:B,0)),"",INDEX(Data!G:G,MATCH(A13,Data!B:B,1)))</f>
        <v/>
      </c>
    </row>
    <row r="14" spans="1:44" s="1" customFormat="1" x14ac:dyDescent="0.2">
      <c r="A14" s="125">
        <f t="shared" si="9"/>
        <v>44209</v>
      </c>
      <c r="B14" s="126" t="str">
        <f t="shared" si="6"/>
        <v>Wed</v>
      </c>
      <c r="C14" s="140"/>
      <c r="D14" s="128" t="str">
        <f t="shared" si="7"/>
        <v/>
      </c>
      <c r="E14" s="129" t="str">
        <f t="shared" si="8"/>
        <v/>
      </c>
      <c r="F14" s="130" t="str">
        <f>IF(SUMIF(Data!B:B,A14,Data!C:C)=0,"",SUMIF(Data!B:B,A14,Data!C:C))</f>
        <v/>
      </c>
      <c r="G14" s="126" t="str">
        <f>IF(OR(S14="T",S14="RUN",SUMIF(Data!B:B,A14,Data!E:E)=0),"",SUMIF(Data!B:B,A14,Data!E:E))</f>
        <v/>
      </c>
      <c r="H14" s="126" t="str">
        <f t="shared" si="0"/>
        <v/>
      </c>
      <c r="I14" s="131" t="str">
        <f t="shared" si="1"/>
        <v>10 (10)</v>
      </c>
      <c r="J14" s="131" t="str">
        <f t="shared" si="2"/>
        <v>41 (41)</v>
      </c>
      <c r="K14" s="131" t="str">
        <f t="shared" si="3"/>
        <v>31 (31)</v>
      </c>
      <c r="L14" s="132" t="str">
        <f t="shared" si="4"/>
        <v/>
      </c>
      <c r="M14" s="131" t="str">
        <f t="shared" si="5"/>
        <v/>
      </c>
      <c r="N14" s="126" t="str">
        <f>IF(ISNA(MATCH(A14,Data!B:B,0)),"",INDEX(Data!H:H,MATCH(A14,Data!B:B,1))) &amp; ""</f>
        <v/>
      </c>
      <c r="O14" s="126" t="str">
        <f>IF(ISNA(MATCH(A14,Data!B:B,0)),"",INDEX(Data!I:I,MATCH(A14,Data!B:B,1))) &amp; ""</f>
        <v/>
      </c>
      <c r="P14" s="133" t="str">
        <f>IF(ISNA(MATCH(A14,Data!B:B,0)),"",INDEX(Data!J:J,MATCH(A14,Data!B:B,1))) &amp; ""</f>
        <v/>
      </c>
      <c r="Q14" s="126" t="str">
        <f>IF(S14="T",Charts!$X$7,IF(ISNA(MATCH(A14,Data!B:B,0)),"",INDEX(Data!K:K,MATCH(A14,Data!B:B,1)))) &amp; ""</f>
        <v/>
      </c>
      <c r="R14" s="134"/>
      <c r="S14" s="134"/>
      <c r="T14" s="127"/>
      <c r="AF14" s="24" t="str">
        <f>IF(C14="","",INDEX(Workouts!B:B,MATCH(C14,Workouts!A:A,0)))</f>
        <v/>
      </c>
      <c r="AG14" s="24" t="str">
        <f>IF(SUMIF(Data!B:B,A14,Data!D:D)=0,"",SUMIF(Data!B:B,A14,Data!D:D))</f>
        <v/>
      </c>
      <c r="AH14" s="25" t="str">
        <f>IF(C14="","",INDEX(Workouts!C:C,MATCH(C14,Workouts!A:A,0)))</f>
        <v/>
      </c>
      <c r="AI14" s="68" t="str">
        <f>IF(SUMIF(Data!B:B,A14,Data!F:F)=0,"",SUMIF(Data!B:B,A14,Data!F:F))</f>
        <v/>
      </c>
      <c r="AJ14" s="68">
        <f>AJ13+ (IF(AH14="",0,AH14)-AJ13)/Charts!$X$5</f>
        <v>9.5933073685810584</v>
      </c>
      <c r="AK14" s="68">
        <f>AK13+ (IF(AI14="",0,AI14)-AK13)/Charts!$X$5</f>
        <v>9.5933073685810584</v>
      </c>
      <c r="AL14" s="68">
        <f>AL13+ (IF(AH14="",0,AH14)-AL13)/Charts!$X$6</f>
        <v>41.188643134603929</v>
      </c>
      <c r="AM14" s="68">
        <f>AM13+ (IF(AI14="",0,AI14)-AM13)/Charts!$X$6</f>
        <v>41.188643134603929</v>
      </c>
      <c r="AN14" s="68" t="str">
        <f t="shared" si="10"/>
        <v>31</v>
      </c>
      <c r="AO14" s="68" t="str">
        <f t="shared" si="11"/>
        <v>31</v>
      </c>
      <c r="AP14" s="69" t="str">
        <f>IF(C14="","",INDEX(Workouts!D:D,MATCH(C14,Workouts!A:A,0)))</f>
        <v/>
      </c>
      <c r="AQ14" s="69" t="str">
        <f>IF(ISNA(MATCH(A14,Data!B:B,0)),"",INDEX(Data!G:G,MATCH(A14,Data!B:B,1)))</f>
        <v/>
      </c>
    </row>
    <row r="15" spans="1:44" s="1" customFormat="1" x14ac:dyDescent="0.2">
      <c r="A15" s="125">
        <f t="shared" si="9"/>
        <v>44210</v>
      </c>
      <c r="B15" s="126" t="str">
        <f t="shared" si="6"/>
        <v>Thu</v>
      </c>
      <c r="C15" s="140"/>
      <c r="D15" s="128" t="str">
        <f t="shared" si="7"/>
        <v/>
      </c>
      <c r="E15" s="129" t="str">
        <f t="shared" si="8"/>
        <v/>
      </c>
      <c r="F15" s="130" t="str">
        <f>IF(SUMIF(Data!B:B,A15,Data!C:C)=0,"",SUMIF(Data!B:B,A15,Data!C:C))</f>
        <v/>
      </c>
      <c r="G15" s="126" t="str">
        <f>IF(OR(S15="T",S15="RUN",SUMIF(Data!B:B,A15,Data!E:E)=0),"",SUMIF(Data!B:B,A15,Data!E:E))</f>
        <v/>
      </c>
      <c r="H15" s="126" t="str">
        <f t="shared" si="0"/>
        <v/>
      </c>
      <c r="I15" s="131" t="str">
        <f t="shared" si="1"/>
        <v>8 (8)</v>
      </c>
      <c r="J15" s="131" t="str">
        <f t="shared" si="2"/>
        <v>40 (40)</v>
      </c>
      <c r="K15" s="131" t="str">
        <f t="shared" si="3"/>
        <v>31 (31)</v>
      </c>
      <c r="L15" s="132" t="str">
        <f t="shared" si="4"/>
        <v/>
      </c>
      <c r="M15" s="131" t="str">
        <f t="shared" si="5"/>
        <v/>
      </c>
      <c r="N15" s="126" t="str">
        <f>IF(ISNA(MATCH(A15,Data!B:B,0)),"",INDEX(Data!H:H,MATCH(A15,Data!B:B,1))) &amp; ""</f>
        <v/>
      </c>
      <c r="O15" s="126" t="str">
        <f>IF(ISNA(MATCH(A15,Data!B:B,0)),"",INDEX(Data!I:I,MATCH(A15,Data!B:B,1))) &amp; ""</f>
        <v/>
      </c>
      <c r="P15" s="133" t="str">
        <f>IF(ISNA(MATCH(A15,Data!B:B,0)),"",INDEX(Data!J:J,MATCH(A15,Data!B:B,1))) &amp; ""</f>
        <v/>
      </c>
      <c r="Q15" s="126" t="str">
        <f>IF(S15="T",Charts!$X$7,IF(ISNA(MATCH(A15,Data!B:B,0)),"",INDEX(Data!K:K,MATCH(A15,Data!B:B,1)))) &amp; ""</f>
        <v/>
      </c>
      <c r="R15" s="134"/>
      <c r="S15" s="134"/>
      <c r="T15" s="127"/>
      <c r="AF15" s="24" t="str">
        <f>IF(C15="","",INDEX(Workouts!B:B,MATCH(C15,Workouts!A:A,0)))</f>
        <v/>
      </c>
      <c r="AG15" s="24" t="str">
        <f>IF(SUMIF(Data!B:B,A15,Data!D:D)=0,"",SUMIF(Data!B:B,A15,Data!D:D))</f>
        <v/>
      </c>
      <c r="AH15" s="25" t="str">
        <f>IF(C15="","",INDEX(Workouts!C:C,MATCH(C15,Workouts!A:A,0)))</f>
        <v/>
      </c>
      <c r="AI15" s="68" t="str">
        <f>IF(SUMIF(Data!B:B,A15,Data!F:F)=0,"",SUMIF(Data!B:B,A15,Data!F:F))</f>
        <v/>
      </c>
      <c r="AJ15" s="68">
        <f>AJ14+ (IF(AH15="",0,AH15)-AJ14)/Charts!$X$5</f>
        <v>8.2228348873551926</v>
      </c>
      <c r="AK15" s="68">
        <f>AK14+ (IF(AI15="",0,AI15)-AK14)/Charts!$X$5</f>
        <v>8.2228348873551926</v>
      </c>
      <c r="AL15" s="68">
        <f>AL14+ (IF(AH15="",0,AH15)-AL14)/Charts!$X$6</f>
        <v>40.207961155208594</v>
      </c>
      <c r="AM15" s="68">
        <f>AM14+ (IF(AI15="",0,AI15)-AM14)/Charts!$X$6</f>
        <v>40.207961155208594</v>
      </c>
      <c r="AN15" s="68" t="str">
        <f t="shared" si="10"/>
        <v>31</v>
      </c>
      <c r="AO15" s="68" t="str">
        <f t="shared" si="11"/>
        <v>31</v>
      </c>
      <c r="AP15" s="69" t="str">
        <f>IF(C15="","",INDEX(Workouts!D:D,MATCH(C15,Workouts!A:A,0)))</f>
        <v/>
      </c>
      <c r="AQ15" s="69" t="str">
        <f>IF(ISNA(MATCH(A15,Data!B:B,0)),"",INDEX(Data!G:G,MATCH(A15,Data!B:B,1)))</f>
        <v/>
      </c>
    </row>
    <row r="16" spans="1:44" s="1" customFormat="1" x14ac:dyDescent="0.2">
      <c r="A16" s="125">
        <f t="shared" si="9"/>
        <v>44211</v>
      </c>
      <c r="B16" s="126" t="str">
        <f t="shared" si="6"/>
        <v>Fri</v>
      </c>
      <c r="C16" s="140"/>
      <c r="D16" s="128" t="str">
        <f t="shared" si="7"/>
        <v/>
      </c>
      <c r="E16" s="129" t="str">
        <f t="shared" si="8"/>
        <v/>
      </c>
      <c r="F16" s="130" t="str">
        <f>IF(SUMIF(Data!B:B,A16,Data!C:C)=0,"",SUMIF(Data!B:B,A16,Data!C:C))</f>
        <v/>
      </c>
      <c r="G16" s="126" t="str">
        <f>IF(OR(S16="T",S16="RUN",SUMIF(Data!B:B,A16,Data!E:E)=0),"",SUMIF(Data!B:B,A16,Data!E:E))</f>
        <v/>
      </c>
      <c r="H16" s="126" t="str">
        <f t="shared" si="0"/>
        <v/>
      </c>
      <c r="I16" s="131" t="str">
        <f t="shared" si="1"/>
        <v>7 (7)</v>
      </c>
      <c r="J16" s="131" t="str">
        <f t="shared" si="2"/>
        <v>39 (39)</v>
      </c>
      <c r="K16" s="131" t="str">
        <f t="shared" si="3"/>
        <v>32 (32)</v>
      </c>
      <c r="L16" s="132" t="str">
        <f t="shared" si="4"/>
        <v/>
      </c>
      <c r="M16" s="131" t="str">
        <f t="shared" si="5"/>
        <v/>
      </c>
      <c r="N16" s="126" t="str">
        <f>IF(ISNA(MATCH(A16,Data!B:B,0)),"",INDEX(Data!H:H,MATCH(A16,Data!B:B,1))) &amp; ""</f>
        <v/>
      </c>
      <c r="O16" s="126" t="str">
        <f>IF(ISNA(MATCH(A16,Data!B:B,0)),"",INDEX(Data!I:I,MATCH(A16,Data!B:B,1))) &amp; ""</f>
        <v/>
      </c>
      <c r="P16" s="133" t="str">
        <f>IF(ISNA(MATCH(A16,Data!B:B,0)),"",INDEX(Data!J:J,MATCH(A16,Data!B:B,1))) &amp; ""</f>
        <v/>
      </c>
      <c r="Q16" s="126" t="str">
        <f>IF(S16="T",Charts!$X$7,IF(ISNA(MATCH(A16,Data!B:B,0)),"",INDEX(Data!K:K,MATCH(A16,Data!B:B,1)))) &amp; ""</f>
        <v/>
      </c>
      <c r="R16" s="134"/>
      <c r="S16" s="134"/>
      <c r="T16" s="127"/>
      <c r="AF16" s="24" t="str">
        <f>IF(C16="","",INDEX(Workouts!B:B,MATCH(C16,Workouts!A:A,0)))</f>
        <v/>
      </c>
      <c r="AG16" s="24" t="str">
        <f>IF(SUMIF(Data!B:B,A16,Data!D:D)=0,"",SUMIF(Data!B:B,A16,Data!D:D))</f>
        <v/>
      </c>
      <c r="AH16" s="25" t="str">
        <f>IF(C16="","",INDEX(Workouts!C:C,MATCH(C16,Workouts!A:A,0)))</f>
        <v/>
      </c>
      <c r="AI16" s="68" t="str">
        <f>IF(SUMIF(Data!B:B,A16,Data!F:F)=0,"",SUMIF(Data!B:B,A16,Data!F:F))</f>
        <v/>
      </c>
      <c r="AJ16" s="68">
        <f>AJ15+ (IF(AH16="",0,AH16)-AJ15)/Charts!$X$5</f>
        <v>7.0481441891615937</v>
      </c>
      <c r="AK16" s="68">
        <f>AK15+ (IF(AI16="",0,AI16)-AK15)/Charts!$X$5</f>
        <v>7.0481441891615937</v>
      </c>
      <c r="AL16" s="68">
        <f>AL15+ (IF(AH16="",0,AH16)-AL15)/Charts!$X$6</f>
        <v>39.250628746751246</v>
      </c>
      <c r="AM16" s="68">
        <f>AM15+ (IF(AI16="",0,AI16)-AM15)/Charts!$X$6</f>
        <v>39.250628746751246</v>
      </c>
      <c r="AN16" s="68" t="str">
        <f t="shared" si="10"/>
        <v>32</v>
      </c>
      <c r="AO16" s="68" t="str">
        <f t="shared" si="11"/>
        <v>32</v>
      </c>
      <c r="AP16" s="69" t="str">
        <f>IF(C16="","",INDEX(Workouts!D:D,MATCH(C16,Workouts!A:A,0)))</f>
        <v/>
      </c>
      <c r="AQ16" s="69" t="str">
        <f>IF(ISNA(MATCH(A16,Data!B:B,0)),"",INDEX(Data!G:G,MATCH(A16,Data!B:B,1)))</f>
        <v/>
      </c>
    </row>
    <row r="17" spans="1:43" s="1" customFormat="1" x14ac:dyDescent="0.2">
      <c r="A17" s="125">
        <f t="shared" si="9"/>
        <v>44212</v>
      </c>
      <c r="B17" s="126" t="str">
        <f t="shared" si="6"/>
        <v>Sat</v>
      </c>
      <c r="C17" s="140"/>
      <c r="D17" s="128" t="str">
        <f t="shared" si="7"/>
        <v/>
      </c>
      <c r="E17" s="129" t="str">
        <f t="shared" si="8"/>
        <v/>
      </c>
      <c r="F17" s="130" t="str">
        <f>IF(SUMIF(Data!B:B,A17,Data!C:C)=0,"",SUMIF(Data!B:B,A17,Data!C:C))</f>
        <v/>
      </c>
      <c r="G17" s="126" t="str">
        <f>IF(OR(S17="T",S17="RUN",SUMIF(Data!B:B,A17,Data!E:E)=0),"",SUMIF(Data!B:B,A17,Data!E:E))</f>
        <v/>
      </c>
      <c r="H17" s="126" t="str">
        <f t="shared" si="0"/>
        <v/>
      </c>
      <c r="I17" s="131" t="str">
        <f t="shared" si="1"/>
        <v>6 (6)</v>
      </c>
      <c r="J17" s="131" t="str">
        <f t="shared" si="2"/>
        <v>38 (38)</v>
      </c>
      <c r="K17" s="131" t="str">
        <f t="shared" si="3"/>
        <v>32 (32)</v>
      </c>
      <c r="L17" s="132" t="str">
        <f t="shared" si="4"/>
        <v/>
      </c>
      <c r="M17" s="131" t="str">
        <f t="shared" si="5"/>
        <v/>
      </c>
      <c r="N17" s="126" t="str">
        <f>IF(ISNA(MATCH(A17,Data!B:B,0)),"",INDEX(Data!H:H,MATCH(A17,Data!B:B,1))) &amp; ""</f>
        <v/>
      </c>
      <c r="O17" s="126" t="str">
        <f>IF(ISNA(MATCH(A17,Data!B:B,0)),"",INDEX(Data!I:I,MATCH(A17,Data!B:B,1))) &amp; ""</f>
        <v/>
      </c>
      <c r="P17" s="133" t="str">
        <f>IF(ISNA(MATCH(A17,Data!B:B,0)),"",INDEX(Data!J:J,MATCH(A17,Data!B:B,1))) &amp; ""</f>
        <v/>
      </c>
      <c r="Q17" s="126" t="str">
        <f>IF(S17="T",Charts!$X$7,IF(ISNA(MATCH(A17,Data!B:B,0)),"",INDEX(Data!K:K,MATCH(A17,Data!B:B,1)))) &amp; ""</f>
        <v/>
      </c>
      <c r="R17" s="134"/>
      <c r="S17" s="134"/>
      <c r="T17" s="127"/>
      <c r="AF17" s="24" t="str">
        <f>IF(C17="","",INDEX(Workouts!B:B,MATCH(C17,Workouts!A:A,0)))</f>
        <v/>
      </c>
      <c r="AG17" s="24" t="str">
        <f>IF(SUMIF(Data!B:B,A17,Data!D:D)=0,"",SUMIF(Data!B:B,A17,Data!D:D))</f>
        <v/>
      </c>
      <c r="AH17" s="25" t="str">
        <f>IF(C17="","",INDEX(Workouts!C:C,MATCH(C17,Workouts!A:A,0)))</f>
        <v/>
      </c>
      <c r="AI17" s="68" t="str">
        <f>IF(SUMIF(Data!B:B,A17,Data!F:F)=0,"",SUMIF(Data!B:B,A17,Data!F:F))</f>
        <v/>
      </c>
      <c r="AJ17" s="68">
        <f>AJ16+ (IF(AH17="",0,AH17)-AJ16)/Charts!$X$5</f>
        <v>6.0412664478527951</v>
      </c>
      <c r="AK17" s="68">
        <f>AK16+ (IF(AI17="",0,AI17)-AK16)/Charts!$X$5</f>
        <v>6.0412664478527951</v>
      </c>
      <c r="AL17" s="68">
        <f>AL16+ (IF(AH17="",0,AH17)-AL16)/Charts!$X$6</f>
        <v>38.316089967066695</v>
      </c>
      <c r="AM17" s="68">
        <f>AM16+ (IF(AI17="",0,AI17)-AM16)/Charts!$X$6</f>
        <v>38.316089967066695</v>
      </c>
      <c r="AN17" s="68" t="str">
        <f t="shared" si="10"/>
        <v>32</v>
      </c>
      <c r="AO17" s="68" t="str">
        <f t="shared" si="11"/>
        <v>32</v>
      </c>
      <c r="AP17" s="69" t="str">
        <f>IF(C17="","",INDEX(Workouts!D:D,MATCH(C17,Workouts!A:A,0)))</f>
        <v/>
      </c>
      <c r="AQ17" s="69" t="str">
        <f>IF(ISNA(MATCH(A17,Data!B:B,0)),"",INDEX(Data!G:G,MATCH(A17,Data!B:B,1)))</f>
        <v/>
      </c>
    </row>
    <row r="18" spans="1:43" s="1" customFormat="1" x14ac:dyDescent="0.2">
      <c r="A18" s="125">
        <f t="shared" si="9"/>
        <v>44213</v>
      </c>
      <c r="B18" s="126" t="str">
        <f t="shared" si="6"/>
        <v>Sun</v>
      </c>
      <c r="C18" s="140"/>
      <c r="D18" s="128" t="str">
        <f t="shared" si="7"/>
        <v/>
      </c>
      <c r="E18" s="129" t="str">
        <f t="shared" si="8"/>
        <v/>
      </c>
      <c r="F18" s="130" t="str">
        <f>IF(SUMIF(Data!B:B,A18,Data!C:C)=0,"",SUMIF(Data!B:B,A18,Data!C:C))</f>
        <v/>
      </c>
      <c r="G18" s="126" t="str">
        <f>IF(OR(S18="T",S18="RUN",SUMIF(Data!B:B,A18,Data!E:E)=0),"",SUMIF(Data!B:B,A18,Data!E:E))</f>
        <v/>
      </c>
      <c r="H18" s="126" t="str">
        <f t="shared" si="0"/>
        <v/>
      </c>
      <c r="I18" s="131" t="str">
        <f t="shared" si="1"/>
        <v>5 (5)</v>
      </c>
      <c r="J18" s="131" t="str">
        <f t="shared" si="2"/>
        <v>37 (37)</v>
      </c>
      <c r="K18" s="131" t="str">
        <f t="shared" si="3"/>
        <v>32 (32)</v>
      </c>
      <c r="L18" s="132" t="str">
        <f t="shared" si="4"/>
        <v/>
      </c>
      <c r="M18" s="131" t="str">
        <f t="shared" si="5"/>
        <v/>
      </c>
      <c r="N18" s="126" t="str">
        <f>IF(ISNA(MATCH(A18,Data!B:B,0)),"",INDEX(Data!H:H,MATCH(A18,Data!B:B,1))) &amp; ""</f>
        <v/>
      </c>
      <c r="O18" s="126" t="str">
        <f>IF(ISNA(MATCH(A18,Data!B:B,0)),"",INDEX(Data!I:I,MATCH(A18,Data!B:B,1))) &amp; ""</f>
        <v/>
      </c>
      <c r="P18" s="133" t="str">
        <f>IF(ISNA(MATCH(A18,Data!B:B,0)),"",INDEX(Data!J:J,MATCH(A18,Data!B:B,1))) &amp; ""</f>
        <v/>
      </c>
      <c r="Q18" s="126" t="str">
        <f>IF(S18="T",Charts!$X$7,IF(ISNA(MATCH(A18,Data!B:B,0)),"",INDEX(Data!K:K,MATCH(A18,Data!B:B,1)))) &amp; ""</f>
        <v/>
      </c>
      <c r="R18" s="134"/>
      <c r="S18" s="134"/>
      <c r="T18" s="127"/>
      <c r="AF18" s="24" t="str">
        <f>IF(C18="","",INDEX(Workouts!B:B,MATCH(C18,Workouts!A:A,0)))</f>
        <v/>
      </c>
      <c r="AG18" s="24" t="str">
        <f>IF(SUMIF(Data!B:B,A18,Data!D:D)=0,"",SUMIF(Data!B:B,A18,Data!D:D))</f>
        <v/>
      </c>
      <c r="AH18" s="25" t="str">
        <f>IF(C18="","",INDEX(Workouts!C:C,MATCH(C18,Workouts!A:A,0)))</f>
        <v/>
      </c>
      <c r="AI18" s="68" t="str">
        <f>IF(SUMIF(Data!B:B,A18,Data!F:F)=0,"",SUMIF(Data!B:B,A18,Data!F:F))</f>
        <v/>
      </c>
      <c r="AJ18" s="68">
        <f>AJ17+ (IF(AH18="",0,AH18)-AJ17)/Charts!$X$5</f>
        <v>5.1782283838738241</v>
      </c>
      <c r="AK18" s="68">
        <f>AK17+ (IF(AI18="",0,AI18)-AK17)/Charts!$X$5</f>
        <v>5.1782283838738241</v>
      </c>
      <c r="AL18" s="68">
        <f>AL17+ (IF(AH18="",0,AH18)-AL17)/Charts!$X$6</f>
        <v>37.403802110707964</v>
      </c>
      <c r="AM18" s="68">
        <f>AM17+ (IF(AI18="",0,AI18)-AM17)/Charts!$X$6</f>
        <v>37.403802110707964</v>
      </c>
      <c r="AN18" s="68" t="str">
        <f t="shared" si="10"/>
        <v>32</v>
      </c>
      <c r="AO18" s="68" t="str">
        <f t="shared" si="11"/>
        <v>32</v>
      </c>
      <c r="AP18" s="69" t="str">
        <f>IF(C18="","",INDEX(Workouts!D:D,MATCH(C18,Workouts!A:A,0)))</f>
        <v/>
      </c>
      <c r="AQ18" s="69" t="str">
        <f>IF(ISNA(MATCH(A18,Data!B:B,0)),"",INDEX(Data!G:G,MATCH(A18,Data!B:B,1)))</f>
        <v/>
      </c>
    </row>
    <row r="19" spans="1:43" s="1" customFormat="1" x14ac:dyDescent="0.2">
      <c r="A19" s="125">
        <f t="shared" si="9"/>
        <v>44214</v>
      </c>
      <c r="B19" s="126" t="str">
        <f t="shared" si="6"/>
        <v>Mon</v>
      </c>
      <c r="C19" s="140"/>
      <c r="D19" s="128" t="str">
        <f t="shared" si="7"/>
        <v/>
      </c>
      <c r="E19" s="129" t="str">
        <f t="shared" si="8"/>
        <v/>
      </c>
      <c r="F19" s="130" t="str">
        <f>IF(SUMIF(Data!B:B,A19,Data!C:C)=0,"",SUMIF(Data!B:B,A19,Data!C:C))</f>
        <v/>
      </c>
      <c r="G19" s="126" t="str">
        <f>IF(OR(S19="T",S19="RUN",SUMIF(Data!B:B,A19,Data!E:E)=0),"",SUMIF(Data!B:B,A19,Data!E:E))</f>
        <v/>
      </c>
      <c r="H19" s="126" t="str">
        <f t="shared" si="0"/>
        <v/>
      </c>
      <c r="I19" s="131" t="str">
        <f t="shared" si="1"/>
        <v>4 (4)</v>
      </c>
      <c r="J19" s="131" t="str">
        <f t="shared" si="2"/>
        <v>37 (37)</v>
      </c>
      <c r="K19" s="131" t="str">
        <f t="shared" si="3"/>
        <v>32 (32)</v>
      </c>
      <c r="L19" s="132" t="str">
        <f t="shared" si="4"/>
        <v/>
      </c>
      <c r="M19" s="131" t="str">
        <f t="shared" si="5"/>
        <v/>
      </c>
      <c r="N19" s="126" t="str">
        <f>IF(ISNA(MATCH(A19,Data!B:B,0)),"",INDEX(Data!H:H,MATCH(A19,Data!B:B,1))) &amp; ""</f>
        <v/>
      </c>
      <c r="O19" s="126" t="str">
        <f>IF(ISNA(MATCH(A19,Data!B:B,0)),"",INDEX(Data!I:I,MATCH(A19,Data!B:B,1))) &amp; ""</f>
        <v/>
      </c>
      <c r="P19" s="133" t="str">
        <f>IF(ISNA(MATCH(A19,Data!B:B,0)),"",INDEX(Data!J:J,MATCH(A19,Data!B:B,1))) &amp; ""</f>
        <v/>
      </c>
      <c r="Q19" s="126" t="str">
        <f>IF(S19="T",Charts!$X$7,IF(ISNA(MATCH(A19,Data!B:B,0)),"",INDEX(Data!K:K,MATCH(A19,Data!B:B,1)))) &amp; ""</f>
        <v/>
      </c>
      <c r="R19" s="134"/>
      <c r="S19" s="134"/>
      <c r="T19" s="127"/>
      <c r="AF19" s="24" t="str">
        <f>IF(C19="","",INDEX(Workouts!B:B,MATCH(C19,Workouts!A:A,0)))</f>
        <v/>
      </c>
      <c r="AG19" s="24" t="str">
        <f>IF(SUMIF(Data!B:B,A19,Data!D:D)=0,"",SUMIF(Data!B:B,A19,Data!D:D))</f>
        <v/>
      </c>
      <c r="AH19" s="25" t="str">
        <f>IF(C19="","",INDEX(Workouts!C:C,MATCH(C19,Workouts!A:A,0)))</f>
        <v/>
      </c>
      <c r="AI19" s="68" t="str">
        <f>IF(SUMIF(Data!B:B,A19,Data!F:F)=0,"",SUMIF(Data!B:B,A19,Data!F:F))</f>
        <v/>
      </c>
      <c r="AJ19" s="68">
        <f>AJ18+ (IF(AH19="",0,AH19)-AJ18)/Charts!$X$5</f>
        <v>4.4384814718918495</v>
      </c>
      <c r="AK19" s="68">
        <f>AK18+ (IF(AI19="",0,AI19)-AK18)/Charts!$X$5</f>
        <v>4.4384814718918495</v>
      </c>
      <c r="AL19" s="68">
        <f>AL18+ (IF(AH19="",0,AH19)-AL18)/Charts!$X$6</f>
        <v>36.513235393786346</v>
      </c>
      <c r="AM19" s="68">
        <f>AM18+ (IF(AI19="",0,AI19)-AM18)/Charts!$X$6</f>
        <v>36.513235393786346</v>
      </c>
      <c r="AN19" s="68" t="str">
        <f t="shared" si="10"/>
        <v>32</v>
      </c>
      <c r="AO19" s="68" t="str">
        <f t="shared" si="11"/>
        <v>32</v>
      </c>
      <c r="AP19" s="69" t="str">
        <f>IF(C19="","",INDEX(Workouts!D:D,MATCH(C19,Workouts!A:A,0)))</f>
        <v/>
      </c>
      <c r="AQ19" s="69" t="str">
        <f>IF(ISNA(MATCH(A19,Data!B:B,0)),"",INDEX(Data!G:G,MATCH(A19,Data!B:B,1)))</f>
        <v/>
      </c>
    </row>
    <row r="20" spans="1:43" s="1" customFormat="1" x14ac:dyDescent="0.2">
      <c r="A20" s="125">
        <f t="shared" si="9"/>
        <v>44215</v>
      </c>
      <c r="B20" s="126" t="str">
        <f t="shared" si="6"/>
        <v>Tue</v>
      </c>
      <c r="C20" s="140"/>
      <c r="D20" s="128" t="str">
        <f t="shared" si="7"/>
        <v/>
      </c>
      <c r="E20" s="129" t="str">
        <f t="shared" si="8"/>
        <v/>
      </c>
      <c r="F20" s="130" t="str">
        <f>IF(SUMIF(Data!B:B,A20,Data!C:C)=0,"",SUMIF(Data!B:B,A20,Data!C:C))</f>
        <v/>
      </c>
      <c r="G20" s="126" t="str">
        <f>IF(OR(S20="T",S20="RUN",SUMIF(Data!B:B,A20,Data!E:E)=0),"",SUMIF(Data!B:B,A20,Data!E:E))</f>
        <v/>
      </c>
      <c r="H20" s="126" t="str">
        <f t="shared" si="0"/>
        <v/>
      </c>
      <c r="I20" s="131" t="str">
        <f t="shared" si="1"/>
        <v>4 (4)</v>
      </c>
      <c r="J20" s="131" t="str">
        <f t="shared" si="2"/>
        <v>36 (36)</v>
      </c>
      <c r="K20" s="131" t="str">
        <f t="shared" si="3"/>
        <v>33 (33)</v>
      </c>
      <c r="L20" s="132" t="str">
        <f t="shared" si="4"/>
        <v/>
      </c>
      <c r="M20" s="131" t="str">
        <f t="shared" si="5"/>
        <v/>
      </c>
      <c r="N20" s="126" t="str">
        <f>IF(ISNA(MATCH(A20,Data!B:B,0)),"",INDEX(Data!H:H,MATCH(A20,Data!B:B,1))) &amp; ""</f>
        <v/>
      </c>
      <c r="O20" s="126" t="str">
        <f>IF(ISNA(MATCH(A20,Data!B:B,0)),"",INDEX(Data!I:I,MATCH(A20,Data!B:B,1))) &amp; ""</f>
        <v/>
      </c>
      <c r="P20" s="133" t="str">
        <f>IF(ISNA(MATCH(A20,Data!B:B,0)),"",INDEX(Data!J:J,MATCH(A20,Data!B:B,1))) &amp; ""</f>
        <v/>
      </c>
      <c r="Q20" s="126" t="str">
        <f>IF(S20="T",Charts!$X$7,IF(ISNA(MATCH(A20,Data!B:B,0)),"",INDEX(Data!K:K,MATCH(A20,Data!B:B,1)))) &amp; ""</f>
        <v/>
      </c>
      <c r="R20" s="134"/>
      <c r="S20" s="134"/>
      <c r="T20" s="127"/>
      <c r="AF20" s="24" t="str">
        <f>IF(C20="","",INDEX(Workouts!B:B,MATCH(C20,Workouts!A:A,0)))</f>
        <v/>
      </c>
      <c r="AG20" s="24" t="str">
        <f>IF(SUMIF(Data!B:B,A20,Data!D:D)=0,"",SUMIF(Data!B:B,A20,Data!D:D))</f>
        <v/>
      </c>
      <c r="AH20" s="25" t="str">
        <f>IF(C20="","",INDEX(Workouts!C:C,MATCH(C20,Workouts!A:A,0)))</f>
        <v/>
      </c>
      <c r="AI20" s="68" t="str">
        <f>IF(SUMIF(Data!B:B,A20,Data!F:F)=0,"",SUMIF(Data!B:B,A20,Data!F:F))</f>
        <v/>
      </c>
      <c r="AJ20" s="68">
        <f>AJ19+ (IF(AH20="",0,AH20)-AJ19)/Charts!$X$5</f>
        <v>3.804412690193014</v>
      </c>
      <c r="AK20" s="68">
        <f>AK19+ (IF(AI20="",0,AI20)-AK19)/Charts!$X$5</f>
        <v>3.804412690193014</v>
      </c>
      <c r="AL20" s="68">
        <f>AL19+ (IF(AH20="",0,AH20)-AL19)/Charts!$X$6</f>
        <v>35.643872646315245</v>
      </c>
      <c r="AM20" s="68">
        <f>AM19+ (IF(AI20="",0,AI20)-AM19)/Charts!$X$6</f>
        <v>35.643872646315245</v>
      </c>
      <c r="AN20" s="68" t="str">
        <f t="shared" si="10"/>
        <v>33</v>
      </c>
      <c r="AO20" s="68" t="str">
        <f t="shared" si="11"/>
        <v>33</v>
      </c>
      <c r="AP20" s="69" t="str">
        <f>IF(C20="","",INDEX(Workouts!D:D,MATCH(C20,Workouts!A:A,0)))</f>
        <v/>
      </c>
      <c r="AQ20" s="69" t="str">
        <f>IF(ISNA(MATCH(A20,Data!B:B,0)),"",INDEX(Data!G:G,MATCH(A20,Data!B:B,1)))</f>
        <v/>
      </c>
    </row>
    <row r="21" spans="1:43" s="1" customFormat="1" x14ac:dyDescent="0.2">
      <c r="A21" s="125">
        <f t="shared" si="9"/>
        <v>44216</v>
      </c>
      <c r="B21" s="126" t="str">
        <f t="shared" si="6"/>
        <v>Wed</v>
      </c>
      <c r="C21" s="140"/>
      <c r="D21" s="128" t="str">
        <f t="shared" si="7"/>
        <v/>
      </c>
      <c r="E21" s="129" t="str">
        <f t="shared" si="8"/>
        <v/>
      </c>
      <c r="F21" s="130" t="str">
        <f>IF(SUMIF(Data!B:B,A21,Data!C:C)=0,"",SUMIF(Data!B:B,A21,Data!C:C))</f>
        <v/>
      </c>
      <c r="G21" s="126" t="str">
        <f>IF(OR(S21="T",S21="RUN",SUMIF(Data!B:B,A21,Data!E:E)=0),"",SUMIF(Data!B:B,A21,Data!E:E))</f>
        <v/>
      </c>
      <c r="H21" s="126" t="str">
        <f t="shared" si="0"/>
        <v/>
      </c>
      <c r="I21" s="131" t="str">
        <f t="shared" si="1"/>
        <v>3 (3)</v>
      </c>
      <c r="J21" s="131" t="str">
        <f t="shared" si="2"/>
        <v>35 (35)</v>
      </c>
      <c r="K21" s="131" t="str">
        <f t="shared" si="3"/>
        <v>32 (32)</v>
      </c>
      <c r="L21" s="132" t="str">
        <f t="shared" si="4"/>
        <v/>
      </c>
      <c r="M21" s="131" t="str">
        <f t="shared" si="5"/>
        <v/>
      </c>
      <c r="N21" s="126" t="str">
        <f>IF(ISNA(MATCH(A21,Data!B:B,0)),"",INDEX(Data!H:H,MATCH(A21,Data!B:B,1))) &amp; ""</f>
        <v/>
      </c>
      <c r="O21" s="126" t="str">
        <f>IF(ISNA(MATCH(A21,Data!B:B,0)),"",INDEX(Data!I:I,MATCH(A21,Data!B:B,1))) &amp; ""</f>
        <v/>
      </c>
      <c r="P21" s="133" t="str">
        <f>IF(ISNA(MATCH(A21,Data!B:B,0)),"",INDEX(Data!J:J,MATCH(A21,Data!B:B,1))) &amp; ""</f>
        <v/>
      </c>
      <c r="Q21" s="126" t="str">
        <f>IF(S21="T",Charts!$X$7,IF(ISNA(MATCH(A21,Data!B:B,0)),"",INDEX(Data!K:K,MATCH(A21,Data!B:B,1)))) &amp; ""</f>
        <v/>
      </c>
      <c r="R21" s="134"/>
      <c r="S21" s="134"/>
      <c r="T21" s="127"/>
      <c r="AF21" s="24" t="str">
        <f>IF(C21="","",INDEX(Workouts!B:B,MATCH(C21,Workouts!A:A,0)))</f>
        <v/>
      </c>
      <c r="AG21" s="24" t="str">
        <f>IF(SUMIF(Data!B:B,A21,Data!D:D)=0,"",SUMIF(Data!B:B,A21,Data!D:D))</f>
        <v/>
      </c>
      <c r="AH21" s="25" t="str">
        <f>IF(C21="","",INDEX(Workouts!C:C,MATCH(C21,Workouts!A:A,0)))</f>
        <v/>
      </c>
      <c r="AI21" s="68" t="str">
        <f>IF(SUMIF(Data!B:B,A21,Data!F:F)=0,"",SUMIF(Data!B:B,A21,Data!F:F))</f>
        <v/>
      </c>
      <c r="AJ21" s="68">
        <f>AJ20+ (IF(AH21="",0,AH21)-AJ20)/Charts!$X$5</f>
        <v>3.2609251630225833</v>
      </c>
      <c r="AK21" s="68">
        <f>AK20+ (IF(AI21="",0,AI21)-AK20)/Charts!$X$5</f>
        <v>3.2609251630225833</v>
      </c>
      <c r="AL21" s="68">
        <f>AL20+ (IF(AH21="",0,AH21)-AL20)/Charts!$X$6</f>
        <v>34.795209011879166</v>
      </c>
      <c r="AM21" s="68">
        <f>AM20+ (IF(AI21="",0,AI21)-AM20)/Charts!$X$6</f>
        <v>34.795209011879166</v>
      </c>
      <c r="AN21" s="68" t="str">
        <f t="shared" si="10"/>
        <v>32</v>
      </c>
      <c r="AO21" s="68" t="str">
        <f t="shared" si="11"/>
        <v>32</v>
      </c>
      <c r="AP21" s="69" t="str">
        <f>IF(C21="","",INDEX(Workouts!D:D,MATCH(C21,Workouts!A:A,0)))</f>
        <v/>
      </c>
      <c r="AQ21" s="69" t="str">
        <f>IF(ISNA(MATCH(A21,Data!B:B,0)),"",INDEX(Data!G:G,MATCH(A21,Data!B:B,1)))</f>
        <v/>
      </c>
    </row>
    <row r="22" spans="1:43" s="1" customFormat="1" x14ac:dyDescent="0.2">
      <c r="A22" s="125">
        <f t="shared" si="9"/>
        <v>44217</v>
      </c>
      <c r="B22" s="126" t="str">
        <f t="shared" si="6"/>
        <v>Thu</v>
      </c>
      <c r="C22" s="140"/>
      <c r="D22" s="128" t="str">
        <f t="shared" si="7"/>
        <v/>
      </c>
      <c r="E22" s="129" t="str">
        <f t="shared" si="8"/>
        <v/>
      </c>
      <c r="F22" s="130" t="str">
        <f>IF(SUMIF(Data!B:B,A22,Data!C:C)=0,"",SUMIF(Data!B:B,A22,Data!C:C))</f>
        <v/>
      </c>
      <c r="G22" s="126" t="str">
        <f>IF(OR(S22="T",S22="RUN",SUMIF(Data!B:B,A22,Data!E:E)=0),"",SUMIF(Data!B:B,A22,Data!E:E))</f>
        <v/>
      </c>
      <c r="H22" s="126" t="str">
        <f t="shared" si="0"/>
        <v/>
      </c>
      <c r="I22" s="131" t="str">
        <f t="shared" si="1"/>
        <v>3 (3)</v>
      </c>
      <c r="J22" s="131" t="str">
        <f t="shared" si="2"/>
        <v>34 (34)</v>
      </c>
      <c r="K22" s="131" t="str">
        <f t="shared" si="3"/>
        <v>32 (32)</v>
      </c>
      <c r="L22" s="132" t="str">
        <f t="shared" si="4"/>
        <v/>
      </c>
      <c r="M22" s="131" t="str">
        <f t="shared" si="5"/>
        <v/>
      </c>
      <c r="N22" s="126" t="str">
        <f>IF(ISNA(MATCH(A22,Data!B:B,0)),"",INDEX(Data!H:H,MATCH(A22,Data!B:B,1))) &amp; ""</f>
        <v/>
      </c>
      <c r="O22" s="126" t="str">
        <f>IF(ISNA(MATCH(A22,Data!B:B,0)),"",INDEX(Data!I:I,MATCH(A22,Data!B:B,1))) &amp; ""</f>
        <v/>
      </c>
      <c r="P22" s="133" t="str">
        <f>IF(ISNA(MATCH(A22,Data!B:B,0)),"",INDEX(Data!J:J,MATCH(A22,Data!B:B,1))) &amp; ""</f>
        <v/>
      </c>
      <c r="Q22" s="126" t="str">
        <f>IF(S22="T",Charts!$X$7,IF(ISNA(MATCH(A22,Data!B:B,0)),"",INDEX(Data!K:K,MATCH(A22,Data!B:B,1)))) &amp; ""</f>
        <v/>
      </c>
      <c r="R22" s="134"/>
      <c r="S22" s="134"/>
      <c r="T22" s="127"/>
      <c r="AF22" s="24" t="str">
        <f>IF(C22="","",INDEX(Workouts!B:B,MATCH(C22,Workouts!A:A,0)))</f>
        <v/>
      </c>
      <c r="AG22" s="24" t="str">
        <f>IF(SUMIF(Data!B:B,A22,Data!D:D)=0,"",SUMIF(Data!B:B,A22,Data!D:D))</f>
        <v/>
      </c>
      <c r="AH22" s="25" t="str">
        <f>IF(C22="","",INDEX(Workouts!C:C,MATCH(C22,Workouts!A:A,0)))</f>
        <v/>
      </c>
      <c r="AI22" s="68" t="str">
        <f>IF(SUMIF(Data!B:B,A22,Data!F:F)=0,"",SUMIF(Data!B:B,A22,Data!F:F))</f>
        <v/>
      </c>
      <c r="AJ22" s="68">
        <f>AJ21+ (IF(AH22="",0,AH22)-AJ21)/Charts!$X$5</f>
        <v>2.7950787111622142</v>
      </c>
      <c r="AK22" s="68">
        <f>AK21+ (IF(AI22="",0,AI22)-AK21)/Charts!$X$5</f>
        <v>2.7950787111622142</v>
      </c>
      <c r="AL22" s="68">
        <f>AL21+ (IF(AH22="",0,AH22)-AL21)/Charts!$X$6</f>
        <v>33.966751654453475</v>
      </c>
      <c r="AM22" s="68">
        <f>AM21+ (IF(AI22="",0,AI22)-AM21)/Charts!$X$6</f>
        <v>33.966751654453475</v>
      </c>
      <c r="AN22" s="68" t="str">
        <f t="shared" si="10"/>
        <v>32</v>
      </c>
      <c r="AO22" s="68" t="str">
        <f t="shared" si="11"/>
        <v>32</v>
      </c>
      <c r="AP22" s="69" t="str">
        <f>IF(C22="","",INDEX(Workouts!D:D,MATCH(C22,Workouts!A:A,0)))</f>
        <v/>
      </c>
      <c r="AQ22" s="69" t="str">
        <f>IF(ISNA(MATCH(A22,Data!B:B,0)),"",INDEX(Data!G:G,MATCH(A22,Data!B:B,1)))</f>
        <v/>
      </c>
    </row>
    <row r="23" spans="1:43" s="1" customFormat="1" x14ac:dyDescent="0.2">
      <c r="A23" s="125">
        <f t="shared" si="9"/>
        <v>44218</v>
      </c>
      <c r="B23" s="126" t="str">
        <f t="shared" si="6"/>
        <v>Fri</v>
      </c>
      <c r="C23" s="140"/>
      <c r="D23" s="128" t="str">
        <f t="shared" si="7"/>
        <v/>
      </c>
      <c r="E23" s="129" t="str">
        <f t="shared" si="8"/>
        <v/>
      </c>
      <c r="F23" s="130" t="str">
        <f>IF(SUMIF(Data!B:B,A23,Data!C:C)=0,"",SUMIF(Data!B:B,A23,Data!C:C))</f>
        <v/>
      </c>
      <c r="G23" s="126" t="str">
        <f>IF(OR(S23="T",S23="RUN",SUMIF(Data!B:B,A23,Data!E:E)=0),"",SUMIF(Data!B:B,A23,Data!E:E))</f>
        <v/>
      </c>
      <c r="H23" s="126" t="str">
        <f t="shared" si="0"/>
        <v/>
      </c>
      <c r="I23" s="131" t="str">
        <f t="shared" si="1"/>
        <v>2 (2)</v>
      </c>
      <c r="J23" s="131" t="str">
        <f t="shared" si="2"/>
        <v>33 (33)</v>
      </c>
      <c r="K23" s="131" t="str">
        <f t="shared" si="3"/>
        <v>31 (31)</v>
      </c>
      <c r="L23" s="132" t="str">
        <f t="shared" si="4"/>
        <v/>
      </c>
      <c r="M23" s="131" t="str">
        <f t="shared" si="5"/>
        <v/>
      </c>
      <c r="N23" s="126" t="str">
        <f>IF(ISNA(MATCH(A23,Data!B:B,0)),"",INDEX(Data!H:H,MATCH(A23,Data!B:B,1))) &amp; ""</f>
        <v/>
      </c>
      <c r="O23" s="126" t="str">
        <f>IF(ISNA(MATCH(A23,Data!B:B,0)),"",INDEX(Data!I:I,MATCH(A23,Data!B:B,1))) &amp; ""</f>
        <v/>
      </c>
      <c r="P23" s="133" t="str">
        <f>IF(ISNA(MATCH(A23,Data!B:B,0)),"",INDEX(Data!J:J,MATCH(A23,Data!B:B,1))) &amp; ""</f>
        <v/>
      </c>
      <c r="Q23" s="126" t="str">
        <f>IF(S23="T",Charts!$X$7,IF(ISNA(MATCH(A23,Data!B:B,0)),"",INDEX(Data!K:K,MATCH(A23,Data!B:B,1)))) &amp; ""</f>
        <v/>
      </c>
      <c r="R23" s="134"/>
      <c r="S23" s="134"/>
      <c r="T23" s="127"/>
      <c r="AF23" s="24" t="str">
        <f>IF(C23="","",INDEX(Workouts!B:B,MATCH(C23,Workouts!A:A,0)))</f>
        <v/>
      </c>
      <c r="AG23" s="24" t="str">
        <f>IF(SUMIF(Data!B:B,A23,Data!D:D)=0,"",SUMIF(Data!B:B,A23,Data!D:D))</f>
        <v/>
      </c>
      <c r="AH23" s="25" t="str">
        <f>IF(C23="","",INDEX(Workouts!C:C,MATCH(C23,Workouts!A:A,0)))</f>
        <v/>
      </c>
      <c r="AI23" s="68" t="str">
        <f>IF(SUMIF(Data!B:B,A23,Data!F:F)=0,"",SUMIF(Data!B:B,A23,Data!F:F))</f>
        <v/>
      </c>
      <c r="AJ23" s="68">
        <f>AJ22+ (IF(AH23="",0,AH23)-AJ22)/Charts!$X$5</f>
        <v>2.3957817524247549</v>
      </c>
      <c r="AK23" s="68">
        <f>AK22+ (IF(AI23="",0,AI23)-AK22)/Charts!$X$5</f>
        <v>2.3957817524247549</v>
      </c>
      <c r="AL23" s="68">
        <f>AL22+ (IF(AH23="",0,AH23)-AL22)/Charts!$X$6</f>
        <v>33.158019472204586</v>
      </c>
      <c r="AM23" s="68">
        <f>AM22+ (IF(AI23="",0,AI23)-AM22)/Charts!$X$6</f>
        <v>33.158019472204586</v>
      </c>
      <c r="AN23" s="68" t="str">
        <f t="shared" si="10"/>
        <v>31</v>
      </c>
      <c r="AO23" s="68" t="str">
        <f t="shared" si="11"/>
        <v>31</v>
      </c>
      <c r="AP23" s="69" t="str">
        <f>IF(C23="","",INDEX(Workouts!D:D,MATCH(C23,Workouts!A:A,0)))</f>
        <v/>
      </c>
      <c r="AQ23" s="69" t="str">
        <f>IF(ISNA(MATCH(A23,Data!B:B,0)),"",INDEX(Data!G:G,MATCH(A23,Data!B:B,1)))</f>
        <v/>
      </c>
    </row>
    <row r="24" spans="1:43" s="1" customFormat="1" x14ac:dyDescent="0.2">
      <c r="A24" s="125">
        <f t="shared" si="9"/>
        <v>44219</v>
      </c>
      <c r="B24" s="126" t="str">
        <f t="shared" si="6"/>
        <v>Sat</v>
      </c>
      <c r="C24" s="140"/>
      <c r="D24" s="128" t="str">
        <f t="shared" si="7"/>
        <v/>
      </c>
      <c r="E24" s="129" t="str">
        <f t="shared" si="8"/>
        <v/>
      </c>
      <c r="F24" s="130" t="str">
        <f>IF(SUMIF(Data!B:B,A24,Data!C:C)=0,"",SUMIF(Data!B:B,A24,Data!C:C))</f>
        <v/>
      </c>
      <c r="G24" s="126" t="str">
        <f>IF(OR(S24="T",S24="RUN",SUMIF(Data!B:B,A24,Data!E:E)=0),"",SUMIF(Data!B:B,A24,Data!E:E))</f>
        <v/>
      </c>
      <c r="H24" s="126" t="str">
        <f t="shared" si="0"/>
        <v/>
      </c>
      <c r="I24" s="131" t="str">
        <f t="shared" si="1"/>
        <v>2 (2)</v>
      </c>
      <c r="J24" s="131" t="str">
        <f t="shared" si="2"/>
        <v>32 (32)</v>
      </c>
      <c r="K24" s="131" t="str">
        <f t="shared" si="3"/>
        <v>31 (31)</v>
      </c>
      <c r="L24" s="132" t="str">
        <f t="shared" si="4"/>
        <v/>
      </c>
      <c r="M24" s="131" t="str">
        <f t="shared" si="5"/>
        <v/>
      </c>
      <c r="N24" s="126" t="str">
        <f>IF(ISNA(MATCH(A24,Data!B:B,0)),"",INDEX(Data!H:H,MATCH(A24,Data!B:B,1))) &amp; ""</f>
        <v/>
      </c>
      <c r="O24" s="126" t="str">
        <f>IF(ISNA(MATCH(A24,Data!B:B,0)),"",INDEX(Data!I:I,MATCH(A24,Data!B:B,1))) &amp; ""</f>
        <v/>
      </c>
      <c r="P24" s="133" t="str">
        <f>IF(ISNA(MATCH(A24,Data!B:B,0)),"",INDEX(Data!J:J,MATCH(A24,Data!B:B,1))) &amp; ""</f>
        <v/>
      </c>
      <c r="Q24" s="126" t="str">
        <f>IF(S24="T",Charts!$X$7,IF(ISNA(MATCH(A24,Data!B:B,0)),"",INDEX(Data!K:K,MATCH(A24,Data!B:B,1)))) &amp; ""</f>
        <v/>
      </c>
      <c r="R24" s="134"/>
      <c r="S24" s="134"/>
      <c r="T24" s="127"/>
      <c r="AF24" s="24" t="str">
        <f>IF(C24="","",INDEX(Workouts!B:B,MATCH(C24,Workouts!A:A,0)))</f>
        <v/>
      </c>
      <c r="AG24" s="24" t="str">
        <f>IF(SUMIF(Data!B:B,A24,Data!D:D)=0,"",SUMIF(Data!B:B,A24,Data!D:D))</f>
        <v/>
      </c>
      <c r="AH24" s="25" t="str">
        <f>IF(C24="","",INDEX(Workouts!C:C,MATCH(C24,Workouts!A:A,0)))</f>
        <v/>
      </c>
      <c r="AI24" s="68" t="str">
        <f>IF(SUMIF(Data!B:B,A24,Data!F:F)=0,"",SUMIF(Data!B:B,A24,Data!F:F))</f>
        <v/>
      </c>
      <c r="AJ24" s="68">
        <f>AJ23+ (IF(AH24="",0,AH24)-AJ23)/Charts!$X$5</f>
        <v>2.0535272163640754</v>
      </c>
      <c r="AK24" s="68">
        <f>AK23+ (IF(AI24="",0,AI24)-AK23)/Charts!$X$5</f>
        <v>2.0535272163640754</v>
      </c>
      <c r="AL24" s="68">
        <f>AL23+ (IF(AH24="",0,AH24)-AL23)/Charts!$X$6</f>
        <v>32.36854281810448</v>
      </c>
      <c r="AM24" s="68">
        <f>AM23+ (IF(AI24="",0,AI24)-AM23)/Charts!$X$6</f>
        <v>32.36854281810448</v>
      </c>
      <c r="AN24" s="68" t="str">
        <f t="shared" si="10"/>
        <v>31</v>
      </c>
      <c r="AO24" s="68" t="str">
        <f t="shared" si="11"/>
        <v>31</v>
      </c>
      <c r="AP24" s="69" t="str">
        <f>IF(C24="","",INDEX(Workouts!D:D,MATCH(C24,Workouts!A:A,0)))</f>
        <v/>
      </c>
      <c r="AQ24" s="69" t="str">
        <f>IF(ISNA(MATCH(A24,Data!B:B,0)),"",INDEX(Data!G:G,MATCH(A24,Data!B:B,1)))</f>
        <v/>
      </c>
    </row>
    <row r="25" spans="1:43" s="1" customFormat="1" x14ac:dyDescent="0.2">
      <c r="A25" s="125">
        <f t="shared" si="9"/>
        <v>44220</v>
      </c>
      <c r="B25" s="126" t="str">
        <f t="shared" si="6"/>
        <v>Sun</v>
      </c>
      <c r="C25" s="140"/>
      <c r="D25" s="128" t="str">
        <f t="shared" si="7"/>
        <v/>
      </c>
      <c r="E25" s="129" t="str">
        <f t="shared" si="8"/>
        <v/>
      </c>
      <c r="F25" s="130" t="str">
        <f>IF(SUMIF(Data!B:B,A25,Data!C:C)=0,"",SUMIF(Data!B:B,A25,Data!C:C))</f>
        <v/>
      </c>
      <c r="G25" s="126" t="str">
        <f>IF(OR(S25="T",S25="RUN",SUMIF(Data!B:B,A25,Data!E:E)=0),"",SUMIF(Data!B:B,A25,Data!E:E))</f>
        <v/>
      </c>
      <c r="H25" s="126" t="str">
        <f t="shared" si="0"/>
        <v/>
      </c>
      <c r="I25" s="131" t="str">
        <f t="shared" si="1"/>
        <v>2 (2)</v>
      </c>
      <c r="J25" s="131" t="str">
        <f t="shared" si="2"/>
        <v>32 (32)</v>
      </c>
      <c r="K25" s="131" t="str">
        <f t="shared" si="3"/>
        <v>30 (30)</v>
      </c>
      <c r="L25" s="132" t="str">
        <f t="shared" si="4"/>
        <v/>
      </c>
      <c r="M25" s="131" t="str">
        <f t="shared" si="5"/>
        <v/>
      </c>
      <c r="N25" s="126" t="str">
        <f>IF(ISNA(MATCH(A25,Data!B:B,0)),"",INDEX(Data!H:H,MATCH(A25,Data!B:B,1))) &amp; ""</f>
        <v/>
      </c>
      <c r="O25" s="126" t="str">
        <f>IF(ISNA(MATCH(A25,Data!B:B,0)),"",INDEX(Data!I:I,MATCH(A25,Data!B:B,1))) &amp; ""</f>
        <v/>
      </c>
      <c r="P25" s="133" t="str">
        <f>IF(ISNA(MATCH(A25,Data!B:B,0)),"",INDEX(Data!J:J,MATCH(A25,Data!B:B,1))) &amp; ""</f>
        <v/>
      </c>
      <c r="Q25" s="126" t="str">
        <f>IF(S25="T",Charts!$X$7,IF(ISNA(MATCH(A25,Data!B:B,0)),"",INDEX(Data!K:K,MATCH(A25,Data!B:B,1)))) &amp; ""</f>
        <v/>
      </c>
      <c r="R25" s="134"/>
      <c r="S25" s="134"/>
      <c r="T25" s="127"/>
      <c r="AF25" s="24" t="str">
        <f>IF(C25="","",INDEX(Workouts!B:B,MATCH(C25,Workouts!A:A,0)))</f>
        <v/>
      </c>
      <c r="AG25" s="24" t="str">
        <f>IF(SUMIF(Data!B:B,A25,Data!D:D)=0,"",SUMIF(Data!B:B,A25,Data!D:D))</f>
        <v/>
      </c>
      <c r="AH25" s="25" t="str">
        <f>IF(C25="","",INDEX(Workouts!C:C,MATCH(C25,Workouts!A:A,0)))</f>
        <v/>
      </c>
      <c r="AI25" s="68" t="str">
        <f>IF(SUMIF(Data!B:B,A25,Data!F:F)=0,"",SUMIF(Data!B:B,A25,Data!F:F))</f>
        <v/>
      </c>
      <c r="AJ25" s="68">
        <f>AJ24+ (IF(AH25="",0,AH25)-AJ24)/Charts!$X$5</f>
        <v>1.7601661854549218</v>
      </c>
      <c r="AK25" s="68">
        <f>AK24+ (IF(AI25="",0,AI25)-AK24)/Charts!$X$5</f>
        <v>1.7601661854549218</v>
      </c>
      <c r="AL25" s="68">
        <f>AL24+ (IF(AH25="",0,AH25)-AL24)/Charts!$X$6</f>
        <v>31.59786322719723</v>
      </c>
      <c r="AM25" s="68">
        <f>AM24+ (IF(AI25="",0,AI25)-AM24)/Charts!$X$6</f>
        <v>31.59786322719723</v>
      </c>
      <c r="AN25" s="68" t="str">
        <f t="shared" si="10"/>
        <v>30</v>
      </c>
      <c r="AO25" s="68" t="str">
        <f t="shared" si="11"/>
        <v>30</v>
      </c>
      <c r="AP25" s="69" t="str">
        <f>IF(C25="","",INDEX(Workouts!D:D,MATCH(C25,Workouts!A:A,0)))</f>
        <v/>
      </c>
      <c r="AQ25" s="69" t="str">
        <f>IF(ISNA(MATCH(A25,Data!B:B,0)),"",INDEX(Data!G:G,MATCH(A25,Data!B:B,1)))</f>
        <v/>
      </c>
    </row>
    <row r="26" spans="1:43" s="1" customFormat="1" x14ac:dyDescent="0.2">
      <c r="A26" s="125">
        <f t="shared" si="9"/>
        <v>44221</v>
      </c>
      <c r="B26" s="126" t="str">
        <f t="shared" si="6"/>
        <v>Mon</v>
      </c>
      <c r="C26" s="140"/>
      <c r="D26" s="128" t="str">
        <f t="shared" si="7"/>
        <v/>
      </c>
      <c r="E26" s="129" t="str">
        <f t="shared" si="8"/>
        <v/>
      </c>
      <c r="F26" s="130" t="str">
        <f>IF(SUMIF(Data!B:B,A26,Data!C:C)=0,"",SUMIF(Data!B:B,A26,Data!C:C))</f>
        <v/>
      </c>
      <c r="G26" s="126" t="str">
        <f>IF(OR(S26="T",S26="RUN",SUMIF(Data!B:B,A26,Data!E:E)=0),"",SUMIF(Data!B:B,A26,Data!E:E))</f>
        <v/>
      </c>
      <c r="H26" s="126" t="str">
        <f t="shared" si="0"/>
        <v/>
      </c>
      <c r="I26" s="131" t="str">
        <f t="shared" si="1"/>
        <v>2 (2)</v>
      </c>
      <c r="J26" s="131" t="str">
        <f t="shared" si="2"/>
        <v>31 (31)</v>
      </c>
      <c r="K26" s="131" t="str">
        <f t="shared" si="3"/>
        <v>30 (30)</v>
      </c>
      <c r="L26" s="132" t="str">
        <f t="shared" si="4"/>
        <v/>
      </c>
      <c r="M26" s="131" t="str">
        <f t="shared" si="5"/>
        <v/>
      </c>
      <c r="N26" s="126" t="str">
        <f>IF(ISNA(MATCH(A26,Data!B:B,0)),"",INDEX(Data!H:H,MATCH(A26,Data!B:B,1))) &amp; ""</f>
        <v/>
      </c>
      <c r="O26" s="126" t="str">
        <f>IF(ISNA(MATCH(A26,Data!B:B,0)),"",INDEX(Data!I:I,MATCH(A26,Data!B:B,1))) &amp; ""</f>
        <v/>
      </c>
      <c r="P26" s="133" t="str">
        <f>IF(ISNA(MATCH(A26,Data!B:B,0)),"",INDEX(Data!J:J,MATCH(A26,Data!B:B,1))) &amp; ""</f>
        <v/>
      </c>
      <c r="Q26" s="126" t="str">
        <f>IF(S26="T",Charts!$X$7,IF(ISNA(MATCH(A26,Data!B:B,0)),"",INDEX(Data!K:K,MATCH(A26,Data!B:B,1)))) &amp; ""</f>
        <v/>
      </c>
      <c r="R26" s="134"/>
      <c r="S26" s="134"/>
      <c r="T26" s="127"/>
      <c r="AF26" s="24" t="str">
        <f>IF(C26="","",INDEX(Workouts!B:B,MATCH(C26,Workouts!A:A,0)))</f>
        <v/>
      </c>
      <c r="AG26" s="24" t="str">
        <f>IF(SUMIF(Data!B:B,A26,Data!D:D)=0,"",SUMIF(Data!B:B,A26,Data!D:D))</f>
        <v/>
      </c>
      <c r="AH26" s="25" t="str">
        <f>IF(C26="","",INDEX(Workouts!C:C,MATCH(C26,Workouts!A:A,0)))</f>
        <v/>
      </c>
      <c r="AI26" s="68" t="str">
        <f>IF(SUMIF(Data!B:B,A26,Data!F:F)=0,"",SUMIF(Data!B:B,A26,Data!F:F))</f>
        <v/>
      </c>
      <c r="AJ26" s="68">
        <f>AJ25+ (IF(AH26="",0,AH26)-AJ25)/Charts!$X$5</f>
        <v>1.5087138732470757</v>
      </c>
      <c r="AK26" s="68">
        <f>AK25+ (IF(AI26="",0,AI26)-AK25)/Charts!$X$5</f>
        <v>1.5087138732470757</v>
      </c>
      <c r="AL26" s="68">
        <f>AL25+ (IF(AH26="",0,AH26)-AL25)/Charts!$X$6</f>
        <v>30.845533150359202</v>
      </c>
      <c r="AM26" s="68">
        <f>AM25+ (IF(AI26="",0,AI26)-AM25)/Charts!$X$6</f>
        <v>30.845533150359202</v>
      </c>
      <c r="AN26" s="68" t="str">
        <f t="shared" si="10"/>
        <v>30</v>
      </c>
      <c r="AO26" s="68" t="str">
        <f t="shared" si="11"/>
        <v>30</v>
      </c>
      <c r="AP26" s="69" t="str">
        <f>IF(C26="","",INDEX(Workouts!D:D,MATCH(C26,Workouts!A:A,0)))</f>
        <v/>
      </c>
      <c r="AQ26" s="69" t="str">
        <f>IF(ISNA(MATCH(A26,Data!B:B,0)),"",INDEX(Data!G:G,MATCH(A26,Data!B:B,1)))</f>
        <v/>
      </c>
    </row>
    <row r="27" spans="1:43" s="1" customFormat="1" x14ac:dyDescent="0.2">
      <c r="A27" s="125">
        <f t="shared" si="9"/>
        <v>44222</v>
      </c>
      <c r="B27" s="126" t="str">
        <f t="shared" si="6"/>
        <v>Tue</v>
      </c>
      <c r="C27" s="140"/>
      <c r="D27" s="128" t="str">
        <f t="shared" si="7"/>
        <v/>
      </c>
      <c r="E27" s="129" t="str">
        <f t="shared" si="8"/>
        <v/>
      </c>
      <c r="F27" s="130" t="str">
        <f>IF(SUMIF(Data!B:B,A27,Data!C:C)=0,"",SUMIF(Data!B:B,A27,Data!C:C))</f>
        <v/>
      </c>
      <c r="G27" s="126" t="str">
        <f>IF(OR(S27="T",S27="RUN",SUMIF(Data!B:B,A27,Data!E:E)=0),"",SUMIF(Data!B:B,A27,Data!E:E))</f>
        <v/>
      </c>
      <c r="H27" s="126" t="str">
        <f t="shared" si="0"/>
        <v/>
      </c>
      <c r="I27" s="131" t="str">
        <f t="shared" si="1"/>
        <v>1 (1)</v>
      </c>
      <c r="J27" s="131" t="str">
        <f t="shared" si="2"/>
        <v>30 (30)</v>
      </c>
      <c r="K27" s="131" t="str">
        <f t="shared" si="3"/>
        <v>29 (29)</v>
      </c>
      <c r="L27" s="132" t="str">
        <f t="shared" si="4"/>
        <v/>
      </c>
      <c r="M27" s="131" t="str">
        <f t="shared" si="5"/>
        <v/>
      </c>
      <c r="N27" s="126" t="str">
        <f>IF(ISNA(MATCH(A27,Data!B:B,0)),"",INDEX(Data!H:H,MATCH(A27,Data!B:B,1))) &amp; ""</f>
        <v/>
      </c>
      <c r="O27" s="126" t="str">
        <f>IF(ISNA(MATCH(A27,Data!B:B,0)),"",INDEX(Data!I:I,MATCH(A27,Data!B:B,1))) &amp; ""</f>
        <v/>
      </c>
      <c r="P27" s="133" t="str">
        <f>IF(ISNA(MATCH(A27,Data!B:B,0)),"",INDEX(Data!J:J,MATCH(A27,Data!B:B,1))) &amp; ""</f>
        <v/>
      </c>
      <c r="Q27" s="126" t="str">
        <f>IF(S27="T",Charts!$X$7,IF(ISNA(MATCH(A27,Data!B:B,0)),"",INDEX(Data!K:K,MATCH(A27,Data!B:B,1)))) &amp; ""</f>
        <v/>
      </c>
      <c r="R27" s="134"/>
      <c r="S27" s="134"/>
      <c r="T27" s="127"/>
      <c r="AF27" s="24" t="str">
        <f>IF(C27="","",INDEX(Workouts!B:B,MATCH(C27,Workouts!A:A,0)))</f>
        <v/>
      </c>
      <c r="AG27" s="24" t="str">
        <f>IF(SUMIF(Data!B:B,A27,Data!D:D)=0,"",SUMIF(Data!B:B,A27,Data!D:D))</f>
        <v/>
      </c>
      <c r="AH27" s="25" t="str">
        <f>IF(C27="","",INDEX(Workouts!C:C,MATCH(C27,Workouts!A:A,0)))</f>
        <v/>
      </c>
      <c r="AI27" s="68" t="str">
        <f>IF(SUMIF(Data!B:B,A27,Data!F:F)=0,"",SUMIF(Data!B:B,A27,Data!F:F))</f>
        <v/>
      </c>
      <c r="AJ27" s="68">
        <f>AJ26+ (IF(AH27="",0,AH27)-AJ26)/Charts!$X$5</f>
        <v>1.2931833199260649</v>
      </c>
      <c r="AK27" s="68">
        <f>AK26+ (IF(AI27="",0,AI27)-AK26)/Charts!$X$5</f>
        <v>1.2931833199260649</v>
      </c>
      <c r="AL27" s="68">
        <f>AL26+ (IF(AH27="",0,AH27)-AL26)/Charts!$X$6</f>
        <v>30.111115694398269</v>
      </c>
      <c r="AM27" s="68">
        <f>AM26+ (IF(AI27="",0,AI27)-AM26)/Charts!$X$6</f>
        <v>30.111115694398269</v>
      </c>
      <c r="AN27" s="68" t="str">
        <f t="shared" si="10"/>
        <v>29</v>
      </c>
      <c r="AO27" s="68" t="str">
        <f t="shared" si="11"/>
        <v>29</v>
      </c>
      <c r="AP27" s="69" t="str">
        <f>IF(C27="","",INDEX(Workouts!D:D,MATCH(C27,Workouts!A:A,0)))</f>
        <v/>
      </c>
      <c r="AQ27" s="69" t="str">
        <f>IF(ISNA(MATCH(A27,Data!B:B,0)),"",INDEX(Data!G:G,MATCH(A27,Data!B:B,1)))</f>
        <v/>
      </c>
    </row>
    <row r="28" spans="1:43" s="1" customFormat="1" x14ac:dyDescent="0.2">
      <c r="A28" s="125">
        <f t="shared" si="9"/>
        <v>44223</v>
      </c>
      <c r="B28" s="126" t="str">
        <f t="shared" si="6"/>
        <v>Wed</v>
      </c>
      <c r="C28" s="140"/>
      <c r="D28" s="128" t="str">
        <f t="shared" si="7"/>
        <v/>
      </c>
      <c r="E28" s="129" t="str">
        <f t="shared" si="8"/>
        <v/>
      </c>
      <c r="F28" s="130" t="str">
        <f>IF(SUMIF(Data!B:B,A28,Data!C:C)=0,"",SUMIF(Data!B:B,A28,Data!C:C))</f>
        <v/>
      </c>
      <c r="G28" s="126" t="str">
        <f>IF(OR(S28="T",S28="RUN",SUMIF(Data!B:B,A28,Data!E:E)=0),"",SUMIF(Data!B:B,A28,Data!E:E))</f>
        <v/>
      </c>
      <c r="H28" s="126" t="str">
        <f t="shared" si="0"/>
        <v/>
      </c>
      <c r="I28" s="131" t="str">
        <f t="shared" si="1"/>
        <v>1 (1)</v>
      </c>
      <c r="J28" s="131" t="str">
        <f t="shared" si="2"/>
        <v>29 (29)</v>
      </c>
      <c r="K28" s="131" t="str">
        <f t="shared" si="3"/>
        <v>29 (29)</v>
      </c>
      <c r="L28" s="132" t="str">
        <f t="shared" si="4"/>
        <v/>
      </c>
      <c r="M28" s="131" t="str">
        <f t="shared" si="5"/>
        <v/>
      </c>
      <c r="N28" s="126" t="str">
        <f>IF(ISNA(MATCH(A28,Data!B:B,0)),"",INDEX(Data!H:H,MATCH(A28,Data!B:B,1))) &amp; ""</f>
        <v/>
      </c>
      <c r="O28" s="126" t="str">
        <f>IF(ISNA(MATCH(A28,Data!B:B,0)),"",INDEX(Data!I:I,MATCH(A28,Data!B:B,1))) &amp; ""</f>
        <v/>
      </c>
      <c r="P28" s="133" t="str">
        <f>IF(ISNA(MATCH(A28,Data!B:B,0)),"",INDEX(Data!J:J,MATCH(A28,Data!B:B,1))) &amp; ""</f>
        <v/>
      </c>
      <c r="Q28" s="126" t="str">
        <f>IF(S28="T",Charts!$X$7,IF(ISNA(MATCH(A28,Data!B:B,0)),"",INDEX(Data!K:K,MATCH(A28,Data!B:B,1)))) &amp; ""</f>
        <v/>
      </c>
      <c r="R28" s="134"/>
      <c r="S28" s="134"/>
      <c r="T28" s="127"/>
      <c r="AF28" s="24" t="str">
        <f>IF(C28="","",INDEX(Workouts!B:B,MATCH(C28,Workouts!A:A,0)))</f>
        <v/>
      </c>
      <c r="AG28" s="24" t="str">
        <f>IF(SUMIF(Data!B:B,A28,Data!D:D)=0,"",SUMIF(Data!B:B,A28,Data!D:D))</f>
        <v/>
      </c>
      <c r="AH28" s="25" t="str">
        <f>IF(C28="","",INDEX(Workouts!C:C,MATCH(C28,Workouts!A:A,0)))</f>
        <v/>
      </c>
      <c r="AI28" s="68" t="str">
        <f>IF(SUMIF(Data!B:B,A28,Data!F:F)=0,"",SUMIF(Data!B:B,A28,Data!F:F))</f>
        <v/>
      </c>
      <c r="AJ28" s="68">
        <f>AJ27+ (IF(AH28="",0,AH28)-AJ27)/Charts!$X$5</f>
        <v>1.1084428456509128</v>
      </c>
      <c r="AK28" s="68">
        <f>AK27+ (IF(AI28="",0,AI28)-AK27)/Charts!$X$5</f>
        <v>1.1084428456509128</v>
      </c>
      <c r="AL28" s="68">
        <f>AL27+ (IF(AH28="",0,AH28)-AL27)/Charts!$X$6</f>
        <v>29.394184368341168</v>
      </c>
      <c r="AM28" s="68">
        <f>AM27+ (IF(AI28="",0,AI28)-AM27)/Charts!$X$6</f>
        <v>29.394184368341168</v>
      </c>
      <c r="AN28" s="68" t="str">
        <f t="shared" si="10"/>
        <v>29</v>
      </c>
      <c r="AO28" s="68" t="str">
        <f t="shared" si="11"/>
        <v>29</v>
      </c>
      <c r="AP28" s="69" t="str">
        <f>IF(C28="","",INDEX(Workouts!D:D,MATCH(C28,Workouts!A:A,0)))</f>
        <v/>
      </c>
      <c r="AQ28" s="69" t="str">
        <f>IF(ISNA(MATCH(A28,Data!B:B,0)),"",INDEX(Data!G:G,MATCH(A28,Data!B:B,1)))</f>
        <v/>
      </c>
    </row>
    <row r="29" spans="1:43" s="1" customFormat="1" x14ac:dyDescent="0.2">
      <c r="A29" s="125">
        <f t="shared" si="9"/>
        <v>44224</v>
      </c>
      <c r="B29" s="126" t="str">
        <f t="shared" si="6"/>
        <v>Thu</v>
      </c>
      <c r="C29" s="140"/>
      <c r="D29" s="128" t="str">
        <f t="shared" si="7"/>
        <v/>
      </c>
      <c r="E29" s="129" t="str">
        <f t="shared" si="8"/>
        <v/>
      </c>
      <c r="F29" s="130" t="str">
        <f>IF(SUMIF(Data!B:B,A29,Data!C:C)=0,"",SUMIF(Data!B:B,A29,Data!C:C))</f>
        <v/>
      </c>
      <c r="G29" s="126" t="str">
        <f>IF(OR(S29="T",S29="RUN",SUMIF(Data!B:B,A29,Data!E:E)=0),"",SUMIF(Data!B:B,A29,Data!E:E))</f>
        <v/>
      </c>
      <c r="H29" s="126" t="str">
        <f t="shared" si="0"/>
        <v/>
      </c>
      <c r="I29" s="131" t="str">
        <f t="shared" si="1"/>
        <v>1 (1)</v>
      </c>
      <c r="J29" s="131" t="str">
        <f t="shared" si="2"/>
        <v>29 (29)</v>
      </c>
      <c r="K29" s="131" t="str">
        <f t="shared" si="3"/>
        <v>28 (28)</v>
      </c>
      <c r="L29" s="132" t="str">
        <f t="shared" si="4"/>
        <v/>
      </c>
      <c r="M29" s="131" t="str">
        <f t="shared" si="5"/>
        <v/>
      </c>
      <c r="N29" s="126" t="str">
        <f>IF(ISNA(MATCH(A29,Data!B:B,0)),"",INDEX(Data!H:H,MATCH(A29,Data!B:B,1))) &amp; ""</f>
        <v/>
      </c>
      <c r="O29" s="126" t="str">
        <f>IF(ISNA(MATCH(A29,Data!B:B,0)),"",INDEX(Data!I:I,MATCH(A29,Data!B:B,1))) &amp; ""</f>
        <v/>
      </c>
      <c r="P29" s="133" t="str">
        <f>IF(ISNA(MATCH(A29,Data!B:B,0)),"",INDEX(Data!J:J,MATCH(A29,Data!B:B,1))) &amp; ""</f>
        <v/>
      </c>
      <c r="Q29" s="126" t="str">
        <f>IF(S29="T",Charts!$X$7,IF(ISNA(MATCH(A29,Data!B:B,0)),"",INDEX(Data!K:K,MATCH(A29,Data!B:B,1)))) &amp; ""</f>
        <v/>
      </c>
      <c r="R29" s="134"/>
      <c r="S29" s="134"/>
      <c r="T29" s="127"/>
      <c r="AF29" s="24" t="str">
        <f>IF(C29="","",INDEX(Workouts!B:B,MATCH(C29,Workouts!A:A,0)))</f>
        <v/>
      </c>
      <c r="AG29" s="24" t="str">
        <f>IF(SUMIF(Data!B:B,A29,Data!D:D)=0,"",SUMIF(Data!B:B,A29,Data!D:D))</f>
        <v/>
      </c>
      <c r="AH29" s="25" t="str">
        <f>IF(C29="","",INDEX(Workouts!C:C,MATCH(C29,Workouts!A:A,0)))</f>
        <v/>
      </c>
      <c r="AI29" s="68" t="str">
        <f>IF(SUMIF(Data!B:B,A29,Data!F:F)=0,"",SUMIF(Data!B:B,A29,Data!F:F))</f>
        <v/>
      </c>
      <c r="AJ29" s="68">
        <f>AJ28+ (IF(AH29="",0,AH29)-AJ28)/Charts!$X$5</f>
        <v>0.95009386770078241</v>
      </c>
      <c r="AK29" s="68">
        <f>AK28+ (IF(AI29="",0,AI29)-AK28)/Charts!$X$5</f>
        <v>0.95009386770078241</v>
      </c>
      <c r="AL29" s="68">
        <f>AL28+ (IF(AH29="",0,AH29)-AL28)/Charts!$X$6</f>
        <v>28.694322835761618</v>
      </c>
      <c r="AM29" s="68">
        <f>AM28+ (IF(AI29="",0,AI29)-AM28)/Charts!$X$6</f>
        <v>28.694322835761618</v>
      </c>
      <c r="AN29" s="68" t="str">
        <f t="shared" si="10"/>
        <v>28</v>
      </c>
      <c r="AO29" s="68" t="str">
        <f t="shared" si="11"/>
        <v>28</v>
      </c>
      <c r="AP29" s="69" t="str">
        <f>IF(C29="","",INDEX(Workouts!D:D,MATCH(C29,Workouts!A:A,0)))</f>
        <v/>
      </c>
      <c r="AQ29" s="69" t="str">
        <f>IF(ISNA(MATCH(A29,Data!B:B,0)),"",INDEX(Data!G:G,MATCH(A29,Data!B:B,1)))</f>
        <v/>
      </c>
    </row>
    <row r="30" spans="1:43" s="1" customFormat="1" x14ac:dyDescent="0.2">
      <c r="A30" s="125">
        <f t="shared" si="9"/>
        <v>44225</v>
      </c>
      <c r="B30" s="126" t="str">
        <f t="shared" si="6"/>
        <v>Fri</v>
      </c>
      <c r="C30" s="140"/>
      <c r="D30" s="128" t="str">
        <f t="shared" si="7"/>
        <v/>
      </c>
      <c r="E30" s="129" t="str">
        <f t="shared" si="8"/>
        <v/>
      </c>
      <c r="F30" s="130" t="str">
        <f>IF(SUMIF(Data!B:B,A30,Data!C:C)=0,"",SUMIF(Data!B:B,A30,Data!C:C))</f>
        <v/>
      </c>
      <c r="G30" s="126" t="str">
        <f>IF(OR(S30="T",S30="RUN",SUMIF(Data!B:B,A30,Data!E:E)=0),"",SUMIF(Data!B:B,A30,Data!E:E))</f>
        <v/>
      </c>
      <c r="H30" s="126" t="str">
        <f t="shared" si="0"/>
        <v/>
      </c>
      <c r="I30" s="131" t="str">
        <f t="shared" si="1"/>
        <v>1 (1)</v>
      </c>
      <c r="J30" s="131" t="str">
        <f t="shared" si="2"/>
        <v>28 (28)</v>
      </c>
      <c r="K30" s="131" t="str">
        <f t="shared" si="3"/>
        <v>28 (28)</v>
      </c>
      <c r="L30" s="132" t="str">
        <f t="shared" si="4"/>
        <v/>
      </c>
      <c r="M30" s="131" t="str">
        <f t="shared" si="5"/>
        <v/>
      </c>
      <c r="N30" s="126" t="str">
        <f>IF(ISNA(MATCH(A30,Data!B:B,0)),"",INDEX(Data!H:H,MATCH(A30,Data!B:B,1))) &amp; ""</f>
        <v/>
      </c>
      <c r="O30" s="126" t="str">
        <f>IF(ISNA(MATCH(A30,Data!B:B,0)),"",INDEX(Data!I:I,MATCH(A30,Data!B:B,1))) &amp; ""</f>
        <v/>
      </c>
      <c r="P30" s="133" t="str">
        <f>IF(ISNA(MATCH(A30,Data!B:B,0)),"",INDEX(Data!J:J,MATCH(A30,Data!B:B,1))) &amp; ""</f>
        <v/>
      </c>
      <c r="Q30" s="126" t="str">
        <f>IF(S30="T",Charts!$X$7,IF(ISNA(MATCH(A30,Data!B:B,0)),"",INDEX(Data!K:K,MATCH(A30,Data!B:B,1)))) &amp; ""</f>
        <v/>
      </c>
      <c r="R30" s="134"/>
      <c r="S30" s="134"/>
      <c r="T30" s="127"/>
      <c r="AF30" s="24" t="str">
        <f>IF(C30="","",INDEX(Workouts!B:B,MATCH(C30,Workouts!A:A,0)))</f>
        <v/>
      </c>
      <c r="AG30" s="24" t="str">
        <f>IF(SUMIF(Data!B:B,A30,Data!D:D)=0,"",SUMIF(Data!B:B,A30,Data!D:D))</f>
        <v/>
      </c>
      <c r="AH30" s="25" t="str">
        <f>IF(C30="","",INDEX(Workouts!C:C,MATCH(C30,Workouts!A:A,0)))</f>
        <v/>
      </c>
      <c r="AI30" s="68" t="str">
        <f>IF(SUMIF(Data!B:B,A30,Data!F:F)=0,"",SUMIF(Data!B:B,A30,Data!F:F))</f>
        <v/>
      </c>
      <c r="AJ30" s="68">
        <f>AJ29+ (IF(AH30="",0,AH30)-AJ29)/Charts!$X$5</f>
        <v>0.81436617231495634</v>
      </c>
      <c r="AK30" s="68">
        <f>AK29+ (IF(AI30="",0,AI30)-AK29)/Charts!$X$5</f>
        <v>0.81436617231495634</v>
      </c>
      <c r="AL30" s="68">
        <f>AL29+ (IF(AH30="",0,AH30)-AL29)/Charts!$X$6</f>
        <v>28.011124673005387</v>
      </c>
      <c r="AM30" s="68">
        <f>AM29+ (IF(AI30="",0,AI30)-AM29)/Charts!$X$6</f>
        <v>28.011124673005387</v>
      </c>
      <c r="AN30" s="68" t="str">
        <f t="shared" si="10"/>
        <v>28</v>
      </c>
      <c r="AO30" s="68" t="str">
        <f t="shared" si="11"/>
        <v>28</v>
      </c>
      <c r="AP30" s="69" t="str">
        <f>IF(C30="","",INDEX(Workouts!D:D,MATCH(C30,Workouts!A:A,0)))</f>
        <v/>
      </c>
      <c r="AQ30" s="69" t="str">
        <f>IF(ISNA(MATCH(A30,Data!B:B,0)),"",INDEX(Data!G:G,MATCH(A30,Data!B:B,1)))</f>
        <v/>
      </c>
    </row>
    <row r="31" spans="1:43" s="1" customFormat="1" x14ac:dyDescent="0.2">
      <c r="A31" s="125">
        <f t="shared" si="9"/>
        <v>44226</v>
      </c>
      <c r="B31" s="126" t="str">
        <f t="shared" si="6"/>
        <v>Sat</v>
      </c>
      <c r="C31" s="140"/>
      <c r="D31" s="128" t="str">
        <f t="shared" si="7"/>
        <v/>
      </c>
      <c r="E31" s="129" t="str">
        <f t="shared" si="8"/>
        <v/>
      </c>
      <c r="F31" s="130" t="str">
        <f>IF(SUMIF(Data!B:B,A31,Data!C:C)=0,"",SUMIF(Data!B:B,A31,Data!C:C))</f>
        <v/>
      </c>
      <c r="G31" s="126" t="str">
        <f>IF(OR(S31="T",S31="RUN",SUMIF(Data!B:B,A31,Data!E:E)=0),"",SUMIF(Data!B:B,A31,Data!E:E))</f>
        <v/>
      </c>
      <c r="H31" s="126" t="str">
        <f t="shared" si="0"/>
        <v/>
      </c>
      <c r="I31" s="131" t="str">
        <f t="shared" si="1"/>
        <v>1 (1)</v>
      </c>
      <c r="J31" s="131" t="str">
        <f t="shared" si="2"/>
        <v>27 (27)</v>
      </c>
      <c r="K31" s="131" t="str">
        <f t="shared" si="3"/>
        <v>27 (27)</v>
      </c>
      <c r="L31" s="132" t="str">
        <f t="shared" si="4"/>
        <v/>
      </c>
      <c r="M31" s="131" t="str">
        <f t="shared" si="5"/>
        <v/>
      </c>
      <c r="N31" s="126" t="str">
        <f>IF(ISNA(MATCH(A31,Data!B:B,0)),"",INDEX(Data!H:H,MATCH(A31,Data!B:B,1))) &amp; ""</f>
        <v/>
      </c>
      <c r="O31" s="126" t="str">
        <f>IF(ISNA(MATCH(A31,Data!B:B,0)),"",INDEX(Data!I:I,MATCH(A31,Data!B:B,1))) &amp; ""</f>
        <v/>
      </c>
      <c r="P31" s="133" t="str">
        <f>IF(ISNA(MATCH(A31,Data!B:B,0)),"",INDEX(Data!J:J,MATCH(A31,Data!B:B,1))) &amp; ""</f>
        <v/>
      </c>
      <c r="Q31" s="126" t="str">
        <f>IF(S31="T",Charts!$X$7,IF(ISNA(MATCH(A31,Data!B:B,0)),"",INDEX(Data!K:K,MATCH(A31,Data!B:B,1)))) &amp; ""</f>
        <v/>
      </c>
      <c r="R31" s="134"/>
      <c r="S31" s="134"/>
      <c r="T31" s="127"/>
      <c r="AF31" s="24" t="str">
        <f>IF(C31="","",INDEX(Workouts!B:B,MATCH(C31,Workouts!A:A,0)))</f>
        <v/>
      </c>
      <c r="AG31" s="24" t="str">
        <f>IF(SUMIF(Data!B:B,A31,Data!D:D)=0,"",SUMIF(Data!B:B,A31,Data!D:D))</f>
        <v/>
      </c>
      <c r="AH31" s="25" t="str">
        <f>IF(C31="","",INDEX(Workouts!C:C,MATCH(C31,Workouts!A:A,0)))</f>
        <v/>
      </c>
      <c r="AI31" s="68" t="str">
        <f>IF(SUMIF(Data!B:B,A31,Data!F:F)=0,"",SUMIF(Data!B:B,A31,Data!F:F))</f>
        <v/>
      </c>
      <c r="AJ31" s="68">
        <f>AJ30+ (IF(AH31="",0,AH31)-AJ30)/Charts!$X$5</f>
        <v>0.69802814769853405</v>
      </c>
      <c r="AK31" s="68">
        <f>AK30+ (IF(AI31="",0,AI31)-AK30)/Charts!$X$5</f>
        <v>0.69802814769853405</v>
      </c>
      <c r="AL31" s="68">
        <f>AL30+ (IF(AH31="",0,AH31)-AL30)/Charts!$X$6</f>
        <v>27.344193133171924</v>
      </c>
      <c r="AM31" s="68">
        <f>AM30+ (IF(AI31="",0,AI31)-AM30)/Charts!$X$6</f>
        <v>27.344193133171924</v>
      </c>
      <c r="AN31" s="68" t="str">
        <f t="shared" si="10"/>
        <v>27</v>
      </c>
      <c r="AO31" s="68" t="str">
        <f t="shared" si="11"/>
        <v>27</v>
      </c>
      <c r="AP31" s="69" t="str">
        <f>IF(C31="","",INDEX(Workouts!D:D,MATCH(C31,Workouts!A:A,0)))</f>
        <v/>
      </c>
      <c r="AQ31" s="69" t="str">
        <f>IF(ISNA(MATCH(A31,Data!B:B,0)),"",INDEX(Data!G:G,MATCH(A31,Data!B:B,1)))</f>
        <v/>
      </c>
    </row>
    <row r="32" spans="1:43" s="1" customFormat="1" x14ac:dyDescent="0.2">
      <c r="A32" s="125">
        <f t="shared" si="9"/>
        <v>44227</v>
      </c>
      <c r="B32" s="126" t="str">
        <f t="shared" si="6"/>
        <v>Sun</v>
      </c>
      <c r="C32" s="140"/>
      <c r="D32" s="128" t="str">
        <f t="shared" si="7"/>
        <v/>
      </c>
      <c r="E32" s="129" t="str">
        <f t="shared" si="8"/>
        <v/>
      </c>
      <c r="F32" s="130" t="str">
        <f>IF(SUMIF(Data!B:B,A32,Data!C:C)=0,"",SUMIF(Data!B:B,A32,Data!C:C))</f>
        <v/>
      </c>
      <c r="G32" s="126" t="str">
        <f>IF(OR(S32="T",S32="RUN",SUMIF(Data!B:B,A32,Data!E:E)=0),"",SUMIF(Data!B:B,A32,Data!E:E))</f>
        <v/>
      </c>
      <c r="H32" s="126" t="str">
        <f t="shared" si="0"/>
        <v/>
      </c>
      <c r="I32" s="131" t="str">
        <f t="shared" si="1"/>
        <v>1 (1)</v>
      </c>
      <c r="J32" s="131" t="str">
        <f t="shared" si="2"/>
        <v>27 (27)</v>
      </c>
      <c r="K32" s="131" t="str">
        <f t="shared" si="3"/>
        <v>26 (26)</v>
      </c>
      <c r="L32" s="132" t="str">
        <f t="shared" si="4"/>
        <v/>
      </c>
      <c r="M32" s="131" t="str">
        <f t="shared" si="5"/>
        <v/>
      </c>
      <c r="N32" s="126" t="str">
        <f>IF(ISNA(MATCH(A32,Data!B:B,0)),"",INDEX(Data!H:H,MATCH(A32,Data!B:B,1))) &amp; ""</f>
        <v/>
      </c>
      <c r="O32" s="126" t="str">
        <f>IF(ISNA(MATCH(A32,Data!B:B,0)),"",INDEX(Data!I:I,MATCH(A32,Data!B:B,1))) &amp; ""</f>
        <v/>
      </c>
      <c r="P32" s="133" t="str">
        <f>IF(ISNA(MATCH(A32,Data!B:B,0)),"",INDEX(Data!J:J,MATCH(A32,Data!B:B,1))) &amp; ""</f>
        <v/>
      </c>
      <c r="Q32" s="126" t="str">
        <f>IF(S32="T",Charts!$X$7,IF(ISNA(MATCH(A32,Data!B:B,0)),"",INDEX(Data!K:K,MATCH(A32,Data!B:B,1)))) &amp; ""</f>
        <v/>
      </c>
      <c r="R32" s="134"/>
      <c r="S32" s="134"/>
      <c r="T32" s="127"/>
      <c r="AF32" s="24" t="str">
        <f>IF(C32="","",INDEX(Workouts!B:B,MATCH(C32,Workouts!A:A,0)))</f>
        <v/>
      </c>
      <c r="AG32" s="24" t="str">
        <f>IF(SUMIF(Data!B:B,A32,Data!D:D)=0,"",SUMIF(Data!B:B,A32,Data!D:D))</f>
        <v/>
      </c>
      <c r="AH32" s="25" t="str">
        <f>IF(C32="","",INDEX(Workouts!C:C,MATCH(C32,Workouts!A:A,0)))</f>
        <v/>
      </c>
      <c r="AI32" s="68" t="str">
        <f>IF(SUMIF(Data!B:B,A32,Data!F:F)=0,"",SUMIF(Data!B:B,A32,Data!F:F))</f>
        <v/>
      </c>
      <c r="AJ32" s="68">
        <f>AJ31+ (IF(AH32="",0,AH32)-AJ31)/Charts!$X$5</f>
        <v>0.59830984088445771</v>
      </c>
      <c r="AK32" s="68">
        <f>AK31+ (IF(AI32="",0,AI32)-AK31)/Charts!$X$5</f>
        <v>0.59830984088445771</v>
      </c>
      <c r="AL32" s="68">
        <f>AL31+ (IF(AH32="",0,AH32)-AL31)/Charts!$X$6</f>
        <v>26.69314091571545</v>
      </c>
      <c r="AM32" s="68">
        <f>AM31+ (IF(AI32="",0,AI32)-AM31)/Charts!$X$6</f>
        <v>26.69314091571545</v>
      </c>
      <c r="AN32" s="68" t="str">
        <f t="shared" si="10"/>
        <v>26</v>
      </c>
      <c r="AO32" s="68" t="str">
        <f t="shared" si="11"/>
        <v>26</v>
      </c>
      <c r="AP32" s="69" t="str">
        <f>IF(C32="","",INDEX(Workouts!D:D,MATCH(C32,Workouts!A:A,0)))</f>
        <v/>
      </c>
      <c r="AQ32" s="69" t="str">
        <f>IF(ISNA(MATCH(A32,Data!B:B,0)),"",INDEX(Data!G:G,MATCH(A32,Data!B:B,1)))</f>
        <v/>
      </c>
    </row>
    <row r="33" spans="1:43" s="1" customFormat="1" x14ac:dyDescent="0.2">
      <c r="A33" s="125">
        <f t="shared" si="9"/>
        <v>44228</v>
      </c>
      <c r="B33" s="126" t="str">
        <f t="shared" si="6"/>
        <v>Mon</v>
      </c>
      <c r="C33" s="140"/>
      <c r="D33" s="128" t="str">
        <f t="shared" si="7"/>
        <v/>
      </c>
      <c r="E33" s="129" t="str">
        <f t="shared" si="8"/>
        <v/>
      </c>
      <c r="F33" s="130" t="str">
        <f>IF(SUMIF(Data!B:B,A33,Data!C:C)=0,"",SUMIF(Data!B:B,A33,Data!C:C))</f>
        <v/>
      </c>
      <c r="G33" s="126" t="str">
        <f>IF(OR(S33="T",S33="RUN",SUMIF(Data!B:B,A33,Data!E:E)=0),"",SUMIF(Data!B:B,A33,Data!E:E))</f>
        <v/>
      </c>
      <c r="H33" s="126" t="str">
        <f t="shared" si="0"/>
        <v/>
      </c>
      <c r="I33" s="131" t="str">
        <f t="shared" si="1"/>
        <v>1 (1)</v>
      </c>
      <c r="J33" s="131" t="str">
        <f t="shared" si="2"/>
        <v>26 (26)</v>
      </c>
      <c r="K33" s="131" t="str">
        <f t="shared" si="3"/>
        <v>26 (26)</v>
      </c>
      <c r="L33" s="132" t="str">
        <f t="shared" si="4"/>
        <v/>
      </c>
      <c r="M33" s="131" t="str">
        <f t="shared" si="5"/>
        <v/>
      </c>
      <c r="N33" s="126" t="str">
        <f>IF(ISNA(MATCH(A33,Data!B:B,0)),"",INDEX(Data!H:H,MATCH(A33,Data!B:B,1))) &amp; ""</f>
        <v/>
      </c>
      <c r="O33" s="126" t="str">
        <f>IF(ISNA(MATCH(A33,Data!B:B,0)),"",INDEX(Data!I:I,MATCH(A33,Data!B:B,1))) &amp; ""</f>
        <v/>
      </c>
      <c r="P33" s="133" t="str">
        <f>IF(ISNA(MATCH(A33,Data!B:B,0)),"",INDEX(Data!J:J,MATCH(A33,Data!B:B,1))) &amp; ""</f>
        <v/>
      </c>
      <c r="Q33" s="126" t="str">
        <f>IF(S33="T",Charts!$X$7,IF(ISNA(MATCH(A33,Data!B:B,0)),"",INDEX(Data!K:K,MATCH(A33,Data!B:B,1)))) &amp; ""</f>
        <v/>
      </c>
      <c r="R33" s="134"/>
      <c r="S33" s="134"/>
      <c r="T33" s="127"/>
      <c r="AF33" s="24" t="str">
        <f>IF(C33="","",INDEX(Workouts!B:B,MATCH(C33,Workouts!A:A,0)))</f>
        <v/>
      </c>
      <c r="AG33" s="24" t="str">
        <f>IF(SUMIF(Data!B:B,A33,Data!D:D)=0,"",SUMIF(Data!B:B,A33,Data!D:D))</f>
        <v/>
      </c>
      <c r="AH33" s="25" t="str">
        <f>IF(C33="","",INDEX(Workouts!C:C,MATCH(C33,Workouts!A:A,0)))</f>
        <v/>
      </c>
      <c r="AI33" s="68" t="str">
        <f>IF(SUMIF(Data!B:B,A33,Data!F:F)=0,"",SUMIF(Data!B:B,A33,Data!F:F))</f>
        <v/>
      </c>
      <c r="AJ33" s="68">
        <f>AJ32+ (IF(AH33="",0,AH33)-AJ32)/Charts!$X$5</f>
        <v>0.51283700647239228</v>
      </c>
      <c r="AK33" s="68">
        <f>AK32+ (IF(AI33="",0,AI33)-AK32)/Charts!$X$5</f>
        <v>0.51283700647239228</v>
      </c>
      <c r="AL33" s="68">
        <f>AL32+ (IF(AH33="",0,AH33)-AL32)/Charts!$X$6</f>
        <v>26.057589941531749</v>
      </c>
      <c r="AM33" s="68">
        <f>AM32+ (IF(AI33="",0,AI33)-AM32)/Charts!$X$6</f>
        <v>26.057589941531749</v>
      </c>
      <c r="AN33" s="68" t="str">
        <f t="shared" si="10"/>
        <v>26</v>
      </c>
      <c r="AO33" s="68" t="str">
        <f t="shared" si="11"/>
        <v>26</v>
      </c>
      <c r="AP33" s="69" t="str">
        <f>IF(C33="","",INDEX(Workouts!D:D,MATCH(C33,Workouts!A:A,0)))</f>
        <v/>
      </c>
      <c r="AQ33" s="69" t="str">
        <f>IF(ISNA(MATCH(A33,Data!B:B,0)),"",INDEX(Data!G:G,MATCH(A33,Data!B:B,1)))</f>
        <v/>
      </c>
    </row>
    <row r="34" spans="1:43" s="1" customFormat="1" x14ac:dyDescent="0.2">
      <c r="A34" s="125">
        <f t="shared" si="9"/>
        <v>44229</v>
      </c>
      <c r="B34" s="126" t="str">
        <f t="shared" si="6"/>
        <v>Tue</v>
      </c>
      <c r="C34" s="140"/>
      <c r="D34" s="128" t="str">
        <f t="shared" si="7"/>
        <v/>
      </c>
      <c r="E34" s="129" t="str">
        <f t="shared" si="8"/>
        <v/>
      </c>
      <c r="F34" s="130" t="str">
        <f>IF(SUMIF(Data!B:B,A34,Data!C:C)=0,"",SUMIF(Data!B:B,A34,Data!C:C))</f>
        <v/>
      </c>
      <c r="G34" s="126" t="str">
        <f>IF(OR(S34="T",S34="RUN",SUMIF(Data!B:B,A34,Data!E:E)=0),"",SUMIF(Data!B:B,A34,Data!E:E))</f>
        <v/>
      </c>
      <c r="H34" s="126" t="str">
        <f t="shared" si="0"/>
        <v/>
      </c>
      <c r="I34" s="131" t="str">
        <f t="shared" si="1"/>
        <v>0 (0)</v>
      </c>
      <c r="J34" s="131" t="str">
        <f t="shared" si="2"/>
        <v>25 (25)</v>
      </c>
      <c r="K34" s="131" t="str">
        <f t="shared" si="3"/>
        <v>25 (25)</v>
      </c>
      <c r="L34" s="132" t="str">
        <f t="shared" si="4"/>
        <v/>
      </c>
      <c r="M34" s="131" t="str">
        <f t="shared" si="5"/>
        <v/>
      </c>
      <c r="N34" s="126" t="str">
        <f>IF(ISNA(MATCH(A34,Data!B:B,0)),"",INDEX(Data!H:H,MATCH(A34,Data!B:B,1))) &amp; ""</f>
        <v/>
      </c>
      <c r="O34" s="126" t="str">
        <f>IF(ISNA(MATCH(A34,Data!B:B,0)),"",INDEX(Data!I:I,MATCH(A34,Data!B:B,1))) &amp; ""</f>
        <v/>
      </c>
      <c r="P34" s="133" t="str">
        <f>IF(ISNA(MATCH(A34,Data!B:B,0)),"",INDEX(Data!J:J,MATCH(A34,Data!B:B,1))) &amp; ""</f>
        <v/>
      </c>
      <c r="Q34" s="126" t="str">
        <f>IF(S34="T",Charts!$X$7,IF(ISNA(MATCH(A34,Data!B:B,0)),"",INDEX(Data!K:K,MATCH(A34,Data!B:B,1)))) &amp; ""</f>
        <v/>
      </c>
      <c r="R34" s="134"/>
      <c r="S34" s="134"/>
      <c r="T34" s="127"/>
      <c r="AF34" s="24" t="str">
        <f>IF(C34="","",INDEX(Workouts!B:B,MATCH(C34,Workouts!A:A,0)))</f>
        <v/>
      </c>
      <c r="AG34" s="24" t="str">
        <f>IF(SUMIF(Data!B:B,A34,Data!D:D)=0,"",SUMIF(Data!B:B,A34,Data!D:D))</f>
        <v/>
      </c>
      <c r="AH34" s="25" t="str">
        <f>IF(C34="","",INDEX(Workouts!C:C,MATCH(C34,Workouts!A:A,0)))</f>
        <v/>
      </c>
      <c r="AI34" s="68" t="str">
        <f>IF(SUMIF(Data!B:B,A34,Data!F:F)=0,"",SUMIF(Data!B:B,A34,Data!F:F))</f>
        <v/>
      </c>
      <c r="AJ34" s="68">
        <f>AJ33+ (IF(AH34="",0,AH34)-AJ33)/Charts!$X$5</f>
        <v>0.43957457697633623</v>
      </c>
      <c r="AK34" s="68">
        <f>AK33+ (IF(AI34="",0,AI34)-AK33)/Charts!$X$5</f>
        <v>0.43957457697633623</v>
      </c>
      <c r="AL34" s="68">
        <f>AL33+ (IF(AH34="",0,AH34)-AL33)/Charts!$X$6</f>
        <v>25.437171133400039</v>
      </c>
      <c r="AM34" s="68">
        <f>AM33+ (IF(AI34="",0,AI34)-AM33)/Charts!$X$6</f>
        <v>25.437171133400039</v>
      </c>
      <c r="AN34" s="68" t="str">
        <f t="shared" si="10"/>
        <v>25</v>
      </c>
      <c r="AO34" s="68" t="str">
        <f t="shared" si="11"/>
        <v>25</v>
      </c>
      <c r="AP34" s="69" t="str">
        <f>IF(C34="","",INDEX(Workouts!D:D,MATCH(C34,Workouts!A:A,0)))</f>
        <v/>
      </c>
      <c r="AQ34" s="69" t="str">
        <f>IF(ISNA(MATCH(A34,Data!B:B,0)),"",INDEX(Data!G:G,MATCH(A34,Data!B:B,1)))</f>
        <v/>
      </c>
    </row>
    <row r="35" spans="1:43" s="1" customFormat="1" x14ac:dyDescent="0.2">
      <c r="A35" s="125">
        <f t="shared" si="9"/>
        <v>44230</v>
      </c>
      <c r="B35" s="126" t="str">
        <f t="shared" si="6"/>
        <v>Wed</v>
      </c>
      <c r="C35" s="140"/>
      <c r="D35" s="128" t="str">
        <f t="shared" si="7"/>
        <v/>
      </c>
      <c r="E35" s="129" t="str">
        <f t="shared" si="8"/>
        <v/>
      </c>
      <c r="F35" s="130" t="str">
        <f>IF(SUMIF(Data!B:B,A35,Data!C:C)=0,"",SUMIF(Data!B:B,A35,Data!C:C))</f>
        <v/>
      </c>
      <c r="G35" s="126" t="str">
        <f>IF(OR(S35="T",S35="RUN",SUMIF(Data!B:B,A35,Data!E:E)=0),"",SUMIF(Data!B:B,A35,Data!E:E))</f>
        <v/>
      </c>
      <c r="H35" s="126" t="str">
        <f t="shared" si="0"/>
        <v/>
      </c>
      <c r="I35" s="131" t="str">
        <f t="shared" si="1"/>
        <v>0 (0)</v>
      </c>
      <c r="J35" s="131" t="str">
        <f t="shared" si="2"/>
        <v>25 (25)</v>
      </c>
      <c r="K35" s="131" t="str">
        <f t="shared" si="3"/>
        <v>25 (25)</v>
      </c>
      <c r="L35" s="132" t="str">
        <f t="shared" si="4"/>
        <v/>
      </c>
      <c r="M35" s="131" t="str">
        <f t="shared" si="5"/>
        <v/>
      </c>
      <c r="N35" s="126" t="str">
        <f>IF(ISNA(MATCH(A35,Data!B:B,0)),"",INDEX(Data!H:H,MATCH(A35,Data!B:B,1))) &amp; ""</f>
        <v/>
      </c>
      <c r="O35" s="126" t="str">
        <f>IF(ISNA(MATCH(A35,Data!B:B,0)),"",INDEX(Data!I:I,MATCH(A35,Data!B:B,1))) &amp; ""</f>
        <v/>
      </c>
      <c r="P35" s="133" t="str">
        <f>IF(ISNA(MATCH(A35,Data!B:B,0)),"",INDEX(Data!J:J,MATCH(A35,Data!B:B,1))) &amp; ""</f>
        <v/>
      </c>
      <c r="Q35" s="126" t="str">
        <f>IF(S35="T",Charts!$X$7,IF(ISNA(MATCH(A35,Data!B:B,0)),"",INDEX(Data!K:K,MATCH(A35,Data!B:B,1)))) &amp; ""</f>
        <v/>
      </c>
      <c r="R35" s="134"/>
      <c r="S35" s="134"/>
      <c r="T35" s="127"/>
      <c r="AF35" s="24" t="str">
        <f>IF(C35="","",INDEX(Workouts!B:B,MATCH(C35,Workouts!A:A,0)))</f>
        <v/>
      </c>
      <c r="AG35" s="24" t="str">
        <f>IF(SUMIF(Data!B:B,A35,Data!D:D)=0,"",SUMIF(Data!B:B,A35,Data!D:D))</f>
        <v/>
      </c>
      <c r="AH35" s="25" t="str">
        <f>IF(C35="","",INDEX(Workouts!C:C,MATCH(C35,Workouts!A:A,0)))</f>
        <v/>
      </c>
      <c r="AI35" s="68" t="str">
        <f>IF(SUMIF(Data!B:B,A35,Data!F:F)=0,"",SUMIF(Data!B:B,A35,Data!F:F))</f>
        <v/>
      </c>
      <c r="AJ35" s="68">
        <f>AJ34+ (IF(AH35="",0,AH35)-AJ34)/Charts!$X$5</f>
        <v>0.37677820883685964</v>
      </c>
      <c r="AK35" s="68">
        <f>AK34+ (IF(AI35="",0,AI35)-AK34)/Charts!$X$5</f>
        <v>0.37677820883685964</v>
      </c>
      <c r="AL35" s="68">
        <f>AL34+ (IF(AH35="",0,AH35)-AL34)/Charts!$X$6</f>
        <v>24.831524201652417</v>
      </c>
      <c r="AM35" s="68">
        <f>AM34+ (IF(AI35="",0,AI35)-AM34)/Charts!$X$6</f>
        <v>24.831524201652417</v>
      </c>
      <c r="AN35" s="68" t="str">
        <f t="shared" si="10"/>
        <v>25</v>
      </c>
      <c r="AO35" s="68" t="str">
        <f t="shared" si="11"/>
        <v>25</v>
      </c>
      <c r="AP35" s="69" t="str">
        <f>IF(C35="","",INDEX(Workouts!D:D,MATCH(C35,Workouts!A:A,0)))</f>
        <v/>
      </c>
      <c r="AQ35" s="69" t="str">
        <f>IF(ISNA(MATCH(A35,Data!B:B,0)),"",INDEX(Data!G:G,MATCH(A35,Data!B:B,1)))</f>
        <v/>
      </c>
    </row>
    <row r="36" spans="1:43" s="1" customFormat="1" x14ac:dyDescent="0.2">
      <c r="A36" s="125">
        <f t="shared" si="9"/>
        <v>44231</v>
      </c>
      <c r="B36" s="126" t="str">
        <f t="shared" si="6"/>
        <v>Thu</v>
      </c>
      <c r="C36" s="140"/>
      <c r="D36" s="128" t="str">
        <f t="shared" si="7"/>
        <v/>
      </c>
      <c r="E36" s="129" t="str">
        <f t="shared" si="8"/>
        <v/>
      </c>
      <c r="F36" s="130" t="str">
        <f>IF(SUMIF(Data!B:B,A36,Data!C:C)=0,"",SUMIF(Data!B:B,A36,Data!C:C))</f>
        <v/>
      </c>
      <c r="G36" s="126" t="str">
        <f>IF(OR(S36="T",S36="RUN",SUMIF(Data!B:B,A36,Data!E:E)=0),"",SUMIF(Data!B:B,A36,Data!E:E))</f>
        <v/>
      </c>
      <c r="H36" s="126" t="str">
        <f t="shared" si="0"/>
        <v/>
      </c>
      <c r="I36" s="131" t="str">
        <f t="shared" si="1"/>
        <v>0 (0)</v>
      </c>
      <c r="J36" s="131" t="str">
        <f t="shared" si="2"/>
        <v>24 (24)</v>
      </c>
      <c r="K36" s="131" t="str">
        <f t="shared" si="3"/>
        <v>25 (25)</v>
      </c>
      <c r="L36" s="132" t="str">
        <f t="shared" si="4"/>
        <v/>
      </c>
      <c r="M36" s="131" t="str">
        <f t="shared" si="5"/>
        <v/>
      </c>
      <c r="N36" s="126" t="str">
        <f>IF(ISNA(MATCH(A36,Data!B:B,0)),"",INDEX(Data!H:H,MATCH(A36,Data!B:B,1))) &amp; ""</f>
        <v/>
      </c>
      <c r="O36" s="126" t="str">
        <f>IF(ISNA(MATCH(A36,Data!B:B,0)),"",INDEX(Data!I:I,MATCH(A36,Data!B:B,1))) &amp; ""</f>
        <v/>
      </c>
      <c r="P36" s="133" t="str">
        <f>IF(ISNA(MATCH(A36,Data!B:B,0)),"",INDEX(Data!J:J,MATCH(A36,Data!B:B,1))) &amp; ""</f>
        <v/>
      </c>
      <c r="Q36" s="126" t="str">
        <f>IF(S36="T",Charts!$X$7,IF(ISNA(MATCH(A36,Data!B:B,0)),"",INDEX(Data!K:K,MATCH(A36,Data!B:B,1)))) &amp; ""</f>
        <v/>
      </c>
      <c r="R36" s="134"/>
      <c r="S36" s="134"/>
      <c r="T36" s="127"/>
      <c r="AF36" s="24" t="str">
        <f>IF(C36="","",INDEX(Workouts!B:B,MATCH(C36,Workouts!A:A,0)))</f>
        <v/>
      </c>
      <c r="AG36" s="24" t="str">
        <f>IF(SUMIF(Data!B:B,A36,Data!D:D)=0,"",SUMIF(Data!B:B,A36,Data!D:D))</f>
        <v/>
      </c>
      <c r="AH36" s="25" t="str">
        <f>IF(C36="","",INDEX(Workouts!C:C,MATCH(C36,Workouts!A:A,0)))</f>
        <v/>
      </c>
      <c r="AI36" s="68" t="str">
        <f>IF(SUMIF(Data!B:B,A36,Data!F:F)=0,"",SUMIF(Data!B:B,A36,Data!F:F))</f>
        <v/>
      </c>
      <c r="AJ36" s="68">
        <f>AJ35+ (IF(AH36="",0,AH36)-AJ35)/Charts!$X$5</f>
        <v>0.32295275043159399</v>
      </c>
      <c r="AK36" s="68">
        <f>AK35+ (IF(AI36="",0,AI36)-AK35)/Charts!$X$5</f>
        <v>0.32295275043159399</v>
      </c>
      <c r="AL36" s="68">
        <f>AL35+ (IF(AH36="",0,AH36)-AL35)/Charts!$X$6</f>
        <v>24.240297434946406</v>
      </c>
      <c r="AM36" s="68">
        <f>AM35+ (IF(AI36="",0,AI36)-AM35)/Charts!$X$6</f>
        <v>24.240297434946406</v>
      </c>
      <c r="AN36" s="68" t="str">
        <f t="shared" si="10"/>
        <v>25</v>
      </c>
      <c r="AO36" s="68" t="str">
        <f t="shared" si="11"/>
        <v>25</v>
      </c>
      <c r="AP36" s="69" t="str">
        <f>IF(C36="","",INDEX(Workouts!D:D,MATCH(C36,Workouts!A:A,0)))</f>
        <v/>
      </c>
      <c r="AQ36" s="69" t="str">
        <f>IF(ISNA(MATCH(A36,Data!B:B,0)),"",INDEX(Data!G:G,MATCH(A36,Data!B:B,1)))</f>
        <v/>
      </c>
    </row>
    <row r="37" spans="1:43" s="1" customFormat="1" x14ac:dyDescent="0.2">
      <c r="A37" s="125">
        <f t="shared" si="9"/>
        <v>44232</v>
      </c>
      <c r="B37" s="126" t="str">
        <f t="shared" si="6"/>
        <v>Fri</v>
      </c>
      <c r="C37" s="140"/>
      <c r="D37" s="128" t="str">
        <f t="shared" si="7"/>
        <v/>
      </c>
      <c r="E37" s="129" t="str">
        <f t="shared" si="8"/>
        <v/>
      </c>
      <c r="F37" s="130" t="str">
        <f>IF(SUMIF(Data!B:B,A37,Data!C:C)=0,"",SUMIF(Data!B:B,A37,Data!C:C))</f>
        <v/>
      </c>
      <c r="G37" s="126" t="str">
        <f>IF(OR(S37="T",S37="RUN",SUMIF(Data!B:B,A37,Data!E:E)=0),"",SUMIF(Data!B:B,A37,Data!E:E))</f>
        <v/>
      </c>
      <c r="H37" s="126" t="str">
        <f t="shared" si="0"/>
        <v/>
      </c>
      <c r="I37" s="131" t="str">
        <f t="shared" si="1"/>
        <v>0 (0)</v>
      </c>
      <c r="J37" s="131" t="str">
        <f t="shared" si="2"/>
        <v>24 (24)</v>
      </c>
      <c r="K37" s="131" t="str">
        <f t="shared" si="3"/>
        <v>24 (24)</v>
      </c>
      <c r="L37" s="132" t="str">
        <f t="shared" si="4"/>
        <v/>
      </c>
      <c r="M37" s="131" t="str">
        <f t="shared" si="5"/>
        <v/>
      </c>
      <c r="N37" s="126" t="str">
        <f>IF(ISNA(MATCH(A37,Data!B:B,0)),"",INDEX(Data!H:H,MATCH(A37,Data!B:B,1))) &amp; ""</f>
        <v/>
      </c>
      <c r="O37" s="126" t="str">
        <f>IF(ISNA(MATCH(A37,Data!B:B,0)),"",INDEX(Data!I:I,MATCH(A37,Data!B:B,1))) &amp; ""</f>
        <v/>
      </c>
      <c r="P37" s="133" t="str">
        <f>IF(ISNA(MATCH(A37,Data!B:B,0)),"",INDEX(Data!J:J,MATCH(A37,Data!B:B,1))) &amp; ""</f>
        <v/>
      </c>
      <c r="Q37" s="126" t="str">
        <f>IF(S37="T",Charts!$X$7,IF(ISNA(MATCH(A37,Data!B:B,0)),"",INDEX(Data!K:K,MATCH(A37,Data!B:B,1)))) &amp; ""</f>
        <v/>
      </c>
      <c r="R37" s="134"/>
      <c r="S37" s="134"/>
      <c r="T37" s="127"/>
      <c r="AF37" s="24" t="str">
        <f>IF(C37="","",INDEX(Workouts!B:B,MATCH(C37,Workouts!A:A,0)))</f>
        <v/>
      </c>
      <c r="AG37" s="24" t="str">
        <f>IF(SUMIF(Data!B:B,A37,Data!D:D)=0,"",SUMIF(Data!B:B,A37,Data!D:D))</f>
        <v/>
      </c>
      <c r="AH37" s="25" t="str">
        <f>IF(C37="","",INDEX(Workouts!C:C,MATCH(C37,Workouts!A:A,0)))</f>
        <v/>
      </c>
      <c r="AI37" s="68" t="str">
        <f>IF(SUMIF(Data!B:B,A37,Data!F:F)=0,"",SUMIF(Data!B:B,A37,Data!F:F))</f>
        <v/>
      </c>
      <c r="AJ37" s="68">
        <f>AJ36+ (IF(AH37="",0,AH37)-AJ36)/Charts!$X$5</f>
        <v>0.27681664322708055</v>
      </c>
      <c r="AK37" s="68">
        <f>AK36+ (IF(AI37="",0,AI37)-AK36)/Charts!$X$5</f>
        <v>0.27681664322708055</v>
      </c>
      <c r="AL37" s="68">
        <f>AL36+ (IF(AH37="",0,AH37)-AL36)/Charts!$X$6</f>
        <v>23.663147496019111</v>
      </c>
      <c r="AM37" s="68">
        <f>AM36+ (IF(AI37="",0,AI37)-AM36)/Charts!$X$6</f>
        <v>23.663147496019111</v>
      </c>
      <c r="AN37" s="68" t="str">
        <f t="shared" si="10"/>
        <v>24</v>
      </c>
      <c r="AO37" s="68" t="str">
        <f t="shared" si="11"/>
        <v>24</v>
      </c>
      <c r="AP37" s="69" t="str">
        <f>IF(C37="","",INDEX(Workouts!D:D,MATCH(C37,Workouts!A:A,0)))</f>
        <v/>
      </c>
      <c r="AQ37" s="69" t="str">
        <f>IF(ISNA(MATCH(A37,Data!B:B,0)),"",INDEX(Data!G:G,MATCH(A37,Data!B:B,1)))</f>
        <v/>
      </c>
    </row>
    <row r="38" spans="1:43" s="1" customFormat="1" x14ac:dyDescent="0.2">
      <c r="A38" s="125">
        <f t="shared" si="9"/>
        <v>44233</v>
      </c>
      <c r="B38" s="126" t="str">
        <f t="shared" si="6"/>
        <v>Sat</v>
      </c>
      <c r="C38" s="140"/>
      <c r="D38" s="128" t="str">
        <f t="shared" si="7"/>
        <v/>
      </c>
      <c r="E38" s="129" t="str">
        <f t="shared" si="8"/>
        <v/>
      </c>
      <c r="F38" s="130" t="str">
        <f>IF(SUMIF(Data!B:B,A38,Data!C:C)=0,"",SUMIF(Data!B:B,A38,Data!C:C))</f>
        <v/>
      </c>
      <c r="G38" s="126" t="str">
        <f>IF(OR(S38="T",S38="RUN",SUMIF(Data!B:B,A38,Data!E:E)=0),"",SUMIF(Data!B:B,A38,Data!E:E))</f>
        <v/>
      </c>
      <c r="H38" s="126" t="str">
        <f t="shared" si="0"/>
        <v/>
      </c>
      <c r="I38" s="131" t="str">
        <f t="shared" si="1"/>
        <v>0 (0)</v>
      </c>
      <c r="J38" s="131" t="str">
        <f t="shared" si="2"/>
        <v>23 (23)</v>
      </c>
      <c r="K38" s="131" t="str">
        <f t="shared" si="3"/>
        <v>24 (24)</v>
      </c>
      <c r="L38" s="132" t="str">
        <f t="shared" si="4"/>
        <v/>
      </c>
      <c r="M38" s="131" t="str">
        <f t="shared" si="5"/>
        <v/>
      </c>
      <c r="N38" s="126" t="str">
        <f>IF(ISNA(MATCH(A38,Data!B:B,0)),"",INDEX(Data!H:H,MATCH(A38,Data!B:B,1))) &amp; ""</f>
        <v/>
      </c>
      <c r="O38" s="126" t="str">
        <f>IF(ISNA(MATCH(A38,Data!B:B,0)),"",INDEX(Data!I:I,MATCH(A38,Data!B:B,1))) &amp; ""</f>
        <v/>
      </c>
      <c r="P38" s="133" t="str">
        <f>IF(ISNA(MATCH(A38,Data!B:B,0)),"",INDEX(Data!J:J,MATCH(A38,Data!B:B,1))) &amp; ""</f>
        <v/>
      </c>
      <c r="Q38" s="126" t="str">
        <f>IF(S38="T",Charts!$X$7,IF(ISNA(MATCH(A38,Data!B:B,0)),"",INDEX(Data!K:K,MATCH(A38,Data!B:B,1)))) &amp; ""</f>
        <v/>
      </c>
      <c r="R38" s="134"/>
      <c r="S38" s="134"/>
      <c r="T38" s="127"/>
      <c r="AF38" s="24" t="str">
        <f>IF(C38="","",INDEX(Workouts!B:B,MATCH(C38,Workouts!A:A,0)))</f>
        <v/>
      </c>
      <c r="AG38" s="24" t="str">
        <f>IF(SUMIF(Data!B:B,A38,Data!D:D)=0,"",SUMIF(Data!B:B,A38,Data!D:D))</f>
        <v/>
      </c>
      <c r="AH38" s="25" t="str">
        <f>IF(C38="","",INDEX(Workouts!C:C,MATCH(C38,Workouts!A:A,0)))</f>
        <v/>
      </c>
      <c r="AI38" s="68" t="str">
        <f>IF(SUMIF(Data!B:B,A38,Data!F:F)=0,"",SUMIF(Data!B:B,A38,Data!F:F))</f>
        <v/>
      </c>
      <c r="AJ38" s="68">
        <f>AJ37+ (IF(AH38="",0,AH38)-AJ37)/Charts!$X$5</f>
        <v>0.23727140848035477</v>
      </c>
      <c r="AK38" s="68">
        <f>AK37+ (IF(AI38="",0,AI38)-AK37)/Charts!$X$5</f>
        <v>0.23727140848035477</v>
      </c>
      <c r="AL38" s="68">
        <f>AL37+ (IF(AH38="",0,AH38)-AL37)/Charts!$X$6</f>
        <v>23.099739222304368</v>
      </c>
      <c r="AM38" s="68">
        <f>AM37+ (IF(AI38="",0,AI38)-AM37)/Charts!$X$6</f>
        <v>23.099739222304368</v>
      </c>
      <c r="AN38" s="68" t="str">
        <f t="shared" si="10"/>
        <v>24</v>
      </c>
      <c r="AO38" s="68" t="str">
        <f t="shared" si="11"/>
        <v>24</v>
      </c>
      <c r="AP38" s="69" t="str">
        <f>IF(C38="","",INDEX(Workouts!D:D,MATCH(C38,Workouts!A:A,0)))</f>
        <v/>
      </c>
      <c r="AQ38" s="69" t="str">
        <f>IF(ISNA(MATCH(A38,Data!B:B,0)),"",INDEX(Data!G:G,MATCH(A38,Data!B:B,1)))</f>
        <v/>
      </c>
    </row>
    <row r="39" spans="1:43" s="1" customFormat="1" x14ac:dyDescent="0.2">
      <c r="A39" s="125">
        <f t="shared" si="9"/>
        <v>44234</v>
      </c>
      <c r="B39" s="126" t="str">
        <f t="shared" si="6"/>
        <v>Sun</v>
      </c>
      <c r="C39" s="140"/>
      <c r="D39" s="128" t="str">
        <f t="shared" si="7"/>
        <v/>
      </c>
      <c r="E39" s="129" t="str">
        <f t="shared" si="8"/>
        <v/>
      </c>
      <c r="F39" s="130" t="str">
        <f>IF(SUMIF(Data!B:B,A39,Data!C:C)=0,"",SUMIF(Data!B:B,A39,Data!C:C))</f>
        <v/>
      </c>
      <c r="G39" s="126" t="str">
        <f>IF(OR(S39="T",S39="RUN",SUMIF(Data!B:B,A39,Data!E:E)=0),"",SUMIF(Data!B:B,A39,Data!E:E))</f>
        <v/>
      </c>
      <c r="H39" s="126" t="str">
        <f t="shared" si="0"/>
        <v/>
      </c>
      <c r="I39" s="131" t="str">
        <f t="shared" si="1"/>
        <v>0 (0)</v>
      </c>
      <c r="J39" s="131" t="str">
        <f t="shared" si="2"/>
        <v>23 (23)</v>
      </c>
      <c r="K39" s="131" t="str">
        <f t="shared" si="3"/>
        <v>23 (23)</v>
      </c>
      <c r="L39" s="132" t="str">
        <f t="shared" si="4"/>
        <v/>
      </c>
      <c r="M39" s="131" t="str">
        <f t="shared" si="5"/>
        <v/>
      </c>
      <c r="N39" s="126" t="str">
        <f>IF(ISNA(MATCH(A39,Data!B:B,0)),"",INDEX(Data!H:H,MATCH(A39,Data!B:B,1))) &amp; ""</f>
        <v/>
      </c>
      <c r="O39" s="126" t="str">
        <f>IF(ISNA(MATCH(A39,Data!B:B,0)),"",INDEX(Data!I:I,MATCH(A39,Data!B:B,1))) &amp; ""</f>
        <v/>
      </c>
      <c r="P39" s="133" t="str">
        <f>IF(ISNA(MATCH(A39,Data!B:B,0)),"",INDEX(Data!J:J,MATCH(A39,Data!B:B,1))) &amp; ""</f>
        <v/>
      </c>
      <c r="Q39" s="126" t="str">
        <f>IF(S39="T",Charts!$X$7,IF(ISNA(MATCH(A39,Data!B:B,0)),"",INDEX(Data!K:K,MATCH(A39,Data!B:B,1)))) &amp; ""</f>
        <v/>
      </c>
      <c r="R39" s="134"/>
      <c r="S39" s="134"/>
      <c r="T39" s="127"/>
      <c r="AF39" s="24" t="str">
        <f>IF(C39="","",INDEX(Workouts!B:B,MATCH(C39,Workouts!A:A,0)))</f>
        <v/>
      </c>
      <c r="AG39" s="24" t="str">
        <f>IF(SUMIF(Data!B:B,A39,Data!D:D)=0,"",SUMIF(Data!B:B,A39,Data!D:D))</f>
        <v/>
      </c>
      <c r="AH39" s="25" t="str">
        <f>IF(C39="","",INDEX(Workouts!C:C,MATCH(C39,Workouts!A:A,0)))</f>
        <v/>
      </c>
      <c r="AI39" s="68" t="str">
        <f>IF(SUMIF(Data!B:B,A39,Data!F:F)=0,"",SUMIF(Data!B:B,A39,Data!F:F))</f>
        <v/>
      </c>
      <c r="AJ39" s="68">
        <f>AJ38+ (IF(AH39="",0,AH39)-AJ38)/Charts!$X$5</f>
        <v>0.20337549298316124</v>
      </c>
      <c r="AK39" s="68">
        <f>AK38+ (IF(AI39="",0,AI39)-AK38)/Charts!$X$5</f>
        <v>0.20337549298316124</v>
      </c>
      <c r="AL39" s="68">
        <f>AL38+ (IF(AH39="",0,AH39)-AL38)/Charts!$X$6</f>
        <v>22.549745431297122</v>
      </c>
      <c r="AM39" s="68">
        <f>AM38+ (IF(AI39="",0,AI39)-AM38)/Charts!$X$6</f>
        <v>22.549745431297122</v>
      </c>
      <c r="AN39" s="68" t="str">
        <f t="shared" si="10"/>
        <v>23</v>
      </c>
      <c r="AO39" s="68" t="str">
        <f t="shared" si="11"/>
        <v>23</v>
      </c>
      <c r="AP39" s="69" t="str">
        <f>IF(C39="","",INDEX(Workouts!D:D,MATCH(C39,Workouts!A:A,0)))</f>
        <v/>
      </c>
      <c r="AQ39" s="69" t="str">
        <f>IF(ISNA(MATCH(A39,Data!B:B,0)),"",INDEX(Data!G:G,MATCH(A39,Data!B:B,1)))</f>
        <v/>
      </c>
    </row>
    <row r="40" spans="1:43" s="1" customFormat="1" x14ac:dyDescent="0.2">
      <c r="A40" s="125">
        <f t="shared" si="9"/>
        <v>44235</v>
      </c>
      <c r="B40" s="126" t="str">
        <f t="shared" si="6"/>
        <v>Mon</v>
      </c>
      <c r="C40" s="140"/>
      <c r="D40" s="128" t="str">
        <f t="shared" si="7"/>
        <v/>
      </c>
      <c r="E40" s="129" t="str">
        <f t="shared" si="8"/>
        <v/>
      </c>
      <c r="F40" s="130" t="str">
        <f>IF(SUMIF(Data!B:B,A40,Data!C:C)=0,"",SUMIF(Data!B:B,A40,Data!C:C))</f>
        <v/>
      </c>
      <c r="G40" s="126" t="str">
        <f>IF(OR(S40="T",S40="RUN",SUMIF(Data!B:B,A40,Data!E:E)=0),"",SUMIF(Data!B:B,A40,Data!E:E))</f>
        <v/>
      </c>
      <c r="H40" s="126" t="str">
        <f t="shared" si="0"/>
        <v/>
      </c>
      <c r="I40" s="131" t="str">
        <f t="shared" si="1"/>
        <v>0 (0)</v>
      </c>
      <c r="J40" s="131" t="str">
        <f t="shared" si="2"/>
        <v>22 (22)</v>
      </c>
      <c r="K40" s="131" t="str">
        <f t="shared" si="3"/>
        <v>23 (23)</v>
      </c>
      <c r="L40" s="132" t="str">
        <f t="shared" si="4"/>
        <v/>
      </c>
      <c r="M40" s="131" t="str">
        <f t="shared" si="5"/>
        <v/>
      </c>
      <c r="N40" s="126" t="str">
        <f>IF(ISNA(MATCH(A40,Data!B:B,0)),"",INDEX(Data!H:H,MATCH(A40,Data!B:B,1))) &amp; ""</f>
        <v/>
      </c>
      <c r="O40" s="126" t="str">
        <f>IF(ISNA(MATCH(A40,Data!B:B,0)),"",INDEX(Data!I:I,MATCH(A40,Data!B:B,1))) &amp; ""</f>
        <v/>
      </c>
      <c r="P40" s="133" t="str">
        <f>IF(ISNA(MATCH(A40,Data!B:B,0)),"",INDEX(Data!J:J,MATCH(A40,Data!B:B,1))) &amp; ""</f>
        <v/>
      </c>
      <c r="Q40" s="126" t="str">
        <f>IF(S40="T",Charts!$X$7,IF(ISNA(MATCH(A40,Data!B:B,0)),"",INDEX(Data!K:K,MATCH(A40,Data!B:B,1)))) &amp; ""</f>
        <v/>
      </c>
      <c r="R40" s="134"/>
      <c r="S40" s="134"/>
      <c r="T40" s="127"/>
      <c r="AF40" s="24" t="str">
        <f>IF(C40="","",INDEX(Workouts!B:B,MATCH(C40,Workouts!A:A,0)))</f>
        <v/>
      </c>
      <c r="AG40" s="24" t="str">
        <f>IF(SUMIF(Data!B:B,A40,Data!D:D)=0,"",SUMIF(Data!B:B,A40,Data!D:D))</f>
        <v/>
      </c>
      <c r="AH40" s="25" t="str">
        <f>IF(C40="","",INDEX(Workouts!C:C,MATCH(C40,Workouts!A:A,0)))</f>
        <v/>
      </c>
      <c r="AI40" s="68" t="str">
        <f>IF(SUMIF(Data!B:B,A40,Data!F:F)=0,"",SUMIF(Data!B:B,A40,Data!F:F))</f>
        <v/>
      </c>
      <c r="AJ40" s="68">
        <f>AJ39+ (IF(AH40="",0,AH40)-AJ39)/Charts!$X$5</f>
        <v>0.17432185112842391</v>
      </c>
      <c r="AK40" s="68">
        <f>AK39+ (IF(AI40="",0,AI40)-AK39)/Charts!$X$5</f>
        <v>0.17432185112842391</v>
      </c>
      <c r="AL40" s="68">
        <f>AL39+ (IF(AH40="",0,AH40)-AL39)/Charts!$X$6</f>
        <v>22.012846730551953</v>
      </c>
      <c r="AM40" s="68">
        <f>AM39+ (IF(AI40="",0,AI40)-AM39)/Charts!$X$6</f>
        <v>22.012846730551953</v>
      </c>
      <c r="AN40" s="68" t="str">
        <f t="shared" si="10"/>
        <v>23</v>
      </c>
      <c r="AO40" s="68" t="str">
        <f t="shared" si="11"/>
        <v>23</v>
      </c>
      <c r="AP40" s="69" t="str">
        <f>IF(C40="","",INDEX(Workouts!D:D,MATCH(C40,Workouts!A:A,0)))</f>
        <v/>
      </c>
      <c r="AQ40" s="69" t="str">
        <f>IF(ISNA(MATCH(A40,Data!B:B,0)),"",INDEX(Data!G:G,MATCH(A40,Data!B:B,1)))</f>
        <v/>
      </c>
    </row>
    <row r="41" spans="1:43" s="1" customFormat="1" x14ac:dyDescent="0.2">
      <c r="A41" s="125">
        <f t="shared" si="9"/>
        <v>44236</v>
      </c>
      <c r="B41" s="126" t="str">
        <f t="shared" si="6"/>
        <v>Tue</v>
      </c>
      <c r="C41" s="140"/>
      <c r="D41" s="128" t="str">
        <f t="shared" si="7"/>
        <v/>
      </c>
      <c r="E41" s="129" t="str">
        <f t="shared" si="8"/>
        <v/>
      </c>
      <c r="F41" s="130" t="str">
        <f>IF(SUMIF(Data!B:B,A41,Data!C:C)=0,"",SUMIF(Data!B:B,A41,Data!C:C))</f>
        <v/>
      </c>
      <c r="G41" s="126" t="str">
        <f>IF(OR(S41="T",S41="RUN",SUMIF(Data!B:B,A41,Data!E:E)=0),"",SUMIF(Data!B:B,A41,Data!E:E))</f>
        <v/>
      </c>
      <c r="H41" s="126" t="str">
        <f t="shared" si="0"/>
        <v/>
      </c>
      <c r="I41" s="131" t="str">
        <f t="shared" si="1"/>
        <v>0 (0)</v>
      </c>
      <c r="J41" s="131" t="str">
        <f t="shared" si="2"/>
        <v>21 (21)</v>
      </c>
      <c r="K41" s="131" t="str">
        <f t="shared" si="3"/>
        <v>22 (22)</v>
      </c>
      <c r="L41" s="132" t="str">
        <f t="shared" si="4"/>
        <v/>
      </c>
      <c r="M41" s="131" t="str">
        <f t="shared" si="5"/>
        <v/>
      </c>
      <c r="N41" s="126" t="str">
        <f>IF(ISNA(MATCH(A41,Data!B:B,0)),"",INDEX(Data!H:H,MATCH(A41,Data!B:B,1))) &amp; ""</f>
        <v/>
      </c>
      <c r="O41" s="126" t="str">
        <f>IF(ISNA(MATCH(A41,Data!B:B,0)),"",INDEX(Data!I:I,MATCH(A41,Data!B:B,1))) &amp; ""</f>
        <v/>
      </c>
      <c r="P41" s="133" t="str">
        <f>IF(ISNA(MATCH(A41,Data!B:B,0)),"",INDEX(Data!J:J,MATCH(A41,Data!B:B,1))) &amp; ""</f>
        <v/>
      </c>
      <c r="Q41" s="126" t="str">
        <f>IF(S41="T",Charts!$X$7,IF(ISNA(MATCH(A41,Data!B:B,0)),"",INDEX(Data!K:K,MATCH(A41,Data!B:B,1)))) &amp; ""</f>
        <v/>
      </c>
      <c r="R41" s="134"/>
      <c r="S41" s="134"/>
      <c r="T41" s="127"/>
      <c r="AF41" s="24" t="str">
        <f>IF(C41="","",INDEX(Workouts!B:B,MATCH(C41,Workouts!A:A,0)))</f>
        <v/>
      </c>
      <c r="AG41" s="24" t="str">
        <f>IF(SUMIF(Data!B:B,A41,Data!D:D)=0,"",SUMIF(Data!B:B,A41,Data!D:D))</f>
        <v/>
      </c>
      <c r="AH41" s="25" t="str">
        <f>IF(C41="","",INDEX(Workouts!C:C,MATCH(C41,Workouts!A:A,0)))</f>
        <v/>
      </c>
      <c r="AI41" s="68" t="str">
        <f>IF(SUMIF(Data!B:B,A41,Data!F:F)=0,"",SUMIF(Data!B:B,A41,Data!F:F))</f>
        <v/>
      </c>
      <c r="AJ41" s="68">
        <f>AJ40+ (IF(AH41="",0,AH41)-AJ40)/Charts!$X$5</f>
        <v>0.14941872953864907</v>
      </c>
      <c r="AK41" s="68">
        <f>AK40+ (IF(AI41="",0,AI41)-AK40)/Charts!$X$5</f>
        <v>0.14941872953864907</v>
      </c>
      <c r="AL41" s="68">
        <f>AL40+ (IF(AH41="",0,AH41)-AL40)/Charts!$X$6</f>
        <v>21.488731332205479</v>
      </c>
      <c r="AM41" s="68">
        <f>AM40+ (IF(AI41="",0,AI41)-AM40)/Charts!$X$6</f>
        <v>21.488731332205479</v>
      </c>
      <c r="AN41" s="68" t="str">
        <f t="shared" si="10"/>
        <v>22</v>
      </c>
      <c r="AO41" s="68" t="str">
        <f t="shared" si="11"/>
        <v>22</v>
      </c>
      <c r="AP41" s="69" t="str">
        <f>IF(C41="","",INDEX(Workouts!D:D,MATCH(C41,Workouts!A:A,0)))</f>
        <v/>
      </c>
      <c r="AQ41" s="69" t="str">
        <f>IF(ISNA(MATCH(A41,Data!B:B,0)),"",INDEX(Data!G:G,MATCH(A41,Data!B:B,1)))</f>
        <v/>
      </c>
    </row>
    <row r="42" spans="1:43" s="1" customFormat="1" x14ac:dyDescent="0.2">
      <c r="A42" s="125">
        <f t="shared" si="9"/>
        <v>44237</v>
      </c>
      <c r="B42" s="126" t="str">
        <f t="shared" si="6"/>
        <v>Wed</v>
      </c>
      <c r="C42" s="140"/>
      <c r="D42" s="128" t="str">
        <f t="shared" si="7"/>
        <v/>
      </c>
      <c r="E42" s="129" t="str">
        <f t="shared" si="8"/>
        <v/>
      </c>
      <c r="F42" s="130" t="str">
        <f>IF(SUMIF(Data!B:B,A42,Data!C:C)=0,"",SUMIF(Data!B:B,A42,Data!C:C))</f>
        <v/>
      </c>
      <c r="G42" s="126" t="str">
        <f>IF(OR(S42="T",S42="RUN",SUMIF(Data!B:B,A42,Data!E:E)=0),"",SUMIF(Data!B:B,A42,Data!E:E))</f>
        <v/>
      </c>
      <c r="H42" s="126" t="str">
        <f t="shared" si="0"/>
        <v/>
      </c>
      <c r="I42" s="131" t="str">
        <f t="shared" si="1"/>
        <v>0 (0)</v>
      </c>
      <c r="J42" s="131" t="str">
        <f t="shared" si="2"/>
        <v>21 (21)</v>
      </c>
      <c r="K42" s="131" t="str">
        <f t="shared" si="3"/>
        <v>21 (21)</v>
      </c>
      <c r="L42" s="132" t="str">
        <f t="shared" si="4"/>
        <v/>
      </c>
      <c r="M42" s="131" t="str">
        <f t="shared" si="5"/>
        <v/>
      </c>
      <c r="N42" s="126" t="str">
        <f>IF(ISNA(MATCH(A42,Data!B:B,0)),"",INDEX(Data!H:H,MATCH(A42,Data!B:B,1))) &amp; ""</f>
        <v/>
      </c>
      <c r="O42" s="126" t="str">
        <f>IF(ISNA(MATCH(A42,Data!B:B,0)),"",INDEX(Data!I:I,MATCH(A42,Data!B:B,1))) &amp; ""</f>
        <v/>
      </c>
      <c r="P42" s="133" t="str">
        <f>IF(ISNA(MATCH(A42,Data!B:B,0)),"",INDEX(Data!J:J,MATCH(A42,Data!B:B,1))) &amp; ""</f>
        <v/>
      </c>
      <c r="Q42" s="126" t="str">
        <f>IF(S42="T",Charts!$X$7,IF(ISNA(MATCH(A42,Data!B:B,0)),"",INDEX(Data!K:K,MATCH(A42,Data!B:B,1)))) &amp; ""</f>
        <v/>
      </c>
      <c r="R42" s="134"/>
      <c r="S42" s="134"/>
      <c r="T42" s="127"/>
      <c r="AF42" s="24" t="str">
        <f>IF(C42="","",INDEX(Workouts!B:B,MATCH(C42,Workouts!A:A,0)))</f>
        <v/>
      </c>
      <c r="AG42" s="24" t="str">
        <f>IF(SUMIF(Data!B:B,A42,Data!D:D)=0,"",SUMIF(Data!B:B,A42,Data!D:D))</f>
        <v/>
      </c>
      <c r="AH42" s="25" t="str">
        <f>IF(C42="","",INDEX(Workouts!C:C,MATCH(C42,Workouts!A:A,0)))</f>
        <v/>
      </c>
      <c r="AI42" s="68" t="str">
        <f>IF(SUMIF(Data!B:B,A42,Data!F:F)=0,"",SUMIF(Data!B:B,A42,Data!F:F))</f>
        <v/>
      </c>
      <c r="AJ42" s="68">
        <f>AJ41+ (IF(AH42="",0,AH42)-AJ41)/Charts!$X$5</f>
        <v>0.12807319674741349</v>
      </c>
      <c r="AK42" s="68">
        <f>AK41+ (IF(AI42="",0,AI42)-AK41)/Charts!$X$5</f>
        <v>0.12807319674741349</v>
      </c>
      <c r="AL42" s="68">
        <f>AL41+ (IF(AH42="",0,AH42)-AL41)/Charts!$X$6</f>
        <v>20.977094871914872</v>
      </c>
      <c r="AM42" s="68">
        <f>AM41+ (IF(AI42="",0,AI42)-AM41)/Charts!$X$6</f>
        <v>20.977094871914872</v>
      </c>
      <c r="AN42" s="68" t="str">
        <f t="shared" si="10"/>
        <v>21</v>
      </c>
      <c r="AO42" s="68" t="str">
        <f t="shared" si="11"/>
        <v>21</v>
      </c>
      <c r="AP42" s="69" t="str">
        <f>IF(C42="","",INDEX(Workouts!D:D,MATCH(C42,Workouts!A:A,0)))</f>
        <v/>
      </c>
      <c r="AQ42" s="69" t="str">
        <f>IF(ISNA(MATCH(A42,Data!B:B,0)),"",INDEX(Data!G:G,MATCH(A42,Data!B:B,1)))</f>
        <v/>
      </c>
    </row>
    <row r="43" spans="1:43" s="1" customFormat="1" x14ac:dyDescent="0.2">
      <c r="A43" s="125">
        <f t="shared" si="9"/>
        <v>44238</v>
      </c>
      <c r="B43" s="126" t="str">
        <f t="shared" si="6"/>
        <v>Thu</v>
      </c>
      <c r="C43" s="140"/>
      <c r="D43" s="128" t="str">
        <f t="shared" si="7"/>
        <v/>
      </c>
      <c r="E43" s="129" t="str">
        <f t="shared" si="8"/>
        <v/>
      </c>
      <c r="F43" s="130" t="str">
        <f>IF(SUMIF(Data!B:B,A43,Data!C:C)=0,"",SUMIF(Data!B:B,A43,Data!C:C))</f>
        <v/>
      </c>
      <c r="G43" s="126" t="str">
        <f>IF(OR(S43="T",S43="RUN",SUMIF(Data!B:B,A43,Data!E:E)=0),"",SUMIF(Data!B:B,A43,Data!E:E))</f>
        <v/>
      </c>
      <c r="H43" s="126" t="str">
        <f t="shared" si="0"/>
        <v/>
      </c>
      <c r="I43" s="131" t="str">
        <f t="shared" si="1"/>
        <v>0 (0)</v>
      </c>
      <c r="J43" s="131" t="str">
        <f t="shared" si="2"/>
        <v>20 (20)</v>
      </c>
      <c r="K43" s="131" t="str">
        <f t="shared" si="3"/>
        <v>21 (21)</v>
      </c>
      <c r="L43" s="132" t="str">
        <f t="shared" si="4"/>
        <v/>
      </c>
      <c r="M43" s="131" t="str">
        <f t="shared" si="5"/>
        <v/>
      </c>
      <c r="N43" s="126" t="str">
        <f>IF(ISNA(MATCH(A43,Data!B:B,0)),"",INDEX(Data!H:H,MATCH(A43,Data!B:B,1))) &amp; ""</f>
        <v/>
      </c>
      <c r="O43" s="126" t="str">
        <f>IF(ISNA(MATCH(A43,Data!B:B,0)),"",INDEX(Data!I:I,MATCH(A43,Data!B:B,1))) &amp; ""</f>
        <v/>
      </c>
      <c r="P43" s="133" t="str">
        <f>IF(ISNA(MATCH(A43,Data!B:B,0)),"",INDEX(Data!J:J,MATCH(A43,Data!B:B,1))) &amp; ""</f>
        <v/>
      </c>
      <c r="Q43" s="126" t="str">
        <f>IF(S43="T",Charts!$X$7,IF(ISNA(MATCH(A43,Data!B:B,0)),"",INDEX(Data!K:K,MATCH(A43,Data!B:B,1)))) &amp; ""</f>
        <v/>
      </c>
      <c r="R43" s="134"/>
      <c r="S43" s="134"/>
      <c r="T43" s="127"/>
      <c r="AF43" s="24" t="str">
        <f>IF(C43="","",INDEX(Workouts!B:B,MATCH(C43,Workouts!A:A,0)))</f>
        <v/>
      </c>
      <c r="AG43" s="24" t="str">
        <f>IF(SUMIF(Data!B:B,A43,Data!D:D)=0,"",SUMIF(Data!B:B,A43,Data!D:D))</f>
        <v/>
      </c>
      <c r="AH43" s="25" t="str">
        <f>IF(C43="","",INDEX(Workouts!C:C,MATCH(C43,Workouts!A:A,0)))</f>
        <v/>
      </c>
      <c r="AI43" s="68" t="str">
        <f>IF(SUMIF(Data!B:B,A43,Data!F:F)=0,"",SUMIF(Data!B:B,A43,Data!F:F))</f>
        <v/>
      </c>
      <c r="AJ43" s="68">
        <f>AJ42+ (IF(AH43="",0,AH43)-AJ42)/Charts!$X$5</f>
        <v>0.10977702578349728</v>
      </c>
      <c r="AK43" s="68">
        <f>AK42+ (IF(AI43="",0,AI43)-AK42)/Charts!$X$5</f>
        <v>0.10977702578349728</v>
      </c>
      <c r="AL43" s="68">
        <f>AL42+ (IF(AH43="",0,AH43)-AL42)/Charts!$X$6</f>
        <v>20.477640232107376</v>
      </c>
      <c r="AM43" s="68">
        <f>AM42+ (IF(AI43="",0,AI43)-AM42)/Charts!$X$6</f>
        <v>20.477640232107376</v>
      </c>
      <c r="AN43" s="68" t="str">
        <f t="shared" si="10"/>
        <v>21</v>
      </c>
      <c r="AO43" s="68" t="str">
        <f t="shared" si="11"/>
        <v>21</v>
      </c>
      <c r="AP43" s="69" t="str">
        <f>IF(C43="","",INDEX(Workouts!D:D,MATCH(C43,Workouts!A:A,0)))</f>
        <v/>
      </c>
      <c r="AQ43" s="69" t="str">
        <f>IF(ISNA(MATCH(A43,Data!B:B,0)),"",INDEX(Data!G:G,MATCH(A43,Data!B:B,1)))</f>
        <v/>
      </c>
    </row>
    <row r="44" spans="1:43" s="1" customFormat="1" x14ac:dyDescent="0.2">
      <c r="A44" s="125">
        <f t="shared" si="9"/>
        <v>44239</v>
      </c>
      <c r="B44" s="126" t="str">
        <f t="shared" si="6"/>
        <v>Fri</v>
      </c>
      <c r="C44" s="140"/>
      <c r="D44" s="128" t="str">
        <f t="shared" si="7"/>
        <v/>
      </c>
      <c r="E44" s="129" t="str">
        <f t="shared" si="8"/>
        <v/>
      </c>
      <c r="F44" s="130" t="str">
        <f>IF(SUMIF(Data!B:B,A44,Data!C:C)=0,"",SUMIF(Data!B:B,A44,Data!C:C))</f>
        <v/>
      </c>
      <c r="G44" s="126" t="str">
        <f>IF(OR(S44="T",S44="RUN",SUMIF(Data!B:B,A44,Data!E:E)=0),"",SUMIF(Data!B:B,A44,Data!E:E))</f>
        <v/>
      </c>
      <c r="H44" s="126" t="str">
        <f t="shared" si="0"/>
        <v/>
      </c>
      <c r="I44" s="131" t="str">
        <f t="shared" si="1"/>
        <v>0 (0)</v>
      </c>
      <c r="J44" s="131" t="str">
        <f t="shared" si="2"/>
        <v>20 (20)</v>
      </c>
      <c r="K44" s="131" t="str">
        <f t="shared" si="3"/>
        <v>20 (20)</v>
      </c>
      <c r="L44" s="132" t="str">
        <f t="shared" si="4"/>
        <v/>
      </c>
      <c r="M44" s="131" t="str">
        <f t="shared" si="5"/>
        <v/>
      </c>
      <c r="N44" s="126" t="str">
        <f>IF(ISNA(MATCH(A44,Data!B:B,0)),"",INDEX(Data!H:H,MATCH(A44,Data!B:B,1))) &amp; ""</f>
        <v/>
      </c>
      <c r="O44" s="126" t="str">
        <f>IF(ISNA(MATCH(A44,Data!B:B,0)),"",INDEX(Data!I:I,MATCH(A44,Data!B:B,1))) &amp; ""</f>
        <v/>
      </c>
      <c r="P44" s="133" t="str">
        <f>IF(ISNA(MATCH(A44,Data!B:B,0)),"",INDEX(Data!J:J,MATCH(A44,Data!B:B,1))) &amp; ""</f>
        <v/>
      </c>
      <c r="Q44" s="126" t="str">
        <f>IF(S44="T",Charts!$X$7,IF(ISNA(MATCH(A44,Data!B:B,0)),"",INDEX(Data!K:K,MATCH(A44,Data!B:B,1)))) &amp; ""</f>
        <v/>
      </c>
      <c r="R44" s="134"/>
      <c r="S44" s="134"/>
      <c r="T44" s="127"/>
      <c r="AF44" s="24" t="str">
        <f>IF(C44="","",INDEX(Workouts!B:B,MATCH(C44,Workouts!A:A,0)))</f>
        <v/>
      </c>
      <c r="AG44" s="24" t="str">
        <f>IF(SUMIF(Data!B:B,A44,Data!D:D)=0,"",SUMIF(Data!B:B,A44,Data!D:D))</f>
        <v/>
      </c>
      <c r="AH44" s="25" t="str">
        <f>IF(C44="","",INDEX(Workouts!C:C,MATCH(C44,Workouts!A:A,0)))</f>
        <v/>
      </c>
      <c r="AI44" s="68" t="str">
        <f>IF(SUMIF(Data!B:B,A44,Data!F:F)=0,"",SUMIF(Data!B:B,A44,Data!F:F))</f>
        <v/>
      </c>
      <c r="AJ44" s="68">
        <f>AJ43+ (IF(AH44="",0,AH44)-AJ43)/Charts!$X$5</f>
        <v>9.4094593528711953E-2</v>
      </c>
      <c r="AK44" s="68">
        <f>AK43+ (IF(AI44="",0,AI44)-AK43)/Charts!$X$5</f>
        <v>9.4094593528711953E-2</v>
      </c>
      <c r="AL44" s="68">
        <f>AL43+ (IF(AH44="",0,AH44)-AL43)/Charts!$X$6</f>
        <v>19.990077369438154</v>
      </c>
      <c r="AM44" s="68">
        <f>AM43+ (IF(AI44="",0,AI44)-AM43)/Charts!$X$6</f>
        <v>19.990077369438154</v>
      </c>
      <c r="AN44" s="68" t="str">
        <f t="shared" si="10"/>
        <v>20</v>
      </c>
      <c r="AO44" s="68" t="str">
        <f t="shared" si="11"/>
        <v>20</v>
      </c>
      <c r="AP44" s="69" t="str">
        <f>IF(C44="","",INDEX(Workouts!D:D,MATCH(C44,Workouts!A:A,0)))</f>
        <v/>
      </c>
      <c r="AQ44" s="69" t="str">
        <f>IF(ISNA(MATCH(A44,Data!B:B,0)),"",INDEX(Data!G:G,MATCH(A44,Data!B:B,1)))</f>
        <v/>
      </c>
    </row>
    <row r="45" spans="1:43" s="1" customFormat="1" x14ac:dyDescent="0.2">
      <c r="A45" s="125">
        <f t="shared" si="9"/>
        <v>44240</v>
      </c>
      <c r="B45" s="126" t="str">
        <f t="shared" si="6"/>
        <v>Sat</v>
      </c>
      <c r="C45" s="140"/>
      <c r="D45" s="128" t="str">
        <f t="shared" si="7"/>
        <v/>
      </c>
      <c r="E45" s="129" t="str">
        <f t="shared" si="8"/>
        <v/>
      </c>
      <c r="F45" s="130" t="str">
        <f>IF(SUMIF(Data!B:B,A45,Data!C:C)=0,"",SUMIF(Data!B:B,A45,Data!C:C))</f>
        <v/>
      </c>
      <c r="G45" s="126" t="str">
        <f>IF(OR(S45="T",S45="RUN",SUMIF(Data!B:B,A45,Data!E:E)=0),"",SUMIF(Data!B:B,A45,Data!E:E))</f>
        <v/>
      </c>
      <c r="H45" s="126" t="str">
        <f t="shared" si="0"/>
        <v/>
      </c>
      <c r="I45" s="131" t="str">
        <f t="shared" si="1"/>
        <v>0 (0)</v>
      </c>
      <c r="J45" s="131" t="str">
        <f t="shared" si="2"/>
        <v>20 (20)</v>
      </c>
      <c r="K45" s="131" t="str">
        <f t="shared" si="3"/>
        <v>20 (20)</v>
      </c>
      <c r="L45" s="132" t="str">
        <f t="shared" si="4"/>
        <v/>
      </c>
      <c r="M45" s="131" t="str">
        <f t="shared" si="5"/>
        <v/>
      </c>
      <c r="N45" s="126" t="str">
        <f>IF(ISNA(MATCH(A45,Data!B:B,0)),"",INDEX(Data!H:H,MATCH(A45,Data!B:B,1))) &amp; ""</f>
        <v/>
      </c>
      <c r="O45" s="126" t="str">
        <f>IF(ISNA(MATCH(A45,Data!B:B,0)),"",INDEX(Data!I:I,MATCH(A45,Data!B:B,1))) &amp; ""</f>
        <v/>
      </c>
      <c r="P45" s="133" t="str">
        <f>IF(ISNA(MATCH(A45,Data!B:B,0)),"",INDEX(Data!J:J,MATCH(A45,Data!B:B,1))) &amp; ""</f>
        <v/>
      </c>
      <c r="Q45" s="126" t="str">
        <f>IF(S45="T",Charts!$X$7,IF(ISNA(MATCH(A45,Data!B:B,0)),"",INDEX(Data!K:K,MATCH(A45,Data!B:B,1)))) &amp; ""</f>
        <v/>
      </c>
      <c r="R45" s="134"/>
      <c r="S45" s="134"/>
      <c r="T45" s="127"/>
      <c r="AF45" s="24" t="str">
        <f>IF(C45="","",INDEX(Workouts!B:B,MATCH(C45,Workouts!A:A,0)))</f>
        <v/>
      </c>
      <c r="AG45" s="24" t="str">
        <f>IF(SUMIF(Data!B:B,A45,Data!D:D)=0,"",SUMIF(Data!B:B,A45,Data!D:D))</f>
        <v/>
      </c>
      <c r="AH45" s="25" t="str">
        <f>IF(C45="","",INDEX(Workouts!C:C,MATCH(C45,Workouts!A:A,0)))</f>
        <v/>
      </c>
      <c r="AI45" s="68" t="str">
        <f>IF(SUMIF(Data!B:B,A45,Data!F:F)=0,"",SUMIF(Data!B:B,A45,Data!F:F))</f>
        <v/>
      </c>
      <c r="AJ45" s="68">
        <f>AJ44+ (IF(AH45="",0,AH45)-AJ44)/Charts!$X$5</f>
        <v>8.0652508738895956E-2</v>
      </c>
      <c r="AK45" s="68">
        <f>AK44+ (IF(AI45="",0,AI45)-AK44)/Charts!$X$5</f>
        <v>8.0652508738895956E-2</v>
      </c>
      <c r="AL45" s="68">
        <f>AL44+ (IF(AH45="",0,AH45)-AL44)/Charts!$X$6</f>
        <v>19.514123146356294</v>
      </c>
      <c r="AM45" s="68">
        <f>AM44+ (IF(AI45="",0,AI45)-AM44)/Charts!$X$6</f>
        <v>19.514123146356294</v>
      </c>
      <c r="AN45" s="68" t="str">
        <f t="shared" si="10"/>
        <v>20</v>
      </c>
      <c r="AO45" s="68" t="str">
        <f t="shared" si="11"/>
        <v>20</v>
      </c>
      <c r="AP45" s="69" t="str">
        <f>IF(C45="","",INDEX(Workouts!D:D,MATCH(C45,Workouts!A:A,0)))</f>
        <v/>
      </c>
      <c r="AQ45" s="69" t="str">
        <f>IF(ISNA(MATCH(A45,Data!B:B,0)),"",INDEX(Data!G:G,MATCH(A45,Data!B:B,1)))</f>
        <v/>
      </c>
    </row>
    <row r="46" spans="1:43" s="1" customFormat="1" x14ac:dyDescent="0.2">
      <c r="A46" s="125">
        <f t="shared" si="9"/>
        <v>44241</v>
      </c>
      <c r="B46" s="126" t="str">
        <f t="shared" si="6"/>
        <v>Sun</v>
      </c>
      <c r="C46" s="140"/>
      <c r="D46" s="128" t="str">
        <f t="shared" si="7"/>
        <v/>
      </c>
      <c r="E46" s="129" t="str">
        <f t="shared" si="8"/>
        <v/>
      </c>
      <c r="F46" s="130" t="str">
        <f>IF(SUMIF(Data!B:B,A46,Data!C:C)=0,"",SUMIF(Data!B:B,A46,Data!C:C))</f>
        <v/>
      </c>
      <c r="G46" s="126" t="str">
        <f>IF(OR(S46="T",S46="RUN",SUMIF(Data!B:B,A46,Data!E:E)=0),"",SUMIF(Data!B:B,A46,Data!E:E))</f>
        <v/>
      </c>
      <c r="H46" s="126" t="str">
        <f t="shared" si="0"/>
        <v/>
      </c>
      <c r="I46" s="131" t="str">
        <f t="shared" si="1"/>
        <v>0 (0)</v>
      </c>
      <c r="J46" s="131" t="str">
        <f t="shared" si="2"/>
        <v>19 (19)</v>
      </c>
      <c r="K46" s="131" t="str">
        <f t="shared" si="3"/>
        <v>20 (20)</v>
      </c>
      <c r="L46" s="132" t="str">
        <f t="shared" si="4"/>
        <v/>
      </c>
      <c r="M46" s="131" t="str">
        <f t="shared" si="5"/>
        <v/>
      </c>
      <c r="N46" s="126" t="str">
        <f>IF(ISNA(MATCH(A46,Data!B:B,0)),"",INDEX(Data!H:H,MATCH(A46,Data!B:B,1))) &amp; ""</f>
        <v/>
      </c>
      <c r="O46" s="126" t="str">
        <f>IF(ISNA(MATCH(A46,Data!B:B,0)),"",INDEX(Data!I:I,MATCH(A46,Data!B:B,1))) &amp; ""</f>
        <v/>
      </c>
      <c r="P46" s="133" t="str">
        <f>IF(ISNA(MATCH(A46,Data!B:B,0)),"",INDEX(Data!J:J,MATCH(A46,Data!B:B,1))) &amp; ""</f>
        <v/>
      </c>
      <c r="Q46" s="126" t="str">
        <f>IF(S46="T",Charts!$X$7,IF(ISNA(MATCH(A46,Data!B:B,0)),"",INDEX(Data!K:K,MATCH(A46,Data!B:B,1)))) &amp; ""</f>
        <v/>
      </c>
      <c r="R46" s="134"/>
      <c r="S46" s="134"/>
      <c r="T46" s="127"/>
      <c r="AF46" s="24" t="str">
        <f>IF(C46="","",INDEX(Workouts!B:B,MATCH(C46,Workouts!A:A,0)))</f>
        <v/>
      </c>
      <c r="AG46" s="24" t="str">
        <f>IF(SUMIF(Data!B:B,A46,Data!D:D)=0,"",SUMIF(Data!B:B,A46,Data!D:D))</f>
        <v/>
      </c>
      <c r="AH46" s="25" t="str">
        <f>IF(C46="","",INDEX(Workouts!C:C,MATCH(C46,Workouts!A:A,0)))</f>
        <v/>
      </c>
      <c r="AI46" s="68" t="str">
        <f>IF(SUMIF(Data!B:B,A46,Data!F:F)=0,"",SUMIF(Data!B:B,A46,Data!F:F))</f>
        <v/>
      </c>
      <c r="AJ46" s="68">
        <f>AJ45+ (IF(AH46="",0,AH46)-AJ45)/Charts!$X$5</f>
        <v>6.913072177619653E-2</v>
      </c>
      <c r="AK46" s="68">
        <f>AK45+ (IF(AI46="",0,AI46)-AK45)/Charts!$X$5</f>
        <v>6.913072177619653E-2</v>
      </c>
      <c r="AL46" s="68">
        <f>AL45+ (IF(AH46="",0,AH46)-AL45)/Charts!$X$6</f>
        <v>19.049501166681143</v>
      </c>
      <c r="AM46" s="68">
        <f>AM45+ (IF(AI46="",0,AI46)-AM45)/Charts!$X$6</f>
        <v>19.049501166681143</v>
      </c>
      <c r="AN46" s="68" t="str">
        <f t="shared" si="10"/>
        <v>20</v>
      </c>
      <c r="AO46" s="68" t="str">
        <f t="shared" si="11"/>
        <v>20</v>
      </c>
      <c r="AP46" s="69" t="str">
        <f>IF(C46="","",INDEX(Workouts!D:D,MATCH(C46,Workouts!A:A,0)))</f>
        <v/>
      </c>
      <c r="AQ46" s="69" t="str">
        <f>IF(ISNA(MATCH(A46,Data!B:B,0)),"",INDEX(Data!G:G,MATCH(A46,Data!B:B,1)))</f>
        <v/>
      </c>
    </row>
    <row r="47" spans="1:43" s="1" customFormat="1" x14ac:dyDescent="0.2">
      <c r="A47" s="125">
        <f t="shared" si="9"/>
        <v>44242</v>
      </c>
      <c r="B47" s="126" t="str">
        <f t="shared" si="6"/>
        <v>Mon</v>
      </c>
      <c r="C47" s="140"/>
      <c r="D47" s="128" t="str">
        <f t="shared" si="7"/>
        <v/>
      </c>
      <c r="E47" s="129" t="str">
        <f t="shared" si="8"/>
        <v/>
      </c>
      <c r="F47" s="130" t="str">
        <f>IF(SUMIF(Data!B:B,A47,Data!C:C)=0,"",SUMIF(Data!B:B,A47,Data!C:C))</f>
        <v/>
      </c>
      <c r="G47" s="126" t="str">
        <f>IF(OR(S47="T",S47="RUN",SUMIF(Data!B:B,A47,Data!E:E)=0),"",SUMIF(Data!B:B,A47,Data!E:E))</f>
        <v/>
      </c>
      <c r="H47" s="126" t="str">
        <f t="shared" si="0"/>
        <v/>
      </c>
      <c r="I47" s="131" t="str">
        <f t="shared" si="1"/>
        <v>0 (0)</v>
      </c>
      <c r="J47" s="131" t="str">
        <f t="shared" si="2"/>
        <v>19 (19)</v>
      </c>
      <c r="K47" s="131" t="str">
        <f t="shared" si="3"/>
        <v>19 (19)</v>
      </c>
      <c r="L47" s="132" t="str">
        <f t="shared" si="4"/>
        <v/>
      </c>
      <c r="M47" s="131" t="str">
        <f t="shared" si="5"/>
        <v/>
      </c>
      <c r="N47" s="126" t="str">
        <f>IF(ISNA(MATCH(A47,Data!B:B,0)),"",INDEX(Data!H:H,MATCH(A47,Data!B:B,1))) &amp; ""</f>
        <v/>
      </c>
      <c r="O47" s="126" t="str">
        <f>IF(ISNA(MATCH(A47,Data!B:B,0)),"",INDEX(Data!I:I,MATCH(A47,Data!B:B,1))) &amp; ""</f>
        <v/>
      </c>
      <c r="P47" s="133" t="str">
        <f>IF(ISNA(MATCH(A47,Data!B:B,0)),"",INDEX(Data!J:J,MATCH(A47,Data!B:B,1))) &amp; ""</f>
        <v/>
      </c>
      <c r="Q47" s="126" t="str">
        <f>IF(S47="T",Charts!$X$7,IF(ISNA(MATCH(A47,Data!B:B,0)),"",INDEX(Data!K:K,MATCH(A47,Data!B:B,1)))) &amp; ""</f>
        <v/>
      </c>
      <c r="R47" s="134"/>
      <c r="S47" s="134"/>
      <c r="T47" s="127"/>
      <c r="AF47" s="24" t="str">
        <f>IF(C47="","",INDEX(Workouts!B:B,MATCH(C47,Workouts!A:A,0)))</f>
        <v/>
      </c>
      <c r="AG47" s="24" t="str">
        <f>IF(SUMIF(Data!B:B,A47,Data!D:D)=0,"",SUMIF(Data!B:B,A47,Data!D:D))</f>
        <v/>
      </c>
      <c r="AH47" s="25" t="str">
        <f>IF(C47="","",INDEX(Workouts!C:C,MATCH(C47,Workouts!A:A,0)))</f>
        <v/>
      </c>
      <c r="AI47" s="68" t="str">
        <f>IF(SUMIF(Data!B:B,A47,Data!F:F)=0,"",SUMIF(Data!B:B,A47,Data!F:F))</f>
        <v/>
      </c>
      <c r="AJ47" s="68">
        <f>AJ46+ (IF(AH47="",0,AH47)-AJ46)/Charts!$X$5</f>
        <v>5.9254904379597025E-2</v>
      </c>
      <c r="AK47" s="68">
        <f>AK46+ (IF(AI47="",0,AI47)-AK46)/Charts!$X$5</f>
        <v>5.9254904379597025E-2</v>
      </c>
      <c r="AL47" s="68">
        <f>AL46+ (IF(AH47="",0,AH47)-AL46)/Charts!$X$6</f>
        <v>18.595941615093498</v>
      </c>
      <c r="AM47" s="68">
        <f>AM46+ (IF(AI47="",0,AI47)-AM46)/Charts!$X$6</f>
        <v>18.595941615093498</v>
      </c>
      <c r="AN47" s="68" t="str">
        <f t="shared" si="10"/>
        <v>19</v>
      </c>
      <c r="AO47" s="68" t="str">
        <f t="shared" si="11"/>
        <v>19</v>
      </c>
      <c r="AP47" s="69" t="str">
        <f>IF(C47="","",INDEX(Workouts!D:D,MATCH(C47,Workouts!A:A,0)))</f>
        <v/>
      </c>
      <c r="AQ47" s="69" t="str">
        <f>IF(ISNA(MATCH(A47,Data!B:B,0)),"",INDEX(Data!G:G,MATCH(A47,Data!B:B,1)))</f>
        <v/>
      </c>
    </row>
    <row r="48" spans="1:43" s="1" customFormat="1" x14ac:dyDescent="0.2">
      <c r="A48" s="125">
        <f t="shared" si="9"/>
        <v>44243</v>
      </c>
      <c r="B48" s="126" t="str">
        <f t="shared" si="6"/>
        <v>Tue</v>
      </c>
      <c r="C48" s="140"/>
      <c r="D48" s="128" t="str">
        <f t="shared" si="7"/>
        <v/>
      </c>
      <c r="E48" s="129" t="str">
        <f t="shared" si="8"/>
        <v/>
      </c>
      <c r="F48" s="130" t="str">
        <f>IF(SUMIF(Data!B:B,A48,Data!C:C)=0,"",SUMIF(Data!B:B,A48,Data!C:C))</f>
        <v/>
      </c>
      <c r="G48" s="126" t="str">
        <f>IF(OR(S48="T",S48="RUN",SUMIF(Data!B:B,A48,Data!E:E)=0),"",SUMIF(Data!B:B,A48,Data!E:E))</f>
        <v/>
      </c>
      <c r="H48" s="126" t="str">
        <f t="shared" si="0"/>
        <v/>
      </c>
      <c r="I48" s="131" t="str">
        <f t="shared" si="1"/>
        <v>0 (0)</v>
      </c>
      <c r="J48" s="131" t="str">
        <f t="shared" si="2"/>
        <v>18 (18)</v>
      </c>
      <c r="K48" s="131" t="str">
        <f t="shared" si="3"/>
        <v>19 (19)</v>
      </c>
      <c r="L48" s="132" t="str">
        <f t="shared" si="4"/>
        <v/>
      </c>
      <c r="M48" s="131" t="str">
        <f t="shared" si="5"/>
        <v/>
      </c>
      <c r="N48" s="126" t="str">
        <f>IF(ISNA(MATCH(A48,Data!B:B,0)),"",INDEX(Data!H:H,MATCH(A48,Data!B:B,1))) &amp; ""</f>
        <v/>
      </c>
      <c r="O48" s="126" t="str">
        <f>IF(ISNA(MATCH(A48,Data!B:B,0)),"",INDEX(Data!I:I,MATCH(A48,Data!B:B,1))) &amp; ""</f>
        <v/>
      </c>
      <c r="P48" s="133" t="str">
        <f>IF(ISNA(MATCH(A48,Data!B:B,0)),"",INDEX(Data!J:J,MATCH(A48,Data!B:B,1))) &amp; ""</f>
        <v/>
      </c>
      <c r="Q48" s="126" t="str">
        <f>IF(S48="T",Charts!$X$7,IF(ISNA(MATCH(A48,Data!B:B,0)),"",INDEX(Data!K:K,MATCH(A48,Data!B:B,1)))) &amp; ""</f>
        <v/>
      </c>
      <c r="R48" s="134"/>
      <c r="S48" s="134"/>
      <c r="T48" s="127"/>
      <c r="AF48" s="24" t="str">
        <f>IF(C48="","",INDEX(Workouts!B:B,MATCH(C48,Workouts!A:A,0)))</f>
        <v/>
      </c>
      <c r="AG48" s="24" t="str">
        <f>IF(SUMIF(Data!B:B,A48,Data!D:D)=0,"",SUMIF(Data!B:B,A48,Data!D:D))</f>
        <v/>
      </c>
      <c r="AH48" s="25" t="str">
        <f>IF(C48="","",INDEX(Workouts!C:C,MATCH(C48,Workouts!A:A,0)))</f>
        <v/>
      </c>
      <c r="AI48" s="68" t="str">
        <f>IF(SUMIF(Data!B:B,A48,Data!F:F)=0,"",SUMIF(Data!B:B,A48,Data!F:F))</f>
        <v/>
      </c>
      <c r="AJ48" s="68">
        <f>AJ47+ (IF(AH48="",0,AH48)-AJ47)/Charts!$X$5</f>
        <v>5.0789918039654589E-2</v>
      </c>
      <c r="AK48" s="68">
        <f>AK47+ (IF(AI48="",0,AI48)-AK47)/Charts!$X$5</f>
        <v>5.0789918039654589E-2</v>
      </c>
      <c r="AL48" s="68">
        <f>AL47+ (IF(AH48="",0,AH48)-AL47)/Charts!$X$6</f>
        <v>18.153181100448414</v>
      </c>
      <c r="AM48" s="68">
        <f>AM47+ (IF(AI48="",0,AI48)-AM47)/Charts!$X$6</f>
        <v>18.153181100448414</v>
      </c>
      <c r="AN48" s="68" t="str">
        <f t="shared" si="10"/>
        <v>19</v>
      </c>
      <c r="AO48" s="68" t="str">
        <f t="shared" si="11"/>
        <v>19</v>
      </c>
      <c r="AP48" s="69" t="str">
        <f>IF(C48="","",INDEX(Workouts!D:D,MATCH(C48,Workouts!A:A,0)))</f>
        <v/>
      </c>
      <c r="AQ48" s="69" t="str">
        <f>IF(ISNA(MATCH(A48,Data!B:B,0)),"",INDEX(Data!G:G,MATCH(A48,Data!B:B,1)))</f>
        <v/>
      </c>
    </row>
    <row r="49" spans="1:43" s="1" customFormat="1" x14ac:dyDescent="0.2">
      <c r="A49" s="125">
        <f t="shared" si="9"/>
        <v>44244</v>
      </c>
      <c r="B49" s="126" t="str">
        <f t="shared" si="6"/>
        <v>Wed</v>
      </c>
      <c r="C49" s="140"/>
      <c r="D49" s="128" t="str">
        <f t="shared" si="7"/>
        <v/>
      </c>
      <c r="E49" s="129" t="str">
        <f t="shared" si="8"/>
        <v/>
      </c>
      <c r="F49" s="130" t="str">
        <f>IF(SUMIF(Data!B:B,A49,Data!C:C)=0,"",SUMIF(Data!B:B,A49,Data!C:C))</f>
        <v/>
      </c>
      <c r="G49" s="126" t="str">
        <f>IF(OR(S49="T",S49="RUN",SUMIF(Data!B:B,A49,Data!E:E)=0),"",SUMIF(Data!B:B,A49,Data!E:E))</f>
        <v/>
      </c>
      <c r="H49" s="126" t="str">
        <f t="shared" si="0"/>
        <v/>
      </c>
      <c r="I49" s="131" t="str">
        <f t="shared" si="1"/>
        <v>0 (0)</v>
      </c>
      <c r="J49" s="131" t="str">
        <f t="shared" si="2"/>
        <v>18 (18)</v>
      </c>
      <c r="K49" s="131" t="str">
        <f t="shared" si="3"/>
        <v>18 (18)</v>
      </c>
      <c r="L49" s="132" t="str">
        <f t="shared" si="4"/>
        <v/>
      </c>
      <c r="M49" s="131" t="str">
        <f t="shared" si="5"/>
        <v/>
      </c>
      <c r="N49" s="126" t="str">
        <f>IF(ISNA(MATCH(A49,Data!B:B,0)),"",INDEX(Data!H:H,MATCH(A49,Data!B:B,1))) &amp; ""</f>
        <v/>
      </c>
      <c r="O49" s="126" t="str">
        <f>IF(ISNA(MATCH(A49,Data!B:B,0)),"",INDEX(Data!I:I,MATCH(A49,Data!B:B,1))) &amp; ""</f>
        <v/>
      </c>
      <c r="P49" s="133" t="str">
        <f>IF(ISNA(MATCH(A49,Data!B:B,0)),"",INDEX(Data!J:J,MATCH(A49,Data!B:B,1))) &amp; ""</f>
        <v/>
      </c>
      <c r="Q49" s="126" t="str">
        <f>IF(S49="T",Charts!$X$7,IF(ISNA(MATCH(A49,Data!B:B,0)),"",INDEX(Data!K:K,MATCH(A49,Data!B:B,1)))) &amp; ""</f>
        <v/>
      </c>
      <c r="R49" s="134"/>
      <c r="S49" s="134"/>
      <c r="T49" s="127"/>
      <c r="AF49" s="24" t="str">
        <f>IF(C49="","",INDEX(Workouts!B:B,MATCH(C49,Workouts!A:A,0)))</f>
        <v/>
      </c>
      <c r="AG49" s="24" t="str">
        <f>IF(SUMIF(Data!B:B,A49,Data!D:D)=0,"",SUMIF(Data!B:B,A49,Data!D:D))</f>
        <v/>
      </c>
      <c r="AH49" s="25" t="str">
        <f>IF(C49="","",INDEX(Workouts!C:C,MATCH(C49,Workouts!A:A,0)))</f>
        <v/>
      </c>
      <c r="AI49" s="68" t="str">
        <f>IF(SUMIF(Data!B:B,A49,Data!F:F)=0,"",SUMIF(Data!B:B,A49,Data!F:F))</f>
        <v/>
      </c>
      <c r="AJ49" s="68">
        <f>AJ48+ (IF(AH49="",0,AH49)-AJ48)/Charts!$X$5</f>
        <v>4.3534215462561074E-2</v>
      </c>
      <c r="AK49" s="68">
        <f>AK48+ (IF(AI49="",0,AI49)-AK48)/Charts!$X$5</f>
        <v>4.3534215462561074E-2</v>
      </c>
      <c r="AL49" s="68">
        <f>AL48+ (IF(AH49="",0,AH49)-AL48)/Charts!$X$6</f>
        <v>17.72096250281869</v>
      </c>
      <c r="AM49" s="68">
        <f>AM48+ (IF(AI49="",0,AI49)-AM48)/Charts!$X$6</f>
        <v>17.72096250281869</v>
      </c>
      <c r="AN49" s="68" t="str">
        <f t="shared" si="10"/>
        <v>18</v>
      </c>
      <c r="AO49" s="68" t="str">
        <f t="shared" si="11"/>
        <v>18</v>
      </c>
      <c r="AP49" s="69" t="str">
        <f>IF(C49="","",INDEX(Workouts!D:D,MATCH(C49,Workouts!A:A,0)))</f>
        <v/>
      </c>
      <c r="AQ49" s="69" t="str">
        <f>IF(ISNA(MATCH(A49,Data!B:B,0)),"",INDEX(Data!G:G,MATCH(A49,Data!B:B,1)))</f>
        <v/>
      </c>
    </row>
    <row r="50" spans="1:43" s="1" customFormat="1" x14ac:dyDescent="0.2">
      <c r="A50" s="125">
        <f t="shared" si="9"/>
        <v>44245</v>
      </c>
      <c r="B50" s="126" t="str">
        <f t="shared" si="6"/>
        <v>Thu</v>
      </c>
      <c r="C50" s="140"/>
      <c r="D50" s="128" t="str">
        <f t="shared" si="7"/>
        <v/>
      </c>
      <c r="E50" s="129" t="str">
        <f t="shared" si="8"/>
        <v/>
      </c>
      <c r="F50" s="130" t="str">
        <f>IF(SUMIF(Data!B:B,A50,Data!C:C)=0,"",SUMIF(Data!B:B,A50,Data!C:C))</f>
        <v/>
      </c>
      <c r="G50" s="126" t="str">
        <f>IF(OR(S50="T",S50="RUN",SUMIF(Data!B:B,A50,Data!E:E)=0),"",SUMIF(Data!B:B,A50,Data!E:E))</f>
        <v/>
      </c>
      <c r="H50" s="126" t="str">
        <f t="shared" si="0"/>
        <v/>
      </c>
      <c r="I50" s="131" t="str">
        <f t="shared" si="1"/>
        <v>0 (0)</v>
      </c>
      <c r="J50" s="131" t="str">
        <f t="shared" si="2"/>
        <v>17 (17)</v>
      </c>
      <c r="K50" s="131" t="str">
        <f t="shared" si="3"/>
        <v>18 (18)</v>
      </c>
      <c r="L50" s="132" t="str">
        <f t="shared" si="4"/>
        <v/>
      </c>
      <c r="M50" s="131" t="str">
        <f t="shared" si="5"/>
        <v/>
      </c>
      <c r="N50" s="126" t="str">
        <f>IF(ISNA(MATCH(A50,Data!B:B,0)),"",INDEX(Data!H:H,MATCH(A50,Data!B:B,1))) &amp; ""</f>
        <v/>
      </c>
      <c r="O50" s="126" t="str">
        <f>IF(ISNA(MATCH(A50,Data!B:B,0)),"",INDEX(Data!I:I,MATCH(A50,Data!B:B,1))) &amp; ""</f>
        <v/>
      </c>
      <c r="P50" s="133" t="str">
        <f>IF(ISNA(MATCH(A50,Data!B:B,0)),"",INDEX(Data!J:J,MATCH(A50,Data!B:B,1))) &amp; ""</f>
        <v/>
      </c>
      <c r="Q50" s="126" t="str">
        <f>IF(S50="T",Charts!$X$7,IF(ISNA(MATCH(A50,Data!B:B,0)),"",INDEX(Data!K:K,MATCH(A50,Data!B:B,1)))) &amp; ""</f>
        <v/>
      </c>
      <c r="R50" s="134"/>
      <c r="S50" s="134"/>
      <c r="T50" s="127"/>
      <c r="AF50" s="24" t="str">
        <f>IF(C50="","",INDEX(Workouts!B:B,MATCH(C50,Workouts!A:A,0)))</f>
        <v/>
      </c>
      <c r="AG50" s="24" t="str">
        <f>IF(SUMIF(Data!B:B,A50,Data!D:D)=0,"",SUMIF(Data!B:B,A50,Data!D:D))</f>
        <v/>
      </c>
      <c r="AH50" s="25" t="str">
        <f>IF(C50="","",INDEX(Workouts!C:C,MATCH(C50,Workouts!A:A,0)))</f>
        <v/>
      </c>
      <c r="AI50" s="68" t="str">
        <f>IF(SUMIF(Data!B:B,A50,Data!F:F)=0,"",SUMIF(Data!B:B,A50,Data!F:F))</f>
        <v/>
      </c>
      <c r="AJ50" s="68">
        <f>AJ49+ (IF(AH50="",0,AH50)-AJ49)/Charts!$X$5</f>
        <v>3.7315041825052346E-2</v>
      </c>
      <c r="AK50" s="68">
        <f>AK49+ (IF(AI50="",0,AI50)-AK49)/Charts!$X$5</f>
        <v>3.7315041825052346E-2</v>
      </c>
      <c r="AL50" s="68">
        <f>AL49+ (IF(AH50="",0,AH50)-AL49)/Charts!$X$6</f>
        <v>17.299034824180151</v>
      </c>
      <c r="AM50" s="68">
        <f>AM49+ (IF(AI50="",0,AI50)-AM49)/Charts!$X$6</f>
        <v>17.299034824180151</v>
      </c>
      <c r="AN50" s="68" t="str">
        <f t="shared" si="10"/>
        <v>18</v>
      </c>
      <c r="AO50" s="68" t="str">
        <f t="shared" si="11"/>
        <v>18</v>
      </c>
      <c r="AP50" s="69" t="str">
        <f>IF(C50="","",INDEX(Workouts!D:D,MATCH(C50,Workouts!A:A,0)))</f>
        <v/>
      </c>
      <c r="AQ50" s="69" t="str">
        <f>IF(ISNA(MATCH(A50,Data!B:B,0)),"",INDEX(Data!G:G,MATCH(A50,Data!B:B,1)))</f>
        <v/>
      </c>
    </row>
    <row r="51" spans="1:43" s="1" customFormat="1" x14ac:dyDescent="0.2">
      <c r="A51" s="125">
        <f t="shared" si="9"/>
        <v>44246</v>
      </c>
      <c r="B51" s="126" t="str">
        <f t="shared" si="6"/>
        <v>Fri</v>
      </c>
      <c r="C51" s="140"/>
      <c r="D51" s="128" t="str">
        <f t="shared" si="7"/>
        <v/>
      </c>
      <c r="E51" s="129" t="str">
        <f t="shared" si="8"/>
        <v/>
      </c>
      <c r="F51" s="130" t="str">
        <f>IF(SUMIF(Data!B:B,A51,Data!C:C)=0,"",SUMIF(Data!B:B,A51,Data!C:C))</f>
        <v/>
      </c>
      <c r="G51" s="126" t="str">
        <f>IF(OR(S51="T",S51="RUN",SUMIF(Data!B:B,A51,Data!E:E)=0),"",SUMIF(Data!B:B,A51,Data!E:E))</f>
        <v/>
      </c>
      <c r="H51" s="126" t="str">
        <f t="shared" si="0"/>
        <v/>
      </c>
      <c r="I51" s="131" t="str">
        <f t="shared" si="1"/>
        <v>0 (0)</v>
      </c>
      <c r="J51" s="131" t="str">
        <f t="shared" si="2"/>
        <v>17 (17)</v>
      </c>
      <c r="K51" s="131" t="str">
        <f t="shared" si="3"/>
        <v>17 (17)</v>
      </c>
      <c r="L51" s="132" t="str">
        <f t="shared" si="4"/>
        <v/>
      </c>
      <c r="M51" s="131" t="str">
        <f t="shared" si="5"/>
        <v/>
      </c>
      <c r="N51" s="126" t="str">
        <f>IF(ISNA(MATCH(A51,Data!B:B,0)),"",INDEX(Data!H:H,MATCH(A51,Data!B:B,1))) &amp; ""</f>
        <v/>
      </c>
      <c r="O51" s="126" t="str">
        <f>IF(ISNA(MATCH(A51,Data!B:B,0)),"",INDEX(Data!I:I,MATCH(A51,Data!B:B,1))) &amp; ""</f>
        <v/>
      </c>
      <c r="P51" s="133" t="str">
        <f>IF(ISNA(MATCH(A51,Data!B:B,0)),"",INDEX(Data!J:J,MATCH(A51,Data!B:B,1))) &amp; ""</f>
        <v/>
      </c>
      <c r="Q51" s="126" t="str">
        <f>IF(S51="T",Charts!$X$7,IF(ISNA(MATCH(A51,Data!B:B,0)),"",INDEX(Data!K:K,MATCH(A51,Data!B:B,1)))) &amp; ""</f>
        <v/>
      </c>
      <c r="R51" s="134"/>
      <c r="S51" s="134"/>
      <c r="T51" s="127"/>
      <c r="AF51" s="24" t="str">
        <f>IF(C51="","",INDEX(Workouts!B:B,MATCH(C51,Workouts!A:A,0)))</f>
        <v/>
      </c>
      <c r="AG51" s="24" t="str">
        <f>IF(SUMIF(Data!B:B,A51,Data!D:D)=0,"",SUMIF(Data!B:B,A51,Data!D:D))</f>
        <v/>
      </c>
      <c r="AH51" s="25" t="str">
        <f>IF(C51="","",INDEX(Workouts!C:C,MATCH(C51,Workouts!A:A,0)))</f>
        <v/>
      </c>
      <c r="AI51" s="68" t="str">
        <f>IF(SUMIF(Data!B:B,A51,Data!F:F)=0,"",SUMIF(Data!B:B,A51,Data!F:F))</f>
        <v/>
      </c>
      <c r="AJ51" s="68">
        <f>AJ50+ (IF(AH51="",0,AH51)-AJ50)/Charts!$X$5</f>
        <v>3.1984321564330585E-2</v>
      </c>
      <c r="AK51" s="68">
        <f>AK50+ (IF(AI51="",0,AI51)-AK50)/Charts!$X$5</f>
        <v>3.1984321564330585E-2</v>
      </c>
      <c r="AL51" s="68">
        <f>AL50+ (IF(AH51="",0,AH51)-AL50)/Charts!$X$6</f>
        <v>16.887153042652052</v>
      </c>
      <c r="AM51" s="68">
        <f>AM50+ (IF(AI51="",0,AI51)-AM50)/Charts!$X$6</f>
        <v>16.887153042652052</v>
      </c>
      <c r="AN51" s="68" t="str">
        <f t="shared" si="10"/>
        <v>17</v>
      </c>
      <c r="AO51" s="68" t="str">
        <f t="shared" si="11"/>
        <v>17</v>
      </c>
      <c r="AP51" s="69" t="str">
        <f>IF(C51="","",INDEX(Workouts!D:D,MATCH(C51,Workouts!A:A,0)))</f>
        <v/>
      </c>
      <c r="AQ51" s="69" t="str">
        <f>IF(ISNA(MATCH(A51,Data!B:B,0)),"",INDEX(Data!G:G,MATCH(A51,Data!B:B,1)))</f>
        <v/>
      </c>
    </row>
    <row r="52" spans="1:43" s="1" customFormat="1" x14ac:dyDescent="0.2">
      <c r="A52" s="125">
        <f t="shared" si="9"/>
        <v>44247</v>
      </c>
      <c r="B52" s="126" t="str">
        <f t="shared" si="6"/>
        <v>Sat</v>
      </c>
      <c r="C52" s="140"/>
      <c r="D52" s="128" t="str">
        <f t="shared" si="7"/>
        <v/>
      </c>
      <c r="E52" s="129" t="str">
        <f t="shared" si="8"/>
        <v/>
      </c>
      <c r="F52" s="130" t="str">
        <f>IF(SUMIF(Data!B:B,A52,Data!C:C)=0,"",SUMIF(Data!B:B,A52,Data!C:C))</f>
        <v/>
      </c>
      <c r="G52" s="126" t="str">
        <f>IF(OR(S52="T",S52="RUN",SUMIF(Data!B:B,A52,Data!E:E)=0),"",SUMIF(Data!B:B,A52,Data!E:E))</f>
        <v/>
      </c>
      <c r="H52" s="126" t="str">
        <f t="shared" si="0"/>
        <v/>
      </c>
      <c r="I52" s="131" t="str">
        <f t="shared" si="1"/>
        <v>0 (0)</v>
      </c>
      <c r="J52" s="131" t="str">
        <f t="shared" si="2"/>
        <v>16 (16)</v>
      </c>
      <c r="K52" s="131" t="str">
        <f t="shared" si="3"/>
        <v>17 (17)</v>
      </c>
      <c r="L52" s="132" t="str">
        <f t="shared" si="4"/>
        <v/>
      </c>
      <c r="M52" s="131" t="str">
        <f t="shared" si="5"/>
        <v/>
      </c>
      <c r="N52" s="126" t="str">
        <f>IF(ISNA(MATCH(A52,Data!B:B,0)),"",INDEX(Data!H:H,MATCH(A52,Data!B:B,1))) &amp; ""</f>
        <v/>
      </c>
      <c r="O52" s="126" t="str">
        <f>IF(ISNA(MATCH(A52,Data!B:B,0)),"",INDEX(Data!I:I,MATCH(A52,Data!B:B,1))) &amp; ""</f>
        <v/>
      </c>
      <c r="P52" s="133" t="str">
        <f>IF(ISNA(MATCH(A52,Data!B:B,0)),"",INDEX(Data!J:J,MATCH(A52,Data!B:B,1))) &amp; ""</f>
        <v/>
      </c>
      <c r="Q52" s="126" t="str">
        <f>IF(S52="T",Charts!$X$7,IF(ISNA(MATCH(A52,Data!B:B,0)),"",INDEX(Data!K:K,MATCH(A52,Data!B:B,1)))) &amp; ""</f>
        <v/>
      </c>
      <c r="R52" s="134"/>
      <c r="S52" s="134"/>
      <c r="T52" s="127"/>
      <c r="AF52" s="24" t="str">
        <f>IF(C52="","",INDEX(Workouts!B:B,MATCH(C52,Workouts!A:A,0)))</f>
        <v/>
      </c>
      <c r="AG52" s="24" t="str">
        <f>IF(SUMIF(Data!B:B,A52,Data!D:D)=0,"",SUMIF(Data!B:B,A52,Data!D:D))</f>
        <v/>
      </c>
      <c r="AH52" s="25" t="str">
        <f>IF(C52="","",INDEX(Workouts!C:C,MATCH(C52,Workouts!A:A,0)))</f>
        <v/>
      </c>
      <c r="AI52" s="68" t="str">
        <f>IF(SUMIF(Data!B:B,A52,Data!F:F)=0,"",SUMIF(Data!B:B,A52,Data!F:F))</f>
        <v/>
      </c>
      <c r="AJ52" s="68">
        <f>AJ51+ (IF(AH52="",0,AH52)-AJ51)/Charts!$X$5</f>
        <v>2.7415132769426215E-2</v>
      </c>
      <c r="AK52" s="68">
        <f>AK51+ (IF(AI52="",0,AI52)-AK51)/Charts!$X$5</f>
        <v>2.7415132769426215E-2</v>
      </c>
      <c r="AL52" s="68">
        <f>AL51+ (IF(AH52="",0,AH52)-AL51)/Charts!$X$6</f>
        <v>16.485077970207957</v>
      </c>
      <c r="AM52" s="68">
        <f>AM51+ (IF(AI52="",0,AI52)-AM51)/Charts!$X$6</f>
        <v>16.485077970207957</v>
      </c>
      <c r="AN52" s="68" t="str">
        <f t="shared" si="10"/>
        <v>17</v>
      </c>
      <c r="AO52" s="68" t="str">
        <f t="shared" si="11"/>
        <v>17</v>
      </c>
      <c r="AP52" s="69" t="str">
        <f>IF(C52="","",INDEX(Workouts!D:D,MATCH(C52,Workouts!A:A,0)))</f>
        <v/>
      </c>
      <c r="AQ52" s="69" t="str">
        <f>IF(ISNA(MATCH(A52,Data!B:B,0)),"",INDEX(Data!G:G,MATCH(A52,Data!B:B,1)))</f>
        <v/>
      </c>
    </row>
    <row r="53" spans="1:43" s="1" customFormat="1" x14ac:dyDescent="0.2">
      <c r="A53" s="125">
        <f t="shared" si="9"/>
        <v>44248</v>
      </c>
      <c r="B53" s="126" t="str">
        <f t="shared" si="6"/>
        <v>Sun</v>
      </c>
      <c r="C53" s="140"/>
      <c r="D53" s="128" t="str">
        <f t="shared" si="7"/>
        <v/>
      </c>
      <c r="E53" s="129" t="str">
        <f t="shared" si="8"/>
        <v/>
      </c>
      <c r="F53" s="130" t="str">
        <f>IF(SUMIF(Data!B:B,A53,Data!C:C)=0,"",SUMIF(Data!B:B,A53,Data!C:C))</f>
        <v/>
      </c>
      <c r="G53" s="126" t="str">
        <f>IF(OR(S53="T",S53="RUN",SUMIF(Data!B:B,A53,Data!E:E)=0),"",SUMIF(Data!B:B,A53,Data!E:E))</f>
        <v/>
      </c>
      <c r="H53" s="126" t="str">
        <f t="shared" si="0"/>
        <v/>
      </c>
      <c r="I53" s="131" t="str">
        <f t="shared" si="1"/>
        <v>0 (0)</v>
      </c>
      <c r="J53" s="131" t="str">
        <f t="shared" si="2"/>
        <v>16 (16)</v>
      </c>
      <c r="K53" s="131" t="str">
        <f t="shared" si="3"/>
        <v>16 (16)</v>
      </c>
      <c r="L53" s="132" t="str">
        <f t="shared" si="4"/>
        <v/>
      </c>
      <c r="M53" s="131" t="str">
        <f t="shared" si="5"/>
        <v/>
      </c>
      <c r="N53" s="126" t="str">
        <f>IF(ISNA(MATCH(A53,Data!B:B,0)),"",INDEX(Data!H:H,MATCH(A53,Data!B:B,1))) &amp; ""</f>
        <v/>
      </c>
      <c r="O53" s="126" t="str">
        <f>IF(ISNA(MATCH(A53,Data!B:B,0)),"",INDEX(Data!I:I,MATCH(A53,Data!B:B,1))) &amp; ""</f>
        <v/>
      </c>
      <c r="P53" s="133" t="str">
        <f>IF(ISNA(MATCH(A53,Data!B:B,0)),"",INDEX(Data!J:J,MATCH(A53,Data!B:B,1))) &amp; ""</f>
        <v/>
      </c>
      <c r="Q53" s="126" t="str">
        <f>IF(S53="T",Charts!$X$7,IF(ISNA(MATCH(A53,Data!B:B,0)),"",INDEX(Data!K:K,MATCH(A53,Data!B:B,1)))) &amp; ""</f>
        <v/>
      </c>
      <c r="R53" s="134"/>
      <c r="S53" s="134"/>
      <c r="T53" s="127"/>
      <c r="AF53" s="24" t="str">
        <f>IF(C53="","",INDEX(Workouts!B:B,MATCH(C53,Workouts!A:A,0)))</f>
        <v/>
      </c>
      <c r="AG53" s="24" t="str">
        <f>IF(SUMIF(Data!B:B,A53,Data!D:D)=0,"",SUMIF(Data!B:B,A53,Data!D:D))</f>
        <v/>
      </c>
      <c r="AH53" s="25" t="str">
        <f>IF(C53="","",INDEX(Workouts!C:C,MATCH(C53,Workouts!A:A,0)))</f>
        <v/>
      </c>
      <c r="AI53" s="68" t="str">
        <f>IF(SUMIF(Data!B:B,A53,Data!F:F)=0,"",SUMIF(Data!B:B,A53,Data!F:F))</f>
        <v/>
      </c>
      <c r="AJ53" s="68">
        <f>AJ52+ (IF(AH53="",0,AH53)-AJ52)/Charts!$X$5</f>
        <v>2.3498685230936754E-2</v>
      </c>
      <c r="AK53" s="68">
        <f>AK52+ (IF(AI53="",0,AI53)-AK52)/Charts!$X$5</f>
        <v>2.3498685230936754E-2</v>
      </c>
      <c r="AL53" s="68">
        <f>AL52+ (IF(AH53="",0,AH53)-AL52)/Charts!$X$6</f>
        <v>16.092576113774435</v>
      </c>
      <c r="AM53" s="68">
        <f>AM52+ (IF(AI53="",0,AI53)-AM52)/Charts!$X$6</f>
        <v>16.092576113774435</v>
      </c>
      <c r="AN53" s="68" t="str">
        <f t="shared" si="10"/>
        <v>16</v>
      </c>
      <c r="AO53" s="68" t="str">
        <f t="shared" si="11"/>
        <v>16</v>
      </c>
      <c r="AP53" s="69" t="str">
        <f>IF(C53="","",INDEX(Workouts!D:D,MATCH(C53,Workouts!A:A,0)))</f>
        <v/>
      </c>
      <c r="AQ53" s="69" t="str">
        <f>IF(ISNA(MATCH(A53,Data!B:B,0)),"",INDEX(Data!G:G,MATCH(A53,Data!B:B,1)))</f>
        <v/>
      </c>
    </row>
    <row r="54" spans="1:43" s="1" customFormat="1" x14ac:dyDescent="0.2">
      <c r="A54" s="125">
        <f t="shared" si="9"/>
        <v>44249</v>
      </c>
      <c r="B54" s="126" t="str">
        <f t="shared" si="6"/>
        <v>Mon</v>
      </c>
      <c r="C54" s="140"/>
      <c r="D54" s="128" t="str">
        <f t="shared" si="7"/>
        <v/>
      </c>
      <c r="E54" s="129" t="str">
        <f t="shared" si="8"/>
        <v/>
      </c>
      <c r="F54" s="130" t="str">
        <f>IF(SUMIF(Data!B:B,A54,Data!C:C)=0,"",SUMIF(Data!B:B,A54,Data!C:C))</f>
        <v/>
      </c>
      <c r="G54" s="126" t="str">
        <f>IF(OR(S54="T",S54="RUN",SUMIF(Data!B:B,A54,Data!E:E)=0),"",SUMIF(Data!B:B,A54,Data!E:E))</f>
        <v/>
      </c>
      <c r="H54" s="126" t="str">
        <f t="shared" si="0"/>
        <v/>
      </c>
      <c r="I54" s="131" t="str">
        <f t="shared" si="1"/>
        <v>0 (0)</v>
      </c>
      <c r="J54" s="131" t="str">
        <f t="shared" si="2"/>
        <v>16 (16)</v>
      </c>
      <c r="K54" s="131" t="str">
        <f t="shared" si="3"/>
        <v>16 (16)</v>
      </c>
      <c r="L54" s="132" t="str">
        <f t="shared" si="4"/>
        <v/>
      </c>
      <c r="M54" s="131" t="str">
        <f t="shared" si="5"/>
        <v/>
      </c>
      <c r="N54" s="126" t="str">
        <f>IF(ISNA(MATCH(A54,Data!B:B,0)),"",INDEX(Data!H:H,MATCH(A54,Data!B:B,1))) &amp; ""</f>
        <v/>
      </c>
      <c r="O54" s="126" t="str">
        <f>IF(ISNA(MATCH(A54,Data!B:B,0)),"",INDEX(Data!I:I,MATCH(A54,Data!B:B,1))) &amp; ""</f>
        <v/>
      </c>
      <c r="P54" s="133" t="str">
        <f>IF(ISNA(MATCH(A54,Data!B:B,0)),"",INDEX(Data!J:J,MATCH(A54,Data!B:B,1))) &amp; ""</f>
        <v/>
      </c>
      <c r="Q54" s="126" t="str">
        <f>IF(S54="T",Charts!$X$7,IF(ISNA(MATCH(A54,Data!B:B,0)),"",INDEX(Data!K:K,MATCH(A54,Data!B:B,1)))) &amp; ""</f>
        <v/>
      </c>
      <c r="R54" s="134"/>
      <c r="S54" s="134"/>
      <c r="T54" s="127"/>
      <c r="AF54" s="24" t="str">
        <f>IF(C54="","",INDEX(Workouts!B:B,MATCH(C54,Workouts!A:A,0)))</f>
        <v/>
      </c>
      <c r="AG54" s="24" t="str">
        <f>IF(SUMIF(Data!B:B,A54,Data!D:D)=0,"",SUMIF(Data!B:B,A54,Data!D:D))</f>
        <v/>
      </c>
      <c r="AH54" s="25" t="str">
        <f>IF(C54="","",INDEX(Workouts!C:C,MATCH(C54,Workouts!A:A,0)))</f>
        <v/>
      </c>
      <c r="AI54" s="68" t="str">
        <f>IF(SUMIF(Data!B:B,A54,Data!F:F)=0,"",SUMIF(Data!B:B,A54,Data!F:F))</f>
        <v/>
      </c>
      <c r="AJ54" s="68">
        <f>AJ53+ (IF(AH54="",0,AH54)-AJ53)/Charts!$X$5</f>
        <v>2.0141730197945788E-2</v>
      </c>
      <c r="AK54" s="68">
        <f>AK53+ (IF(AI54="",0,AI54)-AK53)/Charts!$X$5</f>
        <v>2.0141730197945788E-2</v>
      </c>
      <c r="AL54" s="68">
        <f>AL53+ (IF(AH54="",0,AH54)-AL53)/Charts!$X$6</f>
        <v>15.709419539636947</v>
      </c>
      <c r="AM54" s="68">
        <f>AM53+ (IF(AI54="",0,AI54)-AM53)/Charts!$X$6</f>
        <v>15.709419539636947</v>
      </c>
      <c r="AN54" s="68" t="str">
        <f t="shared" si="10"/>
        <v>16</v>
      </c>
      <c r="AO54" s="68" t="str">
        <f t="shared" si="11"/>
        <v>16</v>
      </c>
      <c r="AP54" s="69" t="str">
        <f>IF(C54="","",INDEX(Workouts!D:D,MATCH(C54,Workouts!A:A,0)))</f>
        <v/>
      </c>
      <c r="AQ54" s="69" t="str">
        <f>IF(ISNA(MATCH(A54,Data!B:B,0)),"",INDEX(Data!G:G,MATCH(A54,Data!B:B,1)))</f>
        <v/>
      </c>
    </row>
    <row r="55" spans="1:43" s="1" customFormat="1" x14ac:dyDescent="0.2">
      <c r="A55" s="125">
        <f t="shared" si="9"/>
        <v>44250</v>
      </c>
      <c r="B55" s="126" t="str">
        <f t="shared" si="6"/>
        <v>Tue</v>
      </c>
      <c r="C55" s="140"/>
      <c r="D55" s="128" t="str">
        <f t="shared" si="7"/>
        <v/>
      </c>
      <c r="E55" s="129" t="str">
        <f t="shared" si="8"/>
        <v/>
      </c>
      <c r="F55" s="130" t="str">
        <f>IF(SUMIF(Data!B:B,A55,Data!C:C)=0,"",SUMIF(Data!B:B,A55,Data!C:C))</f>
        <v/>
      </c>
      <c r="G55" s="126" t="str">
        <f>IF(OR(S55="T",S55="RUN",SUMIF(Data!B:B,A55,Data!E:E)=0),"",SUMIF(Data!B:B,A55,Data!E:E))</f>
        <v/>
      </c>
      <c r="H55" s="126" t="str">
        <f t="shared" si="0"/>
        <v/>
      </c>
      <c r="I55" s="131" t="str">
        <f t="shared" si="1"/>
        <v>0 (0)</v>
      </c>
      <c r="J55" s="131" t="str">
        <f t="shared" si="2"/>
        <v>15 (15)</v>
      </c>
      <c r="K55" s="131" t="str">
        <f t="shared" si="3"/>
        <v>16 (16)</v>
      </c>
      <c r="L55" s="132" t="str">
        <f t="shared" si="4"/>
        <v/>
      </c>
      <c r="M55" s="131" t="str">
        <f t="shared" si="5"/>
        <v/>
      </c>
      <c r="N55" s="126" t="str">
        <f>IF(ISNA(MATCH(A55,Data!B:B,0)),"",INDEX(Data!H:H,MATCH(A55,Data!B:B,1))) &amp; ""</f>
        <v/>
      </c>
      <c r="O55" s="126" t="str">
        <f>IF(ISNA(MATCH(A55,Data!B:B,0)),"",INDEX(Data!I:I,MATCH(A55,Data!B:B,1))) &amp; ""</f>
        <v/>
      </c>
      <c r="P55" s="133" t="str">
        <f>IF(ISNA(MATCH(A55,Data!B:B,0)),"",INDEX(Data!J:J,MATCH(A55,Data!B:B,1))) &amp; ""</f>
        <v/>
      </c>
      <c r="Q55" s="126" t="str">
        <f>IF(S55="T",Charts!$X$7,IF(ISNA(MATCH(A55,Data!B:B,0)),"",INDEX(Data!K:K,MATCH(A55,Data!B:B,1)))) &amp; ""</f>
        <v/>
      </c>
      <c r="R55" s="134"/>
      <c r="S55" s="134"/>
      <c r="T55" s="127"/>
      <c r="AF55" s="24" t="str">
        <f>IF(C55="","",INDEX(Workouts!B:B,MATCH(C55,Workouts!A:A,0)))</f>
        <v/>
      </c>
      <c r="AG55" s="24" t="str">
        <f>IF(SUMIF(Data!B:B,A55,Data!D:D)=0,"",SUMIF(Data!B:B,A55,Data!D:D))</f>
        <v/>
      </c>
      <c r="AH55" s="25" t="str">
        <f>IF(C55="","",INDEX(Workouts!C:C,MATCH(C55,Workouts!A:A,0)))</f>
        <v/>
      </c>
      <c r="AI55" s="68" t="str">
        <f>IF(SUMIF(Data!B:B,A55,Data!F:F)=0,"",SUMIF(Data!B:B,A55,Data!F:F))</f>
        <v/>
      </c>
      <c r="AJ55" s="68">
        <f>AJ54+ (IF(AH55="",0,AH55)-AJ54)/Charts!$X$5</f>
        <v>1.7264340169667818E-2</v>
      </c>
      <c r="AK55" s="68">
        <f>AK54+ (IF(AI55="",0,AI55)-AK54)/Charts!$X$5</f>
        <v>1.7264340169667818E-2</v>
      </c>
      <c r="AL55" s="68">
        <f>AL54+ (IF(AH55="",0,AH55)-AL54)/Charts!$X$6</f>
        <v>15.335385741074163</v>
      </c>
      <c r="AM55" s="68">
        <f>AM54+ (IF(AI55="",0,AI55)-AM54)/Charts!$X$6</f>
        <v>15.335385741074163</v>
      </c>
      <c r="AN55" s="68" t="str">
        <f t="shared" si="10"/>
        <v>16</v>
      </c>
      <c r="AO55" s="68" t="str">
        <f t="shared" si="11"/>
        <v>16</v>
      </c>
      <c r="AP55" s="69" t="str">
        <f>IF(C55="","",INDEX(Workouts!D:D,MATCH(C55,Workouts!A:A,0)))</f>
        <v/>
      </c>
      <c r="AQ55" s="69" t="str">
        <f>IF(ISNA(MATCH(A55,Data!B:B,0)),"",INDEX(Data!G:G,MATCH(A55,Data!B:B,1)))</f>
        <v/>
      </c>
    </row>
    <row r="56" spans="1:43" s="1" customFormat="1" x14ac:dyDescent="0.2">
      <c r="A56" s="125">
        <f t="shared" si="9"/>
        <v>44251</v>
      </c>
      <c r="B56" s="126" t="str">
        <f t="shared" si="6"/>
        <v>Wed</v>
      </c>
      <c r="C56" s="140"/>
      <c r="D56" s="128" t="str">
        <f t="shared" si="7"/>
        <v/>
      </c>
      <c r="E56" s="129" t="str">
        <f t="shared" si="8"/>
        <v/>
      </c>
      <c r="F56" s="130" t="str">
        <f>IF(SUMIF(Data!B:B,A56,Data!C:C)=0,"",SUMIF(Data!B:B,A56,Data!C:C))</f>
        <v/>
      </c>
      <c r="G56" s="126" t="str">
        <f>IF(OR(S56="T",S56="RUN",SUMIF(Data!B:B,A56,Data!E:E)=0),"",SUMIF(Data!B:B,A56,Data!E:E))</f>
        <v/>
      </c>
      <c r="H56" s="126" t="str">
        <f t="shared" si="0"/>
        <v/>
      </c>
      <c r="I56" s="131" t="str">
        <f t="shared" si="1"/>
        <v>0 (0)</v>
      </c>
      <c r="J56" s="131" t="str">
        <f t="shared" si="2"/>
        <v>15 (15)</v>
      </c>
      <c r="K56" s="131" t="str">
        <f t="shared" si="3"/>
        <v>15 (15)</v>
      </c>
      <c r="L56" s="132" t="str">
        <f t="shared" si="4"/>
        <v/>
      </c>
      <c r="M56" s="131" t="str">
        <f t="shared" si="5"/>
        <v/>
      </c>
      <c r="N56" s="126" t="str">
        <f>IF(ISNA(MATCH(A56,Data!B:B,0)),"",INDEX(Data!H:H,MATCH(A56,Data!B:B,1))) &amp; ""</f>
        <v/>
      </c>
      <c r="O56" s="126" t="str">
        <f>IF(ISNA(MATCH(A56,Data!B:B,0)),"",INDEX(Data!I:I,MATCH(A56,Data!B:B,1))) &amp; ""</f>
        <v/>
      </c>
      <c r="P56" s="133" t="str">
        <f>IF(ISNA(MATCH(A56,Data!B:B,0)),"",INDEX(Data!J:J,MATCH(A56,Data!B:B,1))) &amp; ""</f>
        <v/>
      </c>
      <c r="Q56" s="126" t="str">
        <f>IF(S56="T",Charts!$X$7,IF(ISNA(MATCH(A56,Data!B:B,0)),"",INDEX(Data!K:K,MATCH(A56,Data!B:B,1)))) &amp; ""</f>
        <v/>
      </c>
      <c r="R56" s="134"/>
      <c r="S56" s="134"/>
      <c r="T56" s="127"/>
      <c r="AF56" s="24" t="str">
        <f>IF(C56="","",INDEX(Workouts!B:B,MATCH(C56,Workouts!A:A,0)))</f>
        <v/>
      </c>
      <c r="AG56" s="24" t="str">
        <f>IF(SUMIF(Data!B:B,A56,Data!D:D)=0,"",SUMIF(Data!B:B,A56,Data!D:D))</f>
        <v/>
      </c>
      <c r="AH56" s="25" t="str">
        <f>IF(C56="","",INDEX(Workouts!C:C,MATCH(C56,Workouts!A:A,0)))</f>
        <v/>
      </c>
      <c r="AI56" s="68" t="str">
        <f>IF(SUMIF(Data!B:B,A56,Data!F:F)=0,"",SUMIF(Data!B:B,A56,Data!F:F))</f>
        <v/>
      </c>
      <c r="AJ56" s="68">
        <f>AJ55+ (IF(AH56="",0,AH56)-AJ55)/Charts!$X$5</f>
        <v>1.4798005859715272E-2</v>
      </c>
      <c r="AK56" s="68">
        <f>AK55+ (IF(AI56="",0,AI56)-AK55)/Charts!$X$5</f>
        <v>1.4798005859715272E-2</v>
      </c>
      <c r="AL56" s="68">
        <f>AL55+ (IF(AH56="",0,AH56)-AL55)/Charts!$X$6</f>
        <v>14.970257509143826</v>
      </c>
      <c r="AM56" s="68">
        <f>AM55+ (IF(AI56="",0,AI56)-AM55)/Charts!$X$6</f>
        <v>14.970257509143826</v>
      </c>
      <c r="AN56" s="68" t="str">
        <f t="shared" si="10"/>
        <v>15</v>
      </c>
      <c r="AO56" s="68" t="str">
        <f t="shared" si="11"/>
        <v>15</v>
      </c>
      <c r="AP56" s="69" t="str">
        <f>IF(C56="","",INDEX(Workouts!D:D,MATCH(C56,Workouts!A:A,0)))</f>
        <v/>
      </c>
      <c r="AQ56" s="69" t="str">
        <f>IF(ISNA(MATCH(A56,Data!B:B,0)),"",INDEX(Data!G:G,MATCH(A56,Data!B:B,1)))</f>
        <v/>
      </c>
    </row>
    <row r="57" spans="1:43" s="1" customFormat="1" x14ac:dyDescent="0.2">
      <c r="A57" s="125">
        <f t="shared" si="9"/>
        <v>44252</v>
      </c>
      <c r="B57" s="126" t="str">
        <f t="shared" si="6"/>
        <v>Thu</v>
      </c>
      <c r="C57" s="140"/>
      <c r="D57" s="128" t="str">
        <f t="shared" si="7"/>
        <v/>
      </c>
      <c r="E57" s="129" t="str">
        <f t="shared" si="8"/>
        <v/>
      </c>
      <c r="F57" s="130" t="str">
        <f>IF(SUMIF(Data!B:B,A57,Data!C:C)=0,"",SUMIF(Data!B:B,A57,Data!C:C))</f>
        <v/>
      </c>
      <c r="G57" s="126" t="str">
        <f>IF(OR(S57="T",S57="RUN",SUMIF(Data!B:B,A57,Data!E:E)=0),"",SUMIF(Data!B:B,A57,Data!E:E))</f>
        <v/>
      </c>
      <c r="H57" s="126" t="str">
        <f t="shared" si="0"/>
        <v/>
      </c>
      <c r="I57" s="131" t="str">
        <f t="shared" si="1"/>
        <v>0 (0)</v>
      </c>
      <c r="J57" s="131" t="str">
        <f t="shared" si="2"/>
        <v>15 (15)</v>
      </c>
      <c r="K57" s="131" t="str">
        <f t="shared" si="3"/>
        <v>15 (15)</v>
      </c>
      <c r="L57" s="132" t="str">
        <f t="shared" si="4"/>
        <v/>
      </c>
      <c r="M57" s="131" t="str">
        <f t="shared" si="5"/>
        <v/>
      </c>
      <c r="N57" s="126" t="str">
        <f>IF(ISNA(MATCH(A57,Data!B:B,0)),"",INDEX(Data!H:H,MATCH(A57,Data!B:B,1))) &amp; ""</f>
        <v/>
      </c>
      <c r="O57" s="126" t="str">
        <f>IF(ISNA(MATCH(A57,Data!B:B,0)),"",INDEX(Data!I:I,MATCH(A57,Data!B:B,1))) &amp; ""</f>
        <v/>
      </c>
      <c r="P57" s="133" t="str">
        <f>IF(ISNA(MATCH(A57,Data!B:B,0)),"",INDEX(Data!J:J,MATCH(A57,Data!B:B,1))) &amp; ""</f>
        <v/>
      </c>
      <c r="Q57" s="126" t="str">
        <f>IF(S57="T",Charts!$X$7,IF(ISNA(MATCH(A57,Data!B:B,0)),"",INDEX(Data!K:K,MATCH(A57,Data!B:B,1)))) &amp; ""</f>
        <v/>
      </c>
      <c r="R57" s="134"/>
      <c r="S57" s="134"/>
      <c r="T57" s="127"/>
      <c r="AF57" s="24" t="str">
        <f>IF(C57="","",INDEX(Workouts!B:B,MATCH(C57,Workouts!A:A,0)))</f>
        <v/>
      </c>
      <c r="AG57" s="24" t="str">
        <f>IF(SUMIF(Data!B:B,A57,Data!D:D)=0,"",SUMIF(Data!B:B,A57,Data!D:D))</f>
        <v/>
      </c>
      <c r="AH57" s="25" t="str">
        <f>IF(C57="","",INDEX(Workouts!C:C,MATCH(C57,Workouts!A:A,0)))</f>
        <v/>
      </c>
      <c r="AI57" s="68" t="str">
        <f>IF(SUMIF(Data!B:B,A57,Data!F:F)=0,"",SUMIF(Data!B:B,A57,Data!F:F))</f>
        <v/>
      </c>
      <c r="AJ57" s="68">
        <f>AJ56+ (IF(AH57="",0,AH57)-AJ56)/Charts!$X$5</f>
        <v>1.268400502261309E-2</v>
      </c>
      <c r="AK57" s="68">
        <f>AK56+ (IF(AI57="",0,AI57)-AK56)/Charts!$X$5</f>
        <v>1.268400502261309E-2</v>
      </c>
      <c r="AL57" s="68">
        <f>AL56+ (IF(AH57="",0,AH57)-AL56)/Charts!$X$6</f>
        <v>14.613822806545164</v>
      </c>
      <c r="AM57" s="68">
        <f>AM56+ (IF(AI57="",0,AI57)-AM56)/Charts!$X$6</f>
        <v>14.613822806545164</v>
      </c>
      <c r="AN57" s="68" t="str">
        <f t="shared" si="10"/>
        <v>15</v>
      </c>
      <c r="AO57" s="68" t="str">
        <f t="shared" si="11"/>
        <v>15</v>
      </c>
      <c r="AP57" s="69" t="str">
        <f>IF(C57="","",INDEX(Workouts!D:D,MATCH(C57,Workouts!A:A,0)))</f>
        <v/>
      </c>
      <c r="AQ57" s="69" t="str">
        <f>IF(ISNA(MATCH(A57,Data!B:B,0)),"",INDEX(Data!G:G,MATCH(A57,Data!B:B,1)))</f>
        <v/>
      </c>
    </row>
    <row r="58" spans="1:43" s="1" customFormat="1" x14ac:dyDescent="0.2">
      <c r="A58" s="125">
        <f t="shared" si="9"/>
        <v>44253</v>
      </c>
      <c r="B58" s="126" t="str">
        <f t="shared" si="6"/>
        <v>Fri</v>
      </c>
      <c r="C58" s="140"/>
      <c r="D58" s="128" t="str">
        <f t="shared" si="7"/>
        <v/>
      </c>
      <c r="E58" s="129" t="str">
        <f t="shared" si="8"/>
        <v/>
      </c>
      <c r="F58" s="130" t="str">
        <f>IF(SUMIF(Data!B:B,A58,Data!C:C)=0,"",SUMIF(Data!B:B,A58,Data!C:C))</f>
        <v/>
      </c>
      <c r="G58" s="126" t="str">
        <f>IF(OR(S58="T",S58="RUN",SUMIF(Data!B:B,A58,Data!E:E)=0),"",SUMIF(Data!B:B,A58,Data!E:E))</f>
        <v/>
      </c>
      <c r="H58" s="126" t="str">
        <f t="shared" si="0"/>
        <v/>
      </c>
      <c r="I58" s="131" t="str">
        <f t="shared" si="1"/>
        <v>0 (0)</v>
      </c>
      <c r="J58" s="131" t="str">
        <f t="shared" si="2"/>
        <v>14 (14)</v>
      </c>
      <c r="K58" s="131" t="str">
        <f t="shared" si="3"/>
        <v>15 (15)</v>
      </c>
      <c r="L58" s="132" t="str">
        <f t="shared" si="4"/>
        <v/>
      </c>
      <c r="M58" s="131" t="str">
        <f t="shared" si="5"/>
        <v/>
      </c>
      <c r="N58" s="126" t="str">
        <f>IF(ISNA(MATCH(A58,Data!B:B,0)),"",INDEX(Data!H:H,MATCH(A58,Data!B:B,1))) &amp; ""</f>
        <v/>
      </c>
      <c r="O58" s="126" t="str">
        <f>IF(ISNA(MATCH(A58,Data!B:B,0)),"",INDEX(Data!I:I,MATCH(A58,Data!B:B,1))) &amp; ""</f>
        <v/>
      </c>
      <c r="P58" s="133" t="str">
        <f>IF(ISNA(MATCH(A58,Data!B:B,0)),"",INDEX(Data!J:J,MATCH(A58,Data!B:B,1))) &amp; ""</f>
        <v/>
      </c>
      <c r="Q58" s="126" t="str">
        <f>IF(S58="T",Charts!$X$7,IF(ISNA(MATCH(A58,Data!B:B,0)),"",INDEX(Data!K:K,MATCH(A58,Data!B:B,1)))) &amp; ""</f>
        <v/>
      </c>
      <c r="R58" s="134"/>
      <c r="S58" s="134"/>
      <c r="T58" s="127"/>
      <c r="AF58" s="24" t="str">
        <f>IF(C58="","",INDEX(Workouts!B:B,MATCH(C58,Workouts!A:A,0)))</f>
        <v/>
      </c>
      <c r="AG58" s="24" t="str">
        <f>IF(SUMIF(Data!B:B,A58,Data!D:D)=0,"",SUMIF(Data!B:B,A58,Data!D:D))</f>
        <v/>
      </c>
      <c r="AH58" s="25" t="str">
        <f>IF(C58="","",INDEX(Workouts!C:C,MATCH(C58,Workouts!A:A,0)))</f>
        <v/>
      </c>
      <c r="AI58" s="68" t="str">
        <f>IF(SUMIF(Data!B:B,A58,Data!F:F)=0,"",SUMIF(Data!B:B,A58,Data!F:F))</f>
        <v/>
      </c>
      <c r="AJ58" s="68">
        <f>AJ57+ (IF(AH58="",0,AH58)-AJ57)/Charts!$X$5</f>
        <v>1.0872004305096935E-2</v>
      </c>
      <c r="AK58" s="68">
        <f>AK57+ (IF(AI58="",0,AI58)-AK57)/Charts!$X$5</f>
        <v>1.0872004305096935E-2</v>
      </c>
      <c r="AL58" s="68">
        <f>AL57+ (IF(AH58="",0,AH58)-AL57)/Charts!$X$6</f>
        <v>14.265874644484565</v>
      </c>
      <c r="AM58" s="68">
        <f>AM57+ (IF(AI58="",0,AI58)-AM57)/Charts!$X$6</f>
        <v>14.265874644484565</v>
      </c>
      <c r="AN58" s="68" t="str">
        <f t="shared" si="10"/>
        <v>15</v>
      </c>
      <c r="AO58" s="68" t="str">
        <f t="shared" si="11"/>
        <v>15</v>
      </c>
      <c r="AP58" s="69" t="str">
        <f>IF(C58="","",INDEX(Workouts!D:D,MATCH(C58,Workouts!A:A,0)))</f>
        <v/>
      </c>
      <c r="AQ58" s="69" t="str">
        <f>IF(ISNA(MATCH(A58,Data!B:B,0)),"",INDEX(Data!G:G,MATCH(A58,Data!B:B,1)))</f>
        <v/>
      </c>
    </row>
    <row r="59" spans="1:43" s="1" customFormat="1" x14ac:dyDescent="0.2">
      <c r="A59" s="125">
        <f t="shared" si="9"/>
        <v>44254</v>
      </c>
      <c r="B59" s="126" t="str">
        <f t="shared" si="6"/>
        <v>Sat</v>
      </c>
      <c r="C59" s="140"/>
      <c r="D59" s="128" t="str">
        <f t="shared" si="7"/>
        <v/>
      </c>
      <c r="E59" s="129" t="str">
        <f t="shared" si="8"/>
        <v/>
      </c>
      <c r="F59" s="130" t="str">
        <f>IF(SUMIF(Data!B:B,A59,Data!C:C)=0,"",SUMIF(Data!B:B,A59,Data!C:C))</f>
        <v/>
      </c>
      <c r="G59" s="126" t="str">
        <f>IF(OR(S59="T",S59="RUN",SUMIF(Data!B:B,A59,Data!E:E)=0),"",SUMIF(Data!B:B,A59,Data!E:E))</f>
        <v/>
      </c>
      <c r="H59" s="126" t="str">
        <f t="shared" si="0"/>
        <v/>
      </c>
      <c r="I59" s="131" t="str">
        <f t="shared" si="1"/>
        <v>0 (0)</v>
      </c>
      <c r="J59" s="131" t="str">
        <f t="shared" si="2"/>
        <v>14 (14)</v>
      </c>
      <c r="K59" s="131" t="str">
        <f t="shared" si="3"/>
        <v>14 (14)</v>
      </c>
      <c r="L59" s="132" t="str">
        <f t="shared" si="4"/>
        <v/>
      </c>
      <c r="M59" s="131" t="str">
        <f t="shared" si="5"/>
        <v/>
      </c>
      <c r="N59" s="126" t="str">
        <f>IF(ISNA(MATCH(A59,Data!B:B,0)),"",INDEX(Data!H:H,MATCH(A59,Data!B:B,1))) &amp; ""</f>
        <v/>
      </c>
      <c r="O59" s="126" t="str">
        <f>IF(ISNA(MATCH(A59,Data!B:B,0)),"",INDEX(Data!I:I,MATCH(A59,Data!B:B,1))) &amp; ""</f>
        <v/>
      </c>
      <c r="P59" s="133" t="str">
        <f>IF(ISNA(MATCH(A59,Data!B:B,0)),"",INDEX(Data!J:J,MATCH(A59,Data!B:B,1))) &amp; ""</f>
        <v/>
      </c>
      <c r="Q59" s="126" t="str">
        <f>IF(S59="T",Charts!$X$7,IF(ISNA(MATCH(A59,Data!B:B,0)),"",INDEX(Data!K:K,MATCH(A59,Data!B:B,1)))) &amp; ""</f>
        <v/>
      </c>
      <c r="R59" s="134"/>
      <c r="S59" s="134"/>
      <c r="T59" s="127"/>
      <c r="AF59" s="24" t="str">
        <f>IF(C59="","",INDEX(Workouts!B:B,MATCH(C59,Workouts!A:A,0)))</f>
        <v/>
      </c>
      <c r="AG59" s="24" t="str">
        <f>IF(SUMIF(Data!B:B,A59,Data!D:D)=0,"",SUMIF(Data!B:B,A59,Data!D:D))</f>
        <v/>
      </c>
      <c r="AH59" s="25" t="str">
        <f>IF(C59="","",INDEX(Workouts!C:C,MATCH(C59,Workouts!A:A,0)))</f>
        <v/>
      </c>
      <c r="AI59" s="68" t="str">
        <f>IF(SUMIF(Data!B:B,A59,Data!F:F)=0,"",SUMIF(Data!B:B,A59,Data!F:F))</f>
        <v/>
      </c>
      <c r="AJ59" s="68">
        <f>AJ58+ (IF(AH59="",0,AH59)-AJ58)/Charts!$X$5</f>
        <v>9.3188608329402307E-3</v>
      </c>
      <c r="AK59" s="68">
        <f>AK58+ (IF(AI59="",0,AI59)-AK58)/Charts!$X$5</f>
        <v>9.3188608329402307E-3</v>
      </c>
      <c r="AL59" s="68">
        <f>AL58+ (IF(AH59="",0,AH59)-AL58)/Charts!$X$6</f>
        <v>13.926210962473029</v>
      </c>
      <c r="AM59" s="68">
        <f>AM58+ (IF(AI59="",0,AI59)-AM58)/Charts!$X$6</f>
        <v>13.926210962473029</v>
      </c>
      <c r="AN59" s="68" t="str">
        <f t="shared" si="10"/>
        <v>14</v>
      </c>
      <c r="AO59" s="68" t="str">
        <f t="shared" si="11"/>
        <v>14</v>
      </c>
      <c r="AP59" s="69" t="str">
        <f>IF(C59="","",INDEX(Workouts!D:D,MATCH(C59,Workouts!A:A,0)))</f>
        <v/>
      </c>
      <c r="AQ59" s="69" t="str">
        <f>IF(ISNA(MATCH(A59,Data!B:B,0)),"",INDEX(Data!G:G,MATCH(A59,Data!B:B,1)))</f>
        <v/>
      </c>
    </row>
    <row r="60" spans="1:43" s="1" customFormat="1" x14ac:dyDescent="0.2">
      <c r="A60" s="125">
        <f t="shared" si="9"/>
        <v>44255</v>
      </c>
      <c r="B60" s="126" t="str">
        <f t="shared" si="6"/>
        <v>Sun</v>
      </c>
      <c r="C60" s="140"/>
      <c r="D60" s="128" t="str">
        <f t="shared" si="7"/>
        <v/>
      </c>
      <c r="E60" s="129" t="str">
        <f t="shared" si="8"/>
        <v/>
      </c>
      <c r="F60" s="130" t="str">
        <f>IF(SUMIF(Data!B:B,A60,Data!C:C)=0,"",SUMIF(Data!B:B,A60,Data!C:C))</f>
        <v/>
      </c>
      <c r="G60" s="126" t="str">
        <f>IF(OR(S60="T",S60="RUN",SUMIF(Data!B:B,A60,Data!E:E)=0),"",SUMIF(Data!B:B,A60,Data!E:E))</f>
        <v/>
      </c>
      <c r="H60" s="126" t="str">
        <f t="shared" si="0"/>
        <v/>
      </c>
      <c r="I60" s="131" t="str">
        <f t="shared" si="1"/>
        <v>0 (0)</v>
      </c>
      <c r="J60" s="131" t="str">
        <f t="shared" si="2"/>
        <v>14 (14)</v>
      </c>
      <c r="K60" s="131" t="str">
        <f t="shared" si="3"/>
        <v>14 (14)</v>
      </c>
      <c r="L60" s="132" t="str">
        <f t="shared" si="4"/>
        <v/>
      </c>
      <c r="M60" s="131" t="str">
        <f t="shared" si="5"/>
        <v/>
      </c>
      <c r="N60" s="126" t="str">
        <f>IF(ISNA(MATCH(A60,Data!B:B,0)),"",INDEX(Data!H:H,MATCH(A60,Data!B:B,1))) &amp; ""</f>
        <v/>
      </c>
      <c r="O60" s="126" t="str">
        <f>IF(ISNA(MATCH(A60,Data!B:B,0)),"",INDEX(Data!I:I,MATCH(A60,Data!B:B,1))) &amp; ""</f>
        <v/>
      </c>
      <c r="P60" s="133" t="str">
        <f>IF(ISNA(MATCH(A60,Data!B:B,0)),"",INDEX(Data!J:J,MATCH(A60,Data!B:B,1))) &amp; ""</f>
        <v/>
      </c>
      <c r="Q60" s="126" t="str">
        <f>IF(S60="T",Charts!$X$7,IF(ISNA(MATCH(A60,Data!B:B,0)),"",INDEX(Data!K:K,MATCH(A60,Data!B:B,1)))) &amp; ""</f>
        <v/>
      </c>
      <c r="R60" s="134"/>
      <c r="S60" s="134"/>
      <c r="T60" s="127"/>
      <c r="AF60" s="24" t="str">
        <f>IF(C60="","",INDEX(Workouts!B:B,MATCH(C60,Workouts!A:A,0)))</f>
        <v/>
      </c>
      <c r="AG60" s="24" t="str">
        <f>IF(SUMIF(Data!B:B,A60,Data!D:D)=0,"",SUMIF(Data!B:B,A60,Data!D:D))</f>
        <v/>
      </c>
      <c r="AH60" s="25" t="str">
        <f>IF(C60="","",INDEX(Workouts!C:C,MATCH(C60,Workouts!A:A,0)))</f>
        <v/>
      </c>
      <c r="AI60" s="68" t="str">
        <f>IF(SUMIF(Data!B:B,A60,Data!F:F)=0,"",SUMIF(Data!B:B,A60,Data!F:F))</f>
        <v/>
      </c>
      <c r="AJ60" s="68">
        <f>AJ59+ (IF(AH60="",0,AH60)-AJ59)/Charts!$X$5</f>
        <v>7.9875949996630544E-3</v>
      </c>
      <c r="AK60" s="68">
        <f>AK59+ (IF(AI60="",0,AI60)-AK59)/Charts!$X$5</f>
        <v>7.9875949996630544E-3</v>
      </c>
      <c r="AL60" s="68">
        <f>AL59+ (IF(AH60="",0,AH60)-AL59)/Charts!$X$6</f>
        <v>13.594634510985575</v>
      </c>
      <c r="AM60" s="68">
        <f>AM59+ (IF(AI60="",0,AI60)-AM59)/Charts!$X$6</f>
        <v>13.594634510985575</v>
      </c>
      <c r="AN60" s="68" t="str">
        <f t="shared" si="10"/>
        <v>14</v>
      </c>
      <c r="AO60" s="68" t="str">
        <f t="shared" si="11"/>
        <v>14</v>
      </c>
      <c r="AP60" s="69" t="str">
        <f>IF(C60="","",INDEX(Workouts!D:D,MATCH(C60,Workouts!A:A,0)))</f>
        <v/>
      </c>
      <c r="AQ60" s="69" t="str">
        <f>IF(ISNA(MATCH(A60,Data!B:B,0)),"",INDEX(Data!G:G,MATCH(A60,Data!B:B,1)))</f>
        <v/>
      </c>
    </row>
    <row r="61" spans="1:43" s="1" customFormat="1" x14ac:dyDescent="0.2">
      <c r="A61" s="125">
        <f t="shared" si="9"/>
        <v>44256</v>
      </c>
      <c r="B61" s="126" t="str">
        <f t="shared" si="6"/>
        <v>Mon</v>
      </c>
      <c r="C61" s="140"/>
      <c r="D61" s="128" t="str">
        <f t="shared" si="7"/>
        <v/>
      </c>
      <c r="E61" s="129" t="str">
        <f t="shared" si="8"/>
        <v/>
      </c>
      <c r="F61" s="130" t="str">
        <f>IF(SUMIF(Data!B:B,A61,Data!C:C)=0,"",SUMIF(Data!B:B,A61,Data!C:C))</f>
        <v/>
      </c>
      <c r="G61" s="126" t="str">
        <f>IF(OR(S61="T",S61="RUN",SUMIF(Data!B:B,A61,Data!E:E)=0),"",SUMIF(Data!B:B,A61,Data!E:E))</f>
        <v/>
      </c>
      <c r="H61" s="126" t="str">
        <f t="shared" si="0"/>
        <v/>
      </c>
      <c r="I61" s="131" t="str">
        <f t="shared" si="1"/>
        <v>0 (0)</v>
      </c>
      <c r="J61" s="131" t="str">
        <f t="shared" si="2"/>
        <v>13 (13)</v>
      </c>
      <c r="K61" s="131" t="str">
        <f t="shared" si="3"/>
        <v>14 (14)</v>
      </c>
      <c r="L61" s="132" t="str">
        <f t="shared" si="4"/>
        <v/>
      </c>
      <c r="M61" s="131" t="str">
        <f t="shared" si="5"/>
        <v/>
      </c>
      <c r="N61" s="126" t="str">
        <f>IF(ISNA(MATCH(A61,Data!B:B,0)),"",INDEX(Data!H:H,MATCH(A61,Data!B:B,1))) &amp; ""</f>
        <v/>
      </c>
      <c r="O61" s="126" t="str">
        <f>IF(ISNA(MATCH(A61,Data!B:B,0)),"",INDEX(Data!I:I,MATCH(A61,Data!B:B,1))) &amp; ""</f>
        <v/>
      </c>
      <c r="P61" s="133" t="str">
        <f>IF(ISNA(MATCH(A61,Data!B:B,0)),"",INDEX(Data!J:J,MATCH(A61,Data!B:B,1))) &amp; ""</f>
        <v/>
      </c>
      <c r="Q61" s="126" t="str">
        <f>IF(S61="T",Charts!$X$7,IF(ISNA(MATCH(A61,Data!B:B,0)),"",INDEX(Data!K:K,MATCH(A61,Data!B:B,1)))) &amp; ""</f>
        <v/>
      </c>
      <c r="R61" s="134"/>
      <c r="S61" s="134"/>
      <c r="T61" s="127"/>
      <c r="AF61" s="24" t="str">
        <f>IF(C61="","",INDEX(Workouts!B:B,MATCH(C61,Workouts!A:A,0)))</f>
        <v/>
      </c>
      <c r="AG61" s="24" t="str">
        <f>IF(SUMIF(Data!B:B,A61,Data!D:D)=0,"",SUMIF(Data!B:B,A61,Data!D:D))</f>
        <v/>
      </c>
      <c r="AH61" s="25" t="str">
        <f>IF(C61="","",INDEX(Workouts!C:C,MATCH(C61,Workouts!A:A,0)))</f>
        <v/>
      </c>
      <c r="AI61" s="68" t="str">
        <f>IF(SUMIF(Data!B:B,A61,Data!F:F)=0,"",SUMIF(Data!B:B,A61,Data!F:F))</f>
        <v/>
      </c>
      <c r="AJ61" s="68">
        <f>AJ60+ (IF(AH61="",0,AH61)-AJ60)/Charts!$X$5</f>
        <v>6.8465099997111895E-3</v>
      </c>
      <c r="AK61" s="68">
        <f>AK60+ (IF(AI61="",0,AI61)-AK60)/Charts!$X$5</f>
        <v>6.8465099997111895E-3</v>
      </c>
      <c r="AL61" s="68">
        <f>AL60+ (IF(AH61="",0,AH61)-AL60)/Charts!$X$6</f>
        <v>13.27095273691449</v>
      </c>
      <c r="AM61" s="68">
        <f>AM60+ (IF(AI61="",0,AI61)-AM60)/Charts!$X$6</f>
        <v>13.27095273691449</v>
      </c>
      <c r="AN61" s="68" t="str">
        <f t="shared" si="10"/>
        <v>14</v>
      </c>
      <c r="AO61" s="68" t="str">
        <f t="shared" si="11"/>
        <v>14</v>
      </c>
      <c r="AP61" s="69" t="str">
        <f>IF(C61="","",INDEX(Workouts!D:D,MATCH(C61,Workouts!A:A,0)))</f>
        <v/>
      </c>
      <c r="AQ61" s="69" t="str">
        <f>IF(ISNA(MATCH(A61,Data!B:B,0)),"",INDEX(Data!G:G,MATCH(A61,Data!B:B,1)))</f>
        <v/>
      </c>
    </row>
    <row r="62" spans="1:43" s="1" customFormat="1" x14ac:dyDescent="0.2">
      <c r="A62" s="125">
        <f t="shared" si="9"/>
        <v>44257</v>
      </c>
      <c r="B62" s="126" t="str">
        <f t="shared" si="6"/>
        <v>Tue</v>
      </c>
      <c r="C62" s="140"/>
      <c r="D62" s="128" t="str">
        <f t="shared" si="7"/>
        <v/>
      </c>
      <c r="E62" s="129" t="str">
        <f t="shared" si="8"/>
        <v/>
      </c>
      <c r="F62" s="130" t="str">
        <f>IF(SUMIF(Data!B:B,A62,Data!C:C)=0,"",SUMIF(Data!B:B,A62,Data!C:C))</f>
        <v/>
      </c>
      <c r="G62" s="126" t="str">
        <f>IF(OR(S62="T",S62="RUN",SUMIF(Data!B:B,A62,Data!E:E)=0),"",SUMIF(Data!B:B,A62,Data!E:E))</f>
        <v/>
      </c>
      <c r="H62" s="126" t="str">
        <f t="shared" si="0"/>
        <v/>
      </c>
      <c r="I62" s="131" t="str">
        <f t="shared" si="1"/>
        <v>0 (0)</v>
      </c>
      <c r="J62" s="131" t="str">
        <f t="shared" si="2"/>
        <v>13 (13)</v>
      </c>
      <c r="K62" s="131" t="str">
        <f t="shared" si="3"/>
        <v>13 (13)</v>
      </c>
      <c r="L62" s="132" t="str">
        <f t="shared" si="4"/>
        <v/>
      </c>
      <c r="M62" s="131" t="str">
        <f t="shared" si="5"/>
        <v/>
      </c>
      <c r="N62" s="126" t="str">
        <f>IF(ISNA(MATCH(A62,Data!B:B,0)),"",INDEX(Data!H:H,MATCH(A62,Data!B:B,1))) &amp; ""</f>
        <v/>
      </c>
      <c r="O62" s="126" t="str">
        <f>IF(ISNA(MATCH(A62,Data!B:B,0)),"",INDEX(Data!I:I,MATCH(A62,Data!B:B,1))) &amp; ""</f>
        <v/>
      </c>
      <c r="P62" s="133" t="str">
        <f>IF(ISNA(MATCH(A62,Data!B:B,0)),"",INDEX(Data!J:J,MATCH(A62,Data!B:B,1))) &amp; ""</f>
        <v/>
      </c>
      <c r="Q62" s="126" t="str">
        <f>IF(S62="T",Charts!$X$7,IF(ISNA(MATCH(A62,Data!B:B,0)),"",INDEX(Data!K:K,MATCH(A62,Data!B:B,1)))) &amp; ""</f>
        <v/>
      </c>
      <c r="R62" s="134"/>
      <c r="S62" s="134"/>
      <c r="T62" s="127"/>
      <c r="AF62" s="24" t="str">
        <f>IF(C62="","",INDEX(Workouts!B:B,MATCH(C62,Workouts!A:A,0)))</f>
        <v/>
      </c>
      <c r="AG62" s="24" t="str">
        <f>IF(SUMIF(Data!B:B,A62,Data!D:D)=0,"",SUMIF(Data!B:B,A62,Data!D:D))</f>
        <v/>
      </c>
      <c r="AH62" s="25" t="str">
        <f>IF(C62="","",INDEX(Workouts!C:C,MATCH(C62,Workouts!A:A,0)))</f>
        <v/>
      </c>
      <c r="AI62" s="68" t="str">
        <f>IF(SUMIF(Data!B:B,A62,Data!F:F)=0,"",SUMIF(Data!B:B,A62,Data!F:F))</f>
        <v/>
      </c>
      <c r="AJ62" s="68">
        <f>AJ61+ (IF(AH62="",0,AH62)-AJ61)/Charts!$X$5</f>
        <v>5.8684371426095915E-3</v>
      </c>
      <c r="AK62" s="68">
        <f>AK61+ (IF(AI62="",0,AI62)-AK61)/Charts!$X$5</f>
        <v>5.8684371426095915E-3</v>
      </c>
      <c r="AL62" s="68">
        <f>AL61+ (IF(AH62="",0,AH62)-AL61)/Charts!$X$6</f>
        <v>12.954977671749859</v>
      </c>
      <c r="AM62" s="68">
        <f>AM61+ (IF(AI62="",0,AI62)-AM61)/Charts!$X$6</f>
        <v>12.954977671749859</v>
      </c>
      <c r="AN62" s="68" t="str">
        <f t="shared" si="10"/>
        <v>13</v>
      </c>
      <c r="AO62" s="68" t="str">
        <f t="shared" si="11"/>
        <v>13</v>
      </c>
      <c r="AP62" s="69" t="str">
        <f>IF(C62="","",INDEX(Workouts!D:D,MATCH(C62,Workouts!A:A,0)))</f>
        <v/>
      </c>
      <c r="AQ62" s="69" t="str">
        <f>IF(ISNA(MATCH(A62,Data!B:B,0)),"",INDEX(Data!G:G,MATCH(A62,Data!B:B,1)))</f>
        <v/>
      </c>
    </row>
    <row r="63" spans="1:43" s="1" customFormat="1" x14ac:dyDescent="0.2">
      <c r="A63" s="125">
        <f t="shared" si="9"/>
        <v>44258</v>
      </c>
      <c r="B63" s="126" t="str">
        <f t="shared" si="6"/>
        <v>Wed</v>
      </c>
      <c r="C63" s="140"/>
      <c r="D63" s="128" t="str">
        <f t="shared" si="7"/>
        <v/>
      </c>
      <c r="E63" s="129" t="str">
        <f t="shared" si="8"/>
        <v/>
      </c>
      <c r="F63" s="130" t="str">
        <f>IF(SUMIF(Data!B:B,A63,Data!C:C)=0,"",SUMIF(Data!B:B,A63,Data!C:C))</f>
        <v/>
      </c>
      <c r="G63" s="126" t="str">
        <f>IF(OR(S63="T",S63="RUN",SUMIF(Data!B:B,A63,Data!E:E)=0),"",SUMIF(Data!B:B,A63,Data!E:E))</f>
        <v/>
      </c>
      <c r="H63" s="126" t="str">
        <f t="shared" si="0"/>
        <v/>
      </c>
      <c r="I63" s="131" t="str">
        <f t="shared" si="1"/>
        <v>0 (0)</v>
      </c>
      <c r="J63" s="131" t="str">
        <f t="shared" si="2"/>
        <v>13 (13)</v>
      </c>
      <c r="K63" s="131" t="str">
        <f t="shared" si="3"/>
        <v>13 (13)</v>
      </c>
      <c r="L63" s="132" t="str">
        <f t="shared" si="4"/>
        <v/>
      </c>
      <c r="M63" s="131" t="str">
        <f t="shared" si="5"/>
        <v/>
      </c>
      <c r="N63" s="126" t="str">
        <f>IF(ISNA(MATCH(A63,Data!B:B,0)),"",INDEX(Data!H:H,MATCH(A63,Data!B:B,1))) &amp; ""</f>
        <v/>
      </c>
      <c r="O63" s="126" t="str">
        <f>IF(ISNA(MATCH(A63,Data!B:B,0)),"",INDEX(Data!I:I,MATCH(A63,Data!B:B,1))) &amp; ""</f>
        <v/>
      </c>
      <c r="P63" s="133" t="str">
        <f>IF(ISNA(MATCH(A63,Data!B:B,0)),"",INDEX(Data!J:J,MATCH(A63,Data!B:B,1))) &amp; ""</f>
        <v/>
      </c>
      <c r="Q63" s="126" t="str">
        <f>IF(S63="T",Charts!$X$7,IF(ISNA(MATCH(A63,Data!B:B,0)),"",INDEX(Data!K:K,MATCH(A63,Data!B:B,1)))) &amp; ""</f>
        <v/>
      </c>
      <c r="R63" s="134"/>
      <c r="S63" s="134"/>
      <c r="T63" s="127"/>
      <c r="AF63" s="24" t="str">
        <f>IF(C63="","",INDEX(Workouts!B:B,MATCH(C63,Workouts!A:A,0)))</f>
        <v/>
      </c>
      <c r="AG63" s="24" t="str">
        <f>IF(SUMIF(Data!B:B,A63,Data!D:D)=0,"",SUMIF(Data!B:B,A63,Data!D:D))</f>
        <v/>
      </c>
      <c r="AH63" s="25" t="str">
        <f>IF(C63="","",INDEX(Workouts!C:C,MATCH(C63,Workouts!A:A,0)))</f>
        <v/>
      </c>
      <c r="AI63" s="68" t="str">
        <f>IF(SUMIF(Data!B:B,A63,Data!F:F)=0,"",SUMIF(Data!B:B,A63,Data!F:F))</f>
        <v/>
      </c>
      <c r="AJ63" s="68">
        <f>AJ62+ (IF(AH63="",0,AH63)-AJ62)/Charts!$X$5</f>
        <v>5.0300889793796497E-3</v>
      </c>
      <c r="AK63" s="68">
        <f>AK62+ (IF(AI63="",0,AI63)-AK62)/Charts!$X$5</f>
        <v>5.0300889793796497E-3</v>
      </c>
      <c r="AL63" s="68">
        <f>AL62+ (IF(AH63="",0,AH63)-AL62)/Charts!$X$6</f>
        <v>12.646525822422481</v>
      </c>
      <c r="AM63" s="68">
        <f>AM62+ (IF(AI63="",0,AI63)-AM62)/Charts!$X$6</f>
        <v>12.646525822422481</v>
      </c>
      <c r="AN63" s="68" t="str">
        <f t="shared" si="10"/>
        <v>13</v>
      </c>
      <c r="AO63" s="68" t="str">
        <f t="shared" si="11"/>
        <v>13</v>
      </c>
      <c r="AP63" s="69" t="str">
        <f>IF(C63="","",INDEX(Workouts!D:D,MATCH(C63,Workouts!A:A,0)))</f>
        <v/>
      </c>
      <c r="AQ63" s="69" t="str">
        <f>IF(ISNA(MATCH(A63,Data!B:B,0)),"",INDEX(Data!G:G,MATCH(A63,Data!B:B,1)))</f>
        <v/>
      </c>
    </row>
    <row r="64" spans="1:43" s="1" customFormat="1" x14ac:dyDescent="0.2">
      <c r="A64" s="125">
        <f t="shared" si="9"/>
        <v>44259</v>
      </c>
      <c r="B64" s="126" t="str">
        <f t="shared" si="6"/>
        <v>Thu</v>
      </c>
      <c r="C64" s="140"/>
      <c r="D64" s="128" t="str">
        <f t="shared" si="7"/>
        <v/>
      </c>
      <c r="E64" s="129" t="str">
        <f t="shared" si="8"/>
        <v/>
      </c>
      <c r="F64" s="130" t="str">
        <f>IF(SUMIF(Data!B:B,A64,Data!C:C)=0,"",SUMIF(Data!B:B,A64,Data!C:C))</f>
        <v/>
      </c>
      <c r="G64" s="126" t="str">
        <f>IF(OR(S64="T",S64="RUN",SUMIF(Data!B:B,A64,Data!E:E)=0),"",SUMIF(Data!B:B,A64,Data!E:E))</f>
        <v/>
      </c>
      <c r="H64" s="126" t="str">
        <f t="shared" si="0"/>
        <v/>
      </c>
      <c r="I64" s="131" t="str">
        <f t="shared" si="1"/>
        <v>0 (0)</v>
      </c>
      <c r="J64" s="131" t="str">
        <f t="shared" si="2"/>
        <v>12 (12)</v>
      </c>
      <c r="K64" s="131" t="str">
        <f t="shared" si="3"/>
        <v>13 (13)</v>
      </c>
      <c r="L64" s="132" t="str">
        <f t="shared" si="4"/>
        <v/>
      </c>
      <c r="M64" s="131" t="str">
        <f t="shared" si="5"/>
        <v/>
      </c>
      <c r="N64" s="126" t="str">
        <f>IF(ISNA(MATCH(A64,Data!B:B,0)),"",INDEX(Data!H:H,MATCH(A64,Data!B:B,1))) &amp; ""</f>
        <v/>
      </c>
      <c r="O64" s="126" t="str">
        <f>IF(ISNA(MATCH(A64,Data!B:B,0)),"",INDEX(Data!I:I,MATCH(A64,Data!B:B,1))) &amp; ""</f>
        <v/>
      </c>
      <c r="P64" s="133" t="str">
        <f>IF(ISNA(MATCH(A64,Data!B:B,0)),"",INDEX(Data!J:J,MATCH(A64,Data!B:B,1))) &amp; ""</f>
        <v/>
      </c>
      <c r="Q64" s="126" t="str">
        <f>IF(S64="T",Charts!$X$7,IF(ISNA(MATCH(A64,Data!B:B,0)),"",INDEX(Data!K:K,MATCH(A64,Data!B:B,1)))) &amp; ""</f>
        <v/>
      </c>
      <c r="R64" s="134"/>
      <c r="S64" s="134"/>
      <c r="T64" s="127"/>
      <c r="AF64" s="24" t="str">
        <f>IF(C64="","",INDEX(Workouts!B:B,MATCH(C64,Workouts!A:A,0)))</f>
        <v/>
      </c>
      <c r="AG64" s="24" t="str">
        <f>IF(SUMIF(Data!B:B,A64,Data!D:D)=0,"",SUMIF(Data!B:B,A64,Data!D:D))</f>
        <v/>
      </c>
      <c r="AH64" s="25" t="str">
        <f>IF(C64="","",INDEX(Workouts!C:C,MATCH(C64,Workouts!A:A,0)))</f>
        <v/>
      </c>
      <c r="AI64" s="68" t="str">
        <f>IF(SUMIF(Data!B:B,A64,Data!F:F)=0,"",SUMIF(Data!B:B,A64,Data!F:F))</f>
        <v/>
      </c>
      <c r="AJ64" s="68">
        <f>AJ63+ (IF(AH64="",0,AH64)-AJ63)/Charts!$X$5</f>
        <v>4.3115048394682708E-3</v>
      </c>
      <c r="AK64" s="68">
        <f>AK63+ (IF(AI64="",0,AI64)-AK63)/Charts!$X$5</f>
        <v>4.3115048394682708E-3</v>
      </c>
      <c r="AL64" s="68">
        <f>AL63+ (IF(AH64="",0,AH64)-AL63)/Charts!$X$6</f>
        <v>12.345418064745756</v>
      </c>
      <c r="AM64" s="68">
        <f>AM63+ (IF(AI64="",0,AI64)-AM63)/Charts!$X$6</f>
        <v>12.345418064745756</v>
      </c>
      <c r="AN64" s="68" t="str">
        <f t="shared" si="10"/>
        <v>13</v>
      </c>
      <c r="AO64" s="68" t="str">
        <f t="shared" si="11"/>
        <v>13</v>
      </c>
      <c r="AP64" s="69" t="str">
        <f>IF(C64="","",INDEX(Workouts!D:D,MATCH(C64,Workouts!A:A,0)))</f>
        <v/>
      </c>
      <c r="AQ64" s="69" t="str">
        <f>IF(ISNA(MATCH(A64,Data!B:B,0)),"",INDEX(Data!G:G,MATCH(A64,Data!B:B,1)))</f>
        <v/>
      </c>
    </row>
    <row r="65" spans="1:43" s="1" customFormat="1" x14ac:dyDescent="0.2">
      <c r="A65" s="125">
        <f t="shared" si="9"/>
        <v>44260</v>
      </c>
      <c r="B65" s="126" t="str">
        <f t="shared" si="6"/>
        <v>Fri</v>
      </c>
      <c r="C65" s="140"/>
      <c r="D65" s="128" t="str">
        <f t="shared" si="7"/>
        <v/>
      </c>
      <c r="E65" s="129" t="str">
        <f t="shared" si="8"/>
        <v/>
      </c>
      <c r="F65" s="130" t="str">
        <f>IF(SUMIF(Data!B:B,A65,Data!C:C)=0,"",SUMIF(Data!B:B,A65,Data!C:C))</f>
        <v/>
      </c>
      <c r="G65" s="126" t="str">
        <f>IF(OR(S65="T",S65="RUN",SUMIF(Data!B:B,A65,Data!E:E)=0),"",SUMIF(Data!B:B,A65,Data!E:E))</f>
        <v/>
      </c>
      <c r="H65" s="126" t="str">
        <f t="shared" si="0"/>
        <v/>
      </c>
      <c r="I65" s="131" t="str">
        <f t="shared" si="1"/>
        <v>0 (0)</v>
      </c>
      <c r="J65" s="131" t="str">
        <f t="shared" si="2"/>
        <v>12 (12)</v>
      </c>
      <c r="K65" s="131" t="str">
        <f t="shared" si="3"/>
        <v>12 (12)</v>
      </c>
      <c r="L65" s="132" t="str">
        <f t="shared" si="4"/>
        <v/>
      </c>
      <c r="M65" s="131" t="str">
        <f t="shared" si="5"/>
        <v/>
      </c>
      <c r="N65" s="126" t="str">
        <f>IF(ISNA(MATCH(A65,Data!B:B,0)),"",INDEX(Data!H:H,MATCH(A65,Data!B:B,1))) &amp; ""</f>
        <v/>
      </c>
      <c r="O65" s="126" t="str">
        <f>IF(ISNA(MATCH(A65,Data!B:B,0)),"",INDEX(Data!I:I,MATCH(A65,Data!B:B,1))) &amp; ""</f>
        <v/>
      </c>
      <c r="P65" s="133" t="str">
        <f>IF(ISNA(MATCH(A65,Data!B:B,0)),"",INDEX(Data!J:J,MATCH(A65,Data!B:B,1))) &amp; ""</f>
        <v/>
      </c>
      <c r="Q65" s="126" t="str">
        <f>IF(S65="T",Charts!$X$7,IF(ISNA(MATCH(A65,Data!B:B,0)),"",INDEX(Data!K:K,MATCH(A65,Data!B:B,1)))) &amp; ""</f>
        <v/>
      </c>
      <c r="R65" s="134"/>
      <c r="S65" s="134"/>
      <c r="T65" s="127"/>
      <c r="AF65" s="24" t="str">
        <f>IF(C65="","",INDEX(Workouts!B:B,MATCH(C65,Workouts!A:A,0)))</f>
        <v/>
      </c>
      <c r="AG65" s="24" t="str">
        <f>IF(SUMIF(Data!B:B,A65,Data!D:D)=0,"",SUMIF(Data!B:B,A65,Data!D:D))</f>
        <v/>
      </c>
      <c r="AH65" s="25" t="str">
        <f>IF(C65="","",INDEX(Workouts!C:C,MATCH(C65,Workouts!A:A,0)))</f>
        <v/>
      </c>
      <c r="AI65" s="68" t="str">
        <f>IF(SUMIF(Data!B:B,A65,Data!F:F)=0,"",SUMIF(Data!B:B,A65,Data!F:F))</f>
        <v/>
      </c>
      <c r="AJ65" s="68">
        <f>AJ64+ (IF(AH65="",0,AH65)-AJ64)/Charts!$X$5</f>
        <v>3.6955755766870891E-3</v>
      </c>
      <c r="AK65" s="68">
        <f>AK64+ (IF(AI65="",0,AI65)-AK64)/Charts!$X$5</f>
        <v>3.6955755766870891E-3</v>
      </c>
      <c r="AL65" s="68">
        <f>AL64+ (IF(AH65="",0,AH65)-AL64)/Charts!$X$6</f>
        <v>12.051479539394666</v>
      </c>
      <c r="AM65" s="68">
        <f>AM64+ (IF(AI65="",0,AI65)-AM64)/Charts!$X$6</f>
        <v>12.051479539394666</v>
      </c>
      <c r="AN65" s="68" t="str">
        <f t="shared" si="10"/>
        <v>12</v>
      </c>
      <c r="AO65" s="68" t="str">
        <f t="shared" si="11"/>
        <v>12</v>
      </c>
      <c r="AP65" s="69" t="str">
        <f>IF(C65="","",INDEX(Workouts!D:D,MATCH(C65,Workouts!A:A,0)))</f>
        <v/>
      </c>
      <c r="AQ65" s="69" t="str">
        <f>IF(ISNA(MATCH(A65,Data!B:B,0)),"",INDEX(Data!G:G,MATCH(A65,Data!B:B,1)))</f>
        <v/>
      </c>
    </row>
    <row r="66" spans="1:43" s="1" customFormat="1" x14ac:dyDescent="0.2">
      <c r="A66" s="125">
        <f t="shared" si="9"/>
        <v>44261</v>
      </c>
      <c r="B66" s="126" t="str">
        <f t="shared" si="6"/>
        <v>Sat</v>
      </c>
      <c r="C66" s="140"/>
      <c r="D66" s="128" t="str">
        <f t="shared" si="7"/>
        <v/>
      </c>
      <c r="E66" s="129" t="str">
        <f t="shared" si="8"/>
        <v/>
      </c>
      <c r="F66" s="130" t="str">
        <f>IF(SUMIF(Data!B:B,A66,Data!C:C)=0,"",SUMIF(Data!B:B,A66,Data!C:C))</f>
        <v/>
      </c>
      <c r="G66" s="126" t="str">
        <f>IF(OR(S66="T",S66="RUN",SUMIF(Data!B:B,A66,Data!E:E)=0),"",SUMIF(Data!B:B,A66,Data!E:E))</f>
        <v/>
      </c>
      <c r="H66" s="126" t="str">
        <f t="shared" ref="H66:H129" si="12">IF(G66&lt;&gt;"",INT(G66/F66),"")</f>
        <v/>
      </c>
      <c r="I66" s="131" t="str">
        <f t="shared" ref="I66:I129" si="13">ROUND(AK66,0)&amp;IF(AJ66="",""," ("&amp;ROUND(AJ66,0)&amp;")")</f>
        <v>0 (0)</v>
      </c>
      <c r="J66" s="131" t="str">
        <f t="shared" ref="J66:J129" si="14">ROUND(AM66,0)&amp;IF(AL66="",""," ("&amp;ROUND(AL66,0)&amp;")")</f>
        <v>12 (12)</v>
      </c>
      <c r="K66" s="131" t="str">
        <f t="shared" ref="K66:K129" si="15">AO66&amp;IF(AN66="",""," ("&amp;AN66&amp;")")</f>
        <v>12 (12)</v>
      </c>
      <c r="L66" s="132" t="str">
        <f t="shared" ref="L66:L129" si="16">AI66&amp;IF(AH66="",""," ("&amp;AH66&amp;")")</f>
        <v/>
      </c>
      <c r="M66" s="131" t="str">
        <f t="shared" ref="M66:M129" si="17">TEXT(AQ66,"0.00")&amp;IF(AP66="",""," ("&amp;TEXT(AP66,"0.00")&amp;")")</f>
        <v/>
      </c>
      <c r="N66" s="126" t="str">
        <f>IF(ISNA(MATCH(A66,Data!B:B,0)),"",INDEX(Data!H:H,MATCH(A66,Data!B:B,1))) &amp; ""</f>
        <v/>
      </c>
      <c r="O66" s="126" t="str">
        <f>IF(ISNA(MATCH(A66,Data!B:B,0)),"",INDEX(Data!I:I,MATCH(A66,Data!B:B,1))) &amp; ""</f>
        <v/>
      </c>
      <c r="P66" s="133" t="str">
        <f>IF(ISNA(MATCH(A66,Data!B:B,0)),"",INDEX(Data!J:J,MATCH(A66,Data!B:B,1))) &amp; ""</f>
        <v/>
      </c>
      <c r="Q66" s="126" t="str">
        <f>IF(S66="T",Charts!$X$7,IF(ISNA(MATCH(A66,Data!B:B,0)),"",INDEX(Data!K:K,MATCH(A66,Data!B:B,1)))) &amp; ""</f>
        <v/>
      </c>
      <c r="R66" s="134"/>
      <c r="S66" s="134"/>
      <c r="T66" s="127"/>
      <c r="AF66" s="24" t="str">
        <f>IF(C66="","",INDEX(Workouts!B:B,MATCH(C66,Workouts!A:A,0)))</f>
        <v/>
      </c>
      <c r="AG66" s="24" t="str">
        <f>IF(SUMIF(Data!B:B,A66,Data!D:D)=0,"",SUMIF(Data!B:B,A66,Data!D:D))</f>
        <v/>
      </c>
      <c r="AH66" s="25" t="str">
        <f>IF(C66="","",INDEX(Workouts!C:C,MATCH(C66,Workouts!A:A,0)))</f>
        <v/>
      </c>
      <c r="AI66" s="68" t="str">
        <f>IF(SUMIF(Data!B:B,A66,Data!F:F)=0,"",SUMIF(Data!B:B,A66,Data!F:F))</f>
        <v/>
      </c>
      <c r="AJ66" s="68">
        <f>AJ65+ (IF(AH66="",0,AH66)-AJ65)/Charts!$X$5</f>
        <v>3.1676362085889336E-3</v>
      </c>
      <c r="AK66" s="68">
        <f>AK65+ (IF(AI66="",0,AI66)-AK65)/Charts!$X$5</f>
        <v>3.1676362085889336E-3</v>
      </c>
      <c r="AL66" s="68">
        <f>AL65+ (IF(AH66="",0,AH66)-AL65)/Charts!$X$6</f>
        <v>11.76453955036146</v>
      </c>
      <c r="AM66" s="68">
        <f>AM65+ (IF(AI66="",0,AI66)-AM65)/Charts!$X$6</f>
        <v>11.76453955036146</v>
      </c>
      <c r="AN66" s="68" t="str">
        <f t="shared" si="10"/>
        <v>12</v>
      </c>
      <c r="AO66" s="68" t="str">
        <f t="shared" si="11"/>
        <v>12</v>
      </c>
      <c r="AP66" s="69" t="str">
        <f>IF(C66="","",INDEX(Workouts!D:D,MATCH(C66,Workouts!A:A,0)))</f>
        <v/>
      </c>
      <c r="AQ66" s="69" t="str">
        <f>IF(ISNA(MATCH(A66,Data!B:B,0)),"",INDEX(Data!G:G,MATCH(A66,Data!B:B,1)))</f>
        <v/>
      </c>
    </row>
    <row r="67" spans="1:43" s="1" customFormat="1" x14ac:dyDescent="0.2">
      <c r="A67" s="125">
        <f t="shared" si="9"/>
        <v>44262</v>
      </c>
      <c r="B67" s="126" t="str">
        <f t="shared" ref="B67:B130" si="18">TEXT(A67,"ddd")</f>
        <v>Sun</v>
      </c>
      <c r="C67" s="140"/>
      <c r="D67" s="128" t="str">
        <f t="shared" ref="D67:D130" si="19">IF(AG67="","",INT(AG67/60)&amp;":"&amp;RIGHT("00"&amp;MOD(AG67,60),2)&amp;" ")
&amp;IF(OR(AF67="",AF67=0),"","("&amp;INT(AF67/60)&amp;":"&amp;RIGHT("00"&amp;MOD(AF67,60),2)&amp;")")</f>
        <v/>
      </c>
      <c r="E67" s="129" t="str">
        <f t="shared" ref="E67:E130" si="20">IF(AG67&lt;&gt;"",F67/AG67*60,"")</f>
        <v/>
      </c>
      <c r="F67" s="130" t="str">
        <f>IF(SUMIF(Data!B:B,A67,Data!C:C)=0,"",SUMIF(Data!B:B,A67,Data!C:C))</f>
        <v/>
      </c>
      <c r="G67" s="126" t="str">
        <f>IF(OR(S67="T",S67="RUN",SUMIF(Data!B:B,A67,Data!E:E)=0),"",SUMIF(Data!B:B,A67,Data!E:E))</f>
        <v/>
      </c>
      <c r="H67" s="126" t="str">
        <f t="shared" si="12"/>
        <v/>
      </c>
      <c r="I67" s="131" t="str">
        <f t="shared" si="13"/>
        <v>0 (0)</v>
      </c>
      <c r="J67" s="131" t="str">
        <f t="shared" si="14"/>
        <v>11 (11)</v>
      </c>
      <c r="K67" s="131" t="str">
        <f t="shared" si="15"/>
        <v>12 (12)</v>
      </c>
      <c r="L67" s="132" t="str">
        <f t="shared" si="16"/>
        <v/>
      </c>
      <c r="M67" s="131" t="str">
        <f t="shared" si="17"/>
        <v/>
      </c>
      <c r="N67" s="126" t="str">
        <f>IF(ISNA(MATCH(A67,Data!B:B,0)),"",INDEX(Data!H:H,MATCH(A67,Data!B:B,1))) &amp; ""</f>
        <v/>
      </c>
      <c r="O67" s="126" t="str">
        <f>IF(ISNA(MATCH(A67,Data!B:B,0)),"",INDEX(Data!I:I,MATCH(A67,Data!B:B,1))) &amp; ""</f>
        <v/>
      </c>
      <c r="P67" s="133" t="str">
        <f>IF(ISNA(MATCH(A67,Data!B:B,0)),"",INDEX(Data!J:J,MATCH(A67,Data!B:B,1))) &amp; ""</f>
        <v/>
      </c>
      <c r="Q67" s="126" t="str">
        <f>IF(S67="T",Charts!$X$7,IF(ISNA(MATCH(A67,Data!B:B,0)),"",INDEX(Data!K:K,MATCH(A67,Data!B:B,1)))) &amp; ""</f>
        <v/>
      </c>
      <c r="R67" s="134"/>
      <c r="S67" s="134"/>
      <c r="T67" s="127"/>
      <c r="AF67" s="24" t="str">
        <f>IF(C67="","",INDEX(Workouts!B:B,MATCH(C67,Workouts!A:A,0)))</f>
        <v/>
      </c>
      <c r="AG67" s="24" t="str">
        <f>IF(SUMIF(Data!B:B,A67,Data!D:D)=0,"",SUMIF(Data!B:B,A67,Data!D:D))</f>
        <v/>
      </c>
      <c r="AH67" s="25" t="str">
        <f>IF(C67="","",INDEX(Workouts!C:C,MATCH(C67,Workouts!A:A,0)))</f>
        <v/>
      </c>
      <c r="AI67" s="68" t="str">
        <f>IF(SUMIF(Data!B:B,A67,Data!F:F)=0,"",SUMIF(Data!B:B,A67,Data!F:F))</f>
        <v/>
      </c>
      <c r="AJ67" s="68">
        <f>AJ66+ (IF(AH67="",0,AH67)-AJ66)/Charts!$X$5</f>
        <v>2.7151167502190861E-3</v>
      </c>
      <c r="AK67" s="68">
        <f>AK66+ (IF(AI67="",0,AI67)-AK66)/Charts!$X$5</f>
        <v>2.7151167502190861E-3</v>
      </c>
      <c r="AL67" s="68">
        <f>AL66+ (IF(AH67="",0,AH67)-AL66)/Charts!$X$6</f>
        <v>11.484431465829045</v>
      </c>
      <c r="AM67" s="68">
        <f>AM66+ (IF(AI67="",0,AI67)-AM66)/Charts!$X$6</f>
        <v>11.484431465829045</v>
      </c>
      <c r="AN67" s="68" t="str">
        <f t="shared" si="10"/>
        <v>12</v>
      </c>
      <c r="AO67" s="68" t="str">
        <f t="shared" si="11"/>
        <v>12</v>
      </c>
      <c r="AP67" s="69" t="str">
        <f>IF(C67="","",INDEX(Workouts!D:D,MATCH(C67,Workouts!A:A,0)))</f>
        <v/>
      </c>
      <c r="AQ67" s="69" t="str">
        <f>IF(ISNA(MATCH(A67,Data!B:B,0)),"",INDEX(Data!G:G,MATCH(A67,Data!B:B,1)))</f>
        <v/>
      </c>
    </row>
    <row r="68" spans="1:43" s="1" customFormat="1" x14ac:dyDescent="0.2">
      <c r="A68" s="125">
        <f t="shared" ref="A68:A131" si="21">A67+1</f>
        <v>44263</v>
      </c>
      <c r="B68" s="126" t="str">
        <f t="shared" si="18"/>
        <v>Mon</v>
      </c>
      <c r="C68" s="140"/>
      <c r="D68" s="128" t="str">
        <f t="shared" si="19"/>
        <v/>
      </c>
      <c r="E68" s="129" t="str">
        <f t="shared" si="20"/>
        <v/>
      </c>
      <c r="F68" s="130" t="str">
        <f>IF(SUMIF(Data!B:B,A68,Data!C:C)=0,"",SUMIF(Data!B:B,A68,Data!C:C))</f>
        <v/>
      </c>
      <c r="G68" s="126" t="str">
        <f>IF(OR(S68="T",S68="RUN",SUMIF(Data!B:B,A68,Data!E:E)=0),"",SUMIF(Data!B:B,A68,Data!E:E))</f>
        <v/>
      </c>
      <c r="H68" s="126" t="str">
        <f t="shared" si="12"/>
        <v/>
      </c>
      <c r="I68" s="131" t="str">
        <f t="shared" si="13"/>
        <v>0 (0)</v>
      </c>
      <c r="J68" s="131" t="str">
        <f t="shared" si="14"/>
        <v>11 (11)</v>
      </c>
      <c r="K68" s="131" t="str">
        <f t="shared" si="15"/>
        <v>11 (11)</v>
      </c>
      <c r="L68" s="132" t="str">
        <f t="shared" si="16"/>
        <v/>
      </c>
      <c r="M68" s="131" t="str">
        <f t="shared" si="17"/>
        <v/>
      </c>
      <c r="N68" s="126" t="str">
        <f>IF(ISNA(MATCH(A68,Data!B:B,0)),"",INDEX(Data!H:H,MATCH(A68,Data!B:B,1))) &amp; ""</f>
        <v/>
      </c>
      <c r="O68" s="126" t="str">
        <f>IF(ISNA(MATCH(A68,Data!B:B,0)),"",INDEX(Data!I:I,MATCH(A68,Data!B:B,1))) &amp; ""</f>
        <v/>
      </c>
      <c r="P68" s="133" t="str">
        <f>IF(ISNA(MATCH(A68,Data!B:B,0)),"",INDEX(Data!J:J,MATCH(A68,Data!B:B,1))) &amp; ""</f>
        <v/>
      </c>
      <c r="Q68" s="126" t="str">
        <f>IF(S68="T",Charts!$X$7,IF(ISNA(MATCH(A68,Data!B:B,0)),"",INDEX(Data!K:K,MATCH(A68,Data!B:B,1)))) &amp; ""</f>
        <v/>
      </c>
      <c r="R68" s="134"/>
      <c r="S68" s="134"/>
      <c r="T68" s="127"/>
      <c r="AF68" s="24" t="str">
        <f>IF(C68="","",INDEX(Workouts!B:B,MATCH(C68,Workouts!A:A,0)))</f>
        <v/>
      </c>
      <c r="AG68" s="24" t="str">
        <f>IF(SUMIF(Data!B:B,A68,Data!D:D)=0,"",SUMIF(Data!B:B,A68,Data!D:D))</f>
        <v/>
      </c>
      <c r="AH68" s="25" t="str">
        <f>IF(C68="","",INDEX(Workouts!C:C,MATCH(C68,Workouts!A:A,0)))</f>
        <v/>
      </c>
      <c r="AI68" s="68" t="str">
        <f>IF(SUMIF(Data!B:B,A68,Data!F:F)=0,"",SUMIF(Data!B:B,A68,Data!F:F))</f>
        <v/>
      </c>
      <c r="AJ68" s="68">
        <f>AJ67+ (IF(AH68="",0,AH68)-AJ67)/Charts!$X$5</f>
        <v>2.3272429287592169E-3</v>
      </c>
      <c r="AK68" s="68">
        <f>AK67+ (IF(AI68="",0,AI68)-AK67)/Charts!$X$5</f>
        <v>2.3272429287592169E-3</v>
      </c>
      <c r="AL68" s="68">
        <f>AL67+ (IF(AH68="",0,AH68)-AL67)/Charts!$X$6</f>
        <v>11.210992621404545</v>
      </c>
      <c r="AM68" s="68">
        <f>AM67+ (IF(AI68="",0,AI68)-AM67)/Charts!$X$6</f>
        <v>11.210992621404545</v>
      </c>
      <c r="AN68" s="68" t="str">
        <f t="shared" ref="AN68:AN131" si="22">TEXT(ROUND(AL67,0)-ROUND(AJ67,0),"0")</f>
        <v>11</v>
      </c>
      <c r="AO68" s="68" t="str">
        <f t="shared" ref="AO68:AO131" si="23">TEXT(ROUND(AM67,0)-ROUND(AK67,0),"0")</f>
        <v>11</v>
      </c>
      <c r="AP68" s="69" t="str">
        <f>IF(C68="","",INDEX(Workouts!D:D,MATCH(C68,Workouts!A:A,0)))</f>
        <v/>
      </c>
      <c r="AQ68" s="69" t="str">
        <f>IF(ISNA(MATCH(A68,Data!B:B,0)),"",INDEX(Data!G:G,MATCH(A68,Data!B:B,1)))</f>
        <v/>
      </c>
    </row>
    <row r="69" spans="1:43" s="1" customFormat="1" x14ac:dyDescent="0.2">
      <c r="A69" s="125">
        <f t="shared" si="21"/>
        <v>44264</v>
      </c>
      <c r="B69" s="126" t="str">
        <f t="shared" si="18"/>
        <v>Tue</v>
      </c>
      <c r="C69" s="140"/>
      <c r="D69" s="128" t="str">
        <f t="shared" si="19"/>
        <v/>
      </c>
      <c r="E69" s="129" t="str">
        <f t="shared" si="20"/>
        <v/>
      </c>
      <c r="F69" s="130" t="str">
        <f>IF(SUMIF(Data!B:B,A69,Data!C:C)=0,"",SUMIF(Data!B:B,A69,Data!C:C))</f>
        <v/>
      </c>
      <c r="G69" s="126" t="str">
        <f>IF(OR(S69="T",S69="RUN",SUMIF(Data!B:B,A69,Data!E:E)=0),"",SUMIF(Data!B:B,A69,Data!E:E))</f>
        <v/>
      </c>
      <c r="H69" s="126" t="str">
        <f t="shared" si="12"/>
        <v/>
      </c>
      <c r="I69" s="131" t="str">
        <f t="shared" si="13"/>
        <v>0 (0)</v>
      </c>
      <c r="J69" s="131" t="str">
        <f t="shared" si="14"/>
        <v>11 (11)</v>
      </c>
      <c r="K69" s="131" t="str">
        <f t="shared" si="15"/>
        <v>11 (11)</v>
      </c>
      <c r="L69" s="132" t="str">
        <f t="shared" si="16"/>
        <v/>
      </c>
      <c r="M69" s="131" t="str">
        <f t="shared" si="17"/>
        <v/>
      </c>
      <c r="N69" s="126" t="str">
        <f>IF(ISNA(MATCH(A69,Data!B:B,0)),"",INDEX(Data!H:H,MATCH(A69,Data!B:B,1))) &amp; ""</f>
        <v/>
      </c>
      <c r="O69" s="126" t="str">
        <f>IF(ISNA(MATCH(A69,Data!B:B,0)),"",INDEX(Data!I:I,MATCH(A69,Data!B:B,1))) &amp; ""</f>
        <v/>
      </c>
      <c r="P69" s="133" t="str">
        <f>IF(ISNA(MATCH(A69,Data!B:B,0)),"",INDEX(Data!J:J,MATCH(A69,Data!B:B,1))) &amp; ""</f>
        <v/>
      </c>
      <c r="Q69" s="126" t="str">
        <f>IF(S69="T",Charts!$X$7,IF(ISNA(MATCH(A69,Data!B:B,0)),"",INDEX(Data!K:K,MATCH(A69,Data!B:B,1)))) &amp; ""</f>
        <v/>
      </c>
      <c r="R69" s="134"/>
      <c r="S69" s="134"/>
      <c r="T69" s="127"/>
      <c r="AF69" s="24" t="str">
        <f>IF(C69="","",INDEX(Workouts!B:B,MATCH(C69,Workouts!A:A,0)))</f>
        <v/>
      </c>
      <c r="AG69" s="24" t="str">
        <f>IF(SUMIF(Data!B:B,A69,Data!D:D)=0,"",SUMIF(Data!B:B,A69,Data!D:D))</f>
        <v/>
      </c>
      <c r="AH69" s="25" t="str">
        <f>IF(C69="","",INDEX(Workouts!C:C,MATCH(C69,Workouts!A:A,0)))</f>
        <v/>
      </c>
      <c r="AI69" s="68" t="str">
        <f>IF(SUMIF(Data!B:B,A69,Data!F:F)=0,"",SUMIF(Data!B:B,A69,Data!F:F))</f>
        <v/>
      </c>
      <c r="AJ69" s="68">
        <f>AJ68+ (IF(AH69="",0,AH69)-AJ68)/Charts!$X$5</f>
        <v>1.9947796532221859E-3</v>
      </c>
      <c r="AK69" s="68">
        <f>AK68+ (IF(AI69="",0,AI69)-AK68)/Charts!$X$5</f>
        <v>1.9947796532221859E-3</v>
      </c>
      <c r="AL69" s="68">
        <f>AL68+ (IF(AH69="",0,AH69)-AL68)/Charts!$X$6</f>
        <v>10.944064225656817</v>
      </c>
      <c r="AM69" s="68">
        <f>AM68+ (IF(AI69="",0,AI69)-AM68)/Charts!$X$6</f>
        <v>10.944064225656817</v>
      </c>
      <c r="AN69" s="68" t="str">
        <f t="shared" si="22"/>
        <v>11</v>
      </c>
      <c r="AO69" s="68" t="str">
        <f t="shared" si="23"/>
        <v>11</v>
      </c>
      <c r="AP69" s="69" t="str">
        <f>IF(C69="","",INDEX(Workouts!D:D,MATCH(C69,Workouts!A:A,0)))</f>
        <v/>
      </c>
      <c r="AQ69" s="69" t="str">
        <f>IF(ISNA(MATCH(A69,Data!B:B,0)),"",INDEX(Data!G:G,MATCH(A69,Data!B:B,1)))</f>
        <v/>
      </c>
    </row>
    <row r="70" spans="1:43" s="1" customFormat="1" x14ac:dyDescent="0.2">
      <c r="A70" s="125">
        <f t="shared" si="21"/>
        <v>44265</v>
      </c>
      <c r="B70" s="126" t="str">
        <f t="shared" si="18"/>
        <v>Wed</v>
      </c>
      <c r="C70" s="140"/>
      <c r="D70" s="128" t="str">
        <f t="shared" si="19"/>
        <v/>
      </c>
      <c r="E70" s="129" t="str">
        <f t="shared" si="20"/>
        <v/>
      </c>
      <c r="F70" s="130" t="str">
        <f>IF(SUMIF(Data!B:B,A70,Data!C:C)=0,"",SUMIF(Data!B:B,A70,Data!C:C))</f>
        <v/>
      </c>
      <c r="G70" s="126" t="str">
        <f>IF(OR(S70="T",S70="RUN",SUMIF(Data!B:B,A70,Data!E:E)=0),"",SUMIF(Data!B:B,A70,Data!E:E))</f>
        <v/>
      </c>
      <c r="H70" s="126" t="str">
        <f t="shared" si="12"/>
        <v/>
      </c>
      <c r="I70" s="131" t="str">
        <f t="shared" si="13"/>
        <v>0 (0)</v>
      </c>
      <c r="J70" s="131" t="str">
        <f t="shared" si="14"/>
        <v>11 (11)</v>
      </c>
      <c r="K70" s="131" t="str">
        <f t="shared" si="15"/>
        <v>11 (11)</v>
      </c>
      <c r="L70" s="132" t="str">
        <f t="shared" si="16"/>
        <v/>
      </c>
      <c r="M70" s="131" t="str">
        <f t="shared" si="17"/>
        <v/>
      </c>
      <c r="N70" s="126" t="str">
        <f>IF(ISNA(MATCH(A70,Data!B:B,0)),"",INDEX(Data!H:H,MATCH(A70,Data!B:B,1))) &amp; ""</f>
        <v/>
      </c>
      <c r="O70" s="126" t="str">
        <f>IF(ISNA(MATCH(A70,Data!B:B,0)),"",INDEX(Data!I:I,MATCH(A70,Data!B:B,1))) &amp; ""</f>
        <v/>
      </c>
      <c r="P70" s="133" t="str">
        <f>IF(ISNA(MATCH(A70,Data!B:B,0)),"",INDEX(Data!J:J,MATCH(A70,Data!B:B,1))) &amp; ""</f>
        <v/>
      </c>
      <c r="Q70" s="126" t="str">
        <f>IF(S70="T",Charts!$X$7,IF(ISNA(MATCH(A70,Data!B:B,0)),"",INDEX(Data!K:K,MATCH(A70,Data!B:B,1)))) &amp; ""</f>
        <v/>
      </c>
      <c r="R70" s="134"/>
      <c r="S70" s="134"/>
      <c r="T70" s="127"/>
      <c r="AF70" s="24" t="str">
        <f>IF(C70="","",INDEX(Workouts!B:B,MATCH(C70,Workouts!A:A,0)))</f>
        <v/>
      </c>
      <c r="AG70" s="24" t="str">
        <f>IF(SUMIF(Data!B:B,A70,Data!D:D)=0,"",SUMIF(Data!B:B,A70,Data!D:D))</f>
        <v/>
      </c>
      <c r="AH70" s="25" t="str">
        <f>IF(C70="","",INDEX(Workouts!C:C,MATCH(C70,Workouts!A:A,0)))</f>
        <v/>
      </c>
      <c r="AI70" s="68" t="str">
        <f>IF(SUMIF(Data!B:B,A70,Data!F:F)=0,"",SUMIF(Data!B:B,A70,Data!F:F))</f>
        <v/>
      </c>
      <c r="AJ70" s="68">
        <f>AJ69+ (IF(AH70="",0,AH70)-AJ69)/Charts!$X$5</f>
        <v>1.7098111313333022E-3</v>
      </c>
      <c r="AK70" s="68">
        <f>AK69+ (IF(AI70="",0,AI70)-AK69)/Charts!$X$5</f>
        <v>1.7098111313333022E-3</v>
      </c>
      <c r="AL70" s="68">
        <f>AL69+ (IF(AH70="",0,AH70)-AL69)/Charts!$X$6</f>
        <v>10.683491267903083</v>
      </c>
      <c r="AM70" s="68">
        <f>AM69+ (IF(AI70="",0,AI70)-AM69)/Charts!$X$6</f>
        <v>10.683491267903083</v>
      </c>
      <c r="AN70" s="68" t="str">
        <f t="shared" si="22"/>
        <v>11</v>
      </c>
      <c r="AO70" s="68" t="str">
        <f t="shared" si="23"/>
        <v>11</v>
      </c>
      <c r="AP70" s="69" t="str">
        <f>IF(C70="","",INDEX(Workouts!D:D,MATCH(C70,Workouts!A:A,0)))</f>
        <v/>
      </c>
      <c r="AQ70" s="69" t="str">
        <f>IF(ISNA(MATCH(A70,Data!B:B,0)),"",INDEX(Data!G:G,MATCH(A70,Data!B:B,1)))</f>
        <v/>
      </c>
    </row>
    <row r="71" spans="1:43" s="1" customFormat="1" x14ac:dyDescent="0.2">
      <c r="A71" s="125">
        <f t="shared" si="21"/>
        <v>44266</v>
      </c>
      <c r="B71" s="126" t="str">
        <f t="shared" si="18"/>
        <v>Thu</v>
      </c>
      <c r="C71" s="140"/>
      <c r="D71" s="128" t="str">
        <f t="shared" si="19"/>
        <v/>
      </c>
      <c r="E71" s="129" t="str">
        <f t="shared" si="20"/>
        <v/>
      </c>
      <c r="F71" s="130" t="str">
        <f>IF(SUMIF(Data!B:B,A71,Data!C:C)=0,"",SUMIF(Data!B:B,A71,Data!C:C))</f>
        <v/>
      </c>
      <c r="G71" s="126" t="str">
        <f>IF(OR(S71="T",S71="RUN",SUMIF(Data!B:B,A71,Data!E:E)=0),"",SUMIF(Data!B:B,A71,Data!E:E))</f>
        <v/>
      </c>
      <c r="H71" s="126" t="str">
        <f t="shared" si="12"/>
        <v/>
      </c>
      <c r="I71" s="131" t="str">
        <f t="shared" si="13"/>
        <v>0 (0)</v>
      </c>
      <c r="J71" s="131" t="str">
        <f t="shared" si="14"/>
        <v>10 (10)</v>
      </c>
      <c r="K71" s="131" t="str">
        <f t="shared" si="15"/>
        <v>11 (11)</v>
      </c>
      <c r="L71" s="132" t="str">
        <f t="shared" si="16"/>
        <v/>
      </c>
      <c r="M71" s="131" t="str">
        <f t="shared" si="17"/>
        <v/>
      </c>
      <c r="N71" s="126" t="str">
        <f>IF(ISNA(MATCH(A71,Data!B:B,0)),"",INDEX(Data!H:H,MATCH(A71,Data!B:B,1))) &amp; ""</f>
        <v/>
      </c>
      <c r="O71" s="126" t="str">
        <f>IF(ISNA(MATCH(A71,Data!B:B,0)),"",INDEX(Data!I:I,MATCH(A71,Data!B:B,1))) &amp; ""</f>
        <v/>
      </c>
      <c r="P71" s="133" t="str">
        <f>IF(ISNA(MATCH(A71,Data!B:B,0)),"",INDEX(Data!J:J,MATCH(A71,Data!B:B,1))) &amp; ""</f>
        <v/>
      </c>
      <c r="Q71" s="126" t="str">
        <f>IF(S71="T",Charts!$X$7,IF(ISNA(MATCH(A71,Data!B:B,0)),"",INDEX(Data!K:K,MATCH(A71,Data!B:B,1)))) &amp; ""</f>
        <v/>
      </c>
      <c r="R71" s="134"/>
      <c r="S71" s="134"/>
      <c r="T71" s="127"/>
      <c r="AF71" s="24" t="str">
        <f>IF(C71="","",INDEX(Workouts!B:B,MATCH(C71,Workouts!A:A,0)))</f>
        <v/>
      </c>
      <c r="AG71" s="24" t="str">
        <f>IF(SUMIF(Data!B:B,A71,Data!D:D)=0,"",SUMIF(Data!B:B,A71,Data!D:D))</f>
        <v/>
      </c>
      <c r="AH71" s="25" t="str">
        <f>IF(C71="","",INDEX(Workouts!C:C,MATCH(C71,Workouts!A:A,0)))</f>
        <v/>
      </c>
      <c r="AI71" s="68" t="str">
        <f>IF(SUMIF(Data!B:B,A71,Data!F:F)=0,"",SUMIF(Data!B:B,A71,Data!F:F))</f>
        <v/>
      </c>
      <c r="AJ71" s="68">
        <f>AJ70+ (IF(AH71="",0,AH71)-AJ70)/Charts!$X$5</f>
        <v>1.4655523982856876E-3</v>
      </c>
      <c r="AK71" s="68">
        <f>AK70+ (IF(AI71="",0,AI71)-AK70)/Charts!$X$5</f>
        <v>1.4655523982856876E-3</v>
      </c>
      <c r="AL71" s="68">
        <f>AL70+ (IF(AH71="",0,AH71)-AL70)/Charts!$X$6</f>
        <v>10.429122428191105</v>
      </c>
      <c r="AM71" s="68">
        <f>AM70+ (IF(AI71="",0,AI71)-AM70)/Charts!$X$6</f>
        <v>10.429122428191105</v>
      </c>
      <c r="AN71" s="68" t="str">
        <f t="shared" si="22"/>
        <v>11</v>
      </c>
      <c r="AO71" s="68" t="str">
        <f t="shared" si="23"/>
        <v>11</v>
      </c>
      <c r="AP71" s="69" t="str">
        <f>IF(C71="","",INDEX(Workouts!D:D,MATCH(C71,Workouts!A:A,0)))</f>
        <v/>
      </c>
      <c r="AQ71" s="69" t="str">
        <f>IF(ISNA(MATCH(A71,Data!B:B,0)),"",INDEX(Data!G:G,MATCH(A71,Data!B:B,1)))</f>
        <v/>
      </c>
    </row>
    <row r="72" spans="1:43" s="1" customFormat="1" x14ac:dyDescent="0.2">
      <c r="A72" s="125">
        <f t="shared" si="21"/>
        <v>44267</v>
      </c>
      <c r="B72" s="126" t="str">
        <f t="shared" si="18"/>
        <v>Fri</v>
      </c>
      <c r="C72" s="140"/>
      <c r="D72" s="128" t="str">
        <f t="shared" si="19"/>
        <v/>
      </c>
      <c r="E72" s="129" t="str">
        <f t="shared" si="20"/>
        <v/>
      </c>
      <c r="F72" s="130" t="str">
        <f>IF(SUMIF(Data!B:B,A72,Data!C:C)=0,"",SUMIF(Data!B:B,A72,Data!C:C))</f>
        <v/>
      </c>
      <c r="G72" s="126" t="str">
        <f>IF(OR(S72="T",S72="RUN",SUMIF(Data!B:B,A72,Data!E:E)=0),"",SUMIF(Data!B:B,A72,Data!E:E))</f>
        <v/>
      </c>
      <c r="H72" s="126" t="str">
        <f t="shared" si="12"/>
        <v/>
      </c>
      <c r="I72" s="131" t="str">
        <f t="shared" si="13"/>
        <v>0 (0)</v>
      </c>
      <c r="J72" s="131" t="str">
        <f t="shared" si="14"/>
        <v>10 (10)</v>
      </c>
      <c r="K72" s="131" t="str">
        <f t="shared" si="15"/>
        <v>10 (10)</v>
      </c>
      <c r="L72" s="132" t="str">
        <f t="shared" si="16"/>
        <v/>
      </c>
      <c r="M72" s="131" t="str">
        <f t="shared" si="17"/>
        <v/>
      </c>
      <c r="N72" s="126" t="str">
        <f>IF(ISNA(MATCH(A72,Data!B:B,0)),"",INDEX(Data!H:H,MATCH(A72,Data!B:B,1))) &amp; ""</f>
        <v/>
      </c>
      <c r="O72" s="126" t="str">
        <f>IF(ISNA(MATCH(A72,Data!B:B,0)),"",INDEX(Data!I:I,MATCH(A72,Data!B:B,1))) &amp; ""</f>
        <v/>
      </c>
      <c r="P72" s="133" t="str">
        <f>IF(ISNA(MATCH(A72,Data!B:B,0)),"",INDEX(Data!J:J,MATCH(A72,Data!B:B,1))) &amp; ""</f>
        <v/>
      </c>
      <c r="Q72" s="126" t="str">
        <f>IF(S72="T",Charts!$X$7,IF(ISNA(MATCH(A72,Data!B:B,0)),"",INDEX(Data!K:K,MATCH(A72,Data!B:B,1)))) &amp; ""</f>
        <v/>
      </c>
      <c r="R72" s="134"/>
      <c r="S72" s="134"/>
      <c r="T72" s="127"/>
      <c r="AF72" s="24" t="str">
        <f>IF(C72="","",INDEX(Workouts!B:B,MATCH(C72,Workouts!A:A,0)))</f>
        <v/>
      </c>
      <c r="AG72" s="24" t="str">
        <f>IF(SUMIF(Data!B:B,A72,Data!D:D)=0,"",SUMIF(Data!B:B,A72,Data!D:D))</f>
        <v/>
      </c>
      <c r="AH72" s="25" t="str">
        <f>IF(C72="","",INDEX(Workouts!C:C,MATCH(C72,Workouts!A:A,0)))</f>
        <v/>
      </c>
      <c r="AI72" s="68" t="str">
        <f>IF(SUMIF(Data!B:B,A72,Data!F:F)=0,"",SUMIF(Data!B:B,A72,Data!F:F))</f>
        <v/>
      </c>
      <c r="AJ72" s="68">
        <f>AJ71+ (IF(AH72="",0,AH72)-AJ71)/Charts!$X$5</f>
        <v>1.2561877699591609E-3</v>
      </c>
      <c r="AK72" s="68">
        <f>AK71+ (IF(AI72="",0,AI72)-AK71)/Charts!$X$5</f>
        <v>1.2561877699591609E-3</v>
      </c>
      <c r="AL72" s="68">
        <f>AL71+ (IF(AH72="",0,AH72)-AL71)/Charts!$X$6</f>
        <v>10.180809989424651</v>
      </c>
      <c r="AM72" s="68">
        <f>AM71+ (IF(AI72="",0,AI72)-AM71)/Charts!$X$6</f>
        <v>10.180809989424651</v>
      </c>
      <c r="AN72" s="68" t="str">
        <f t="shared" si="22"/>
        <v>10</v>
      </c>
      <c r="AO72" s="68" t="str">
        <f t="shared" si="23"/>
        <v>10</v>
      </c>
      <c r="AP72" s="69" t="str">
        <f>IF(C72="","",INDEX(Workouts!D:D,MATCH(C72,Workouts!A:A,0)))</f>
        <v/>
      </c>
      <c r="AQ72" s="69" t="str">
        <f>IF(ISNA(MATCH(A72,Data!B:B,0)),"",INDEX(Data!G:G,MATCH(A72,Data!B:B,1)))</f>
        <v/>
      </c>
    </row>
    <row r="73" spans="1:43" s="1" customFormat="1" x14ac:dyDescent="0.2">
      <c r="A73" s="125">
        <f t="shared" si="21"/>
        <v>44268</v>
      </c>
      <c r="B73" s="126" t="str">
        <f t="shared" si="18"/>
        <v>Sat</v>
      </c>
      <c r="C73" s="140"/>
      <c r="D73" s="128" t="str">
        <f t="shared" si="19"/>
        <v/>
      </c>
      <c r="E73" s="129" t="str">
        <f t="shared" si="20"/>
        <v/>
      </c>
      <c r="F73" s="130" t="str">
        <f>IF(SUMIF(Data!B:B,A73,Data!C:C)=0,"",SUMIF(Data!B:B,A73,Data!C:C))</f>
        <v/>
      </c>
      <c r="G73" s="126" t="str">
        <f>IF(OR(S73="T",S73="RUN",SUMIF(Data!B:B,A73,Data!E:E)=0),"",SUMIF(Data!B:B,A73,Data!E:E))</f>
        <v/>
      </c>
      <c r="H73" s="126" t="str">
        <f t="shared" si="12"/>
        <v/>
      </c>
      <c r="I73" s="131" t="str">
        <f t="shared" si="13"/>
        <v>0 (0)</v>
      </c>
      <c r="J73" s="131" t="str">
        <f t="shared" si="14"/>
        <v>10 (10)</v>
      </c>
      <c r="K73" s="131" t="str">
        <f t="shared" si="15"/>
        <v>10 (10)</v>
      </c>
      <c r="L73" s="132" t="str">
        <f t="shared" si="16"/>
        <v/>
      </c>
      <c r="M73" s="131" t="str">
        <f t="shared" si="17"/>
        <v/>
      </c>
      <c r="N73" s="126" t="str">
        <f>IF(ISNA(MATCH(A73,Data!B:B,0)),"",INDEX(Data!H:H,MATCH(A73,Data!B:B,1))) &amp; ""</f>
        <v/>
      </c>
      <c r="O73" s="126" t="str">
        <f>IF(ISNA(MATCH(A73,Data!B:B,0)),"",INDEX(Data!I:I,MATCH(A73,Data!B:B,1))) &amp; ""</f>
        <v/>
      </c>
      <c r="P73" s="133" t="str">
        <f>IF(ISNA(MATCH(A73,Data!B:B,0)),"",INDEX(Data!J:J,MATCH(A73,Data!B:B,1))) &amp; ""</f>
        <v/>
      </c>
      <c r="Q73" s="126" t="str">
        <f>IF(S73="T",Charts!$X$7,IF(ISNA(MATCH(A73,Data!B:B,0)),"",INDEX(Data!K:K,MATCH(A73,Data!B:B,1)))) &amp; ""</f>
        <v/>
      </c>
      <c r="R73" s="134"/>
      <c r="S73" s="134"/>
      <c r="T73" s="127"/>
      <c r="AF73" s="24" t="str">
        <f>IF(C73="","",INDEX(Workouts!B:B,MATCH(C73,Workouts!A:A,0)))</f>
        <v/>
      </c>
      <c r="AG73" s="24" t="str">
        <f>IF(SUMIF(Data!B:B,A73,Data!D:D)=0,"",SUMIF(Data!B:B,A73,Data!D:D))</f>
        <v/>
      </c>
      <c r="AH73" s="25" t="str">
        <f>IF(C73="","",INDEX(Workouts!C:C,MATCH(C73,Workouts!A:A,0)))</f>
        <v/>
      </c>
      <c r="AI73" s="68" t="str">
        <f>IF(SUMIF(Data!B:B,A73,Data!F:F)=0,"",SUMIF(Data!B:B,A73,Data!F:F))</f>
        <v/>
      </c>
      <c r="AJ73" s="68">
        <f>AJ72+ (IF(AH73="",0,AH73)-AJ72)/Charts!$X$5</f>
        <v>1.0767323742507094E-3</v>
      </c>
      <c r="AK73" s="68">
        <f>AK72+ (IF(AI73="",0,AI73)-AK72)/Charts!$X$5</f>
        <v>1.0767323742507094E-3</v>
      </c>
      <c r="AL73" s="68">
        <f>AL72+ (IF(AH73="",0,AH73)-AL72)/Charts!$X$6</f>
        <v>9.9384097515812062</v>
      </c>
      <c r="AM73" s="68">
        <f>AM72+ (IF(AI73="",0,AI73)-AM72)/Charts!$X$6</f>
        <v>9.9384097515812062</v>
      </c>
      <c r="AN73" s="68" t="str">
        <f t="shared" si="22"/>
        <v>10</v>
      </c>
      <c r="AO73" s="68" t="str">
        <f t="shared" si="23"/>
        <v>10</v>
      </c>
      <c r="AP73" s="69" t="str">
        <f>IF(C73="","",INDEX(Workouts!D:D,MATCH(C73,Workouts!A:A,0)))</f>
        <v/>
      </c>
      <c r="AQ73" s="69" t="str">
        <f>IF(ISNA(MATCH(A73,Data!B:B,0)),"",INDEX(Data!G:G,MATCH(A73,Data!B:B,1)))</f>
        <v/>
      </c>
    </row>
    <row r="74" spans="1:43" s="1" customFormat="1" x14ac:dyDescent="0.2">
      <c r="A74" s="125">
        <f t="shared" si="21"/>
        <v>44269</v>
      </c>
      <c r="B74" s="126" t="str">
        <f t="shared" si="18"/>
        <v>Sun</v>
      </c>
      <c r="C74" s="140"/>
      <c r="D74" s="128" t="str">
        <f t="shared" si="19"/>
        <v/>
      </c>
      <c r="E74" s="129" t="str">
        <f t="shared" si="20"/>
        <v/>
      </c>
      <c r="F74" s="130" t="str">
        <f>IF(SUMIF(Data!B:B,A74,Data!C:C)=0,"",SUMIF(Data!B:B,A74,Data!C:C))</f>
        <v/>
      </c>
      <c r="G74" s="126" t="str">
        <f>IF(OR(S74="T",S74="RUN",SUMIF(Data!B:B,A74,Data!E:E)=0),"",SUMIF(Data!B:B,A74,Data!E:E))</f>
        <v/>
      </c>
      <c r="H74" s="126" t="str">
        <f t="shared" si="12"/>
        <v/>
      </c>
      <c r="I74" s="131" t="str">
        <f t="shared" si="13"/>
        <v>0 (0)</v>
      </c>
      <c r="J74" s="131" t="str">
        <f t="shared" si="14"/>
        <v>10 (10)</v>
      </c>
      <c r="K74" s="131" t="str">
        <f t="shared" si="15"/>
        <v>10 (10)</v>
      </c>
      <c r="L74" s="132" t="str">
        <f t="shared" si="16"/>
        <v/>
      </c>
      <c r="M74" s="131" t="str">
        <f t="shared" si="17"/>
        <v/>
      </c>
      <c r="N74" s="126" t="str">
        <f>IF(ISNA(MATCH(A74,Data!B:B,0)),"",INDEX(Data!H:H,MATCH(A74,Data!B:B,1))) &amp; ""</f>
        <v/>
      </c>
      <c r="O74" s="126" t="str">
        <f>IF(ISNA(MATCH(A74,Data!B:B,0)),"",INDEX(Data!I:I,MATCH(A74,Data!B:B,1))) &amp; ""</f>
        <v/>
      </c>
      <c r="P74" s="133" t="str">
        <f>IF(ISNA(MATCH(A74,Data!B:B,0)),"",INDEX(Data!J:J,MATCH(A74,Data!B:B,1))) &amp; ""</f>
        <v/>
      </c>
      <c r="Q74" s="126" t="str">
        <f>IF(S74="T",Charts!$X$7,IF(ISNA(MATCH(A74,Data!B:B,0)),"",INDEX(Data!K:K,MATCH(A74,Data!B:B,1)))) &amp; ""</f>
        <v/>
      </c>
      <c r="R74" s="134"/>
      <c r="S74" s="134"/>
      <c r="T74" s="127"/>
      <c r="AF74" s="24" t="str">
        <f>IF(C74="","",INDEX(Workouts!B:B,MATCH(C74,Workouts!A:A,0)))</f>
        <v/>
      </c>
      <c r="AG74" s="24" t="str">
        <f>IF(SUMIF(Data!B:B,A74,Data!D:D)=0,"",SUMIF(Data!B:B,A74,Data!D:D))</f>
        <v/>
      </c>
      <c r="AH74" s="25" t="str">
        <f>IF(C74="","",INDEX(Workouts!C:C,MATCH(C74,Workouts!A:A,0)))</f>
        <v/>
      </c>
      <c r="AI74" s="68" t="str">
        <f>IF(SUMIF(Data!B:B,A74,Data!F:F)=0,"",SUMIF(Data!B:B,A74,Data!F:F))</f>
        <v/>
      </c>
      <c r="AJ74" s="68">
        <f>AJ73+ (IF(AH74="",0,AH74)-AJ73)/Charts!$X$5</f>
        <v>9.2291346364346523E-4</v>
      </c>
      <c r="AK74" s="68">
        <f>AK73+ (IF(AI74="",0,AI74)-AK73)/Charts!$X$5</f>
        <v>9.2291346364346523E-4</v>
      </c>
      <c r="AL74" s="68">
        <f>AL73+ (IF(AH74="",0,AH74)-AL73)/Charts!$X$6</f>
        <v>9.7017809479721304</v>
      </c>
      <c r="AM74" s="68">
        <f>AM73+ (IF(AI74="",0,AI74)-AM73)/Charts!$X$6</f>
        <v>9.7017809479721304</v>
      </c>
      <c r="AN74" s="68" t="str">
        <f t="shared" si="22"/>
        <v>10</v>
      </c>
      <c r="AO74" s="68" t="str">
        <f t="shared" si="23"/>
        <v>10</v>
      </c>
      <c r="AP74" s="69" t="str">
        <f>IF(C74="","",INDEX(Workouts!D:D,MATCH(C74,Workouts!A:A,0)))</f>
        <v/>
      </c>
      <c r="AQ74" s="69" t="str">
        <f>IF(ISNA(MATCH(A74,Data!B:B,0)),"",INDEX(Data!G:G,MATCH(A74,Data!B:B,1)))</f>
        <v/>
      </c>
    </row>
    <row r="75" spans="1:43" s="1" customFormat="1" x14ac:dyDescent="0.2">
      <c r="A75" s="125">
        <f t="shared" si="21"/>
        <v>44270</v>
      </c>
      <c r="B75" s="126" t="str">
        <f t="shared" si="18"/>
        <v>Mon</v>
      </c>
      <c r="C75" s="140"/>
      <c r="D75" s="128" t="str">
        <f t="shared" si="19"/>
        <v/>
      </c>
      <c r="E75" s="129" t="str">
        <f t="shared" si="20"/>
        <v/>
      </c>
      <c r="F75" s="130" t="str">
        <f>IF(SUMIF(Data!B:B,A75,Data!C:C)=0,"",SUMIF(Data!B:B,A75,Data!C:C))</f>
        <v/>
      </c>
      <c r="G75" s="126" t="str">
        <f>IF(OR(S75="T",S75="RUN",SUMIF(Data!B:B,A75,Data!E:E)=0),"",SUMIF(Data!B:B,A75,Data!E:E))</f>
        <v/>
      </c>
      <c r="H75" s="126" t="str">
        <f t="shared" si="12"/>
        <v/>
      </c>
      <c r="I75" s="131" t="str">
        <f t="shared" si="13"/>
        <v>0 (0)</v>
      </c>
      <c r="J75" s="131" t="str">
        <f t="shared" si="14"/>
        <v>9 (9)</v>
      </c>
      <c r="K75" s="131" t="str">
        <f t="shared" si="15"/>
        <v>10 (10)</v>
      </c>
      <c r="L75" s="132" t="str">
        <f t="shared" si="16"/>
        <v/>
      </c>
      <c r="M75" s="131" t="str">
        <f t="shared" si="17"/>
        <v/>
      </c>
      <c r="N75" s="126" t="str">
        <f>IF(ISNA(MATCH(A75,Data!B:B,0)),"",INDEX(Data!H:H,MATCH(A75,Data!B:B,1))) &amp; ""</f>
        <v/>
      </c>
      <c r="O75" s="126" t="str">
        <f>IF(ISNA(MATCH(A75,Data!B:B,0)),"",INDEX(Data!I:I,MATCH(A75,Data!B:B,1))) &amp; ""</f>
        <v/>
      </c>
      <c r="P75" s="133" t="str">
        <f>IF(ISNA(MATCH(A75,Data!B:B,0)),"",INDEX(Data!J:J,MATCH(A75,Data!B:B,1))) &amp; ""</f>
        <v/>
      </c>
      <c r="Q75" s="126" t="str">
        <f>IF(S75="T",Charts!$X$7,IF(ISNA(MATCH(A75,Data!B:B,0)),"",INDEX(Data!K:K,MATCH(A75,Data!B:B,1)))) &amp; ""</f>
        <v/>
      </c>
      <c r="R75" s="134"/>
      <c r="S75" s="134"/>
      <c r="T75" s="127"/>
      <c r="AF75" s="24" t="str">
        <f>IF(C75="","",INDEX(Workouts!B:B,MATCH(C75,Workouts!A:A,0)))</f>
        <v/>
      </c>
      <c r="AG75" s="24" t="str">
        <f>IF(SUMIF(Data!B:B,A75,Data!D:D)=0,"",SUMIF(Data!B:B,A75,Data!D:D))</f>
        <v/>
      </c>
      <c r="AH75" s="25" t="str">
        <f>IF(C75="","",INDEX(Workouts!C:C,MATCH(C75,Workouts!A:A,0)))</f>
        <v/>
      </c>
      <c r="AI75" s="68" t="str">
        <f>IF(SUMIF(Data!B:B,A75,Data!F:F)=0,"",SUMIF(Data!B:B,A75,Data!F:F))</f>
        <v/>
      </c>
      <c r="AJ75" s="68">
        <f>AJ74+ (IF(AH75="",0,AH75)-AJ74)/Charts!$X$5</f>
        <v>7.9106868312297021E-4</v>
      </c>
      <c r="AK75" s="68">
        <f>AK74+ (IF(AI75="",0,AI75)-AK74)/Charts!$X$5</f>
        <v>7.9106868312297021E-4</v>
      </c>
      <c r="AL75" s="68">
        <f>AL74+ (IF(AH75="",0,AH75)-AL74)/Charts!$X$6</f>
        <v>9.4707861634966033</v>
      </c>
      <c r="AM75" s="68">
        <f>AM74+ (IF(AI75="",0,AI75)-AM74)/Charts!$X$6</f>
        <v>9.4707861634966033</v>
      </c>
      <c r="AN75" s="68" t="str">
        <f t="shared" si="22"/>
        <v>10</v>
      </c>
      <c r="AO75" s="68" t="str">
        <f t="shared" si="23"/>
        <v>10</v>
      </c>
      <c r="AP75" s="69" t="str">
        <f>IF(C75="","",INDEX(Workouts!D:D,MATCH(C75,Workouts!A:A,0)))</f>
        <v/>
      </c>
      <c r="AQ75" s="69" t="str">
        <f>IF(ISNA(MATCH(A75,Data!B:B,0)),"",INDEX(Data!G:G,MATCH(A75,Data!B:B,1)))</f>
        <v/>
      </c>
    </row>
    <row r="76" spans="1:43" s="1" customFormat="1" x14ac:dyDescent="0.2">
      <c r="A76" s="125">
        <f t="shared" si="21"/>
        <v>44271</v>
      </c>
      <c r="B76" s="126" t="str">
        <f t="shared" si="18"/>
        <v>Tue</v>
      </c>
      <c r="C76" s="140"/>
      <c r="D76" s="128" t="str">
        <f t="shared" si="19"/>
        <v/>
      </c>
      <c r="E76" s="129" t="str">
        <f t="shared" si="20"/>
        <v/>
      </c>
      <c r="F76" s="130" t="str">
        <f>IF(SUMIF(Data!B:B,A76,Data!C:C)=0,"",SUMIF(Data!B:B,A76,Data!C:C))</f>
        <v/>
      </c>
      <c r="G76" s="126" t="str">
        <f>IF(OR(S76="T",S76="RUN",SUMIF(Data!B:B,A76,Data!E:E)=0),"",SUMIF(Data!B:B,A76,Data!E:E))</f>
        <v/>
      </c>
      <c r="H76" s="126" t="str">
        <f t="shared" si="12"/>
        <v/>
      </c>
      <c r="I76" s="131" t="str">
        <f t="shared" si="13"/>
        <v>0 (0)</v>
      </c>
      <c r="J76" s="131" t="str">
        <f t="shared" si="14"/>
        <v>9 (9)</v>
      </c>
      <c r="K76" s="131" t="str">
        <f t="shared" si="15"/>
        <v>9 (9)</v>
      </c>
      <c r="L76" s="132" t="str">
        <f t="shared" si="16"/>
        <v/>
      </c>
      <c r="M76" s="131" t="str">
        <f t="shared" si="17"/>
        <v/>
      </c>
      <c r="N76" s="126" t="str">
        <f>IF(ISNA(MATCH(A76,Data!B:B,0)),"",INDEX(Data!H:H,MATCH(A76,Data!B:B,1))) &amp; ""</f>
        <v/>
      </c>
      <c r="O76" s="126" t="str">
        <f>IF(ISNA(MATCH(A76,Data!B:B,0)),"",INDEX(Data!I:I,MATCH(A76,Data!B:B,1))) &amp; ""</f>
        <v/>
      </c>
      <c r="P76" s="133" t="str">
        <f>IF(ISNA(MATCH(A76,Data!B:B,0)),"",INDEX(Data!J:J,MATCH(A76,Data!B:B,1))) &amp; ""</f>
        <v/>
      </c>
      <c r="Q76" s="126" t="str">
        <f>IF(S76="T",Charts!$X$7,IF(ISNA(MATCH(A76,Data!B:B,0)),"",INDEX(Data!K:K,MATCH(A76,Data!B:B,1)))) &amp; ""</f>
        <v/>
      </c>
      <c r="R76" s="134"/>
      <c r="S76" s="134"/>
      <c r="T76" s="127"/>
      <c r="AF76" s="24" t="str">
        <f>IF(C76="","",INDEX(Workouts!B:B,MATCH(C76,Workouts!A:A,0)))</f>
        <v/>
      </c>
      <c r="AG76" s="24" t="str">
        <f>IF(SUMIF(Data!B:B,A76,Data!D:D)=0,"",SUMIF(Data!B:B,A76,Data!D:D))</f>
        <v/>
      </c>
      <c r="AH76" s="25" t="str">
        <f>IF(C76="","",INDEX(Workouts!C:C,MATCH(C76,Workouts!A:A,0)))</f>
        <v/>
      </c>
      <c r="AI76" s="68" t="str">
        <f>IF(SUMIF(Data!B:B,A76,Data!F:F)=0,"",SUMIF(Data!B:B,A76,Data!F:F))</f>
        <v/>
      </c>
      <c r="AJ76" s="68">
        <f>AJ75+ (IF(AH76="",0,AH76)-AJ75)/Charts!$X$5</f>
        <v>6.7805887124826021E-4</v>
      </c>
      <c r="AK76" s="68">
        <f>AK75+ (IF(AI76="",0,AI76)-AK75)/Charts!$X$5</f>
        <v>6.7805887124826021E-4</v>
      </c>
      <c r="AL76" s="68">
        <f>AL75+ (IF(AH76="",0,AH76)-AL75)/Charts!$X$6</f>
        <v>9.2452912548419217</v>
      </c>
      <c r="AM76" s="68">
        <f>AM75+ (IF(AI76="",0,AI76)-AM75)/Charts!$X$6</f>
        <v>9.2452912548419217</v>
      </c>
      <c r="AN76" s="68" t="str">
        <f t="shared" si="22"/>
        <v>9</v>
      </c>
      <c r="AO76" s="68" t="str">
        <f t="shared" si="23"/>
        <v>9</v>
      </c>
      <c r="AP76" s="69" t="str">
        <f>IF(C76="","",INDEX(Workouts!D:D,MATCH(C76,Workouts!A:A,0)))</f>
        <v/>
      </c>
      <c r="AQ76" s="69" t="str">
        <f>IF(ISNA(MATCH(A76,Data!B:B,0)),"",INDEX(Data!G:G,MATCH(A76,Data!B:B,1)))</f>
        <v/>
      </c>
    </row>
    <row r="77" spans="1:43" s="1" customFormat="1" x14ac:dyDescent="0.2">
      <c r="A77" s="125">
        <f t="shared" si="21"/>
        <v>44272</v>
      </c>
      <c r="B77" s="126" t="str">
        <f t="shared" si="18"/>
        <v>Wed</v>
      </c>
      <c r="C77" s="140"/>
      <c r="D77" s="128" t="str">
        <f t="shared" si="19"/>
        <v/>
      </c>
      <c r="E77" s="129" t="str">
        <f t="shared" si="20"/>
        <v/>
      </c>
      <c r="F77" s="130" t="str">
        <f>IF(SUMIF(Data!B:B,A77,Data!C:C)=0,"",SUMIF(Data!B:B,A77,Data!C:C))</f>
        <v/>
      </c>
      <c r="G77" s="126" t="str">
        <f>IF(OR(S77="T",S77="RUN",SUMIF(Data!B:B,A77,Data!E:E)=0),"",SUMIF(Data!B:B,A77,Data!E:E))</f>
        <v/>
      </c>
      <c r="H77" s="126" t="str">
        <f t="shared" si="12"/>
        <v/>
      </c>
      <c r="I77" s="131" t="str">
        <f t="shared" si="13"/>
        <v>0 (0)</v>
      </c>
      <c r="J77" s="131" t="str">
        <f t="shared" si="14"/>
        <v>9 (9)</v>
      </c>
      <c r="K77" s="131" t="str">
        <f t="shared" si="15"/>
        <v>9 (9)</v>
      </c>
      <c r="L77" s="132" t="str">
        <f t="shared" si="16"/>
        <v/>
      </c>
      <c r="M77" s="131" t="str">
        <f t="shared" si="17"/>
        <v/>
      </c>
      <c r="N77" s="126" t="str">
        <f>IF(ISNA(MATCH(A77,Data!B:B,0)),"",INDEX(Data!H:H,MATCH(A77,Data!B:B,1))) &amp; ""</f>
        <v/>
      </c>
      <c r="O77" s="126" t="str">
        <f>IF(ISNA(MATCH(A77,Data!B:B,0)),"",INDEX(Data!I:I,MATCH(A77,Data!B:B,1))) &amp; ""</f>
        <v/>
      </c>
      <c r="P77" s="133" t="str">
        <f>IF(ISNA(MATCH(A77,Data!B:B,0)),"",INDEX(Data!J:J,MATCH(A77,Data!B:B,1))) &amp; ""</f>
        <v/>
      </c>
      <c r="Q77" s="126" t="str">
        <f>IF(S77="T",Charts!$X$7,IF(ISNA(MATCH(A77,Data!B:B,0)),"",INDEX(Data!K:K,MATCH(A77,Data!B:B,1)))) &amp; ""</f>
        <v/>
      </c>
      <c r="R77" s="134"/>
      <c r="S77" s="134"/>
      <c r="T77" s="127"/>
      <c r="AF77" s="24" t="str">
        <f>IF(C77="","",INDEX(Workouts!B:B,MATCH(C77,Workouts!A:A,0)))</f>
        <v/>
      </c>
      <c r="AG77" s="24" t="str">
        <f>IF(SUMIF(Data!B:B,A77,Data!D:D)=0,"",SUMIF(Data!B:B,A77,Data!D:D))</f>
        <v/>
      </c>
      <c r="AH77" s="25" t="str">
        <f>IF(C77="","",INDEX(Workouts!C:C,MATCH(C77,Workouts!A:A,0)))</f>
        <v/>
      </c>
      <c r="AI77" s="68" t="str">
        <f>IF(SUMIF(Data!B:B,A77,Data!F:F)=0,"",SUMIF(Data!B:B,A77,Data!F:F))</f>
        <v/>
      </c>
      <c r="AJ77" s="68">
        <f>AJ76+ (IF(AH77="",0,AH77)-AJ76)/Charts!$X$5</f>
        <v>5.8119331821279447E-4</v>
      </c>
      <c r="AK77" s="68">
        <f>AK76+ (IF(AI77="",0,AI77)-AK76)/Charts!$X$5</f>
        <v>5.8119331821279447E-4</v>
      </c>
      <c r="AL77" s="68">
        <f>AL76+ (IF(AH77="",0,AH77)-AL76)/Charts!$X$6</f>
        <v>9.0251652725837808</v>
      </c>
      <c r="AM77" s="68">
        <f>AM76+ (IF(AI77="",0,AI77)-AM76)/Charts!$X$6</f>
        <v>9.0251652725837808</v>
      </c>
      <c r="AN77" s="68" t="str">
        <f t="shared" si="22"/>
        <v>9</v>
      </c>
      <c r="AO77" s="68" t="str">
        <f t="shared" si="23"/>
        <v>9</v>
      </c>
      <c r="AP77" s="69" t="str">
        <f>IF(C77="","",INDEX(Workouts!D:D,MATCH(C77,Workouts!A:A,0)))</f>
        <v/>
      </c>
      <c r="AQ77" s="69" t="str">
        <f>IF(ISNA(MATCH(A77,Data!B:B,0)),"",INDEX(Data!G:G,MATCH(A77,Data!B:B,1)))</f>
        <v/>
      </c>
    </row>
    <row r="78" spans="1:43" s="1" customFormat="1" x14ac:dyDescent="0.2">
      <c r="A78" s="125">
        <f t="shared" si="21"/>
        <v>44273</v>
      </c>
      <c r="B78" s="126" t="str">
        <f t="shared" si="18"/>
        <v>Thu</v>
      </c>
      <c r="C78" s="140"/>
      <c r="D78" s="128" t="str">
        <f t="shared" si="19"/>
        <v/>
      </c>
      <c r="E78" s="129" t="str">
        <f t="shared" si="20"/>
        <v/>
      </c>
      <c r="F78" s="130" t="str">
        <f>IF(SUMIF(Data!B:B,A78,Data!C:C)=0,"",SUMIF(Data!B:B,A78,Data!C:C))</f>
        <v/>
      </c>
      <c r="G78" s="126" t="str">
        <f>IF(OR(S78="T",S78="RUN",SUMIF(Data!B:B,A78,Data!E:E)=0),"",SUMIF(Data!B:B,A78,Data!E:E))</f>
        <v/>
      </c>
      <c r="H78" s="126" t="str">
        <f t="shared" si="12"/>
        <v/>
      </c>
      <c r="I78" s="131" t="str">
        <f t="shared" si="13"/>
        <v>0 (0)</v>
      </c>
      <c r="J78" s="131" t="str">
        <f t="shared" si="14"/>
        <v>9 (9)</v>
      </c>
      <c r="K78" s="131" t="str">
        <f t="shared" si="15"/>
        <v>9 (9)</v>
      </c>
      <c r="L78" s="132" t="str">
        <f t="shared" si="16"/>
        <v/>
      </c>
      <c r="M78" s="131" t="str">
        <f t="shared" si="17"/>
        <v/>
      </c>
      <c r="N78" s="126" t="str">
        <f>IF(ISNA(MATCH(A78,Data!B:B,0)),"",INDEX(Data!H:H,MATCH(A78,Data!B:B,1))) &amp; ""</f>
        <v/>
      </c>
      <c r="O78" s="126" t="str">
        <f>IF(ISNA(MATCH(A78,Data!B:B,0)),"",INDEX(Data!I:I,MATCH(A78,Data!B:B,1))) &amp; ""</f>
        <v/>
      </c>
      <c r="P78" s="133" t="str">
        <f>IF(ISNA(MATCH(A78,Data!B:B,0)),"",INDEX(Data!J:J,MATCH(A78,Data!B:B,1))) &amp; ""</f>
        <v/>
      </c>
      <c r="Q78" s="126" t="str">
        <f>IF(S78="T",Charts!$X$7,IF(ISNA(MATCH(A78,Data!B:B,0)),"",INDEX(Data!K:K,MATCH(A78,Data!B:B,1)))) &amp; ""</f>
        <v/>
      </c>
      <c r="R78" s="134"/>
      <c r="S78" s="134"/>
      <c r="T78" s="127"/>
      <c r="AF78" s="24" t="str">
        <f>IF(C78="","",INDEX(Workouts!B:B,MATCH(C78,Workouts!A:A,0)))</f>
        <v/>
      </c>
      <c r="AG78" s="24" t="str">
        <f>IF(SUMIF(Data!B:B,A78,Data!D:D)=0,"",SUMIF(Data!B:B,A78,Data!D:D))</f>
        <v/>
      </c>
      <c r="AH78" s="25" t="str">
        <f>IF(C78="","",INDEX(Workouts!C:C,MATCH(C78,Workouts!A:A,0)))</f>
        <v/>
      </c>
      <c r="AI78" s="68" t="str">
        <f>IF(SUMIF(Data!B:B,A78,Data!F:F)=0,"",SUMIF(Data!B:B,A78,Data!F:F))</f>
        <v/>
      </c>
      <c r="AJ78" s="68">
        <f>AJ77+ (IF(AH78="",0,AH78)-AJ77)/Charts!$X$5</f>
        <v>4.9816570132525239E-4</v>
      </c>
      <c r="AK78" s="68">
        <f>AK77+ (IF(AI78="",0,AI78)-AK77)/Charts!$X$5</f>
        <v>4.9816570132525239E-4</v>
      </c>
      <c r="AL78" s="68">
        <f>AL77+ (IF(AH78="",0,AH78)-AL77)/Charts!$X$6</f>
        <v>8.8102803851413096</v>
      </c>
      <c r="AM78" s="68">
        <f>AM77+ (IF(AI78="",0,AI78)-AM77)/Charts!$X$6</f>
        <v>8.8102803851413096</v>
      </c>
      <c r="AN78" s="68" t="str">
        <f t="shared" si="22"/>
        <v>9</v>
      </c>
      <c r="AO78" s="68" t="str">
        <f t="shared" si="23"/>
        <v>9</v>
      </c>
      <c r="AP78" s="69" t="str">
        <f>IF(C78="","",INDEX(Workouts!D:D,MATCH(C78,Workouts!A:A,0)))</f>
        <v/>
      </c>
      <c r="AQ78" s="69" t="str">
        <f>IF(ISNA(MATCH(A78,Data!B:B,0)),"",INDEX(Data!G:G,MATCH(A78,Data!B:B,1)))</f>
        <v/>
      </c>
    </row>
    <row r="79" spans="1:43" s="1" customFormat="1" x14ac:dyDescent="0.2">
      <c r="A79" s="125">
        <f t="shared" si="21"/>
        <v>44274</v>
      </c>
      <c r="B79" s="126" t="str">
        <f t="shared" si="18"/>
        <v>Fri</v>
      </c>
      <c r="C79" s="140"/>
      <c r="D79" s="128" t="str">
        <f t="shared" si="19"/>
        <v/>
      </c>
      <c r="E79" s="129" t="str">
        <f t="shared" si="20"/>
        <v/>
      </c>
      <c r="F79" s="130" t="str">
        <f>IF(SUMIF(Data!B:B,A79,Data!C:C)=0,"",SUMIF(Data!B:B,A79,Data!C:C))</f>
        <v/>
      </c>
      <c r="G79" s="126" t="str">
        <f>IF(OR(S79="T",S79="RUN",SUMIF(Data!B:B,A79,Data!E:E)=0),"",SUMIF(Data!B:B,A79,Data!E:E))</f>
        <v/>
      </c>
      <c r="H79" s="126" t="str">
        <f t="shared" si="12"/>
        <v/>
      </c>
      <c r="I79" s="131" t="str">
        <f t="shared" si="13"/>
        <v>0 (0)</v>
      </c>
      <c r="J79" s="131" t="str">
        <f t="shared" si="14"/>
        <v>9 (9)</v>
      </c>
      <c r="K79" s="131" t="str">
        <f t="shared" si="15"/>
        <v>9 (9)</v>
      </c>
      <c r="L79" s="132" t="str">
        <f t="shared" si="16"/>
        <v/>
      </c>
      <c r="M79" s="131" t="str">
        <f t="shared" si="17"/>
        <v/>
      </c>
      <c r="N79" s="126" t="str">
        <f>IF(ISNA(MATCH(A79,Data!B:B,0)),"",INDEX(Data!H:H,MATCH(A79,Data!B:B,1))) &amp; ""</f>
        <v/>
      </c>
      <c r="O79" s="126" t="str">
        <f>IF(ISNA(MATCH(A79,Data!B:B,0)),"",INDEX(Data!I:I,MATCH(A79,Data!B:B,1))) &amp; ""</f>
        <v/>
      </c>
      <c r="P79" s="133" t="str">
        <f>IF(ISNA(MATCH(A79,Data!B:B,0)),"",INDEX(Data!J:J,MATCH(A79,Data!B:B,1))) &amp; ""</f>
        <v/>
      </c>
      <c r="Q79" s="126" t="str">
        <f>IF(S79="T",Charts!$X$7,IF(ISNA(MATCH(A79,Data!B:B,0)),"",INDEX(Data!K:K,MATCH(A79,Data!B:B,1)))) &amp; ""</f>
        <v/>
      </c>
      <c r="R79" s="134"/>
      <c r="S79" s="134"/>
      <c r="T79" s="127"/>
      <c r="AF79" s="24" t="str">
        <f>IF(C79="","",INDEX(Workouts!B:B,MATCH(C79,Workouts!A:A,0)))</f>
        <v/>
      </c>
      <c r="AG79" s="24" t="str">
        <f>IF(SUMIF(Data!B:B,A79,Data!D:D)=0,"",SUMIF(Data!B:B,A79,Data!D:D))</f>
        <v/>
      </c>
      <c r="AH79" s="25" t="str">
        <f>IF(C79="","",INDEX(Workouts!C:C,MATCH(C79,Workouts!A:A,0)))</f>
        <v/>
      </c>
      <c r="AI79" s="68" t="str">
        <f>IF(SUMIF(Data!B:B,A79,Data!F:F)=0,"",SUMIF(Data!B:B,A79,Data!F:F))</f>
        <v/>
      </c>
      <c r="AJ79" s="68">
        <f>AJ78+ (IF(AH79="",0,AH79)-AJ78)/Charts!$X$5</f>
        <v>4.2699917256450203E-4</v>
      </c>
      <c r="AK79" s="68">
        <f>AK78+ (IF(AI79="",0,AI79)-AK78)/Charts!$X$5</f>
        <v>4.2699917256450203E-4</v>
      </c>
      <c r="AL79" s="68">
        <f>AL78+ (IF(AH79="",0,AH79)-AL78)/Charts!$X$6</f>
        <v>8.6005118045427071</v>
      </c>
      <c r="AM79" s="68">
        <f>AM78+ (IF(AI79="",0,AI79)-AM78)/Charts!$X$6</f>
        <v>8.6005118045427071</v>
      </c>
      <c r="AN79" s="68" t="str">
        <f t="shared" si="22"/>
        <v>9</v>
      </c>
      <c r="AO79" s="68" t="str">
        <f t="shared" si="23"/>
        <v>9</v>
      </c>
      <c r="AP79" s="69" t="str">
        <f>IF(C79="","",INDEX(Workouts!D:D,MATCH(C79,Workouts!A:A,0)))</f>
        <v/>
      </c>
      <c r="AQ79" s="69" t="str">
        <f>IF(ISNA(MATCH(A79,Data!B:B,0)),"",INDEX(Data!G:G,MATCH(A79,Data!B:B,1)))</f>
        <v/>
      </c>
    </row>
    <row r="80" spans="1:43" s="1" customFormat="1" x14ac:dyDescent="0.2">
      <c r="A80" s="125">
        <f t="shared" si="21"/>
        <v>44275</v>
      </c>
      <c r="B80" s="126" t="str">
        <f t="shared" si="18"/>
        <v>Sat</v>
      </c>
      <c r="C80" s="140"/>
      <c r="D80" s="128" t="str">
        <f t="shared" si="19"/>
        <v/>
      </c>
      <c r="E80" s="129" t="str">
        <f t="shared" si="20"/>
        <v/>
      </c>
      <c r="F80" s="130" t="str">
        <f>IF(SUMIF(Data!B:B,A80,Data!C:C)=0,"",SUMIF(Data!B:B,A80,Data!C:C))</f>
        <v/>
      </c>
      <c r="G80" s="126" t="str">
        <f>IF(OR(S80="T",S80="RUN",SUMIF(Data!B:B,A80,Data!E:E)=0),"",SUMIF(Data!B:B,A80,Data!E:E))</f>
        <v/>
      </c>
      <c r="H80" s="126" t="str">
        <f t="shared" si="12"/>
        <v/>
      </c>
      <c r="I80" s="131" t="str">
        <f t="shared" si="13"/>
        <v>0 (0)</v>
      </c>
      <c r="J80" s="131" t="str">
        <f t="shared" si="14"/>
        <v>8 (8)</v>
      </c>
      <c r="K80" s="131" t="str">
        <f t="shared" si="15"/>
        <v>9 (9)</v>
      </c>
      <c r="L80" s="132" t="str">
        <f t="shared" si="16"/>
        <v/>
      </c>
      <c r="M80" s="131" t="str">
        <f t="shared" si="17"/>
        <v/>
      </c>
      <c r="N80" s="126" t="str">
        <f>IF(ISNA(MATCH(A80,Data!B:B,0)),"",INDEX(Data!H:H,MATCH(A80,Data!B:B,1))) &amp; ""</f>
        <v/>
      </c>
      <c r="O80" s="126" t="str">
        <f>IF(ISNA(MATCH(A80,Data!B:B,0)),"",INDEX(Data!I:I,MATCH(A80,Data!B:B,1))) &amp; ""</f>
        <v/>
      </c>
      <c r="P80" s="133" t="str">
        <f>IF(ISNA(MATCH(A80,Data!B:B,0)),"",INDEX(Data!J:J,MATCH(A80,Data!B:B,1))) &amp; ""</f>
        <v/>
      </c>
      <c r="Q80" s="126" t="str">
        <f>IF(S80="T",Charts!$X$7,IF(ISNA(MATCH(A80,Data!B:B,0)),"",INDEX(Data!K:K,MATCH(A80,Data!B:B,1)))) &amp; ""</f>
        <v/>
      </c>
      <c r="R80" s="134"/>
      <c r="S80" s="134"/>
      <c r="T80" s="127"/>
      <c r="AF80" s="24" t="str">
        <f>IF(C80="","",INDEX(Workouts!B:B,MATCH(C80,Workouts!A:A,0)))</f>
        <v/>
      </c>
      <c r="AG80" s="24" t="str">
        <f>IF(SUMIF(Data!B:B,A80,Data!D:D)=0,"",SUMIF(Data!B:B,A80,Data!D:D))</f>
        <v/>
      </c>
      <c r="AH80" s="25" t="str">
        <f>IF(C80="","",INDEX(Workouts!C:C,MATCH(C80,Workouts!A:A,0)))</f>
        <v/>
      </c>
      <c r="AI80" s="68" t="str">
        <f>IF(SUMIF(Data!B:B,A80,Data!F:F)=0,"",SUMIF(Data!B:B,A80,Data!F:F))</f>
        <v/>
      </c>
      <c r="AJ80" s="68">
        <f>AJ79+ (IF(AH80="",0,AH80)-AJ79)/Charts!$X$5</f>
        <v>3.6599929076957318E-4</v>
      </c>
      <c r="AK80" s="68">
        <f>AK79+ (IF(AI80="",0,AI80)-AK79)/Charts!$X$5</f>
        <v>3.6599929076957318E-4</v>
      </c>
      <c r="AL80" s="68">
        <f>AL79+ (IF(AH80="",0,AH80)-AL79)/Charts!$X$6</f>
        <v>8.3957377139583578</v>
      </c>
      <c r="AM80" s="68">
        <f>AM79+ (IF(AI80="",0,AI80)-AM79)/Charts!$X$6</f>
        <v>8.3957377139583578</v>
      </c>
      <c r="AN80" s="68" t="str">
        <f t="shared" si="22"/>
        <v>9</v>
      </c>
      <c r="AO80" s="68" t="str">
        <f t="shared" si="23"/>
        <v>9</v>
      </c>
      <c r="AP80" s="69" t="str">
        <f>IF(C80="","",INDEX(Workouts!D:D,MATCH(C80,Workouts!A:A,0)))</f>
        <v/>
      </c>
      <c r="AQ80" s="69" t="str">
        <f>IF(ISNA(MATCH(A80,Data!B:B,0)),"",INDEX(Data!G:G,MATCH(A80,Data!B:B,1)))</f>
        <v/>
      </c>
    </row>
    <row r="81" spans="1:43" s="1" customFormat="1" x14ac:dyDescent="0.2">
      <c r="A81" s="125">
        <f t="shared" si="21"/>
        <v>44276</v>
      </c>
      <c r="B81" s="126" t="str">
        <f t="shared" si="18"/>
        <v>Sun</v>
      </c>
      <c r="C81" s="140"/>
      <c r="D81" s="128" t="str">
        <f t="shared" si="19"/>
        <v/>
      </c>
      <c r="E81" s="129" t="str">
        <f t="shared" si="20"/>
        <v/>
      </c>
      <c r="F81" s="130" t="str">
        <f>IF(SUMIF(Data!B:B,A81,Data!C:C)=0,"",SUMIF(Data!B:B,A81,Data!C:C))</f>
        <v/>
      </c>
      <c r="G81" s="126" t="str">
        <f>IF(OR(S81="T",S81="RUN",SUMIF(Data!B:B,A81,Data!E:E)=0),"",SUMIF(Data!B:B,A81,Data!E:E))</f>
        <v/>
      </c>
      <c r="H81" s="126" t="str">
        <f t="shared" si="12"/>
        <v/>
      </c>
      <c r="I81" s="131" t="str">
        <f t="shared" si="13"/>
        <v>0 (0)</v>
      </c>
      <c r="J81" s="131" t="str">
        <f t="shared" si="14"/>
        <v>8 (8)</v>
      </c>
      <c r="K81" s="131" t="str">
        <f t="shared" si="15"/>
        <v>8 (8)</v>
      </c>
      <c r="L81" s="132" t="str">
        <f t="shared" si="16"/>
        <v/>
      </c>
      <c r="M81" s="131" t="str">
        <f t="shared" si="17"/>
        <v/>
      </c>
      <c r="N81" s="126" t="str">
        <f>IF(ISNA(MATCH(A81,Data!B:B,0)),"",INDEX(Data!H:H,MATCH(A81,Data!B:B,1))) &amp; ""</f>
        <v/>
      </c>
      <c r="O81" s="126" t="str">
        <f>IF(ISNA(MATCH(A81,Data!B:B,0)),"",INDEX(Data!I:I,MATCH(A81,Data!B:B,1))) &amp; ""</f>
        <v/>
      </c>
      <c r="P81" s="133" t="str">
        <f>IF(ISNA(MATCH(A81,Data!B:B,0)),"",INDEX(Data!J:J,MATCH(A81,Data!B:B,1))) &amp; ""</f>
        <v/>
      </c>
      <c r="Q81" s="126" t="str">
        <f>IF(S81="T",Charts!$X$7,IF(ISNA(MATCH(A81,Data!B:B,0)),"",INDEX(Data!K:K,MATCH(A81,Data!B:B,1)))) &amp; ""</f>
        <v/>
      </c>
      <c r="R81" s="134"/>
      <c r="S81" s="134"/>
      <c r="T81" s="127"/>
      <c r="AF81" s="24" t="str">
        <f>IF(C81="","",INDEX(Workouts!B:B,MATCH(C81,Workouts!A:A,0)))</f>
        <v/>
      </c>
      <c r="AG81" s="24" t="str">
        <f>IF(SUMIF(Data!B:B,A81,Data!D:D)=0,"",SUMIF(Data!B:B,A81,Data!D:D))</f>
        <v/>
      </c>
      <c r="AH81" s="25" t="str">
        <f>IF(C81="","",INDEX(Workouts!C:C,MATCH(C81,Workouts!A:A,0)))</f>
        <v/>
      </c>
      <c r="AI81" s="68" t="str">
        <f>IF(SUMIF(Data!B:B,A81,Data!F:F)=0,"",SUMIF(Data!B:B,A81,Data!F:F))</f>
        <v/>
      </c>
      <c r="AJ81" s="68">
        <f>AJ80+ (IF(AH81="",0,AH81)-AJ80)/Charts!$X$5</f>
        <v>3.1371367780249129E-4</v>
      </c>
      <c r="AK81" s="68">
        <f>AK80+ (IF(AI81="",0,AI81)-AK80)/Charts!$X$5</f>
        <v>3.1371367780249129E-4</v>
      </c>
      <c r="AL81" s="68">
        <f>AL80+ (IF(AH81="",0,AH81)-AL80)/Charts!$X$6</f>
        <v>8.1958391969593496</v>
      </c>
      <c r="AM81" s="68">
        <f>AM80+ (IF(AI81="",0,AI81)-AM80)/Charts!$X$6</f>
        <v>8.1958391969593496</v>
      </c>
      <c r="AN81" s="68" t="str">
        <f t="shared" si="22"/>
        <v>8</v>
      </c>
      <c r="AO81" s="68" t="str">
        <f t="shared" si="23"/>
        <v>8</v>
      </c>
      <c r="AP81" s="69" t="str">
        <f>IF(C81="","",INDEX(Workouts!D:D,MATCH(C81,Workouts!A:A,0)))</f>
        <v/>
      </c>
      <c r="AQ81" s="69" t="str">
        <f>IF(ISNA(MATCH(A81,Data!B:B,0)),"",INDEX(Data!G:G,MATCH(A81,Data!B:B,1)))</f>
        <v/>
      </c>
    </row>
    <row r="82" spans="1:43" s="1" customFormat="1" x14ac:dyDescent="0.2">
      <c r="A82" s="125">
        <f t="shared" si="21"/>
        <v>44277</v>
      </c>
      <c r="B82" s="126" t="str">
        <f t="shared" si="18"/>
        <v>Mon</v>
      </c>
      <c r="C82" s="140"/>
      <c r="D82" s="128" t="str">
        <f t="shared" si="19"/>
        <v/>
      </c>
      <c r="E82" s="129" t="str">
        <f t="shared" si="20"/>
        <v/>
      </c>
      <c r="F82" s="130" t="str">
        <f>IF(SUMIF(Data!B:B,A82,Data!C:C)=0,"",SUMIF(Data!B:B,A82,Data!C:C))</f>
        <v/>
      </c>
      <c r="G82" s="126" t="str">
        <f>IF(OR(S82="T",S82="RUN",SUMIF(Data!B:B,A82,Data!E:E)=0),"",SUMIF(Data!B:B,A82,Data!E:E))</f>
        <v/>
      </c>
      <c r="H82" s="126" t="str">
        <f t="shared" si="12"/>
        <v/>
      </c>
      <c r="I82" s="131" t="str">
        <f t="shared" si="13"/>
        <v>0 (0)</v>
      </c>
      <c r="J82" s="131" t="str">
        <f t="shared" si="14"/>
        <v>8 (8)</v>
      </c>
      <c r="K82" s="131" t="str">
        <f t="shared" si="15"/>
        <v>8 (8)</v>
      </c>
      <c r="L82" s="132" t="str">
        <f t="shared" si="16"/>
        <v/>
      </c>
      <c r="M82" s="131" t="str">
        <f t="shared" si="17"/>
        <v/>
      </c>
      <c r="N82" s="126" t="str">
        <f>IF(ISNA(MATCH(A82,Data!B:B,0)),"",INDEX(Data!H:H,MATCH(A82,Data!B:B,1))) &amp; ""</f>
        <v/>
      </c>
      <c r="O82" s="126" t="str">
        <f>IF(ISNA(MATCH(A82,Data!B:B,0)),"",INDEX(Data!I:I,MATCH(A82,Data!B:B,1))) &amp; ""</f>
        <v/>
      </c>
      <c r="P82" s="133" t="str">
        <f>IF(ISNA(MATCH(A82,Data!B:B,0)),"",INDEX(Data!J:J,MATCH(A82,Data!B:B,1))) &amp; ""</f>
        <v/>
      </c>
      <c r="Q82" s="126" t="str">
        <f>IF(S82="T",Charts!$X$7,IF(ISNA(MATCH(A82,Data!B:B,0)),"",INDEX(Data!K:K,MATCH(A82,Data!B:B,1)))) &amp; ""</f>
        <v/>
      </c>
      <c r="R82" s="134"/>
      <c r="S82" s="134"/>
      <c r="T82" s="127"/>
      <c r="AF82" s="24" t="str">
        <f>IF(C82="","",INDEX(Workouts!B:B,MATCH(C82,Workouts!A:A,0)))</f>
        <v/>
      </c>
      <c r="AG82" s="24" t="str">
        <f>IF(SUMIF(Data!B:B,A82,Data!D:D)=0,"",SUMIF(Data!B:B,A82,Data!D:D))</f>
        <v/>
      </c>
      <c r="AH82" s="25" t="str">
        <f>IF(C82="","",INDEX(Workouts!C:C,MATCH(C82,Workouts!A:A,0)))</f>
        <v/>
      </c>
      <c r="AI82" s="68" t="str">
        <f>IF(SUMIF(Data!B:B,A82,Data!F:F)=0,"",SUMIF(Data!B:B,A82,Data!F:F))</f>
        <v/>
      </c>
      <c r="AJ82" s="68">
        <f>AJ81+ (IF(AH82="",0,AH82)-AJ81)/Charts!$X$5</f>
        <v>2.6889743811642111E-4</v>
      </c>
      <c r="AK82" s="68">
        <f>AK81+ (IF(AI82="",0,AI82)-AK81)/Charts!$X$5</f>
        <v>2.6889743811642111E-4</v>
      </c>
      <c r="AL82" s="68">
        <f>AL81+ (IF(AH82="",0,AH82)-AL81)/Charts!$X$6</f>
        <v>8.0007001684603178</v>
      </c>
      <c r="AM82" s="68">
        <f>AM81+ (IF(AI82="",0,AI82)-AM81)/Charts!$X$6</f>
        <v>8.0007001684603178</v>
      </c>
      <c r="AN82" s="68" t="str">
        <f t="shared" si="22"/>
        <v>8</v>
      </c>
      <c r="AO82" s="68" t="str">
        <f t="shared" si="23"/>
        <v>8</v>
      </c>
      <c r="AP82" s="69" t="str">
        <f>IF(C82="","",INDEX(Workouts!D:D,MATCH(C82,Workouts!A:A,0)))</f>
        <v/>
      </c>
      <c r="AQ82" s="69" t="str">
        <f>IF(ISNA(MATCH(A82,Data!B:B,0)),"",INDEX(Data!G:G,MATCH(A82,Data!B:B,1)))</f>
        <v/>
      </c>
    </row>
    <row r="83" spans="1:43" s="1" customFormat="1" x14ac:dyDescent="0.2">
      <c r="A83" s="125">
        <f t="shared" si="21"/>
        <v>44278</v>
      </c>
      <c r="B83" s="126" t="str">
        <f t="shared" si="18"/>
        <v>Tue</v>
      </c>
      <c r="C83" s="140"/>
      <c r="D83" s="128" t="str">
        <f t="shared" si="19"/>
        <v/>
      </c>
      <c r="E83" s="129" t="str">
        <f t="shared" si="20"/>
        <v/>
      </c>
      <c r="F83" s="130" t="str">
        <f>IF(SUMIF(Data!B:B,A83,Data!C:C)=0,"",SUMIF(Data!B:B,A83,Data!C:C))</f>
        <v/>
      </c>
      <c r="G83" s="126" t="str">
        <f>IF(OR(S83="T",S83="RUN",SUMIF(Data!B:B,A83,Data!E:E)=0),"",SUMIF(Data!B:B,A83,Data!E:E))</f>
        <v/>
      </c>
      <c r="H83" s="126" t="str">
        <f t="shared" si="12"/>
        <v/>
      </c>
      <c r="I83" s="131" t="str">
        <f t="shared" si="13"/>
        <v>0 (0)</v>
      </c>
      <c r="J83" s="131" t="str">
        <f t="shared" si="14"/>
        <v>8 (8)</v>
      </c>
      <c r="K83" s="131" t="str">
        <f t="shared" si="15"/>
        <v>8 (8)</v>
      </c>
      <c r="L83" s="132" t="str">
        <f t="shared" si="16"/>
        <v/>
      </c>
      <c r="M83" s="131" t="str">
        <f t="shared" si="17"/>
        <v/>
      </c>
      <c r="N83" s="126" t="str">
        <f>IF(ISNA(MATCH(A83,Data!B:B,0)),"",INDEX(Data!H:H,MATCH(A83,Data!B:B,1))) &amp; ""</f>
        <v/>
      </c>
      <c r="O83" s="126" t="str">
        <f>IF(ISNA(MATCH(A83,Data!B:B,0)),"",INDEX(Data!I:I,MATCH(A83,Data!B:B,1))) &amp; ""</f>
        <v/>
      </c>
      <c r="P83" s="133" t="str">
        <f>IF(ISNA(MATCH(A83,Data!B:B,0)),"",INDEX(Data!J:J,MATCH(A83,Data!B:B,1))) &amp; ""</f>
        <v/>
      </c>
      <c r="Q83" s="126" t="str">
        <f>IF(S83="T",Charts!$X$7,IF(ISNA(MATCH(A83,Data!B:B,0)),"",INDEX(Data!K:K,MATCH(A83,Data!B:B,1)))) &amp; ""</f>
        <v/>
      </c>
      <c r="R83" s="134"/>
      <c r="S83" s="134"/>
      <c r="T83" s="127"/>
      <c r="AF83" s="24" t="str">
        <f>IF(C83="","",INDEX(Workouts!B:B,MATCH(C83,Workouts!A:A,0)))</f>
        <v/>
      </c>
      <c r="AG83" s="24" t="str">
        <f>IF(SUMIF(Data!B:B,A83,Data!D:D)=0,"",SUMIF(Data!B:B,A83,Data!D:D))</f>
        <v/>
      </c>
      <c r="AH83" s="25" t="str">
        <f>IF(C83="","",INDEX(Workouts!C:C,MATCH(C83,Workouts!A:A,0)))</f>
        <v/>
      </c>
      <c r="AI83" s="68" t="str">
        <f>IF(SUMIF(Data!B:B,A83,Data!F:F)=0,"",SUMIF(Data!B:B,A83,Data!F:F))</f>
        <v/>
      </c>
      <c r="AJ83" s="68">
        <f>AJ82+ (IF(AH83="",0,AH83)-AJ82)/Charts!$X$5</f>
        <v>2.3048351838550382E-4</v>
      </c>
      <c r="AK83" s="68">
        <f>AK82+ (IF(AI83="",0,AI83)-AK82)/Charts!$X$5</f>
        <v>2.3048351838550382E-4</v>
      </c>
      <c r="AL83" s="68">
        <f>AL82+ (IF(AH83="",0,AH83)-AL82)/Charts!$X$6</f>
        <v>7.8102073073065004</v>
      </c>
      <c r="AM83" s="68">
        <f>AM82+ (IF(AI83="",0,AI83)-AM82)/Charts!$X$6</f>
        <v>7.8102073073065004</v>
      </c>
      <c r="AN83" s="68" t="str">
        <f t="shared" si="22"/>
        <v>8</v>
      </c>
      <c r="AO83" s="68" t="str">
        <f t="shared" si="23"/>
        <v>8</v>
      </c>
      <c r="AP83" s="69" t="str">
        <f>IF(C83="","",INDEX(Workouts!D:D,MATCH(C83,Workouts!A:A,0)))</f>
        <v/>
      </c>
      <c r="AQ83" s="69" t="str">
        <f>IF(ISNA(MATCH(A83,Data!B:B,0)),"",INDEX(Data!G:G,MATCH(A83,Data!B:B,1)))</f>
        <v/>
      </c>
    </row>
    <row r="84" spans="1:43" s="1" customFormat="1" x14ac:dyDescent="0.2">
      <c r="A84" s="125">
        <f t="shared" si="21"/>
        <v>44279</v>
      </c>
      <c r="B84" s="126" t="str">
        <f t="shared" si="18"/>
        <v>Wed</v>
      </c>
      <c r="C84" s="140"/>
      <c r="D84" s="128" t="str">
        <f t="shared" si="19"/>
        <v/>
      </c>
      <c r="E84" s="129" t="str">
        <f t="shared" si="20"/>
        <v/>
      </c>
      <c r="F84" s="130" t="str">
        <f>IF(SUMIF(Data!B:B,A84,Data!C:C)=0,"",SUMIF(Data!B:B,A84,Data!C:C))</f>
        <v/>
      </c>
      <c r="G84" s="126" t="str">
        <f>IF(OR(S84="T",S84="RUN",SUMIF(Data!B:B,A84,Data!E:E)=0),"",SUMIF(Data!B:B,A84,Data!E:E))</f>
        <v/>
      </c>
      <c r="H84" s="126" t="str">
        <f t="shared" si="12"/>
        <v/>
      </c>
      <c r="I84" s="131" t="str">
        <f t="shared" si="13"/>
        <v>0 (0)</v>
      </c>
      <c r="J84" s="131" t="str">
        <f t="shared" si="14"/>
        <v>8 (8)</v>
      </c>
      <c r="K84" s="131" t="str">
        <f t="shared" si="15"/>
        <v>8 (8)</v>
      </c>
      <c r="L84" s="132" t="str">
        <f t="shared" si="16"/>
        <v/>
      </c>
      <c r="M84" s="131" t="str">
        <f t="shared" si="17"/>
        <v/>
      </c>
      <c r="N84" s="126" t="str">
        <f>IF(ISNA(MATCH(A84,Data!B:B,0)),"",INDEX(Data!H:H,MATCH(A84,Data!B:B,1))) &amp; ""</f>
        <v/>
      </c>
      <c r="O84" s="126" t="str">
        <f>IF(ISNA(MATCH(A84,Data!B:B,0)),"",INDEX(Data!I:I,MATCH(A84,Data!B:B,1))) &amp; ""</f>
        <v/>
      </c>
      <c r="P84" s="133" t="str">
        <f>IF(ISNA(MATCH(A84,Data!B:B,0)),"",INDEX(Data!J:J,MATCH(A84,Data!B:B,1))) &amp; ""</f>
        <v/>
      </c>
      <c r="Q84" s="126" t="str">
        <f>IF(S84="T",Charts!$X$7,IF(ISNA(MATCH(A84,Data!B:B,0)),"",INDEX(Data!K:K,MATCH(A84,Data!B:B,1)))) &amp; ""</f>
        <v/>
      </c>
      <c r="R84" s="134"/>
      <c r="S84" s="134"/>
      <c r="T84" s="127"/>
      <c r="AF84" s="24" t="str">
        <f>IF(C84="","",INDEX(Workouts!B:B,MATCH(C84,Workouts!A:A,0)))</f>
        <v/>
      </c>
      <c r="AG84" s="24" t="str">
        <f>IF(SUMIF(Data!B:B,A84,Data!D:D)=0,"",SUMIF(Data!B:B,A84,Data!D:D))</f>
        <v/>
      </c>
      <c r="AH84" s="25" t="str">
        <f>IF(C84="","",INDEX(Workouts!C:C,MATCH(C84,Workouts!A:A,0)))</f>
        <v/>
      </c>
      <c r="AI84" s="68" t="str">
        <f>IF(SUMIF(Data!B:B,A84,Data!F:F)=0,"",SUMIF(Data!B:B,A84,Data!F:F))</f>
        <v/>
      </c>
      <c r="AJ84" s="68">
        <f>AJ83+ (IF(AH84="",0,AH84)-AJ83)/Charts!$X$5</f>
        <v>1.9755730147328899E-4</v>
      </c>
      <c r="AK84" s="68">
        <f>AK83+ (IF(AI84="",0,AI84)-AK83)/Charts!$X$5</f>
        <v>1.9755730147328899E-4</v>
      </c>
      <c r="AL84" s="68">
        <f>AL83+ (IF(AH84="",0,AH84)-AL83)/Charts!$X$6</f>
        <v>7.6242499904658692</v>
      </c>
      <c r="AM84" s="68">
        <f>AM83+ (IF(AI84="",0,AI84)-AM83)/Charts!$X$6</f>
        <v>7.6242499904658692</v>
      </c>
      <c r="AN84" s="68" t="str">
        <f t="shared" si="22"/>
        <v>8</v>
      </c>
      <c r="AO84" s="68" t="str">
        <f t="shared" si="23"/>
        <v>8</v>
      </c>
      <c r="AP84" s="69" t="str">
        <f>IF(C84="","",INDEX(Workouts!D:D,MATCH(C84,Workouts!A:A,0)))</f>
        <v/>
      </c>
      <c r="AQ84" s="69" t="str">
        <f>IF(ISNA(MATCH(A84,Data!B:B,0)),"",INDEX(Data!G:G,MATCH(A84,Data!B:B,1)))</f>
        <v/>
      </c>
    </row>
    <row r="85" spans="1:43" s="1" customFormat="1" x14ac:dyDescent="0.2">
      <c r="A85" s="125">
        <f t="shared" si="21"/>
        <v>44280</v>
      </c>
      <c r="B85" s="126" t="str">
        <f t="shared" si="18"/>
        <v>Thu</v>
      </c>
      <c r="C85" s="140"/>
      <c r="D85" s="128" t="str">
        <f t="shared" si="19"/>
        <v/>
      </c>
      <c r="E85" s="129" t="str">
        <f t="shared" si="20"/>
        <v/>
      </c>
      <c r="F85" s="130" t="str">
        <f>IF(SUMIF(Data!B:B,A85,Data!C:C)=0,"",SUMIF(Data!B:B,A85,Data!C:C))</f>
        <v/>
      </c>
      <c r="G85" s="126" t="str">
        <f>IF(OR(S85="T",S85="RUN",SUMIF(Data!B:B,A85,Data!E:E)=0),"",SUMIF(Data!B:B,A85,Data!E:E))</f>
        <v/>
      </c>
      <c r="H85" s="126" t="str">
        <f t="shared" si="12"/>
        <v/>
      </c>
      <c r="I85" s="131" t="str">
        <f t="shared" si="13"/>
        <v>0 (0)</v>
      </c>
      <c r="J85" s="131" t="str">
        <f t="shared" si="14"/>
        <v>7 (7)</v>
      </c>
      <c r="K85" s="131" t="str">
        <f t="shared" si="15"/>
        <v>8 (8)</v>
      </c>
      <c r="L85" s="132" t="str">
        <f t="shared" si="16"/>
        <v/>
      </c>
      <c r="M85" s="131" t="str">
        <f t="shared" si="17"/>
        <v/>
      </c>
      <c r="N85" s="126" t="str">
        <f>IF(ISNA(MATCH(A85,Data!B:B,0)),"",INDEX(Data!H:H,MATCH(A85,Data!B:B,1))) &amp; ""</f>
        <v/>
      </c>
      <c r="O85" s="126" t="str">
        <f>IF(ISNA(MATCH(A85,Data!B:B,0)),"",INDEX(Data!I:I,MATCH(A85,Data!B:B,1))) &amp; ""</f>
        <v/>
      </c>
      <c r="P85" s="133" t="str">
        <f>IF(ISNA(MATCH(A85,Data!B:B,0)),"",INDEX(Data!J:J,MATCH(A85,Data!B:B,1))) &amp; ""</f>
        <v/>
      </c>
      <c r="Q85" s="126" t="str">
        <f>IF(S85="T",Charts!$X$7,IF(ISNA(MATCH(A85,Data!B:B,0)),"",INDEX(Data!K:K,MATCH(A85,Data!B:B,1)))) &amp; ""</f>
        <v/>
      </c>
      <c r="R85" s="134"/>
      <c r="S85" s="134"/>
      <c r="T85" s="127"/>
      <c r="AF85" s="24" t="str">
        <f>IF(C85="","",INDEX(Workouts!B:B,MATCH(C85,Workouts!A:A,0)))</f>
        <v/>
      </c>
      <c r="AG85" s="24" t="str">
        <f>IF(SUMIF(Data!B:B,A85,Data!D:D)=0,"",SUMIF(Data!B:B,A85,Data!D:D))</f>
        <v/>
      </c>
      <c r="AH85" s="25" t="str">
        <f>IF(C85="","",INDEX(Workouts!C:C,MATCH(C85,Workouts!A:A,0)))</f>
        <v/>
      </c>
      <c r="AI85" s="68" t="str">
        <f>IF(SUMIF(Data!B:B,A85,Data!F:F)=0,"",SUMIF(Data!B:B,A85,Data!F:F))</f>
        <v/>
      </c>
      <c r="AJ85" s="68">
        <f>AJ84+ (IF(AH85="",0,AH85)-AJ84)/Charts!$X$5</f>
        <v>1.6933482983424772E-4</v>
      </c>
      <c r="AK85" s="68">
        <f>AK84+ (IF(AI85="",0,AI85)-AK84)/Charts!$X$5</f>
        <v>1.6933482983424772E-4</v>
      </c>
      <c r="AL85" s="68">
        <f>AL84+ (IF(AH85="",0,AH85)-AL84)/Charts!$X$6</f>
        <v>7.4427202287881107</v>
      </c>
      <c r="AM85" s="68">
        <f>AM84+ (IF(AI85="",0,AI85)-AM84)/Charts!$X$6</f>
        <v>7.4427202287881107</v>
      </c>
      <c r="AN85" s="68" t="str">
        <f t="shared" si="22"/>
        <v>8</v>
      </c>
      <c r="AO85" s="68" t="str">
        <f t="shared" si="23"/>
        <v>8</v>
      </c>
      <c r="AP85" s="69" t="str">
        <f>IF(C85="","",INDEX(Workouts!D:D,MATCH(C85,Workouts!A:A,0)))</f>
        <v/>
      </c>
      <c r="AQ85" s="69" t="str">
        <f>IF(ISNA(MATCH(A85,Data!B:B,0)),"",INDEX(Data!G:G,MATCH(A85,Data!B:B,1)))</f>
        <v/>
      </c>
    </row>
    <row r="86" spans="1:43" s="1" customFormat="1" x14ac:dyDescent="0.2">
      <c r="A86" s="125">
        <f t="shared" si="21"/>
        <v>44281</v>
      </c>
      <c r="B86" s="126" t="str">
        <f t="shared" si="18"/>
        <v>Fri</v>
      </c>
      <c r="C86" s="140"/>
      <c r="D86" s="128" t="str">
        <f t="shared" si="19"/>
        <v/>
      </c>
      <c r="E86" s="129" t="str">
        <f t="shared" si="20"/>
        <v/>
      </c>
      <c r="F86" s="130" t="str">
        <f>IF(SUMIF(Data!B:B,A86,Data!C:C)=0,"",SUMIF(Data!B:B,A86,Data!C:C))</f>
        <v/>
      </c>
      <c r="G86" s="126" t="str">
        <f>IF(OR(S86="T",S86="RUN",SUMIF(Data!B:B,A86,Data!E:E)=0),"",SUMIF(Data!B:B,A86,Data!E:E))</f>
        <v/>
      </c>
      <c r="H86" s="126" t="str">
        <f t="shared" si="12"/>
        <v/>
      </c>
      <c r="I86" s="131" t="str">
        <f t="shared" si="13"/>
        <v>0 (0)</v>
      </c>
      <c r="J86" s="131" t="str">
        <f t="shared" si="14"/>
        <v>7 (7)</v>
      </c>
      <c r="K86" s="131" t="str">
        <f t="shared" si="15"/>
        <v>7 (7)</v>
      </c>
      <c r="L86" s="132" t="str">
        <f t="shared" si="16"/>
        <v/>
      </c>
      <c r="M86" s="131" t="str">
        <f t="shared" si="17"/>
        <v/>
      </c>
      <c r="N86" s="126" t="str">
        <f>IF(ISNA(MATCH(A86,Data!B:B,0)),"",INDEX(Data!H:H,MATCH(A86,Data!B:B,1))) &amp; ""</f>
        <v/>
      </c>
      <c r="O86" s="126" t="str">
        <f>IF(ISNA(MATCH(A86,Data!B:B,0)),"",INDEX(Data!I:I,MATCH(A86,Data!B:B,1))) &amp; ""</f>
        <v/>
      </c>
      <c r="P86" s="133" t="str">
        <f>IF(ISNA(MATCH(A86,Data!B:B,0)),"",INDEX(Data!J:J,MATCH(A86,Data!B:B,1))) &amp; ""</f>
        <v/>
      </c>
      <c r="Q86" s="126" t="str">
        <f>IF(S86="T",Charts!$X$7,IF(ISNA(MATCH(A86,Data!B:B,0)),"",INDEX(Data!K:K,MATCH(A86,Data!B:B,1)))) &amp; ""</f>
        <v/>
      </c>
      <c r="R86" s="134"/>
      <c r="S86" s="134"/>
      <c r="T86" s="127"/>
      <c r="AF86" s="24" t="str">
        <f>IF(C86="","",INDEX(Workouts!B:B,MATCH(C86,Workouts!A:A,0)))</f>
        <v/>
      </c>
      <c r="AG86" s="24" t="str">
        <f>IF(SUMIF(Data!B:B,A86,Data!D:D)=0,"",SUMIF(Data!B:B,A86,Data!D:D))</f>
        <v/>
      </c>
      <c r="AH86" s="25" t="str">
        <f>IF(C86="","",INDEX(Workouts!C:C,MATCH(C86,Workouts!A:A,0)))</f>
        <v/>
      </c>
      <c r="AI86" s="68" t="str">
        <f>IF(SUMIF(Data!B:B,A86,Data!F:F)=0,"",SUMIF(Data!B:B,A86,Data!F:F))</f>
        <v/>
      </c>
      <c r="AJ86" s="68">
        <f>AJ85+ (IF(AH86="",0,AH86)-AJ85)/Charts!$X$5</f>
        <v>1.4514413985792661E-4</v>
      </c>
      <c r="AK86" s="68">
        <f>AK85+ (IF(AI86="",0,AI86)-AK85)/Charts!$X$5</f>
        <v>1.4514413985792661E-4</v>
      </c>
      <c r="AL86" s="68">
        <f>AL85+ (IF(AH86="",0,AH86)-AL85)/Charts!$X$6</f>
        <v>7.2655126042931553</v>
      </c>
      <c r="AM86" s="68">
        <f>AM85+ (IF(AI86="",0,AI86)-AM85)/Charts!$X$6</f>
        <v>7.2655126042931553</v>
      </c>
      <c r="AN86" s="68" t="str">
        <f t="shared" si="22"/>
        <v>7</v>
      </c>
      <c r="AO86" s="68" t="str">
        <f t="shared" si="23"/>
        <v>7</v>
      </c>
      <c r="AP86" s="69" t="str">
        <f>IF(C86="","",INDEX(Workouts!D:D,MATCH(C86,Workouts!A:A,0)))</f>
        <v/>
      </c>
      <c r="AQ86" s="69" t="str">
        <f>IF(ISNA(MATCH(A86,Data!B:B,0)),"",INDEX(Data!G:G,MATCH(A86,Data!B:B,1)))</f>
        <v/>
      </c>
    </row>
    <row r="87" spans="1:43" s="1" customFormat="1" x14ac:dyDescent="0.2">
      <c r="A87" s="125">
        <f t="shared" si="21"/>
        <v>44282</v>
      </c>
      <c r="B87" s="126" t="str">
        <f t="shared" si="18"/>
        <v>Sat</v>
      </c>
      <c r="C87" s="140"/>
      <c r="D87" s="128" t="str">
        <f t="shared" si="19"/>
        <v/>
      </c>
      <c r="E87" s="129" t="str">
        <f t="shared" si="20"/>
        <v/>
      </c>
      <c r="F87" s="130" t="str">
        <f>IF(SUMIF(Data!B:B,A87,Data!C:C)=0,"",SUMIF(Data!B:B,A87,Data!C:C))</f>
        <v/>
      </c>
      <c r="G87" s="126" t="str">
        <f>IF(OR(S87="T",S87="RUN",SUMIF(Data!B:B,A87,Data!E:E)=0),"",SUMIF(Data!B:B,A87,Data!E:E))</f>
        <v/>
      </c>
      <c r="H87" s="126" t="str">
        <f t="shared" si="12"/>
        <v/>
      </c>
      <c r="I87" s="131" t="str">
        <f t="shared" si="13"/>
        <v>0 (0)</v>
      </c>
      <c r="J87" s="131" t="str">
        <f t="shared" si="14"/>
        <v>7 (7)</v>
      </c>
      <c r="K87" s="131" t="str">
        <f t="shared" si="15"/>
        <v>7 (7)</v>
      </c>
      <c r="L87" s="132" t="str">
        <f t="shared" si="16"/>
        <v/>
      </c>
      <c r="M87" s="131" t="str">
        <f t="shared" si="17"/>
        <v/>
      </c>
      <c r="N87" s="126" t="str">
        <f>IF(ISNA(MATCH(A87,Data!B:B,0)),"",INDEX(Data!H:H,MATCH(A87,Data!B:B,1))) &amp; ""</f>
        <v/>
      </c>
      <c r="O87" s="126" t="str">
        <f>IF(ISNA(MATCH(A87,Data!B:B,0)),"",INDEX(Data!I:I,MATCH(A87,Data!B:B,1))) &amp; ""</f>
        <v/>
      </c>
      <c r="P87" s="133" t="str">
        <f>IF(ISNA(MATCH(A87,Data!B:B,0)),"",INDEX(Data!J:J,MATCH(A87,Data!B:B,1))) &amp; ""</f>
        <v/>
      </c>
      <c r="Q87" s="126" t="str">
        <f>IF(S87="T",Charts!$X$7,IF(ISNA(MATCH(A87,Data!B:B,0)),"",INDEX(Data!K:K,MATCH(A87,Data!B:B,1)))) &amp; ""</f>
        <v/>
      </c>
      <c r="R87" s="134"/>
      <c r="S87" s="134"/>
      <c r="T87" s="127"/>
      <c r="AF87" s="24" t="str">
        <f>IF(C87="","",INDEX(Workouts!B:B,MATCH(C87,Workouts!A:A,0)))</f>
        <v/>
      </c>
      <c r="AG87" s="24" t="str">
        <f>IF(SUMIF(Data!B:B,A87,Data!D:D)=0,"",SUMIF(Data!B:B,A87,Data!D:D))</f>
        <v/>
      </c>
      <c r="AH87" s="25" t="str">
        <f>IF(C87="","",INDEX(Workouts!C:C,MATCH(C87,Workouts!A:A,0)))</f>
        <v/>
      </c>
      <c r="AI87" s="68" t="str">
        <f>IF(SUMIF(Data!B:B,A87,Data!F:F)=0,"",SUMIF(Data!B:B,A87,Data!F:F))</f>
        <v/>
      </c>
      <c r="AJ87" s="68">
        <f>AJ86+ (IF(AH87="",0,AH87)-AJ86)/Charts!$X$5</f>
        <v>1.2440926273536566E-4</v>
      </c>
      <c r="AK87" s="68">
        <f>AK86+ (IF(AI87="",0,AI87)-AK86)/Charts!$X$5</f>
        <v>1.2440926273536566E-4</v>
      </c>
      <c r="AL87" s="68">
        <f>AL86+ (IF(AH87="",0,AH87)-AL86)/Charts!$X$6</f>
        <v>7.0925242089528417</v>
      </c>
      <c r="AM87" s="68">
        <f>AM86+ (IF(AI87="",0,AI87)-AM86)/Charts!$X$6</f>
        <v>7.0925242089528417</v>
      </c>
      <c r="AN87" s="68" t="str">
        <f t="shared" si="22"/>
        <v>7</v>
      </c>
      <c r="AO87" s="68" t="str">
        <f t="shared" si="23"/>
        <v>7</v>
      </c>
      <c r="AP87" s="69" t="str">
        <f>IF(C87="","",INDEX(Workouts!D:D,MATCH(C87,Workouts!A:A,0)))</f>
        <v/>
      </c>
      <c r="AQ87" s="69" t="str">
        <f>IF(ISNA(MATCH(A87,Data!B:B,0)),"",INDEX(Data!G:G,MATCH(A87,Data!B:B,1)))</f>
        <v/>
      </c>
    </row>
    <row r="88" spans="1:43" s="1" customFormat="1" x14ac:dyDescent="0.2">
      <c r="A88" s="125">
        <f t="shared" si="21"/>
        <v>44283</v>
      </c>
      <c r="B88" s="126" t="str">
        <f t="shared" si="18"/>
        <v>Sun</v>
      </c>
      <c r="C88" s="140"/>
      <c r="D88" s="128" t="str">
        <f t="shared" si="19"/>
        <v/>
      </c>
      <c r="E88" s="129" t="str">
        <f t="shared" si="20"/>
        <v/>
      </c>
      <c r="F88" s="130" t="str">
        <f>IF(SUMIF(Data!B:B,A88,Data!C:C)=0,"",SUMIF(Data!B:B,A88,Data!C:C))</f>
        <v/>
      </c>
      <c r="G88" s="126" t="str">
        <f>IF(OR(S88="T",S88="RUN",SUMIF(Data!B:B,A88,Data!E:E)=0),"",SUMIF(Data!B:B,A88,Data!E:E))</f>
        <v/>
      </c>
      <c r="H88" s="126" t="str">
        <f t="shared" si="12"/>
        <v/>
      </c>
      <c r="I88" s="131" t="str">
        <f t="shared" si="13"/>
        <v>0 (0)</v>
      </c>
      <c r="J88" s="131" t="str">
        <f t="shared" si="14"/>
        <v>7 (7)</v>
      </c>
      <c r="K88" s="131" t="str">
        <f t="shared" si="15"/>
        <v>7 (7)</v>
      </c>
      <c r="L88" s="132" t="str">
        <f t="shared" si="16"/>
        <v/>
      </c>
      <c r="M88" s="131" t="str">
        <f t="shared" si="17"/>
        <v/>
      </c>
      <c r="N88" s="126" t="str">
        <f>IF(ISNA(MATCH(A88,Data!B:B,0)),"",INDEX(Data!H:H,MATCH(A88,Data!B:B,1))) &amp; ""</f>
        <v/>
      </c>
      <c r="O88" s="126" t="str">
        <f>IF(ISNA(MATCH(A88,Data!B:B,0)),"",INDEX(Data!I:I,MATCH(A88,Data!B:B,1))) &amp; ""</f>
        <v/>
      </c>
      <c r="P88" s="133" t="str">
        <f>IF(ISNA(MATCH(A88,Data!B:B,0)),"",INDEX(Data!J:J,MATCH(A88,Data!B:B,1))) &amp; ""</f>
        <v/>
      </c>
      <c r="Q88" s="126" t="str">
        <f>IF(S88="T",Charts!$X$7,IF(ISNA(MATCH(A88,Data!B:B,0)),"",INDEX(Data!K:K,MATCH(A88,Data!B:B,1)))) &amp; ""</f>
        <v/>
      </c>
      <c r="R88" s="134"/>
      <c r="S88" s="134"/>
      <c r="T88" s="127"/>
      <c r="AF88" s="24" t="str">
        <f>IF(C88="","",INDEX(Workouts!B:B,MATCH(C88,Workouts!A:A,0)))</f>
        <v/>
      </c>
      <c r="AG88" s="24" t="str">
        <f>IF(SUMIF(Data!B:B,A88,Data!D:D)=0,"",SUMIF(Data!B:B,A88,Data!D:D))</f>
        <v/>
      </c>
      <c r="AH88" s="25" t="str">
        <f>IF(C88="","",INDEX(Workouts!C:C,MATCH(C88,Workouts!A:A,0)))</f>
        <v/>
      </c>
      <c r="AI88" s="68" t="str">
        <f>IF(SUMIF(Data!B:B,A88,Data!F:F)=0,"",SUMIF(Data!B:B,A88,Data!F:F))</f>
        <v/>
      </c>
      <c r="AJ88" s="68">
        <f>AJ87+ (IF(AH88="",0,AH88)-AJ87)/Charts!$X$5</f>
        <v>1.0663651091602771E-4</v>
      </c>
      <c r="AK88" s="68">
        <f>AK87+ (IF(AI88="",0,AI88)-AK87)/Charts!$X$5</f>
        <v>1.0663651091602771E-4</v>
      </c>
      <c r="AL88" s="68">
        <f>AL87+ (IF(AH88="",0,AH88)-AL87)/Charts!$X$6</f>
        <v>6.923654584930155</v>
      </c>
      <c r="AM88" s="68">
        <f>AM87+ (IF(AI88="",0,AI88)-AM87)/Charts!$X$6</f>
        <v>6.923654584930155</v>
      </c>
      <c r="AN88" s="68" t="str">
        <f t="shared" si="22"/>
        <v>7</v>
      </c>
      <c r="AO88" s="68" t="str">
        <f t="shared" si="23"/>
        <v>7</v>
      </c>
      <c r="AP88" s="69" t="str">
        <f>IF(C88="","",INDEX(Workouts!D:D,MATCH(C88,Workouts!A:A,0)))</f>
        <v/>
      </c>
      <c r="AQ88" s="69" t="str">
        <f>IF(ISNA(MATCH(A88,Data!B:B,0)),"",INDEX(Data!G:G,MATCH(A88,Data!B:B,1)))</f>
        <v/>
      </c>
    </row>
    <row r="89" spans="1:43" s="1" customFormat="1" x14ac:dyDescent="0.2">
      <c r="A89" s="125">
        <f t="shared" si="21"/>
        <v>44284</v>
      </c>
      <c r="B89" s="126" t="str">
        <f t="shared" si="18"/>
        <v>Mon</v>
      </c>
      <c r="C89" s="140"/>
      <c r="D89" s="128" t="str">
        <f t="shared" si="19"/>
        <v/>
      </c>
      <c r="E89" s="129" t="str">
        <f t="shared" si="20"/>
        <v/>
      </c>
      <c r="F89" s="130" t="str">
        <f>IF(SUMIF(Data!B:B,A89,Data!C:C)=0,"",SUMIF(Data!B:B,A89,Data!C:C))</f>
        <v/>
      </c>
      <c r="G89" s="126" t="str">
        <f>IF(OR(S89="T",S89="RUN",SUMIF(Data!B:B,A89,Data!E:E)=0),"",SUMIF(Data!B:B,A89,Data!E:E))</f>
        <v/>
      </c>
      <c r="H89" s="126" t="str">
        <f t="shared" si="12"/>
        <v/>
      </c>
      <c r="I89" s="131" t="str">
        <f t="shared" si="13"/>
        <v>0 (0)</v>
      </c>
      <c r="J89" s="131" t="str">
        <f t="shared" si="14"/>
        <v>7 (7)</v>
      </c>
      <c r="K89" s="131" t="str">
        <f t="shared" si="15"/>
        <v>7 (7)</v>
      </c>
      <c r="L89" s="132" t="str">
        <f t="shared" si="16"/>
        <v/>
      </c>
      <c r="M89" s="131" t="str">
        <f t="shared" si="17"/>
        <v/>
      </c>
      <c r="N89" s="126" t="str">
        <f>IF(ISNA(MATCH(A89,Data!B:B,0)),"",INDEX(Data!H:H,MATCH(A89,Data!B:B,1))) &amp; ""</f>
        <v/>
      </c>
      <c r="O89" s="126" t="str">
        <f>IF(ISNA(MATCH(A89,Data!B:B,0)),"",INDEX(Data!I:I,MATCH(A89,Data!B:B,1))) &amp; ""</f>
        <v/>
      </c>
      <c r="P89" s="133" t="str">
        <f>IF(ISNA(MATCH(A89,Data!B:B,0)),"",INDEX(Data!J:J,MATCH(A89,Data!B:B,1))) &amp; ""</f>
        <v/>
      </c>
      <c r="Q89" s="126" t="str">
        <f>IF(S89="T",Charts!$X$7,IF(ISNA(MATCH(A89,Data!B:B,0)),"",INDEX(Data!K:K,MATCH(A89,Data!B:B,1)))) &amp; ""</f>
        <v/>
      </c>
      <c r="R89" s="134"/>
      <c r="S89" s="134"/>
      <c r="T89" s="127"/>
      <c r="AF89" s="24" t="str">
        <f>IF(C89="","",INDEX(Workouts!B:B,MATCH(C89,Workouts!A:A,0)))</f>
        <v/>
      </c>
      <c r="AG89" s="24" t="str">
        <f>IF(SUMIF(Data!B:B,A89,Data!D:D)=0,"",SUMIF(Data!B:B,A89,Data!D:D))</f>
        <v/>
      </c>
      <c r="AH89" s="25" t="str">
        <f>IF(C89="","",INDEX(Workouts!C:C,MATCH(C89,Workouts!A:A,0)))</f>
        <v/>
      </c>
      <c r="AI89" s="68" t="str">
        <f>IF(SUMIF(Data!B:B,A89,Data!F:F)=0,"",SUMIF(Data!B:B,A89,Data!F:F))</f>
        <v/>
      </c>
      <c r="AJ89" s="68">
        <f>AJ88+ (IF(AH89="",0,AH89)-AJ88)/Charts!$X$5</f>
        <v>9.1402723642309463E-5</v>
      </c>
      <c r="AK89" s="68">
        <f>AK88+ (IF(AI89="",0,AI89)-AK88)/Charts!$X$5</f>
        <v>9.1402723642309463E-5</v>
      </c>
      <c r="AL89" s="68">
        <f>AL88+ (IF(AH89="",0,AH89)-AL88)/Charts!$X$6</f>
        <v>6.7588056662413418</v>
      </c>
      <c r="AM89" s="68">
        <f>AM88+ (IF(AI89="",0,AI89)-AM88)/Charts!$X$6</f>
        <v>6.7588056662413418</v>
      </c>
      <c r="AN89" s="68" t="str">
        <f t="shared" si="22"/>
        <v>7</v>
      </c>
      <c r="AO89" s="68" t="str">
        <f t="shared" si="23"/>
        <v>7</v>
      </c>
      <c r="AP89" s="69" t="str">
        <f>IF(C89="","",INDEX(Workouts!D:D,MATCH(C89,Workouts!A:A,0)))</f>
        <v/>
      </c>
      <c r="AQ89" s="69" t="str">
        <f>IF(ISNA(MATCH(A89,Data!B:B,0)),"",INDEX(Data!G:G,MATCH(A89,Data!B:B,1)))</f>
        <v/>
      </c>
    </row>
    <row r="90" spans="1:43" s="1" customFormat="1" x14ac:dyDescent="0.2">
      <c r="A90" s="125">
        <f t="shared" si="21"/>
        <v>44285</v>
      </c>
      <c r="B90" s="126" t="str">
        <f t="shared" si="18"/>
        <v>Tue</v>
      </c>
      <c r="C90" s="140"/>
      <c r="D90" s="128" t="str">
        <f t="shared" si="19"/>
        <v/>
      </c>
      <c r="E90" s="129" t="str">
        <f t="shared" si="20"/>
        <v/>
      </c>
      <c r="F90" s="130" t="str">
        <f>IF(SUMIF(Data!B:B,A90,Data!C:C)=0,"",SUMIF(Data!B:B,A90,Data!C:C))</f>
        <v/>
      </c>
      <c r="G90" s="126" t="str">
        <f>IF(OR(S90="T",S90="RUN",SUMIF(Data!B:B,A90,Data!E:E)=0),"",SUMIF(Data!B:B,A90,Data!E:E))</f>
        <v/>
      </c>
      <c r="H90" s="126" t="str">
        <f t="shared" si="12"/>
        <v/>
      </c>
      <c r="I90" s="131" t="str">
        <f t="shared" si="13"/>
        <v>0 (0)</v>
      </c>
      <c r="J90" s="131" t="str">
        <f t="shared" si="14"/>
        <v>7 (7)</v>
      </c>
      <c r="K90" s="131" t="str">
        <f t="shared" si="15"/>
        <v>7 (7)</v>
      </c>
      <c r="L90" s="132" t="str">
        <f t="shared" si="16"/>
        <v/>
      </c>
      <c r="M90" s="131" t="str">
        <f t="shared" si="17"/>
        <v/>
      </c>
      <c r="N90" s="126" t="str">
        <f>IF(ISNA(MATCH(A90,Data!B:B,0)),"",INDEX(Data!H:H,MATCH(A90,Data!B:B,1))) &amp; ""</f>
        <v/>
      </c>
      <c r="O90" s="126" t="str">
        <f>IF(ISNA(MATCH(A90,Data!B:B,0)),"",INDEX(Data!I:I,MATCH(A90,Data!B:B,1))) &amp; ""</f>
        <v/>
      </c>
      <c r="P90" s="133" t="str">
        <f>IF(ISNA(MATCH(A90,Data!B:B,0)),"",INDEX(Data!J:J,MATCH(A90,Data!B:B,1))) &amp; ""</f>
        <v/>
      </c>
      <c r="Q90" s="126" t="str">
        <f>IF(S90="T",Charts!$X$7,IF(ISNA(MATCH(A90,Data!B:B,0)),"",INDEX(Data!K:K,MATCH(A90,Data!B:B,1)))) &amp; ""</f>
        <v/>
      </c>
      <c r="R90" s="134"/>
      <c r="S90" s="134"/>
      <c r="T90" s="127"/>
      <c r="AF90" s="24" t="str">
        <f>IF(C90="","",INDEX(Workouts!B:B,MATCH(C90,Workouts!A:A,0)))</f>
        <v/>
      </c>
      <c r="AG90" s="24" t="str">
        <f>IF(SUMIF(Data!B:B,A90,Data!D:D)=0,"",SUMIF(Data!B:B,A90,Data!D:D))</f>
        <v/>
      </c>
      <c r="AH90" s="25" t="str">
        <f>IF(C90="","",INDEX(Workouts!C:C,MATCH(C90,Workouts!A:A,0)))</f>
        <v/>
      </c>
      <c r="AI90" s="68" t="str">
        <f>IF(SUMIF(Data!B:B,A90,Data!F:F)=0,"",SUMIF(Data!B:B,A90,Data!F:F))</f>
        <v/>
      </c>
      <c r="AJ90" s="68">
        <f>AJ89+ (IF(AH90="",0,AH90)-AJ89)/Charts!$X$5</f>
        <v>7.8345191693408105E-5</v>
      </c>
      <c r="AK90" s="68">
        <f>AK89+ (IF(AI90="",0,AI90)-AK89)/Charts!$X$5</f>
        <v>7.8345191693408105E-5</v>
      </c>
      <c r="AL90" s="68">
        <f>AL89+ (IF(AH90="",0,AH90)-AL89)/Charts!$X$6</f>
        <v>6.597881721807024</v>
      </c>
      <c r="AM90" s="68">
        <f>AM89+ (IF(AI90="",0,AI90)-AM89)/Charts!$X$6</f>
        <v>6.597881721807024</v>
      </c>
      <c r="AN90" s="68" t="str">
        <f t="shared" si="22"/>
        <v>7</v>
      </c>
      <c r="AO90" s="68" t="str">
        <f t="shared" si="23"/>
        <v>7</v>
      </c>
      <c r="AP90" s="69" t="str">
        <f>IF(C90="","",INDEX(Workouts!D:D,MATCH(C90,Workouts!A:A,0)))</f>
        <v/>
      </c>
      <c r="AQ90" s="69" t="str">
        <f>IF(ISNA(MATCH(A90,Data!B:B,0)),"",INDEX(Data!G:G,MATCH(A90,Data!B:B,1)))</f>
        <v/>
      </c>
    </row>
    <row r="91" spans="1:43" s="1" customFormat="1" x14ac:dyDescent="0.2">
      <c r="A91" s="125">
        <f t="shared" si="21"/>
        <v>44286</v>
      </c>
      <c r="B91" s="126" t="str">
        <f t="shared" si="18"/>
        <v>Wed</v>
      </c>
      <c r="C91" s="140"/>
      <c r="D91" s="128" t="str">
        <f t="shared" si="19"/>
        <v/>
      </c>
      <c r="E91" s="129" t="str">
        <f t="shared" si="20"/>
        <v/>
      </c>
      <c r="F91" s="130" t="str">
        <f>IF(SUMIF(Data!B:B,A91,Data!C:C)=0,"",SUMIF(Data!B:B,A91,Data!C:C))</f>
        <v/>
      </c>
      <c r="G91" s="126" t="str">
        <f>IF(OR(S91="T",S91="RUN",SUMIF(Data!B:B,A91,Data!E:E)=0),"",SUMIF(Data!B:B,A91,Data!E:E))</f>
        <v/>
      </c>
      <c r="H91" s="126" t="str">
        <f t="shared" si="12"/>
        <v/>
      </c>
      <c r="I91" s="131" t="str">
        <f t="shared" si="13"/>
        <v>0 (0)</v>
      </c>
      <c r="J91" s="131" t="str">
        <f t="shared" si="14"/>
        <v>6 (6)</v>
      </c>
      <c r="K91" s="131" t="str">
        <f t="shared" si="15"/>
        <v>7 (7)</v>
      </c>
      <c r="L91" s="132" t="str">
        <f t="shared" si="16"/>
        <v/>
      </c>
      <c r="M91" s="131" t="str">
        <f t="shared" si="17"/>
        <v/>
      </c>
      <c r="N91" s="126" t="str">
        <f>IF(ISNA(MATCH(A91,Data!B:B,0)),"",INDEX(Data!H:H,MATCH(A91,Data!B:B,1))) &amp; ""</f>
        <v/>
      </c>
      <c r="O91" s="126" t="str">
        <f>IF(ISNA(MATCH(A91,Data!B:B,0)),"",INDEX(Data!I:I,MATCH(A91,Data!B:B,1))) &amp; ""</f>
        <v/>
      </c>
      <c r="P91" s="133" t="str">
        <f>IF(ISNA(MATCH(A91,Data!B:B,0)),"",INDEX(Data!J:J,MATCH(A91,Data!B:B,1))) &amp; ""</f>
        <v/>
      </c>
      <c r="Q91" s="126" t="str">
        <f>IF(S91="T",Charts!$X$7,IF(ISNA(MATCH(A91,Data!B:B,0)),"",INDEX(Data!K:K,MATCH(A91,Data!B:B,1)))) &amp; ""</f>
        <v/>
      </c>
      <c r="R91" s="134"/>
      <c r="S91" s="134"/>
      <c r="T91" s="127"/>
      <c r="AF91" s="24" t="str">
        <f>IF(C91="","",INDEX(Workouts!B:B,MATCH(C91,Workouts!A:A,0)))</f>
        <v/>
      </c>
      <c r="AG91" s="24" t="str">
        <f>IF(SUMIF(Data!B:B,A91,Data!D:D)=0,"",SUMIF(Data!B:B,A91,Data!D:D))</f>
        <v/>
      </c>
      <c r="AH91" s="25" t="str">
        <f>IF(C91="","",INDEX(Workouts!C:C,MATCH(C91,Workouts!A:A,0)))</f>
        <v/>
      </c>
      <c r="AI91" s="68" t="str">
        <f>IF(SUMIF(Data!B:B,A91,Data!F:F)=0,"",SUMIF(Data!B:B,A91,Data!F:F))</f>
        <v/>
      </c>
      <c r="AJ91" s="68">
        <f>AJ90+ (IF(AH91="",0,AH91)-AJ90)/Charts!$X$5</f>
        <v>6.7153021451492667E-5</v>
      </c>
      <c r="AK91" s="68">
        <f>AK90+ (IF(AI91="",0,AI91)-AK90)/Charts!$X$5</f>
        <v>6.7153021451492667E-5</v>
      </c>
      <c r="AL91" s="68">
        <f>AL90+ (IF(AH91="",0,AH91)-AL90)/Charts!$X$6</f>
        <v>6.4407892998592375</v>
      </c>
      <c r="AM91" s="68">
        <f>AM90+ (IF(AI91="",0,AI91)-AM90)/Charts!$X$6</f>
        <v>6.4407892998592375</v>
      </c>
      <c r="AN91" s="68" t="str">
        <f t="shared" si="22"/>
        <v>7</v>
      </c>
      <c r="AO91" s="68" t="str">
        <f t="shared" si="23"/>
        <v>7</v>
      </c>
      <c r="AP91" s="69" t="str">
        <f>IF(C91="","",INDEX(Workouts!D:D,MATCH(C91,Workouts!A:A,0)))</f>
        <v/>
      </c>
      <c r="AQ91" s="69" t="str">
        <f>IF(ISNA(MATCH(A91,Data!B:B,0)),"",INDEX(Data!G:G,MATCH(A91,Data!B:B,1)))</f>
        <v/>
      </c>
    </row>
    <row r="92" spans="1:43" s="1" customFormat="1" x14ac:dyDescent="0.2">
      <c r="A92" s="125">
        <f t="shared" si="21"/>
        <v>44287</v>
      </c>
      <c r="B92" s="126" t="str">
        <f t="shared" si="18"/>
        <v>Thu</v>
      </c>
      <c r="C92" s="140"/>
      <c r="D92" s="128" t="str">
        <f t="shared" si="19"/>
        <v/>
      </c>
      <c r="E92" s="129" t="str">
        <f t="shared" si="20"/>
        <v/>
      </c>
      <c r="F92" s="130" t="str">
        <f>IF(SUMIF(Data!B:B,A92,Data!C:C)=0,"",SUMIF(Data!B:B,A92,Data!C:C))</f>
        <v/>
      </c>
      <c r="G92" s="126" t="str">
        <f>IF(OR(S92="T",S92="RUN",SUMIF(Data!B:B,A92,Data!E:E)=0),"",SUMIF(Data!B:B,A92,Data!E:E))</f>
        <v/>
      </c>
      <c r="H92" s="126" t="str">
        <f t="shared" si="12"/>
        <v/>
      </c>
      <c r="I92" s="131" t="str">
        <f t="shared" si="13"/>
        <v>0 (0)</v>
      </c>
      <c r="J92" s="131" t="str">
        <f t="shared" si="14"/>
        <v>6 (6)</v>
      </c>
      <c r="K92" s="131" t="str">
        <f t="shared" si="15"/>
        <v>6 (6)</v>
      </c>
      <c r="L92" s="132" t="str">
        <f t="shared" si="16"/>
        <v/>
      </c>
      <c r="M92" s="131" t="str">
        <f t="shared" si="17"/>
        <v/>
      </c>
      <c r="N92" s="126" t="str">
        <f>IF(ISNA(MATCH(A92,Data!B:B,0)),"",INDEX(Data!H:H,MATCH(A92,Data!B:B,1))) &amp; ""</f>
        <v/>
      </c>
      <c r="O92" s="126" t="str">
        <f>IF(ISNA(MATCH(A92,Data!B:B,0)),"",INDEX(Data!I:I,MATCH(A92,Data!B:B,1))) &amp; ""</f>
        <v/>
      </c>
      <c r="P92" s="133" t="str">
        <f>IF(ISNA(MATCH(A92,Data!B:B,0)),"",INDEX(Data!J:J,MATCH(A92,Data!B:B,1))) &amp; ""</f>
        <v/>
      </c>
      <c r="Q92" s="126" t="str">
        <f>IF(S92="T",Charts!$X$7,IF(ISNA(MATCH(A92,Data!B:B,0)),"",INDEX(Data!K:K,MATCH(A92,Data!B:B,1)))) &amp; ""</f>
        <v/>
      </c>
      <c r="R92" s="134"/>
      <c r="S92" s="134"/>
      <c r="T92" s="127"/>
      <c r="AF92" s="24" t="str">
        <f>IF(C92="","",INDEX(Workouts!B:B,MATCH(C92,Workouts!A:A,0)))</f>
        <v/>
      </c>
      <c r="AG92" s="24" t="str">
        <f>IF(SUMIF(Data!B:B,A92,Data!D:D)=0,"",SUMIF(Data!B:B,A92,Data!D:D))</f>
        <v/>
      </c>
      <c r="AH92" s="25" t="str">
        <f>IF(C92="","",INDEX(Workouts!C:C,MATCH(C92,Workouts!A:A,0)))</f>
        <v/>
      </c>
      <c r="AI92" s="68" t="str">
        <f>IF(SUMIF(Data!B:B,A92,Data!F:F)=0,"",SUMIF(Data!B:B,A92,Data!F:F))</f>
        <v/>
      </c>
      <c r="AJ92" s="68">
        <f>AJ91+ (IF(AH92="",0,AH92)-AJ91)/Charts!$X$5</f>
        <v>5.7559732672708001E-5</v>
      </c>
      <c r="AK92" s="68">
        <f>AK91+ (IF(AI92="",0,AI92)-AK91)/Charts!$X$5</f>
        <v>5.7559732672708001E-5</v>
      </c>
      <c r="AL92" s="68">
        <f>AL91+ (IF(AH92="",0,AH92)-AL91)/Charts!$X$6</f>
        <v>6.2874371736721129</v>
      </c>
      <c r="AM92" s="68">
        <f>AM91+ (IF(AI92="",0,AI92)-AM91)/Charts!$X$6</f>
        <v>6.2874371736721129</v>
      </c>
      <c r="AN92" s="68" t="str">
        <f t="shared" si="22"/>
        <v>6</v>
      </c>
      <c r="AO92" s="68" t="str">
        <f t="shared" si="23"/>
        <v>6</v>
      </c>
      <c r="AP92" s="69" t="str">
        <f>IF(C92="","",INDEX(Workouts!D:D,MATCH(C92,Workouts!A:A,0)))</f>
        <v/>
      </c>
      <c r="AQ92" s="69" t="str">
        <f>IF(ISNA(MATCH(A92,Data!B:B,0)),"",INDEX(Data!G:G,MATCH(A92,Data!B:B,1)))</f>
        <v/>
      </c>
    </row>
    <row r="93" spans="1:43" s="1" customFormat="1" x14ac:dyDescent="0.2">
      <c r="A93" s="125">
        <f t="shared" si="21"/>
        <v>44288</v>
      </c>
      <c r="B93" s="126" t="str">
        <f t="shared" si="18"/>
        <v>Fri</v>
      </c>
      <c r="C93" s="140"/>
      <c r="D93" s="128" t="str">
        <f t="shared" si="19"/>
        <v/>
      </c>
      <c r="E93" s="129" t="str">
        <f t="shared" si="20"/>
        <v/>
      </c>
      <c r="F93" s="130" t="str">
        <f>IF(SUMIF(Data!B:B,A93,Data!C:C)=0,"",SUMIF(Data!B:B,A93,Data!C:C))</f>
        <v/>
      </c>
      <c r="G93" s="126" t="str">
        <f>IF(OR(S93="T",S93="RUN",SUMIF(Data!B:B,A93,Data!E:E)=0),"",SUMIF(Data!B:B,A93,Data!E:E))</f>
        <v/>
      </c>
      <c r="H93" s="126" t="str">
        <f t="shared" si="12"/>
        <v/>
      </c>
      <c r="I93" s="131" t="str">
        <f t="shared" si="13"/>
        <v>0 (0)</v>
      </c>
      <c r="J93" s="131" t="str">
        <f t="shared" si="14"/>
        <v>6 (6)</v>
      </c>
      <c r="K93" s="131" t="str">
        <f t="shared" si="15"/>
        <v>6 (6)</v>
      </c>
      <c r="L93" s="132" t="str">
        <f t="shared" si="16"/>
        <v/>
      </c>
      <c r="M93" s="131" t="str">
        <f t="shared" si="17"/>
        <v/>
      </c>
      <c r="N93" s="126" t="str">
        <f>IF(ISNA(MATCH(A93,Data!B:B,0)),"",INDEX(Data!H:H,MATCH(A93,Data!B:B,1))) &amp; ""</f>
        <v/>
      </c>
      <c r="O93" s="126" t="str">
        <f>IF(ISNA(MATCH(A93,Data!B:B,0)),"",INDEX(Data!I:I,MATCH(A93,Data!B:B,1))) &amp; ""</f>
        <v/>
      </c>
      <c r="P93" s="133" t="str">
        <f>IF(ISNA(MATCH(A93,Data!B:B,0)),"",INDEX(Data!J:J,MATCH(A93,Data!B:B,1))) &amp; ""</f>
        <v/>
      </c>
      <c r="Q93" s="126" t="str">
        <f>IF(S93="T",Charts!$X$7,IF(ISNA(MATCH(A93,Data!B:B,0)),"",INDEX(Data!K:K,MATCH(A93,Data!B:B,1)))) &amp; ""</f>
        <v/>
      </c>
      <c r="R93" s="134"/>
      <c r="S93" s="134"/>
      <c r="T93" s="127"/>
      <c r="AF93" s="24" t="str">
        <f>IF(C93="","",INDEX(Workouts!B:B,MATCH(C93,Workouts!A:A,0)))</f>
        <v/>
      </c>
      <c r="AG93" s="24" t="str">
        <f>IF(SUMIF(Data!B:B,A93,Data!D:D)=0,"",SUMIF(Data!B:B,A93,Data!D:D))</f>
        <v/>
      </c>
      <c r="AH93" s="25" t="str">
        <f>IF(C93="","",INDEX(Workouts!C:C,MATCH(C93,Workouts!A:A,0)))</f>
        <v/>
      </c>
      <c r="AI93" s="68" t="str">
        <f>IF(SUMIF(Data!B:B,A93,Data!F:F)=0,"",SUMIF(Data!B:B,A93,Data!F:F))</f>
        <v/>
      </c>
      <c r="AJ93" s="68">
        <f>AJ92+ (IF(AH93="",0,AH93)-AJ92)/Charts!$X$5</f>
        <v>4.9336913719463999E-5</v>
      </c>
      <c r="AK93" s="68">
        <f>AK92+ (IF(AI93="",0,AI93)-AK92)/Charts!$X$5</f>
        <v>4.9336913719463999E-5</v>
      </c>
      <c r="AL93" s="68">
        <f>AL92+ (IF(AH93="",0,AH93)-AL92)/Charts!$X$6</f>
        <v>6.1377362885846818</v>
      </c>
      <c r="AM93" s="68">
        <f>AM92+ (IF(AI93="",0,AI93)-AM92)/Charts!$X$6</f>
        <v>6.1377362885846818</v>
      </c>
      <c r="AN93" s="68" t="str">
        <f t="shared" si="22"/>
        <v>6</v>
      </c>
      <c r="AO93" s="68" t="str">
        <f t="shared" si="23"/>
        <v>6</v>
      </c>
      <c r="AP93" s="69" t="str">
        <f>IF(C93="","",INDEX(Workouts!D:D,MATCH(C93,Workouts!A:A,0)))</f>
        <v/>
      </c>
      <c r="AQ93" s="69" t="str">
        <f>IF(ISNA(MATCH(A93,Data!B:B,0)),"",INDEX(Data!G:G,MATCH(A93,Data!B:B,1)))</f>
        <v/>
      </c>
    </row>
    <row r="94" spans="1:43" s="1" customFormat="1" x14ac:dyDescent="0.2">
      <c r="A94" s="125">
        <f t="shared" si="21"/>
        <v>44289</v>
      </c>
      <c r="B94" s="126" t="str">
        <f t="shared" si="18"/>
        <v>Sat</v>
      </c>
      <c r="C94" s="140"/>
      <c r="D94" s="128" t="str">
        <f t="shared" si="19"/>
        <v/>
      </c>
      <c r="E94" s="129" t="str">
        <f t="shared" si="20"/>
        <v/>
      </c>
      <c r="F94" s="130" t="str">
        <f>IF(SUMIF(Data!B:B,A94,Data!C:C)=0,"",SUMIF(Data!B:B,A94,Data!C:C))</f>
        <v/>
      </c>
      <c r="G94" s="126" t="str">
        <f>IF(OR(S94="T",S94="RUN",SUMIF(Data!B:B,A94,Data!E:E)=0),"",SUMIF(Data!B:B,A94,Data!E:E))</f>
        <v/>
      </c>
      <c r="H94" s="126" t="str">
        <f t="shared" si="12"/>
        <v/>
      </c>
      <c r="I94" s="131" t="str">
        <f t="shared" si="13"/>
        <v>0 (0)</v>
      </c>
      <c r="J94" s="131" t="str">
        <f t="shared" si="14"/>
        <v>6 (6)</v>
      </c>
      <c r="K94" s="131" t="str">
        <f t="shared" si="15"/>
        <v>6 (6)</v>
      </c>
      <c r="L94" s="132" t="str">
        <f t="shared" si="16"/>
        <v/>
      </c>
      <c r="M94" s="131" t="str">
        <f t="shared" si="17"/>
        <v/>
      </c>
      <c r="N94" s="126" t="str">
        <f>IF(ISNA(MATCH(A94,Data!B:B,0)),"",INDEX(Data!H:H,MATCH(A94,Data!B:B,1))) &amp; ""</f>
        <v/>
      </c>
      <c r="O94" s="126" t="str">
        <f>IF(ISNA(MATCH(A94,Data!B:B,0)),"",INDEX(Data!I:I,MATCH(A94,Data!B:B,1))) &amp; ""</f>
        <v/>
      </c>
      <c r="P94" s="133" t="str">
        <f>IF(ISNA(MATCH(A94,Data!B:B,0)),"",INDEX(Data!J:J,MATCH(A94,Data!B:B,1))) &amp; ""</f>
        <v/>
      </c>
      <c r="Q94" s="126" t="str">
        <f>IF(S94="T",Charts!$X$7,IF(ISNA(MATCH(A94,Data!B:B,0)),"",INDEX(Data!K:K,MATCH(A94,Data!B:B,1)))) &amp; ""</f>
        <v/>
      </c>
      <c r="R94" s="134"/>
      <c r="S94" s="134"/>
      <c r="T94" s="127"/>
      <c r="AF94" s="24" t="str">
        <f>IF(C94="","",INDEX(Workouts!B:B,MATCH(C94,Workouts!A:A,0)))</f>
        <v/>
      </c>
      <c r="AG94" s="24" t="str">
        <f>IF(SUMIF(Data!B:B,A94,Data!D:D)=0,"",SUMIF(Data!B:B,A94,Data!D:D))</f>
        <v/>
      </c>
      <c r="AH94" s="25" t="str">
        <f>IF(C94="","",INDEX(Workouts!C:C,MATCH(C94,Workouts!A:A,0)))</f>
        <v/>
      </c>
      <c r="AI94" s="68" t="str">
        <f>IF(SUMIF(Data!B:B,A94,Data!F:F)=0,"",SUMIF(Data!B:B,A94,Data!F:F))</f>
        <v/>
      </c>
      <c r="AJ94" s="68">
        <f>AJ93+ (IF(AH94="",0,AH94)-AJ93)/Charts!$X$5</f>
        <v>4.2288783188111998E-5</v>
      </c>
      <c r="AK94" s="68">
        <f>AK93+ (IF(AI94="",0,AI94)-AK93)/Charts!$X$5</f>
        <v>4.2288783188111998E-5</v>
      </c>
      <c r="AL94" s="68">
        <f>AL93+ (IF(AH94="",0,AH94)-AL93)/Charts!$X$6</f>
        <v>5.9915997102850467</v>
      </c>
      <c r="AM94" s="68">
        <f>AM93+ (IF(AI94="",0,AI94)-AM93)/Charts!$X$6</f>
        <v>5.9915997102850467</v>
      </c>
      <c r="AN94" s="68" t="str">
        <f t="shared" si="22"/>
        <v>6</v>
      </c>
      <c r="AO94" s="68" t="str">
        <f t="shared" si="23"/>
        <v>6</v>
      </c>
      <c r="AP94" s="69" t="str">
        <f>IF(C94="","",INDEX(Workouts!D:D,MATCH(C94,Workouts!A:A,0)))</f>
        <v/>
      </c>
      <c r="AQ94" s="69" t="str">
        <f>IF(ISNA(MATCH(A94,Data!B:B,0)),"",INDEX(Data!G:G,MATCH(A94,Data!B:B,1)))</f>
        <v/>
      </c>
    </row>
    <row r="95" spans="1:43" s="1" customFormat="1" x14ac:dyDescent="0.2">
      <c r="A95" s="125">
        <f t="shared" si="21"/>
        <v>44290</v>
      </c>
      <c r="B95" s="126" t="str">
        <f t="shared" si="18"/>
        <v>Sun</v>
      </c>
      <c r="C95" s="140"/>
      <c r="D95" s="128" t="str">
        <f t="shared" si="19"/>
        <v/>
      </c>
      <c r="E95" s="129" t="str">
        <f t="shared" si="20"/>
        <v/>
      </c>
      <c r="F95" s="130" t="str">
        <f>IF(SUMIF(Data!B:B,A95,Data!C:C)=0,"",SUMIF(Data!B:B,A95,Data!C:C))</f>
        <v/>
      </c>
      <c r="G95" s="126" t="str">
        <f>IF(OR(S95="T",S95="RUN",SUMIF(Data!B:B,A95,Data!E:E)=0),"",SUMIF(Data!B:B,A95,Data!E:E))</f>
        <v/>
      </c>
      <c r="H95" s="126" t="str">
        <f t="shared" si="12"/>
        <v/>
      </c>
      <c r="I95" s="131" t="str">
        <f t="shared" si="13"/>
        <v>0 (0)</v>
      </c>
      <c r="J95" s="131" t="str">
        <f t="shared" si="14"/>
        <v>6 (6)</v>
      </c>
      <c r="K95" s="131" t="str">
        <f t="shared" si="15"/>
        <v>6 (6)</v>
      </c>
      <c r="L95" s="132" t="str">
        <f t="shared" si="16"/>
        <v/>
      </c>
      <c r="M95" s="131" t="str">
        <f t="shared" si="17"/>
        <v/>
      </c>
      <c r="N95" s="126" t="str">
        <f>IF(ISNA(MATCH(A95,Data!B:B,0)),"",INDEX(Data!H:H,MATCH(A95,Data!B:B,1))) &amp; ""</f>
        <v/>
      </c>
      <c r="O95" s="126" t="str">
        <f>IF(ISNA(MATCH(A95,Data!B:B,0)),"",INDEX(Data!I:I,MATCH(A95,Data!B:B,1))) &amp; ""</f>
        <v/>
      </c>
      <c r="P95" s="133" t="str">
        <f>IF(ISNA(MATCH(A95,Data!B:B,0)),"",INDEX(Data!J:J,MATCH(A95,Data!B:B,1))) &amp; ""</f>
        <v/>
      </c>
      <c r="Q95" s="126" t="str">
        <f>IF(S95="T",Charts!$X$7,IF(ISNA(MATCH(A95,Data!B:B,0)),"",INDEX(Data!K:K,MATCH(A95,Data!B:B,1)))) &amp; ""</f>
        <v/>
      </c>
      <c r="R95" s="134"/>
      <c r="S95" s="134"/>
      <c r="T95" s="127"/>
      <c r="AF95" s="24" t="str">
        <f>IF(C95="","",INDEX(Workouts!B:B,MATCH(C95,Workouts!A:A,0)))</f>
        <v/>
      </c>
      <c r="AG95" s="24" t="str">
        <f>IF(SUMIF(Data!B:B,A95,Data!D:D)=0,"",SUMIF(Data!B:B,A95,Data!D:D))</f>
        <v/>
      </c>
      <c r="AH95" s="25" t="str">
        <f>IF(C95="","",INDEX(Workouts!C:C,MATCH(C95,Workouts!A:A,0)))</f>
        <v/>
      </c>
      <c r="AI95" s="68" t="str">
        <f>IF(SUMIF(Data!B:B,A95,Data!F:F)=0,"",SUMIF(Data!B:B,A95,Data!F:F))</f>
        <v/>
      </c>
      <c r="AJ95" s="68">
        <f>AJ94+ (IF(AH95="",0,AH95)-AJ94)/Charts!$X$5</f>
        <v>3.6247528446953141E-5</v>
      </c>
      <c r="AK95" s="68">
        <f>AK94+ (IF(AI95="",0,AI95)-AK94)/Charts!$X$5</f>
        <v>3.6247528446953141E-5</v>
      </c>
      <c r="AL95" s="68">
        <f>AL94+ (IF(AH95="",0,AH95)-AL94)/Charts!$X$6</f>
        <v>5.8489425743258785</v>
      </c>
      <c r="AM95" s="68">
        <f>AM94+ (IF(AI95="",0,AI95)-AM94)/Charts!$X$6</f>
        <v>5.8489425743258785</v>
      </c>
      <c r="AN95" s="68" t="str">
        <f t="shared" si="22"/>
        <v>6</v>
      </c>
      <c r="AO95" s="68" t="str">
        <f t="shared" si="23"/>
        <v>6</v>
      </c>
      <c r="AP95" s="69" t="str">
        <f>IF(C95="","",INDEX(Workouts!D:D,MATCH(C95,Workouts!A:A,0)))</f>
        <v/>
      </c>
      <c r="AQ95" s="69" t="str">
        <f>IF(ISNA(MATCH(A95,Data!B:B,0)),"",INDEX(Data!G:G,MATCH(A95,Data!B:B,1)))</f>
        <v/>
      </c>
    </row>
    <row r="96" spans="1:43" s="1" customFormat="1" x14ac:dyDescent="0.2">
      <c r="A96" s="125">
        <f t="shared" si="21"/>
        <v>44291</v>
      </c>
      <c r="B96" s="126" t="str">
        <f t="shared" si="18"/>
        <v>Mon</v>
      </c>
      <c r="C96" s="140"/>
      <c r="D96" s="128" t="str">
        <f t="shared" si="19"/>
        <v/>
      </c>
      <c r="E96" s="129" t="str">
        <f t="shared" si="20"/>
        <v/>
      </c>
      <c r="F96" s="130" t="str">
        <f>IF(SUMIF(Data!B:B,A96,Data!C:C)=0,"",SUMIF(Data!B:B,A96,Data!C:C))</f>
        <v/>
      </c>
      <c r="G96" s="126" t="str">
        <f>IF(OR(S96="T",S96="RUN",SUMIF(Data!B:B,A96,Data!E:E)=0),"",SUMIF(Data!B:B,A96,Data!E:E))</f>
        <v/>
      </c>
      <c r="H96" s="126" t="str">
        <f t="shared" si="12"/>
        <v/>
      </c>
      <c r="I96" s="131" t="str">
        <f t="shared" si="13"/>
        <v>0 (0)</v>
      </c>
      <c r="J96" s="131" t="str">
        <f t="shared" si="14"/>
        <v>6 (6)</v>
      </c>
      <c r="K96" s="131" t="str">
        <f t="shared" si="15"/>
        <v>6 (6)</v>
      </c>
      <c r="L96" s="132" t="str">
        <f t="shared" si="16"/>
        <v/>
      </c>
      <c r="M96" s="131" t="str">
        <f t="shared" si="17"/>
        <v/>
      </c>
      <c r="N96" s="126" t="str">
        <f>IF(ISNA(MATCH(A96,Data!B:B,0)),"",INDEX(Data!H:H,MATCH(A96,Data!B:B,1))) &amp; ""</f>
        <v/>
      </c>
      <c r="O96" s="126" t="str">
        <f>IF(ISNA(MATCH(A96,Data!B:B,0)),"",INDEX(Data!I:I,MATCH(A96,Data!B:B,1))) &amp; ""</f>
        <v/>
      </c>
      <c r="P96" s="133" t="str">
        <f>IF(ISNA(MATCH(A96,Data!B:B,0)),"",INDEX(Data!J:J,MATCH(A96,Data!B:B,1))) &amp; ""</f>
        <v/>
      </c>
      <c r="Q96" s="126" t="str">
        <f>IF(S96="T",Charts!$X$7,IF(ISNA(MATCH(A96,Data!B:B,0)),"",INDEX(Data!K:K,MATCH(A96,Data!B:B,1)))) &amp; ""</f>
        <v/>
      </c>
      <c r="R96" s="134"/>
      <c r="S96" s="134"/>
      <c r="T96" s="127"/>
      <c r="AF96" s="24" t="str">
        <f>IF(C96="","",INDEX(Workouts!B:B,MATCH(C96,Workouts!A:A,0)))</f>
        <v/>
      </c>
      <c r="AG96" s="24" t="str">
        <f>IF(SUMIF(Data!B:B,A96,Data!D:D)=0,"",SUMIF(Data!B:B,A96,Data!D:D))</f>
        <v/>
      </c>
      <c r="AH96" s="25" t="str">
        <f>IF(C96="","",INDEX(Workouts!C:C,MATCH(C96,Workouts!A:A,0)))</f>
        <v/>
      </c>
      <c r="AI96" s="68" t="str">
        <f>IF(SUMIF(Data!B:B,A96,Data!F:F)=0,"",SUMIF(Data!B:B,A96,Data!F:F))</f>
        <v/>
      </c>
      <c r="AJ96" s="68">
        <f>AJ95+ (IF(AH96="",0,AH96)-AJ95)/Charts!$X$5</f>
        <v>3.1069310097388404E-5</v>
      </c>
      <c r="AK96" s="68">
        <f>AK95+ (IF(AI96="",0,AI96)-AK95)/Charts!$X$5</f>
        <v>3.1069310097388404E-5</v>
      </c>
      <c r="AL96" s="68">
        <f>AL95+ (IF(AH96="",0,AH96)-AL95)/Charts!$X$6</f>
        <v>5.7096820368419294</v>
      </c>
      <c r="AM96" s="68">
        <f>AM95+ (IF(AI96="",0,AI96)-AM95)/Charts!$X$6</f>
        <v>5.7096820368419294</v>
      </c>
      <c r="AN96" s="68" t="str">
        <f t="shared" si="22"/>
        <v>6</v>
      </c>
      <c r="AO96" s="68" t="str">
        <f t="shared" si="23"/>
        <v>6</v>
      </c>
      <c r="AP96" s="69" t="str">
        <f>IF(C96="","",INDEX(Workouts!D:D,MATCH(C96,Workouts!A:A,0)))</f>
        <v/>
      </c>
      <c r="AQ96" s="69" t="str">
        <f>IF(ISNA(MATCH(A96,Data!B:B,0)),"",INDEX(Data!G:G,MATCH(A96,Data!B:B,1)))</f>
        <v/>
      </c>
    </row>
    <row r="97" spans="1:43" s="1" customFormat="1" x14ac:dyDescent="0.2">
      <c r="A97" s="125">
        <f t="shared" si="21"/>
        <v>44292</v>
      </c>
      <c r="B97" s="126" t="str">
        <f t="shared" si="18"/>
        <v>Tue</v>
      </c>
      <c r="C97" s="140"/>
      <c r="D97" s="128" t="str">
        <f t="shared" si="19"/>
        <v/>
      </c>
      <c r="E97" s="129" t="str">
        <f t="shared" si="20"/>
        <v/>
      </c>
      <c r="F97" s="130" t="str">
        <f>IF(SUMIF(Data!B:B,A97,Data!C:C)=0,"",SUMIF(Data!B:B,A97,Data!C:C))</f>
        <v/>
      </c>
      <c r="G97" s="126" t="str">
        <f>IF(OR(S97="T",S97="RUN",SUMIF(Data!B:B,A97,Data!E:E)=0),"",SUMIF(Data!B:B,A97,Data!E:E))</f>
        <v/>
      </c>
      <c r="H97" s="126" t="str">
        <f t="shared" si="12"/>
        <v/>
      </c>
      <c r="I97" s="131" t="str">
        <f t="shared" si="13"/>
        <v>0 (0)</v>
      </c>
      <c r="J97" s="131" t="str">
        <f t="shared" si="14"/>
        <v>6 (6)</v>
      </c>
      <c r="K97" s="131" t="str">
        <f t="shared" si="15"/>
        <v>6 (6)</v>
      </c>
      <c r="L97" s="132" t="str">
        <f t="shared" si="16"/>
        <v/>
      </c>
      <c r="M97" s="131" t="str">
        <f t="shared" si="17"/>
        <v/>
      </c>
      <c r="N97" s="126" t="str">
        <f>IF(ISNA(MATCH(A97,Data!B:B,0)),"",INDEX(Data!H:H,MATCH(A97,Data!B:B,1))) &amp; ""</f>
        <v/>
      </c>
      <c r="O97" s="126" t="str">
        <f>IF(ISNA(MATCH(A97,Data!B:B,0)),"",INDEX(Data!I:I,MATCH(A97,Data!B:B,1))) &amp; ""</f>
        <v/>
      </c>
      <c r="P97" s="133" t="str">
        <f>IF(ISNA(MATCH(A97,Data!B:B,0)),"",INDEX(Data!J:J,MATCH(A97,Data!B:B,1))) &amp; ""</f>
        <v/>
      </c>
      <c r="Q97" s="126" t="str">
        <f>IF(S97="T",Charts!$X$7,IF(ISNA(MATCH(A97,Data!B:B,0)),"",INDEX(Data!K:K,MATCH(A97,Data!B:B,1)))) &amp; ""</f>
        <v/>
      </c>
      <c r="R97" s="134"/>
      <c r="S97" s="134"/>
      <c r="T97" s="127"/>
      <c r="AF97" s="24" t="str">
        <f>IF(C97="","",INDEX(Workouts!B:B,MATCH(C97,Workouts!A:A,0)))</f>
        <v/>
      </c>
      <c r="AG97" s="24" t="str">
        <f>IF(SUMIF(Data!B:B,A97,Data!D:D)=0,"",SUMIF(Data!B:B,A97,Data!D:D))</f>
        <v/>
      </c>
      <c r="AH97" s="25" t="str">
        <f>IF(C97="","",INDEX(Workouts!C:C,MATCH(C97,Workouts!A:A,0)))</f>
        <v/>
      </c>
      <c r="AI97" s="68" t="str">
        <f>IF(SUMIF(Data!B:B,A97,Data!F:F)=0,"",SUMIF(Data!B:B,A97,Data!F:F))</f>
        <v/>
      </c>
      <c r="AJ97" s="68">
        <f>AJ96+ (IF(AH97="",0,AH97)-AJ96)/Charts!$X$5</f>
        <v>2.663083722633292E-5</v>
      </c>
      <c r="AK97" s="68">
        <f>AK96+ (IF(AI97="",0,AI97)-AK96)/Charts!$X$5</f>
        <v>2.663083722633292E-5</v>
      </c>
      <c r="AL97" s="68">
        <f>AL96+ (IF(AH97="",0,AH97)-AL96)/Charts!$X$6</f>
        <v>5.5737372264409313</v>
      </c>
      <c r="AM97" s="68">
        <f>AM96+ (IF(AI97="",0,AI97)-AM96)/Charts!$X$6</f>
        <v>5.5737372264409313</v>
      </c>
      <c r="AN97" s="68" t="str">
        <f t="shared" si="22"/>
        <v>6</v>
      </c>
      <c r="AO97" s="68" t="str">
        <f t="shared" si="23"/>
        <v>6</v>
      </c>
      <c r="AP97" s="69" t="str">
        <f>IF(C97="","",INDEX(Workouts!D:D,MATCH(C97,Workouts!A:A,0)))</f>
        <v/>
      </c>
      <c r="AQ97" s="69" t="str">
        <f>IF(ISNA(MATCH(A97,Data!B:B,0)),"",INDEX(Data!G:G,MATCH(A97,Data!B:B,1)))</f>
        <v/>
      </c>
    </row>
    <row r="98" spans="1:43" s="1" customFormat="1" x14ac:dyDescent="0.2">
      <c r="A98" s="125">
        <f t="shared" si="21"/>
        <v>44293</v>
      </c>
      <c r="B98" s="126" t="str">
        <f t="shared" si="18"/>
        <v>Wed</v>
      </c>
      <c r="C98" s="140"/>
      <c r="D98" s="128" t="str">
        <f t="shared" si="19"/>
        <v/>
      </c>
      <c r="E98" s="129" t="str">
        <f t="shared" si="20"/>
        <v/>
      </c>
      <c r="F98" s="130" t="str">
        <f>IF(SUMIF(Data!B:B,A98,Data!C:C)=0,"",SUMIF(Data!B:B,A98,Data!C:C))</f>
        <v/>
      </c>
      <c r="G98" s="126" t="str">
        <f>IF(OR(S98="T",S98="RUN",SUMIF(Data!B:B,A98,Data!E:E)=0),"",SUMIF(Data!B:B,A98,Data!E:E))</f>
        <v/>
      </c>
      <c r="H98" s="126" t="str">
        <f t="shared" si="12"/>
        <v/>
      </c>
      <c r="I98" s="131" t="str">
        <f t="shared" si="13"/>
        <v>0 (0)</v>
      </c>
      <c r="J98" s="131" t="str">
        <f t="shared" si="14"/>
        <v>5 (5)</v>
      </c>
      <c r="K98" s="131" t="str">
        <f t="shared" si="15"/>
        <v>6 (6)</v>
      </c>
      <c r="L98" s="132" t="str">
        <f t="shared" si="16"/>
        <v/>
      </c>
      <c r="M98" s="131" t="str">
        <f t="shared" si="17"/>
        <v/>
      </c>
      <c r="N98" s="126" t="str">
        <f>IF(ISNA(MATCH(A98,Data!B:B,0)),"",INDEX(Data!H:H,MATCH(A98,Data!B:B,1))) &amp; ""</f>
        <v/>
      </c>
      <c r="O98" s="126" t="str">
        <f>IF(ISNA(MATCH(A98,Data!B:B,0)),"",INDEX(Data!I:I,MATCH(A98,Data!B:B,1))) &amp; ""</f>
        <v/>
      </c>
      <c r="P98" s="133" t="str">
        <f>IF(ISNA(MATCH(A98,Data!B:B,0)),"",INDEX(Data!J:J,MATCH(A98,Data!B:B,1))) &amp; ""</f>
        <v/>
      </c>
      <c r="Q98" s="126" t="str">
        <f>IF(S98="T",Charts!$X$7,IF(ISNA(MATCH(A98,Data!B:B,0)),"",INDEX(Data!K:K,MATCH(A98,Data!B:B,1)))) &amp; ""</f>
        <v/>
      </c>
      <c r="R98" s="134"/>
      <c r="S98" s="134"/>
      <c r="T98" s="127"/>
      <c r="AF98" s="24" t="str">
        <f>IF(C98="","",INDEX(Workouts!B:B,MATCH(C98,Workouts!A:A,0)))</f>
        <v/>
      </c>
      <c r="AG98" s="24" t="str">
        <f>IF(SUMIF(Data!B:B,A98,Data!D:D)=0,"",SUMIF(Data!B:B,A98,Data!D:D))</f>
        <v/>
      </c>
      <c r="AH98" s="25" t="str">
        <f>IF(C98="","",INDEX(Workouts!C:C,MATCH(C98,Workouts!A:A,0)))</f>
        <v/>
      </c>
      <c r="AI98" s="68" t="str">
        <f>IF(SUMIF(Data!B:B,A98,Data!F:F)=0,"",SUMIF(Data!B:B,A98,Data!F:F))</f>
        <v/>
      </c>
      <c r="AJ98" s="68">
        <f>AJ97+ (IF(AH98="",0,AH98)-AJ97)/Charts!$X$5</f>
        <v>2.2826431908285359E-5</v>
      </c>
      <c r="AK98" s="68">
        <f>AK97+ (IF(AI98="",0,AI98)-AK97)/Charts!$X$5</f>
        <v>2.2826431908285359E-5</v>
      </c>
      <c r="AL98" s="68">
        <f>AL97+ (IF(AH98="",0,AH98)-AL97)/Charts!$X$6</f>
        <v>5.4410291972399571</v>
      </c>
      <c r="AM98" s="68">
        <f>AM97+ (IF(AI98="",0,AI98)-AM97)/Charts!$X$6</f>
        <v>5.4410291972399571</v>
      </c>
      <c r="AN98" s="68" t="str">
        <f t="shared" si="22"/>
        <v>6</v>
      </c>
      <c r="AO98" s="68" t="str">
        <f t="shared" si="23"/>
        <v>6</v>
      </c>
      <c r="AP98" s="69" t="str">
        <f>IF(C98="","",INDEX(Workouts!D:D,MATCH(C98,Workouts!A:A,0)))</f>
        <v/>
      </c>
      <c r="AQ98" s="69" t="str">
        <f>IF(ISNA(MATCH(A98,Data!B:B,0)),"",INDEX(Data!G:G,MATCH(A98,Data!B:B,1)))</f>
        <v/>
      </c>
    </row>
    <row r="99" spans="1:43" s="1" customFormat="1" x14ac:dyDescent="0.2">
      <c r="A99" s="125">
        <f t="shared" si="21"/>
        <v>44294</v>
      </c>
      <c r="B99" s="126" t="str">
        <f t="shared" si="18"/>
        <v>Thu</v>
      </c>
      <c r="C99" s="140"/>
      <c r="D99" s="128" t="str">
        <f t="shared" si="19"/>
        <v/>
      </c>
      <c r="E99" s="129" t="str">
        <f t="shared" si="20"/>
        <v/>
      </c>
      <c r="F99" s="130" t="str">
        <f>IF(SUMIF(Data!B:B,A99,Data!C:C)=0,"",SUMIF(Data!B:B,A99,Data!C:C))</f>
        <v/>
      </c>
      <c r="G99" s="126" t="str">
        <f>IF(OR(S99="T",S99="RUN",SUMIF(Data!B:B,A99,Data!E:E)=0),"",SUMIF(Data!B:B,A99,Data!E:E))</f>
        <v/>
      </c>
      <c r="H99" s="126" t="str">
        <f t="shared" si="12"/>
        <v/>
      </c>
      <c r="I99" s="131" t="str">
        <f t="shared" si="13"/>
        <v>0 (0)</v>
      </c>
      <c r="J99" s="131" t="str">
        <f t="shared" si="14"/>
        <v>5 (5)</v>
      </c>
      <c r="K99" s="131" t="str">
        <f t="shared" si="15"/>
        <v>5 (5)</v>
      </c>
      <c r="L99" s="132" t="str">
        <f t="shared" si="16"/>
        <v/>
      </c>
      <c r="M99" s="131" t="str">
        <f t="shared" si="17"/>
        <v/>
      </c>
      <c r="N99" s="126" t="str">
        <f>IF(ISNA(MATCH(A99,Data!B:B,0)),"",INDEX(Data!H:H,MATCH(A99,Data!B:B,1))) &amp; ""</f>
        <v/>
      </c>
      <c r="O99" s="126" t="str">
        <f>IF(ISNA(MATCH(A99,Data!B:B,0)),"",INDEX(Data!I:I,MATCH(A99,Data!B:B,1))) &amp; ""</f>
        <v/>
      </c>
      <c r="P99" s="133" t="str">
        <f>IF(ISNA(MATCH(A99,Data!B:B,0)),"",INDEX(Data!J:J,MATCH(A99,Data!B:B,1))) &amp; ""</f>
        <v/>
      </c>
      <c r="Q99" s="126" t="str">
        <f>IF(S99="T",Charts!$X$7,IF(ISNA(MATCH(A99,Data!B:B,0)),"",INDEX(Data!K:K,MATCH(A99,Data!B:B,1)))) &amp; ""</f>
        <v/>
      </c>
      <c r="R99" s="134"/>
      <c r="S99" s="134"/>
      <c r="T99" s="127"/>
      <c r="AF99" s="24" t="str">
        <f>IF(C99="","",INDEX(Workouts!B:B,MATCH(C99,Workouts!A:A,0)))</f>
        <v/>
      </c>
      <c r="AG99" s="24" t="str">
        <f>IF(SUMIF(Data!B:B,A99,Data!D:D)=0,"",SUMIF(Data!B:B,A99,Data!D:D))</f>
        <v/>
      </c>
      <c r="AH99" s="25" t="str">
        <f>IF(C99="","",INDEX(Workouts!C:C,MATCH(C99,Workouts!A:A,0)))</f>
        <v/>
      </c>
      <c r="AI99" s="68" t="str">
        <f>IF(SUMIF(Data!B:B,A99,Data!F:F)=0,"",SUMIF(Data!B:B,A99,Data!F:F))</f>
        <v/>
      </c>
      <c r="AJ99" s="68">
        <f>AJ98+ (IF(AH99="",0,AH99)-AJ98)/Charts!$X$5</f>
        <v>1.9565513064244593E-5</v>
      </c>
      <c r="AK99" s="68">
        <f>AK98+ (IF(AI99="",0,AI99)-AK98)/Charts!$X$5</f>
        <v>1.9565513064244593E-5</v>
      </c>
      <c r="AL99" s="68">
        <f>AL98+ (IF(AH99="",0,AH99)-AL98)/Charts!$X$6</f>
        <v>5.311480883019958</v>
      </c>
      <c r="AM99" s="68">
        <f>AM98+ (IF(AI99="",0,AI99)-AM98)/Charts!$X$6</f>
        <v>5.311480883019958</v>
      </c>
      <c r="AN99" s="68" t="str">
        <f t="shared" si="22"/>
        <v>5</v>
      </c>
      <c r="AO99" s="68" t="str">
        <f t="shared" si="23"/>
        <v>5</v>
      </c>
      <c r="AP99" s="69" t="str">
        <f>IF(C99="","",INDEX(Workouts!D:D,MATCH(C99,Workouts!A:A,0)))</f>
        <v/>
      </c>
      <c r="AQ99" s="69" t="str">
        <f>IF(ISNA(MATCH(A99,Data!B:B,0)),"",INDEX(Data!G:G,MATCH(A99,Data!B:B,1)))</f>
        <v/>
      </c>
    </row>
    <row r="100" spans="1:43" s="1" customFormat="1" x14ac:dyDescent="0.2">
      <c r="A100" s="125">
        <f t="shared" si="21"/>
        <v>44295</v>
      </c>
      <c r="B100" s="126" t="str">
        <f t="shared" si="18"/>
        <v>Fri</v>
      </c>
      <c r="C100" s="140"/>
      <c r="D100" s="128" t="str">
        <f t="shared" si="19"/>
        <v/>
      </c>
      <c r="E100" s="129" t="str">
        <f t="shared" si="20"/>
        <v/>
      </c>
      <c r="F100" s="130" t="str">
        <f>IF(SUMIF(Data!B:B,A100,Data!C:C)=0,"",SUMIF(Data!B:B,A100,Data!C:C))</f>
        <v/>
      </c>
      <c r="G100" s="126" t="str">
        <f>IF(OR(S100="T",S100="RUN",SUMIF(Data!B:B,A100,Data!E:E)=0),"",SUMIF(Data!B:B,A100,Data!E:E))</f>
        <v/>
      </c>
      <c r="H100" s="126" t="str">
        <f t="shared" si="12"/>
        <v/>
      </c>
      <c r="I100" s="131" t="str">
        <f t="shared" si="13"/>
        <v>0 (0)</v>
      </c>
      <c r="J100" s="131" t="str">
        <f t="shared" si="14"/>
        <v>5 (5)</v>
      </c>
      <c r="K100" s="131" t="str">
        <f t="shared" si="15"/>
        <v>5 (5)</v>
      </c>
      <c r="L100" s="132" t="str">
        <f t="shared" si="16"/>
        <v/>
      </c>
      <c r="M100" s="131" t="str">
        <f t="shared" si="17"/>
        <v/>
      </c>
      <c r="N100" s="126" t="str">
        <f>IF(ISNA(MATCH(A100,Data!B:B,0)),"",INDEX(Data!H:H,MATCH(A100,Data!B:B,1))) &amp; ""</f>
        <v/>
      </c>
      <c r="O100" s="126" t="str">
        <f>IF(ISNA(MATCH(A100,Data!B:B,0)),"",INDEX(Data!I:I,MATCH(A100,Data!B:B,1))) &amp; ""</f>
        <v/>
      </c>
      <c r="P100" s="133" t="str">
        <f>IF(ISNA(MATCH(A100,Data!B:B,0)),"",INDEX(Data!J:J,MATCH(A100,Data!B:B,1))) &amp; ""</f>
        <v/>
      </c>
      <c r="Q100" s="126" t="str">
        <f>IF(S100="T",Charts!$X$7,IF(ISNA(MATCH(A100,Data!B:B,0)),"",INDEX(Data!K:K,MATCH(A100,Data!B:B,1)))) &amp; ""</f>
        <v/>
      </c>
      <c r="R100" s="134"/>
      <c r="S100" s="134"/>
      <c r="T100" s="127"/>
      <c r="AF100" s="24" t="str">
        <f>IF(C100="","",INDEX(Workouts!B:B,MATCH(C100,Workouts!A:A,0)))</f>
        <v/>
      </c>
      <c r="AG100" s="24" t="str">
        <f>IF(SUMIF(Data!B:B,A100,Data!D:D)=0,"",SUMIF(Data!B:B,A100,Data!D:D))</f>
        <v/>
      </c>
      <c r="AH100" s="25" t="str">
        <f>IF(C100="","",INDEX(Workouts!C:C,MATCH(C100,Workouts!A:A,0)))</f>
        <v/>
      </c>
      <c r="AI100" s="68" t="str">
        <f>IF(SUMIF(Data!B:B,A100,Data!F:F)=0,"",SUMIF(Data!B:B,A100,Data!F:F))</f>
        <v/>
      </c>
      <c r="AJ100" s="68">
        <f>AJ99+ (IF(AH100="",0,AH100)-AJ99)/Charts!$X$5</f>
        <v>1.6770439769352509E-5</v>
      </c>
      <c r="AK100" s="68">
        <f>AK99+ (IF(AI100="",0,AI100)-AK99)/Charts!$X$5</f>
        <v>1.6770439769352509E-5</v>
      </c>
      <c r="AL100" s="68">
        <f>AL99+ (IF(AH100="",0,AH100)-AL99)/Charts!$X$6</f>
        <v>5.1850170524718635</v>
      </c>
      <c r="AM100" s="68">
        <f>AM99+ (IF(AI100="",0,AI100)-AM99)/Charts!$X$6</f>
        <v>5.1850170524718635</v>
      </c>
      <c r="AN100" s="68" t="str">
        <f t="shared" si="22"/>
        <v>5</v>
      </c>
      <c r="AO100" s="68" t="str">
        <f t="shared" si="23"/>
        <v>5</v>
      </c>
      <c r="AP100" s="69" t="str">
        <f>IF(C100="","",INDEX(Workouts!D:D,MATCH(C100,Workouts!A:A,0)))</f>
        <v/>
      </c>
      <c r="AQ100" s="69" t="str">
        <f>IF(ISNA(MATCH(A100,Data!B:B,0)),"",INDEX(Data!G:G,MATCH(A100,Data!B:B,1)))</f>
        <v/>
      </c>
    </row>
    <row r="101" spans="1:43" s="1" customFormat="1" x14ac:dyDescent="0.2">
      <c r="A101" s="125">
        <f t="shared" si="21"/>
        <v>44296</v>
      </c>
      <c r="B101" s="126" t="str">
        <f t="shared" si="18"/>
        <v>Sat</v>
      </c>
      <c r="C101" s="140"/>
      <c r="D101" s="128" t="str">
        <f t="shared" si="19"/>
        <v/>
      </c>
      <c r="E101" s="129" t="str">
        <f t="shared" si="20"/>
        <v/>
      </c>
      <c r="F101" s="130" t="str">
        <f>IF(SUMIF(Data!B:B,A101,Data!C:C)=0,"",SUMIF(Data!B:B,A101,Data!C:C))</f>
        <v/>
      </c>
      <c r="G101" s="126" t="str">
        <f>IF(OR(S101="T",S101="RUN",SUMIF(Data!B:B,A101,Data!E:E)=0),"",SUMIF(Data!B:B,A101,Data!E:E))</f>
        <v/>
      </c>
      <c r="H101" s="126" t="str">
        <f t="shared" si="12"/>
        <v/>
      </c>
      <c r="I101" s="131" t="str">
        <f t="shared" si="13"/>
        <v>0 (0)</v>
      </c>
      <c r="J101" s="131" t="str">
        <f t="shared" si="14"/>
        <v>5 (5)</v>
      </c>
      <c r="K101" s="131" t="str">
        <f t="shared" si="15"/>
        <v>5 (5)</v>
      </c>
      <c r="L101" s="132" t="str">
        <f t="shared" si="16"/>
        <v/>
      </c>
      <c r="M101" s="131" t="str">
        <f t="shared" si="17"/>
        <v/>
      </c>
      <c r="N101" s="126" t="str">
        <f>IF(ISNA(MATCH(A101,Data!B:B,0)),"",INDEX(Data!H:H,MATCH(A101,Data!B:B,1))) &amp; ""</f>
        <v/>
      </c>
      <c r="O101" s="126" t="str">
        <f>IF(ISNA(MATCH(A101,Data!B:B,0)),"",INDEX(Data!I:I,MATCH(A101,Data!B:B,1))) &amp; ""</f>
        <v/>
      </c>
      <c r="P101" s="133" t="str">
        <f>IF(ISNA(MATCH(A101,Data!B:B,0)),"",INDEX(Data!J:J,MATCH(A101,Data!B:B,1))) &amp; ""</f>
        <v/>
      </c>
      <c r="Q101" s="126" t="str">
        <f>IF(S101="T",Charts!$X$7,IF(ISNA(MATCH(A101,Data!B:B,0)),"",INDEX(Data!K:K,MATCH(A101,Data!B:B,1)))) &amp; ""</f>
        <v/>
      </c>
      <c r="R101" s="134"/>
      <c r="S101" s="134"/>
      <c r="T101" s="127"/>
      <c r="AF101" s="24" t="str">
        <f>IF(C101="","",INDEX(Workouts!B:B,MATCH(C101,Workouts!A:A,0)))</f>
        <v/>
      </c>
      <c r="AG101" s="24" t="str">
        <f>IF(SUMIF(Data!B:B,A101,Data!D:D)=0,"",SUMIF(Data!B:B,A101,Data!D:D))</f>
        <v/>
      </c>
      <c r="AH101" s="25" t="str">
        <f>IF(C101="","",INDEX(Workouts!C:C,MATCH(C101,Workouts!A:A,0)))</f>
        <v/>
      </c>
      <c r="AI101" s="68" t="str">
        <f>IF(SUMIF(Data!B:B,A101,Data!F:F)=0,"",SUMIF(Data!B:B,A101,Data!F:F))</f>
        <v/>
      </c>
      <c r="AJ101" s="68">
        <f>AJ100+ (IF(AH101="",0,AH101)-AJ100)/Charts!$X$5</f>
        <v>1.4374662659445008E-5</v>
      </c>
      <c r="AK101" s="68">
        <f>AK100+ (IF(AI101="",0,AI101)-AK100)/Charts!$X$5</f>
        <v>1.4374662659445008E-5</v>
      </c>
      <c r="AL101" s="68">
        <f>AL100+ (IF(AH101="",0,AH101)-AL100)/Charts!$X$6</f>
        <v>5.061564265508248</v>
      </c>
      <c r="AM101" s="68">
        <f>AM100+ (IF(AI101="",0,AI101)-AM100)/Charts!$X$6</f>
        <v>5.061564265508248</v>
      </c>
      <c r="AN101" s="68" t="str">
        <f t="shared" si="22"/>
        <v>5</v>
      </c>
      <c r="AO101" s="68" t="str">
        <f t="shared" si="23"/>
        <v>5</v>
      </c>
      <c r="AP101" s="69" t="str">
        <f>IF(C101="","",INDEX(Workouts!D:D,MATCH(C101,Workouts!A:A,0)))</f>
        <v/>
      </c>
      <c r="AQ101" s="69" t="str">
        <f>IF(ISNA(MATCH(A101,Data!B:B,0)),"",INDEX(Data!G:G,MATCH(A101,Data!B:B,1)))</f>
        <v/>
      </c>
    </row>
    <row r="102" spans="1:43" s="1" customFormat="1" x14ac:dyDescent="0.2">
      <c r="A102" s="125">
        <f t="shared" si="21"/>
        <v>44297</v>
      </c>
      <c r="B102" s="126" t="str">
        <f t="shared" si="18"/>
        <v>Sun</v>
      </c>
      <c r="C102" s="140"/>
      <c r="D102" s="128" t="str">
        <f t="shared" si="19"/>
        <v/>
      </c>
      <c r="E102" s="129" t="str">
        <f t="shared" si="20"/>
        <v/>
      </c>
      <c r="F102" s="130" t="str">
        <f>IF(SUMIF(Data!B:B,A102,Data!C:C)=0,"",SUMIF(Data!B:B,A102,Data!C:C))</f>
        <v/>
      </c>
      <c r="G102" s="126" t="str">
        <f>IF(OR(S102="T",S102="RUN",SUMIF(Data!B:B,A102,Data!E:E)=0),"",SUMIF(Data!B:B,A102,Data!E:E))</f>
        <v/>
      </c>
      <c r="H102" s="126" t="str">
        <f t="shared" si="12"/>
        <v/>
      </c>
      <c r="I102" s="131" t="str">
        <f t="shared" si="13"/>
        <v>0 (0)</v>
      </c>
      <c r="J102" s="131" t="str">
        <f t="shared" si="14"/>
        <v>5 (5)</v>
      </c>
      <c r="K102" s="131" t="str">
        <f t="shared" si="15"/>
        <v>5 (5)</v>
      </c>
      <c r="L102" s="132" t="str">
        <f t="shared" si="16"/>
        <v/>
      </c>
      <c r="M102" s="131" t="str">
        <f t="shared" si="17"/>
        <v/>
      </c>
      <c r="N102" s="126" t="str">
        <f>IF(ISNA(MATCH(A102,Data!B:B,0)),"",INDEX(Data!H:H,MATCH(A102,Data!B:B,1))) &amp; ""</f>
        <v/>
      </c>
      <c r="O102" s="126" t="str">
        <f>IF(ISNA(MATCH(A102,Data!B:B,0)),"",INDEX(Data!I:I,MATCH(A102,Data!B:B,1))) &amp; ""</f>
        <v/>
      </c>
      <c r="P102" s="133" t="str">
        <f>IF(ISNA(MATCH(A102,Data!B:B,0)),"",INDEX(Data!J:J,MATCH(A102,Data!B:B,1))) &amp; ""</f>
        <v/>
      </c>
      <c r="Q102" s="126" t="str">
        <f>IF(S102="T",Charts!$X$7,IF(ISNA(MATCH(A102,Data!B:B,0)),"",INDEX(Data!K:K,MATCH(A102,Data!B:B,1)))) &amp; ""</f>
        <v/>
      </c>
      <c r="R102" s="134"/>
      <c r="S102" s="134"/>
      <c r="T102" s="127"/>
      <c r="AF102" s="24" t="str">
        <f>IF(C102="","",INDEX(Workouts!B:B,MATCH(C102,Workouts!A:A,0)))</f>
        <v/>
      </c>
      <c r="AG102" s="24" t="str">
        <f>IF(SUMIF(Data!B:B,A102,Data!D:D)=0,"",SUMIF(Data!B:B,A102,Data!D:D))</f>
        <v/>
      </c>
      <c r="AH102" s="25" t="str">
        <f>IF(C102="","",INDEX(Workouts!C:C,MATCH(C102,Workouts!A:A,0)))</f>
        <v/>
      </c>
      <c r="AI102" s="68" t="str">
        <f>IF(SUMIF(Data!B:B,A102,Data!F:F)=0,"",SUMIF(Data!B:B,A102,Data!F:F))</f>
        <v/>
      </c>
      <c r="AJ102" s="68">
        <f>AJ101+ (IF(AH102="",0,AH102)-AJ101)/Charts!$X$5</f>
        <v>1.2321139422381436E-5</v>
      </c>
      <c r="AK102" s="68">
        <f>AK101+ (IF(AI102="",0,AI102)-AK101)/Charts!$X$5</f>
        <v>1.2321139422381436E-5</v>
      </c>
      <c r="AL102" s="68">
        <f>AL101+ (IF(AH102="",0,AH102)-AL101)/Charts!$X$6</f>
        <v>4.9410508306151941</v>
      </c>
      <c r="AM102" s="68">
        <f>AM101+ (IF(AI102="",0,AI102)-AM101)/Charts!$X$6</f>
        <v>4.9410508306151941</v>
      </c>
      <c r="AN102" s="68" t="str">
        <f t="shared" si="22"/>
        <v>5</v>
      </c>
      <c r="AO102" s="68" t="str">
        <f t="shared" si="23"/>
        <v>5</v>
      </c>
      <c r="AP102" s="69" t="str">
        <f>IF(C102="","",INDEX(Workouts!D:D,MATCH(C102,Workouts!A:A,0)))</f>
        <v/>
      </c>
      <c r="AQ102" s="69" t="str">
        <f>IF(ISNA(MATCH(A102,Data!B:B,0)),"",INDEX(Data!G:G,MATCH(A102,Data!B:B,1)))</f>
        <v/>
      </c>
    </row>
    <row r="103" spans="1:43" s="1" customFormat="1" x14ac:dyDescent="0.2">
      <c r="A103" s="125">
        <f t="shared" si="21"/>
        <v>44298</v>
      </c>
      <c r="B103" s="126" t="str">
        <f t="shared" si="18"/>
        <v>Mon</v>
      </c>
      <c r="C103" s="140"/>
      <c r="D103" s="128" t="str">
        <f t="shared" si="19"/>
        <v/>
      </c>
      <c r="E103" s="129" t="str">
        <f t="shared" si="20"/>
        <v/>
      </c>
      <c r="F103" s="130" t="str">
        <f>IF(SUMIF(Data!B:B,A103,Data!C:C)=0,"",SUMIF(Data!B:B,A103,Data!C:C))</f>
        <v/>
      </c>
      <c r="G103" s="126" t="str">
        <f>IF(OR(S103="T",S103="RUN",SUMIF(Data!B:B,A103,Data!E:E)=0),"",SUMIF(Data!B:B,A103,Data!E:E))</f>
        <v/>
      </c>
      <c r="H103" s="126" t="str">
        <f t="shared" si="12"/>
        <v/>
      </c>
      <c r="I103" s="131" t="str">
        <f t="shared" si="13"/>
        <v>0 (0)</v>
      </c>
      <c r="J103" s="131" t="str">
        <f t="shared" si="14"/>
        <v>5 (5)</v>
      </c>
      <c r="K103" s="131" t="str">
        <f t="shared" si="15"/>
        <v>5 (5)</v>
      </c>
      <c r="L103" s="132" t="str">
        <f t="shared" si="16"/>
        <v/>
      </c>
      <c r="M103" s="131" t="str">
        <f t="shared" si="17"/>
        <v/>
      </c>
      <c r="N103" s="126" t="str">
        <f>IF(ISNA(MATCH(A103,Data!B:B,0)),"",INDEX(Data!H:H,MATCH(A103,Data!B:B,1))) &amp; ""</f>
        <v/>
      </c>
      <c r="O103" s="126" t="str">
        <f>IF(ISNA(MATCH(A103,Data!B:B,0)),"",INDEX(Data!I:I,MATCH(A103,Data!B:B,1))) &amp; ""</f>
        <v/>
      </c>
      <c r="P103" s="133" t="str">
        <f>IF(ISNA(MATCH(A103,Data!B:B,0)),"",INDEX(Data!J:J,MATCH(A103,Data!B:B,1))) &amp; ""</f>
        <v/>
      </c>
      <c r="Q103" s="126" t="str">
        <f>IF(S103="T",Charts!$X$7,IF(ISNA(MATCH(A103,Data!B:B,0)),"",INDEX(Data!K:K,MATCH(A103,Data!B:B,1)))) &amp; ""</f>
        <v/>
      </c>
      <c r="R103" s="134"/>
      <c r="S103" s="134"/>
      <c r="T103" s="127"/>
      <c r="AF103" s="24" t="str">
        <f>IF(C103="","",INDEX(Workouts!B:B,MATCH(C103,Workouts!A:A,0)))</f>
        <v/>
      </c>
      <c r="AG103" s="24" t="str">
        <f>IF(SUMIF(Data!B:B,A103,Data!D:D)=0,"",SUMIF(Data!B:B,A103,Data!D:D))</f>
        <v/>
      </c>
      <c r="AH103" s="25" t="str">
        <f>IF(C103="","",INDEX(Workouts!C:C,MATCH(C103,Workouts!A:A,0)))</f>
        <v/>
      </c>
      <c r="AI103" s="68" t="str">
        <f>IF(SUMIF(Data!B:B,A103,Data!F:F)=0,"",SUMIF(Data!B:B,A103,Data!F:F))</f>
        <v/>
      </c>
      <c r="AJ103" s="68">
        <f>AJ102+ (IF(AH103="",0,AH103)-AJ102)/Charts!$X$5</f>
        <v>1.0560976647755516E-5</v>
      </c>
      <c r="AK103" s="68">
        <f>AK102+ (IF(AI103="",0,AI103)-AK102)/Charts!$X$5</f>
        <v>1.0560976647755516E-5</v>
      </c>
      <c r="AL103" s="68">
        <f>AL102+ (IF(AH103="",0,AH103)-AL102)/Charts!$X$6</f>
        <v>4.8234067632195945</v>
      </c>
      <c r="AM103" s="68">
        <f>AM102+ (IF(AI103="",0,AI103)-AM102)/Charts!$X$6</f>
        <v>4.8234067632195945</v>
      </c>
      <c r="AN103" s="68" t="str">
        <f t="shared" si="22"/>
        <v>5</v>
      </c>
      <c r="AO103" s="68" t="str">
        <f t="shared" si="23"/>
        <v>5</v>
      </c>
      <c r="AP103" s="69" t="str">
        <f>IF(C103="","",INDEX(Workouts!D:D,MATCH(C103,Workouts!A:A,0)))</f>
        <v/>
      </c>
      <c r="AQ103" s="69" t="str">
        <f>IF(ISNA(MATCH(A103,Data!B:B,0)),"",INDEX(Data!G:G,MATCH(A103,Data!B:B,1)))</f>
        <v/>
      </c>
    </row>
    <row r="104" spans="1:43" s="1" customFormat="1" x14ac:dyDescent="0.2">
      <c r="A104" s="125">
        <f t="shared" si="21"/>
        <v>44299</v>
      </c>
      <c r="B104" s="126" t="str">
        <f t="shared" si="18"/>
        <v>Tue</v>
      </c>
      <c r="C104" s="140"/>
      <c r="D104" s="128" t="str">
        <f t="shared" si="19"/>
        <v/>
      </c>
      <c r="E104" s="129" t="str">
        <f t="shared" si="20"/>
        <v/>
      </c>
      <c r="F104" s="130" t="str">
        <f>IF(SUMIF(Data!B:B,A104,Data!C:C)=0,"",SUMIF(Data!B:B,A104,Data!C:C))</f>
        <v/>
      </c>
      <c r="G104" s="126" t="str">
        <f>IF(OR(S104="T",S104="RUN",SUMIF(Data!B:B,A104,Data!E:E)=0),"",SUMIF(Data!B:B,A104,Data!E:E))</f>
        <v/>
      </c>
      <c r="H104" s="126" t="str">
        <f t="shared" si="12"/>
        <v/>
      </c>
      <c r="I104" s="131" t="str">
        <f t="shared" si="13"/>
        <v>0 (0)</v>
      </c>
      <c r="J104" s="131" t="str">
        <f t="shared" si="14"/>
        <v>5 (5)</v>
      </c>
      <c r="K104" s="131" t="str">
        <f t="shared" si="15"/>
        <v>5 (5)</v>
      </c>
      <c r="L104" s="132" t="str">
        <f t="shared" si="16"/>
        <v/>
      </c>
      <c r="M104" s="131" t="str">
        <f t="shared" si="17"/>
        <v/>
      </c>
      <c r="N104" s="126" t="str">
        <f>IF(ISNA(MATCH(A104,Data!B:B,0)),"",INDEX(Data!H:H,MATCH(A104,Data!B:B,1))) &amp; ""</f>
        <v/>
      </c>
      <c r="O104" s="126" t="str">
        <f>IF(ISNA(MATCH(A104,Data!B:B,0)),"",INDEX(Data!I:I,MATCH(A104,Data!B:B,1))) &amp; ""</f>
        <v/>
      </c>
      <c r="P104" s="133" t="str">
        <f>IF(ISNA(MATCH(A104,Data!B:B,0)),"",INDEX(Data!J:J,MATCH(A104,Data!B:B,1))) &amp; ""</f>
        <v/>
      </c>
      <c r="Q104" s="126" t="str">
        <f>IF(S104="T",Charts!$X$7,IF(ISNA(MATCH(A104,Data!B:B,0)),"",INDEX(Data!K:K,MATCH(A104,Data!B:B,1)))) &amp; ""</f>
        <v/>
      </c>
      <c r="R104" s="134"/>
      <c r="S104" s="134"/>
      <c r="T104" s="127"/>
      <c r="AF104" s="24" t="str">
        <f>IF(C104="","",INDEX(Workouts!B:B,MATCH(C104,Workouts!A:A,0)))</f>
        <v/>
      </c>
      <c r="AG104" s="24" t="str">
        <f>IF(SUMIF(Data!B:B,A104,Data!D:D)=0,"",SUMIF(Data!B:B,A104,Data!D:D))</f>
        <v/>
      </c>
      <c r="AH104" s="25" t="str">
        <f>IF(C104="","",INDEX(Workouts!C:C,MATCH(C104,Workouts!A:A,0)))</f>
        <v/>
      </c>
      <c r="AI104" s="68" t="str">
        <f>IF(SUMIF(Data!B:B,A104,Data!F:F)=0,"",SUMIF(Data!B:B,A104,Data!F:F))</f>
        <v/>
      </c>
      <c r="AJ104" s="68">
        <f>AJ103+ (IF(AH104="",0,AH104)-AJ103)/Charts!$X$5</f>
        <v>9.0522656980761563E-6</v>
      </c>
      <c r="AK104" s="68">
        <f>AK103+ (IF(AI104="",0,AI104)-AK103)/Charts!$X$5</f>
        <v>9.0522656980761563E-6</v>
      </c>
      <c r="AL104" s="68">
        <f>AL103+ (IF(AH104="",0,AH104)-AL103)/Charts!$X$6</f>
        <v>4.7085637450476998</v>
      </c>
      <c r="AM104" s="68">
        <f>AM103+ (IF(AI104="",0,AI104)-AM103)/Charts!$X$6</f>
        <v>4.7085637450476998</v>
      </c>
      <c r="AN104" s="68" t="str">
        <f t="shared" si="22"/>
        <v>5</v>
      </c>
      <c r="AO104" s="68" t="str">
        <f t="shared" si="23"/>
        <v>5</v>
      </c>
      <c r="AP104" s="69" t="str">
        <f>IF(C104="","",INDEX(Workouts!D:D,MATCH(C104,Workouts!A:A,0)))</f>
        <v/>
      </c>
      <c r="AQ104" s="69" t="str">
        <f>IF(ISNA(MATCH(A104,Data!B:B,0)),"",INDEX(Data!G:G,MATCH(A104,Data!B:B,1)))</f>
        <v/>
      </c>
    </row>
    <row r="105" spans="1:43" s="1" customFormat="1" x14ac:dyDescent="0.2">
      <c r="A105" s="125">
        <f t="shared" si="21"/>
        <v>44300</v>
      </c>
      <c r="B105" s="126" t="str">
        <f t="shared" si="18"/>
        <v>Wed</v>
      </c>
      <c r="C105" s="140"/>
      <c r="D105" s="128" t="str">
        <f t="shared" si="19"/>
        <v/>
      </c>
      <c r="E105" s="129" t="str">
        <f t="shared" si="20"/>
        <v/>
      </c>
      <c r="F105" s="130" t="str">
        <f>IF(SUMIF(Data!B:B,A105,Data!C:C)=0,"",SUMIF(Data!B:B,A105,Data!C:C))</f>
        <v/>
      </c>
      <c r="G105" s="126" t="str">
        <f>IF(OR(S105="T",S105="RUN",SUMIF(Data!B:B,A105,Data!E:E)=0),"",SUMIF(Data!B:B,A105,Data!E:E))</f>
        <v/>
      </c>
      <c r="H105" s="126" t="str">
        <f t="shared" si="12"/>
        <v/>
      </c>
      <c r="I105" s="131" t="str">
        <f t="shared" si="13"/>
        <v>0 (0)</v>
      </c>
      <c r="J105" s="131" t="str">
        <f t="shared" si="14"/>
        <v>5 (5)</v>
      </c>
      <c r="K105" s="131" t="str">
        <f t="shared" si="15"/>
        <v>5 (5)</v>
      </c>
      <c r="L105" s="132" t="str">
        <f t="shared" si="16"/>
        <v/>
      </c>
      <c r="M105" s="131" t="str">
        <f t="shared" si="17"/>
        <v/>
      </c>
      <c r="N105" s="126" t="str">
        <f>IF(ISNA(MATCH(A105,Data!B:B,0)),"",INDEX(Data!H:H,MATCH(A105,Data!B:B,1))) &amp; ""</f>
        <v/>
      </c>
      <c r="O105" s="126" t="str">
        <f>IF(ISNA(MATCH(A105,Data!B:B,0)),"",INDEX(Data!I:I,MATCH(A105,Data!B:B,1))) &amp; ""</f>
        <v/>
      </c>
      <c r="P105" s="133" t="str">
        <f>IF(ISNA(MATCH(A105,Data!B:B,0)),"",INDEX(Data!J:J,MATCH(A105,Data!B:B,1))) &amp; ""</f>
        <v/>
      </c>
      <c r="Q105" s="126" t="str">
        <f>IF(S105="T",Charts!$X$7,IF(ISNA(MATCH(A105,Data!B:B,0)),"",INDEX(Data!K:K,MATCH(A105,Data!B:B,1)))) &amp; ""</f>
        <v/>
      </c>
      <c r="R105" s="134"/>
      <c r="S105" s="134"/>
      <c r="T105" s="127"/>
      <c r="AF105" s="24" t="str">
        <f>IF(C105="","",INDEX(Workouts!B:B,MATCH(C105,Workouts!A:A,0)))</f>
        <v/>
      </c>
      <c r="AG105" s="24" t="str">
        <f>IF(SUMIF(Data!B:B,A105,Data!D:D)=0,"",SUMIF(Data!B:B,A105,Data!D:D))</f>
        <v/>
      </c>
      <c r="AH105" s="25" t="str">
        <f>IF(C105="","",INDEX(Workouts!C:C,MATCH(C105,Workouts!A:A,0)))</f>
        <v/>
      </c>
      <c r="AI105" s="68" t="str">
        <f>IF(SUMIF(Data!B:B,A105,Data!F:F)=0,"",SUMIF(Data!B:B,A105,Data!F:F))</f>
        <v/>
      </c>
      <c r="AJ105" s="68">
        <f>AJ104+ (IF(AH105="",0,AH105)-AJ104)/Charts!$X$5</f>
        <v>7.7590848840652764E-6</v>
      </c>
      <c r="AK105" s="68">
        <f>AK104+ (IF(AI105="",0,AI105)-AK104)/Charts!$X$5</f>
        <v>7.7590848840652764E-6</v>
      </c>
      <c r="AL105" s="68">
        <f>AL104+ (IF(AH105="",0,AH105)-AL104)/Charts!$X$6</f>
        <v>4.5964550844513257</v>
      </c>
      <c r="AM105" s="68">
        <f>AM104+ (IF(AI105="",0,AI105)-AM104)/Charts!$X$6</f>
        <v>4.5964550844513257</v>
      </c>
      <c r="AN105" s="68" t="str">
        <f t="shared" si="22"/>
        <v>5</v>
      </c>
      <c r="AO105" s="68" t="str">
        <f t="shared" si="23"/>
        <v>5</v>
      </c>
      <c r="AP105" s="69" t="str">
        <f>IF(C105="","",INDEX(Workouts!D:D,MATCH(C105,Workouts!A:A,0)))</f>
        <v/>
      </c>
      <c r="AQ105" s="69" t="str">
        <f>IF(ISNA(MATCH(A105,Data!B:B,0)),"",INDEX(Data!G:G,MATCH(A105,Data!B:B,1)))</f>
        <v/>
      </c>
    </row>
    <row r="106" spans="1:43" s="1" customFormat="1" x14ac:dyDescent="0.2">
      <c r="A106" s="125">
        <f t="shared" si="21"/>
        <v>44301</v>
      </c>
      <c r="B106" s="126" t="str">
        <f t="shared" si="18"/>
        <v>Thu</v>
      </c>
      <c r="C106" s="140"/>
      <c r="D106" s="128" t="str">
        <f t="shared" si="19"/>
        <v/>
      </c>
      <c r="E106" s="129" t="str">
        <f t="shared" si="20"/>
        <v/>
      </c>
      <c r="F106" s="130" t="str">
        <f>IF(SUMIF(Data!B:B,A106,Data!C:C)=0,"",SUMIF(Data!B:B,A106,Data!C:C))</f>
        <v/>
      </c>
      <c r="G106" s="126" t="str">
        <f>IF(OR(S106="T",S106="RUN",SUMIF(Data!B:B,A106,Data!E:E)=0),"",SUMIF(Data!B:B,A106,Data!E:E))</f>
        <v/>
      </c>
      <c r="H106" s="126" t="str">
        <f t="shared" si="12"/>
        <v/>
      </c>
      <c r="I106" s="131" t="str">
        <f t="shared" si="13"/>
        <v>0 (0)</v>
      </c>
      <c r="J106" s="131" t="str">
        <f t="shared" si="14"/>
        <v>4 (4)</v>
      </c>
      <c r="K106" s="131" t="str">
        <f t="shared" si="15"/>
        <v>5 (5)</v>
      </c>
      <c r="L106" s="132" t="str">
        <f t="shared" si="16"/>
        <v/>
      </c>
      <c r="M106" s="131" t="str">
        <f t="shared" si="17"/>
        <v/>
      </c>
      <c r="N106" s="126" t="str">
        <f>IF(ISNA(MATCH(A106,Data!B:B,0)),"",INDEX(Data!H:H,MATCH(A106,Data!B:B,1))) &amp; ""</f>
        <v/>
      </c>
      <c r="O106" s="126" t="str">
        <f>IF(ISNA(MATCH(A106,Data!B:B,0)),"",INDEX(Data!I:I,MATCH(A106,Data!B:B,1))) &amp; ""</f>
        <v/>
      </c>
      <c r="P106" s="133" t="str">
        <f>IF(ISNA(MATCH(A106,Data!B:B,0)),"",INDEX(Data!J:J,MATCH(A106,Data!B:B,1))) &amp; ""</f>
        <v/>
      </c>
      <c r="Q106" s="126" t="str">
        <f>IF(S106="T",Charts!$X$7,IF(ISNA(MATCH(A106,Data!B:B,0)),"",INDEX(Data!K:K,MATCH(A106,Data!B:B,1)))) &amp; ""</f>
        <v/>
      </c>
      <c r="R106" s="134"/>
      <c r="S106" s="134"/>
      <c r="T106" s="127"/>
      <c r="AF106" s="24" t="str">
        <f>IF(C106="","",INDEX(Workouts!B:B,MATCH(C106,Workouts!A:A,0)))</f>
        <v/>
      </c>
      <c r="AG106" s="24" t="str">
        <f>IF(SUMIF(Data!B:B,A106,Data!D:D)=0,"",SUMIF(Data!B:B,A106,Data!D:D))</f>
        <v/>
      </c>
      <c r="AH106" s="25" t="str">
        <f>IF(C106="","",INDEX(Workouts!C:C,MATCH(C106,Workouts!A:A,0)))</f>
        <v/>
      </c>
      <c r="AI106" s="68" t="str">
        <f>IF(SUMIF(Data!B:B,A106,Data!F:F)=0,"",SUMIF(Data!B:B,A106,Data!F:F))</f>
        <v/>
      </c>
      <c r="AJ106" s="68">
        <f>AJ105+ (IF(AH106="",0,AH106)-AJ105)/Charts!$X$5</f>
        <v>6.6506441863416654E-6</v>
      </c>
      <c r="AK106" s="68">
        <f>AK105+ (IF(AI106="",0,AI106)-AK105)/Charts!$X$5</f>
        <v>6.6506441863416654E-6</v>
      </c>
      <c r="AL106" s="68">
        <f>AL105+ (IF(AH106="",0,AH106)-AL105)/Charts!$X$6</f>
        <v>4.4870156776786754</v>
      </c>
      <c r="AM106" s="68">
        <f>AM105+ (IF(AI106="",0,AI106)-AM105)/Charts!$X$6</f>
        <v>4.4870156776786754</v>
      </c>
      <c r="AN106" s="68" t="str">
        <f t="shared" si="22"/>
        <v>5</v>
      </c>
      <c r="AO106" s="68" t="str">
        <f t="shared" si="23"/>
        <v>5</v>
      </c>
      <c r="AP106" s="69" t="str">
        <f>IF(C106="","",INDEX(Workouts!D:D,MATCH(C106,Workouts!A:A,0)))</f>
        <v/>
      </c>
      <c r="AQ106" s="69" t="str">
        <f>IF(ISNA(MATCH(A106,Data!B:B,0)),"",INDEX(Data!G:G,MATCH(A106,Data!B:B,1)))</f>
        <v/>
      </c>
    </row>
    <row r="107" spans="1:43" s="1" customFormat="1" x14ac:dyDescent="0.2">
      <c r="A107" s="125">
        <f t="shared" si="21"/>
        <v>44302</v>
      </c>
      <c r="B107" s="126" t="str">
        <f t="shared" si="18"/>
        <v>Fri</v>
      </c>
      <c r="C107" s="140"/>
      <c r="D107" s="128" t="str">
        <f t="shared" si="19"/>
        <v/>
      </c>
      <c r="E107" s="129" t="str">
        <f t="shared" si="20"/>
        <v/>
      </c>
      <c r="F107" s="130" t="str">
        <f>IF(SUMIF(Data!B:B,A107,Data!C:C)=0,"",SUMIF(Data!B:B,A107,Data!C:C))</f>
        <v/>
      </c>
      <c r="G107" s="126" t="str">
        <f>IF(OR(S107="T",S107="RUN",SUMIF(Data!B:B,A107,Data!E:E)=0),"",SUMIF(Data!B:B,A107,Data!E:E))</f>
        <v/>
      </c>
      <c r="H107" s="126" t="str">
        <f t="shared" si="12"/>
        <v/>
      </c>
      <c r="I107" s="131" t="str">
        <f t="shared" si="13"/>
        <v>0 (0)</v>
      </c>
      <c r="J107" s="131" t="str">
        <f t="shared" si="14"/>
        <v>4 (4)</v>
      </c>
      <c r="K107" s="131" t="str">
        <f t="shared" si="15"/>
        <v>4 (4)</v>
      </c>
      <c r="L107" s="132" t="str">
        <f t="shared" si="16"/>
        <v/>
      </c>
      <c r="M107" s="131" t="str">
        <f t="shared" si="17"/>
        <v/>
      </c>
      <c r="N107" s="126" t="str">
        <f>IF(ISNA(MATCH(A107,Data!B:B,0)),"",INDEX(Data!H:H,MATCH(A107,Data!B:B,1))) &amp; ""</f>
        <v/>
      </c>
      <c r="O107" s="126" t="str">
        <f>IF(ISNA(MATCH(A107,Data!B:B,0)),"",INDEX(Data!I:I,MATCH(A107,Data!B:B,1))) &amp; ""</f>
        <v/>
      </c>
      <c r="P107" s="133" t="str">
        <f>IF(ISNA(MATCH(A107,Data!B:B,0)),"",INDEX(Data!J:J,MATCH(A107,Data!B:B,1))) &amp; ""</f>
        <v/>
      </c>
      <c r="Q107" s="126" t="str">
        <f>IF(S107="T",Charts!$X$7,IF(ISNA(MATCH(A107,Data!B:B,0)),"",INDEX(Data!K:K,MATCH(A107,Data!B:B,1)))) &amp; ""</f>
        <v/>
      </c>
      <c r="R107" s="134"/>
      <c r="S107" s="134"/>
      <c r="T107" s="127"/>
      <c r="AF107" s="24" t="str">
        <f>IF(C107="","",INDEX(Workouts!B:B,MATCH(C107,Workouts!A:A,0)))</f>
        <v/>
      </c>
      <c r="AG107" s="24" t="str">
        <f>IF(SUMIF(Data!B:B,A107,Data!D:D)=0,"",SUMIF(Data!B:B,A107,Data!D:D))</f>
        <v/>
      </c>
      <c r="AH107" s="25" t="str">
        <f>IF(C107="","",INDEX(Workouts!C:C,MATCH(C107,Workouts!A:A,0)))</f>
        <v/>
      </c>
      <c r="AI107" s="68" t="str">
        <f>IF(SUMIF(Data!B:B,A107,Data!F:F)=0,"",SUMIF(Data!B:B,A107,Data!F:F))</f>
        <v/>
      </c>
      <c r="AJ107" s="68">
        <f>AJ106+ (IF(AH107="",0,AH107)-AJ106)/Charts!$X$5</f>
        <v>5.7005521597214272E-6</v>
      </c>
      <c r="AK107" s="68">
        <f>AK106+ (IF(AI107="",0,AI107)-AK106)/Charts!$X$5</f>
        <v>5.7005521597214272E-6</v>
      </c>
      <c r="AL107" s="68">
        <f>AL106+ (IF(AH107="",0,AH107)-AL106)/Charts!$X$6</f>
        <v>4.3801819710672785</v>
      </c>
      <c r="AM107" s="68">
        <f>AM106+ (IF(AI107="",0,AI107)-AM106)/Charts!$X$6</f>
        <v>4.3801819710672785</v>
      </c>
      <c r="AN107" s="68" t="str">
        <f t="shared" si="22"/>
        <v>4</v>
      </c>
      <c r="AO107" s="68" t="str">
        <f t="shared" si="23"/>
        <v>4</v>
      </c>
      <c r="AP107" s="69" t="str">
        <f>IF(C107="","",INDEX(Workouts!D:D,MATCH(C107,Workouts!A:A,0)))</f>
        <v/>
      </c>
      <c r="AQ107" s="69" t="str">
        <f>IF(ISNA(MATCH(A107,Data!B:B,0)),"",INDEX(Data!G:G,MATCH(A107,Data!B:B,1)))</f>
        <v/>
      </c>
    </row>
    <row r="108" spans="1:43" s="1" customFormat="1" x14ac:dyDescent="0.2">
      <c r="A108" s="125">
        <f t="shared" si="21"/>
        <v>44303</v>
      </c>
      <c r="B108" s="126" t="str">
        <f t="shared" si="18"/>
        <v>Sat</v>
      </c>
      <c r="C108" s="140"/>
      <c r="D108" s="128" t="str">
        <f t="shared" si="19"/>
        <v/>
      </c>
      <c r="E108" s="129" t="str">
        <f t="shared" si="20"/>
        <v/>
      </c>
      <c r="F108" s="130" t="str">
        <f>IF(SUMIF(Data!B:B,A108,Data!C:C)=0,"",SUMIF(Data!B:B,A108,Data!C:C))</f>
        <v/>
      </c>
      <c r="G108" s="126" t="str">
        <f>IF(OR(S108="T",S108="RUN",SUMIF(Data!B:B,A108,Data!E:E)=0),"",SUMIF(Data!B:B,A108,Data!E:E))</f>
        <v/>
      </c>
      <c r="H108" s="126" t="str">
        <f t="shared" si="12"/>
        <v/>
      </c>
      <c r="I108" s="131" t="str">
        <f t="shared" si="13"/>
        <v>0 (0)</v>
      </c>
      <c r="J108" s="131" t="str">
        <f t="shared" si="14"/>
        <v>4 (4)</v>
      </c>
      <c r="K108" s="131" t="str">
        <f t="shared" si="15"/>
        <v>4 (4)</v>
      </c>
      <c r="L108" s="132" t="str">
        <f t="shared" si="16"/>
        <v/>
      </c>
      <c r="M108" s="131" t="str">
        <f t="shared" si="17"/>
        <v/>
      </c>
      <c r="N108" s="126" t="str">
        <f>IF(ISNA(MATCH(A108,Data!B:B,0)),"",INDEX(Data!H:H,MATCH(A108,Data!B:B,1))) &amp; ""</f>
        <v/>
      </c>
      <c r="O108" s="126" t="str">
        <f>IF(ISNA(MATCH(A108,Data!B:B,0)),"",INDEX(Data!I:I,MATCH(A108,Data!B:B,1))) &amp; ""</f>
        <v/>
      </c>
      <c r="P108" s="133" t="str">
        <f>IF(ISNA(MATCH(A108,Data!B:B,0)),"",INDEX(Data!J:J,MATCH(A108,Data!B:B,1))) &amp; ""</f>
        <v/>
      </c>
      <c r="Q108" s="126" t="str">
        <f>IF(S108="T",Charts!$X$7,IF(ISNA(MATCH(A108,Data!B:B,0)),"",INDEX(Data!K:K,MATCH(A108,Data!B:B,1)))) &amp; ""</f>
        <v/>
      </c>
      <c r="R108" s="134"/>
      <c r="S108" s="134"/>
      <c r="T108" s="127"/>
      <c r="AF108" s="24" t="str">
        <f>IF(C108="","",INDEX(Workouts!B:B,MATCH(C108,Workouts!A:A,0)))</f>
        <v/>
      </c>
      <c r="AG108" s="24" t="str">
        <f>IF(SUMIF(Data!B:B,A108,Data!D:D)=0,"",SUMIF(Data!B:B,A108,Data!D:D))</f>
        <v/>
      </c>
      <c r="AH108" s="25" t="str">
        <f>IF(C108="","",INDEX(Workouts!C:C,MATCH(C108,Workouts!A:A,0)))</f>
        <v/>
      </c>
      <c r="AI108" s="68" t="str">
        <f>IF(SUMIF(Data!B:B,A108,Data!F:F)=0,"",SUMIF(Data!B:B,A108,Data!F:F))</f>
        <v/>
      </c>
      <c r="AJ108" s="68">
        <f>AJ107+ (IF(AH108="",0,AH108)-AJ107)/Charts!$X$5</f>
        <v>4.8861875654755086E-6</v>
      </c>
      <c r="AK108" s="68">
        <f>AK107+ (IF(AI108="",0,AI108)-AK107)/Charts!$X$5</f>
        <v>4.8861875654755086E-6</v>
      </c>
      <c r="AL108" s="68">
        <f>AL107+ (IF(AH108="",0,AH108)-AL107)/Charts!$X$6</f>
        <v>4.2758919241371052</v>
      </c>
      <c r="AM108" s="68">
        <f>AM107+ (IF(AI108="",0,AI108)-AM107)/Charts!$X$6</f>
        <v>4.2758919241371052</v>
      </c>
      <c r="AN108" s="68" t="str">
        <f t="shared" si="22"/>
        <v>4</v>
      </c>
      <c r="AO108" s="68" t="str">
        <f t="shared" si="23"/>
        <v>4</v>
      </c>
      <c r="AP108" s="69" t="str">
        <f>IF(C108="","",INDEX(Workouts!D:D,MATCH(C108,Workouts!A:A,0)))</f>
        <v/>
      </c>
      <c r="AQ108" s="69" t="str">
        <f>IF(ISNA(MATCH(A108,Data!B:B,0)),"",INDEX(Data!G:G,MATCH(A108,Data!B:B,1)))</f>
        <v/>
      </c>
    </row>
    <row r="109" spans="1:43" s="1" customFormat="1" x14ac:dyDescent="0.2">
      <c r="A109" s="125">
        <f t="shared" si="21"/>
        <v>44304</v>
      </c>
      <c r="B109" s="126" t="str">
        <f t="shared" si="18"/>
        <v>Sun</v>
      </c>
      <c r="C109" s="140"/>
      <c r="D109" s="128" t="str">
        <f t="shared" si="19"/>
        <v/>
      </c>
      <c r="E109" s="129" t="str">
        <f t="shared" si="20"/>
        <v/>
      </c>
      <c r="F109" s="130" t="str">
        <f>IF(SUMIF(Data!B:B,A109,Data!C:C)=0,"",SUMIF(Data!B:B,A109,Data!C:C))</f>
        <v/>
      </c>
      <c r="G109" s="126" t="str">
        <f>IF(OR(S109="T",S109="RUN",SUMIF(Data!B:B,A109,Data!E:E)=0),"",SUMIF(Data!B:B,A109,Data!E:E))</f>
        <v/>
      </c>
      <c r="H109" s="126" t="str">
        <f t="shared" si="12"/>
        <v/>
      </c>
      <c r="I109" s="131" t="str">
        <f t="shared" si="13"/>
        <v>0 (0)</v>
      </c>
      <c r="J109" s="131" t="str">
        <f t="shared" si="14"/>
        <v>4 (4)</v>
      </c>
      <c r="K109" s="131" t="str">
        <f t="shared" si="15"/>
        <v>4 (4)</v>
      </c>
      <c r="L109" s="132" t="str">
        <f t="shared" si="16"/>
        <v/>
      </c>
      <c r="M109" s="131" t="str">
        <f t="shared" si="17"/>
        <v/>
      </c>
      <c r="N109" s="126" t="str">
        <f>IF(ISNA(MATCH(A109,Data!B:B,0)),"",INDEX(Data!H:H,MATCH(A109,Data!B:B,1))) &amp; ""</f>
        <v/>
      </c>
      <c r="O109" s="126" t="str">
        <f>IF(ISNA(MATCH(A109,Data!B:B,0)),"",INDEX(Data!I:I,MATCH(A109,Data!B:B,1))) &amp; ""</f>
        <v/>
      </c>
      <c r="P109" s="133" t="str">
        <f>IF(ISNA(MATCH(A109,Data!B:B,0)),"",INDEX(Data!J:J,MATCH(A109,Data!B:B,1))) &amp; ""</f>
        <v/>
      </c>
      <c r="Q109" s="126" t="str">
        <f>IF(S109="T",Charts!$X$7,IF(ISNA(MATCH(A109,Data!B:B,0)),"",INDEX(Data!K:K,MATCH(A109,Data!B:B,1)))) &amp; ""</f>
        <v/>
      </c>
      <c r="R109" s="134"/>
      <c r="S109" s="134"/>
      <c r="T109" s="127"/>
      <c r="AF109" s="24" t="str">
        <f>IF(C109="","",INDEX(Workouts!B:B,MATCH(C109,Workouts!A:A,0)))</f>
        <v/>
      </c>
      <c r="AG109" s="24" t="str">
        <f>IF(SUMIF(Data!B:B,A109,Data!D:D)=0,"",SUMIF(Data!B:B,A109,Data!D:D))</f>
        <v/>
      </c>
      <c r="AH109" s="25" t="str">
        <f>IF(C109="","",INDEX(Workouts!C:C,MATCH(C109,Workouts!A:A,0)))</f>
        <v/>
      </c>
      <c r="AI109" s="68" t="str">
        <f>IF(SUMIF(Data!B:B,A109,Data!F:F)=0,"",SUMIF(Data!B:B,A109,Data!F:F))</f>
        <v/>
      </c>
      <c r="AJ109" s="68">
        <f>AJ108+ (IF(AH109="",0,AH109)-AJ108)/Charts!$X$5</f>
        <v>4.1881607704075785E-6</v>
      </c>
      <c r="AK109" s="68">
        <f>AK108+ (IF(AI109="",0,AI109)-AK108)/Charts!$X$5</f>
        <v>4.1881607704075785E-6</v>
      </c>
      <c r="AL109" s="68">
        <f>AL108+ (IF(AH109="",0,AH109)-AL108)/Charts!$X$6</f>
        <v>4.1740849735624126</v>
      </c>
      <c r="AM109" s="68">
        <f>AM108+ (IF(AI109="",0,AI109)-AM108)/Charts!$X$6</f>
        <v>4.1740849735624126</v>
      </c>
      <c r="AN109" s="68" t="str">
        <f t="shared" si="22"/>
        <v>4</v>
      </c>
      <c r="AO109" s="68" t="str">
        <f t="shared" si="23"/>
        <v>4</v>
      </c>
      <c r="AP109" s="69" t="str">
        <f>IF(C109="","",INDEX(Workouts!D:D,MATCH(C109,Workouts!A:A,0)))</f>
        <v/>
      </c>
      <c r="AQ109" s="69" t="str">
        <f>IF(ISNA(MATCH(A109,Data!B:B,0)),"",INDEX(Data!G:G,MATCH(A109,Data!B:B,1)))</f>
        <v/>
      </c>
    </row>
    <row r="110" spans="1:43" s="1" customFormat="1" x14ac:dyDescent="0.2">
      <c r="A110" s="125">
        <f t="shared" si="21"/>
        <v>44305</v>
      </c>
      <c r="B110" s="126" t="str">
        <f t="shared" si="18"/>
        <v>Mon</v>
      </c>
      <c r="C110" s="140"/>
      <c r="D110" s="128" t="str">
        <f t="shared" si="19"/>
        <v/>
      </c>
      <c r="E110" s="129" t="str">
        <f t="shared" si="20"/>
        <v/>
      </c>
      <c r="F110" s="130" t="str">
        <f>IF(SUMIF(Data!B:B,A110,Data!C:C)=0,"",SUMIF(Data!B:B,A110,Data!C:C))</f>
        <v/>
      </c>
      <c r="G110" s="126" t="str">
        <f>IF(OR(S110="T",S110="RUN",SUMIF(Data!B:B,A110,Data!E:E)=0),"",SUMIF(Data!B:B,A110,Data!E:E))</f>
        <v/>
      </c>
      <c r="H110" s="126" t="str">
        <f t="shared" si="12"/>
        <v/>
      </c>
      <c r="I110" s="131" t="str">
        <f t="shared" si="13"/>
        <v>0 (0)</v>
      </c>
      <c r="J110" s="131" t="str">
        <f t="shared" si="14"/>
        <v>4 (4)</v>
      </c>
      <c r="K110" s="131" t="str">
        <f t="shared" si="15"/>
        <v>4 (4)</v>
      </c>
      <c r="L110" s="132" t="str">
        <f t="shared" si="16"/>
        <v/>
      </c>
      <c r="M110" s="131" t="str">
        <f t="shared" si="17"/>
        <v/>
      </c>
      <c r="N110" s="126" t="str">
        <f>IF(ISNA(MATCH(A110,Data!B:B,0)),"",INDEX(Data!H:H,MATCH(A110,Data!B:B,1))) &amp; ""</f>
        <v/>
      </c>
      <c r="O110" s="126" t="str">
        <f>IF(ISNA(MATCH(A110,Data!B:B,0)),"",INDEX(Data!I:I,MATCH(A110,Data!B:B,1))) &amp; ""</f>
        <v/>
      </c>
      <c r="P110" s="133" t="str">
        <f>IF(ISNA(MATCH(A110,Data!B:B,0)),"",INDEX(Data!J:J,MATCH(A110,Data!B:B,1))) &amp; ""</f>
        <v/>
      </c>
      <c r="Q110" s="126" t="str">
        <f>IF(S110="T",Charts!$X$7,IF(ISNA(MATCH(A110,Data!B:B,0)),"",INDEX(Data!K:K,MATCH(A110,Data!B:B,1)))) &amp; ""</f>
        <v/>
      </c>
      <c r="R110" s="134"/>
      <c r="S110" s="134"/>
      <c r="T110" s="127"/>
      <c r="AF110" s="24" t="str">
        <f>IF(C110="","",INDEX(Workouts!B:B,MATCH(C110,Workouts!A:A,0)))</f>
        <v/>
      </c>
      <c r="AG110" s="24" t="str">
        <f>IF(SUMIF(Data!B:B,A110,Data!D:D)=0,"",SUMIF(Data!B:B,A110,Data!D:D))</f>
        <v/>
      </c>
      <c r="AH110" s="25" t="str">
        <f>IF(C110="","",INDEX(Workouts!C:C,MATCH(C110,Workouts!A:A,0)))</f>
        <v/>
      </c>
      <c r="AI110" s="68" t="str">
        <f>IF(SUMIF(Data!B:B,A110,Data!F:F)=0,"",SUMIF(Data!B:B,A110,Data!F:F))</f>
        <v/>
      </c>
      <c r="AJ110" s="68">
        <f>AJ109+ (IF(AH110="",0,AH110)-AJ109)/Charts!$X$5</f>
        <v>3.5898520889207815E-6</v>
      </c>
      <c r="AK110" s="68">
        <f>AK109+ (IF(AI110="",0,AI110)-AK109)/Charts!$X$5</f>
        <v>3.5898520889207815E-6</v>
      </c>
      <c r="AL110" s="68">
        <f>AL109+ (IF(AH110="",0,AH110)-AL109)/Charts!$X$6</f>
        <v>4.0747019980014025</v>
      </c>
      <c r="AM110" s="68">
        <f>AM109+ (IF(AI110="",0,AI110)-AM109)/Charts!$X$6</f>
        <v>4.0747019980014025</v>
      </c>
      <c r="AN110" s="68" t="str">
        <f t="shared" si="22"/>
        <v>4</v>
      </c>
      <c r="AO110" s="68" t="str">
        <f t="shared" si="23"/>
        <v>4</v>
      </c>
      <c r="AP110" s="69" t="str">
        <f>IF(C110="","",INDEX(Workouts!D:D,MATCH(C110,Workouts!A:A,0)))</f>
        <v/>
      </c>
      <c r="AQ110" s="69" t="str">
        <f>IF(ISNA(MATCH(A110,Data!B:B,0)),"",INDEX(Data!G:G,MATCH(A110,Data!B:B,1)))</f>
        <v/>
      </c>
    </row>
    <row r="111" spans="1:43" s="1" customFormat="1" x14ac:dyDescent="0.2">
      <c r="A111" s="125">
        <f t="shared" si="21"/>
        <v>44306</v>
      </c>
      <c r="B111" s="126" t="str">
        <f t="shared" si="18"/>
        <v>Tue</v>
      </c>
      <c r="C111" s="140"/>
      <c r="D111" s="128" t="str">
        <f t="shared" si="19"/>
        <v/>
      </c>
      <c r="E111" s="129" t="str">
        <f t="shared" si="20"/>
        <v/>
      </c>
      <c r="F111" s="130" t="str">
        <f>IF(SUMIF(Data!B:B,A111,Data!C:C)=0,"",SUMIF(Data!B:B,A111,Data!C:C))</f>
        <v/>
      </c>
      <c r="G111" s="126" t="str">
        <f>IF(OR(S111="T",S111="RUN",SUMIF(Data!B:B,A111,Data!E:E)=0),"",SUMIF(Data!B:B,A111,Data!E:E))</f>
        <v/>
      </c>
      <c r="H111" s="126" t="str">
        <f t="shared" si="12"/>
        <v/>
      </c>
      <c r="I111" s="131" t="str">
        <f t="shared" si="13"/>
        <v>0 (0)</v>
      </c>
      <c r="J111" s="131" t="str">
        <f t="shared" si="14"/>
        <v>4 (4)</v>
      </c>
      <c r="K111" s="131" t="str">
        <f t="shared" si="15"/>
        <v>4 (4)</v>
      </c>
      <c r="L111" s="132" t="str">
        <f t="shared" si="16"/>
        <v/>
      </c>
      <c r="M111" s="131" t="str">
        <f t="shared" si="17"/>
        <v/>
      </c>
      <c r="N111" s="126" t="str">
        <f>IF(ISNA(MATCH(A111,Data!B:B,0)),"",INDEX(Data!H:H,MATCH(A111,Data!B:B,1))) &amp; ""</f>
        <v/>
      </c>
      <c r="O111" s="126" t="str">
        <f>IF(ISNA(MATCH(A111,Data!B:B,0)),"",INDEX(Data!I:I,MATCH(A111,Data!B:B,1))) &amp; ""</f>
        <v/>
      </c>
      <c r="P111" s="133" t="str">
        <f>IF(ISNA(MATCH(A111,Data!B:B,0)),"",INDEX(Data!J:J,MATCH(A111,Data!B:B,1))) &amp; ""</f>
        <v/>
      </c>
      <c r="Q111" s="126" t="str">
        <f>IF(S111="T",Charts!$X$7,IF(ISNA(MATCH(A111,Data!B:B,0)),"",INDEX(Data!K:K,MATCH(A111,Data!B:B,1)))) &amp; ""</f>
        <v/>
      </c>
      <c r="R111" s="134"/>
      <c r="S111" s="134"/>
      <c r="T111" s="127"/>
      <c r="AF111" s="24" t="str">
        <f>IF(C111="","",INDEX(Workouts!B:B,MATCH(C111,Workouts!A:A,0)))</f>
        <v/>
      </c>
      <c r="AG111" s="24" t="str">
        <f>IF(SUMIF(Data!B:B,A111,Data!D:D)=0,"",SUMIF(Data!B:B,A111,Data!D:D))</f>
        <v/>
      </c>
      <c r="AH111" s="25" t="str">
        <f>IF(C111="","",INDEX(Workouts!C:C,MATCH(C111,Workouts!A:A,0)))</f>
        <v/>
      </c>
      <c r="AI111" s="68" t="str">
        <f>IF(SUMIF(Data!B:B,A111,Data!F:F)=0,"",SUMIF(Data!B:B,A111,Data!F:F))</f>
        <v/>
      </c>
      <c r="AJ111" s="68">
        <f>AJ110+ (IF(AH111="",0,AH111)-AJ110)/Charts!$X$5</f>
        <v>3.0770160762178126E-6</v>
      </c>
      <c r="AK111" s="68">
        <f>AK110+ (IF(AI111="",0,AI111)-AK110)/Charts!$X$5</f>
        <v>3.0770160762178126E-6</v>
      </c>
      <c r="AL111" s="68">
        <f>AL110+ (IF(AH111="",0,AH111)-AL110)/Charts!$X$6</f>
        <v>3.9776852837632739</v>
      </c>
      <c r="AM111" s="68">
        <f>AM110+ (IF(AI111="",0,AI111)-AM110)/Charts!$X$6</f>
        <v>3.9776852837632739</v>
      </c>
      <c r="AN111" s="68" t="str">
        <f t="shared" si="22"/>
        <v>4</v>
      </c>
      <c r="AO111" s="68" t="str">
        <f t="shared" si="23"/>
        <v>4</v>
      </c>
      <c r="AP111" s="69" t="str">
        <f>IF(C111="","",INDEX(Workouts!D:D,MATCH(C111,Workouts!A:A,0)))</f>
        <v/>
      </c>
      <c r="AQ111" s="69" t="str">
        <f>IF(ISNA(MATCH(A111,Data!B:B,0)),"",INDEX(Data!G:G,MATCH(A111,Data!B:B,1)))</f>
        <v/>
      </c>
    </row>
    <row r="112" spans="1:43" s="1" customFormat="1" x14ac:dyDescent="0.2">
      <c r="A112" s="125">
        <f t="shared" si="21"/>
        <v>44307</v>
      </c>
      <c r="B112" s="126" t="str">
        <f t="shared" si="18"/>
        <v>Wed</v>
      </c>
      <c r="C112" s="140"/>
      <c r="D112" s="128" t="str">
        <f t="shared" si="19"/>
        <v/>
      </c>
      <c r="E112" s="129" t="str">
        <f t="shared" si="20"/>
        <v/>
      </c>
      <c r="F112" s="130" t="str">
        <f>IF(SUMIF(Data!B:B,A112,Data!C:C)=0,"",SUMIF(Data!B:B,A112,Data!C:C))</f>
        <v/>
      </c>
      <c r="G112" s="126" t="str">
        <f>IF(OR(S112="T",S112="RUN",SUMIF(Data!B:B,A112,Data!E:E)=0),"",SUMIF(Data!B:B,A112,Data!E:E))</f>
        <v/>
      </c>
      <c r="H112" s="126" t="str">
        <f t="shared" si="12"/>
        <v/>
      </c>
      <c r="I112" s="131" t="str">
        <f t="shared" si="13"/>
        <v>0 (0)</v>
      </c>
      <c r="J112" s="131" t="str">
        <f t="shared" si="14"/>
        <v>4 (4)</v>
      </c>
      <c r="K112" s="131" t="str">
        <f t="shared" si="15"/>
        <v>4 (4)</v>
      </c>
      <c r="L112" s="132" t="str">
        <f t="shared" si="16"/>
        <v/>
      </c>
      <c r="M112" s="131" t="str">
        <f t="shared" si="17"/>
        <v/>
      </c>
      <c r="N112" s="126" t="str">
        <f>IF(ISNA(MATCH(A112,Data!B:B,0)),"",INDEX(Data!H:H,MATCH(A112,Data!B:B,1))) &amp; ""</f>
        <v/>
      </c>
      <c r="O112" s="126" t="str">
        <f>IF(ISNA(MATCH(A112,Data!B:B,0)),"",INDEX(Data!I:I,MATCH(A112,Data!B:B,1))) &amp; ""</f>
        <v/>
      </c>
      <c r="P112" s="133" t="str">
        <f>IF(ISNA(MATCH(A112,Data!B:B,0)),"",INDEX(Data!J:J,MATCH(A112,Data!B:B,1))) &amp; ""</f>
        <v/>
      </c>
      <c r="Q112" s="126" t="str">
        <f>IF(S112="T",Charts!$X$7,IF(ISNA(MATCH(A112,Data!B:B,0)),"",INDEX(Data!K:K,MATCH(A112,Data!B:B,1)))) &amp; ""</f>
        <v/>
      </c>
      <c r="R112" s="134"/>
      <c r="S112" s="134"/>
      <c r="T112" s="127"/>
      <c r="AF112" s="24" t="str">
        <f>IF(C112="","",INDEX(Workouts!B:B,MATCH(C112,Workouts!A:A,0)))</f>
        <v/>
      </c>
      <c r="AG112" s="24" t="str">
        <f>IF(SUMIF(Data!B:B,A112,Data!D:D)=0,"",SUMIF(Data!B:B,A112,Data!D:D))</f>
        <v/>
      </c>
      <c r="AH112" s="25" t="str">
        <f>IF(C112="","",INDEX(Workouts!C:C,MATCH(C112,Workouts!A:A,0)))</f>
        <v/>
      </c>
      <c r="AI112" s="68" t="str">
        <f>IF(SUMIF(Data!B:B,A112,Data!F:F)=0,"",SUMIF(Data!B:B,A112,Data!F:F))</f>
        <v/>
      </c>
      <c r="AJ112" s="68">
        <f>AJ111+ (IF(AH112="",0,AH112)-AJ111)/Charts!$X$5</f>
        <v>2.6374423510438394E-6</v>
      </c>
      <c r="AK112" s="68">
        <f>AK111+ (IF(AI112="",0,AI112)-AK111)/Charts!$X$5</f>
        <v>2.6374423510438394E-6</v>
      </c>
      <c r="AL112" s="68">
        <f>AL111+ (IF(AH112="",0,AH112)-AL111)/Charts!$X$6</f>
        <v>3.8829784912927199</v>
      </c>
      <c r="AM112" s="68">
        <f>AM111+ (IF(AI112="",0,AI112)-AM111)/Charts!$X$6</f>
        <v>3.8829784912927199</v>
      </c>
      <c r="AN112" s="68" t="str">
        <f t="shared" si="22"/>
        <v>4</v>
      </c>
      <c r="AO112" s="68" t="str">
        <f t="shared" si="23"/>
        <v>4</v>
      </c>
      <c r="AP112" s="69" t="str">
        <f>IF(C112="","",INDEX(Workouts!D:D,MATCH(C112,Workouts!A:A,0)))</f>
        <v/>
      </c>
      <c r="AQ112" s="69" t="str">
        <f>IF(ISNA(MATCH(A112,Data!B:B,0)),"",INDEX(Data!G:G,MATCH(A112,Data!B:B,1)))</f>
        <v/>
      </c>
    </row>
    <row r="113" spans="1:43" s="1" customFormat="1" x14ac:dyDescent="0.2">
      <c r="A113" s="125">
        <f t="shared" si="21"/>
        <v>44308</v>
      </c>
      <c r="B113" s="126" t="str">
        <f t="shared" si="18"/>
        <v>Thu</v>
      </c>
      <c r="C113" s="140"/>
      <c r="D113" s="128" t="str">
        <f t="shared" si="19"/>
        <v/>
      </c>
      <c r="E113" s="129" t="str">
        <f t="shared" si="20"/>
        <v/>
      </c>
      <c r="F113" s="130" t="str">
        <f>IF(SUMIF(Data!B:B,A113,Data!C:C)=0,"",SUMIF(Data!B:B,A113,Data!C:C))</f>
        <v/>
      </c>
      <c r="G113" s="126" t="str">
        <f>IF(OR(S113="T",S113="RUN",SUMIF(Data!B:B,A113,Data!E:E)=0),"",SUMIF(Data!B:B,A113,Data!E:E))</f>
        <v/>
      </c>
      <c r="H113" s="126" t="str">
        <f t="shared" si="12"/>
        <v/>
      </c>
      <c r="I113" s="131" t="str">
        <f t="shared" si="13"/>
        <v>0 (0)</v>
      </c>
      <c r="J113" s="131" t="str">
        <f t="shared" si="14"/>
        <v>4 (4)</v>
      </c>
      <c r="K113" s="131" t="str">
        <f t="shared" si="15"/>
        <v>4 (4)</v>
      </c>
      <c r="L113" s="132" t="str">
        <f t="shared" si="16"/>
        <v/>
      </c>
      <c r="M113" s="131" t="str">
        <f t="shared" si="17"/>
        <v/>
      </c>
      <c r="N113" s="126" t="str">
        <f>IF(ISNA(MATCH(A113,Data!B:B,0)),"",INDEX(Data!H:H,MATCH(A113,Data!B:B,1))) &amp; ""</f>
        <v/>
      </c>
      <c r="O113" s="126" t="str">
        <f>IF(ISNA(MATCH(A113,Data!B:B,0)),"",INDEX(Data!I:I,MATCH(A113,Data!B:B,1))) &amp; ""</f>
        <v/>
      </c>
      <c r="P113" s="133" t="str">
        <f>IF(ISNA(MATCH(A113,Data!B:B,0)),"",INDEX(Data!J:J,MATCH(A113,Data!B:B,1))) &amp; ""</f>
        <v/>
      </c>
      <c r="Q113" s="126" t="str">
        <f>IF(S113="T",Charts!$X$7,IF(ISNA(MATCH(A113,Data!B:B,0)),"",INDEX(Data!K:K,MATCH(A113,Data!B:B,1)))) &amp; ""</f>
        <v/>
      </c>
      <c r="R113" s="134"/>
      <c r="S113" s="134"/>
      <c r="T113" s="127"/>
      <c r="AF113" s="24" t="str">
        <f>IF(C113="","",INDEX(Workouts!B:B,MATCH(C113,Workouts!A:A,0)))</f>
        <v/>
      </c>
      <c r="AG113" s="24" t="str">
        <f>IF(SUMIF(Data!B:B,A113,Data!D:D)=0,"",SUMIF(Data!B:B,A113,Data!D:D))</f>
        <v/>
      </c>
      <c r="AH113" s="25" t="str">
        <f>IF(C113="","",INDEX(Workouts!C:C,MATCH(C113,Workouts!A:A,0)))</f>
        <v/>
      </c>
      <c r="AI113" s="68" t="str">
        <f>IF(SUMIF(Data!B:B,A113,Data!F:F)=0,"",SUMIF(Data!B:B,A113,Data!F:F))</f>
        <v/>
      </c>
      <c r="AJ113" s="68">
        <f>AJ112+ (IF(AH113="",0,AH113)-AJ112)/Charts!$X$5</f>
        <v>2.2606648723232907E-6</v>
      </c>
      <c r="AK113" s="68">
        <f>AK112+ (IF(AI113="",0,AI113)-AK112)/Charts!$X$5</f>
        <v>2.2606648723232907E-6</v>
      </c>
      <c r="AL113" s="68">
        <f>AL112+ (IF(AH113="",0,AH113)-AL112)/Charts!$X$6</f>
        <v>3.790526622452417</v>
      </c>
      <c r="AM113" s="68">
        <f>AM112+ (IF(AI113="",0,AI113)-AM112)/Charts!$X$6</f>
        <v>3.790526622452417</v>
      </c>
      <c r="AN113" s="68" t="str">
        <f t="shared" si="22"/>
        <v>4</v>
      </c>
      <c r="AO113" s="68" t="str">
        <f t="shared" si="23"/>
        <v>4</v>
      </c>
      <c r="AP113" s="69" t="str">
        <f>IF(C113="","",INDEX(Workouts!D:D,MATCH(C113,Workouts!A:A,0)))</f>
        <v/>
      </c>
      <c r="AQ113" s="69" t="str">
        <f>IF(ISNA(MATCH(A113,Data!B:B,0)),"",INDEX(Data!G:G,MATCH(A113,Data!B:B,1)))</f>
        <v/>
      </c>
    </row>
    <row r="114" spans="1:43" s="1" customFormat="1" x14ac:dyDescent="0.2">
      <c r="A114" s="125">
        <f t="shared" si="21"/>
        <v>44309</v>
      </c>
      <c r="B114" s="126" t="str">
        <f t="shared" si="18"/>
        <v>Fri</v>
      </c>
      <c r="C114" s="140"/>
      <c r="D114" s="128" t="str">
        <f t="shared" si="19"/>
        <v/>
      </c>
      <c r="E114" s="129" t="str">
        <f t="shared" si="20"/>
        <v/>
      </c>
      <c r="F114" s="130" t="str">
        <f>IF(SUMIF(Data!B:B,A114,Data!C:C)=0,"",SUMIF(Data!B:B,A114,Data!C:C))</f>
        <v/>
      </c>
      <c r="G114" s="126" t="str">
        <f>IF(OR(S114="T",S114="RUN",SUMIF(Data!B:B,A114,Data!E:E)=0),"",SUMIF(Data!B:B,A114,Data!E:E))</f>
        <v/>
      </c>
      <c r="H114" s="126" t="str">
        <f t="shared" si="12"/>
        <v/>
      </c>
      <c r="I114" s="131" t="str">
        <f t="shared" si="13"/>
        <v>0 (0)</v>
      </c>
      <c r="J114" s="131" t="str">
        <f t="shared" si="14"/>
        <v>4 (4)</v>
      </c>
      <c r="K114" s="131" t="str">
        <f t="shared" si="15"/>
        <v>4 (4)</v>
      </c>
      <c r="L114" s="132" t="str">
        <f t="shared" si="16"/>
        <v/>
      </c>
      <c r="M114" s="131" t="str">
        <f t="shared" si="17"/>
        <v/>
      </c>
      <c r="N114" s="126" t="str">
        <f>IF(ISNA(MATCH(A114,Data!B:B,0)),"",INDEX(Data!H:H,MATCH(A114,Data!B:B,1))) &amp; ""</f>
        <v/>
      </c>
      <c r="O114" s="126" t="str">
        <f>IF(ISNA(MATCH(A114,Data!B:B,0)),"",INDEX(Data!I:I,MATCH(A114,Data!B:B,1))) &amp; ""</f>
        <v/>
      </c>
      <c r="P114" s="133" t="str">
        <f>IF(ISNA(MATCH(A114,Data!B:B,0)),"",INDEX(Data!J:J,MATCH(A114,Data!B:B,1))) &amp; ""</f>
        <v/>
      </c>
      <c r="Q114" s="126" t="str">
        <f>IF(S114="T",Charts!$X$7,IF(ISNA(MATCH(A114,Data!B:B,0)),"",INDEX(Data!K:K,MATCH(A114,Data!B:B,1)))) &amp; ""</f>
        <v/>
      </c>
      <c r="R114" s="134"/>
      <c r="S114" s="134"/>
      <c r="T114" s="127"/>
      <c r="AF114" s="24" t="str">
        <f>IF(C114="","",INDEX(Workouts!B:B,MATCH(C114,Workouts!A:A,0)))</f>
        <v/>
      </c>
      <c r="AG114" s="24" t="str">
        <f>IF(SUMIF(Data!B:B,A114,Data!D:D)=0,"",SUMIF(Data!B:B,A114,Data!D:D))</f>
        <v/>
      </c>
      <c r="AH114" s="25" t="str">
        <f>IF(C114="","",INDEX(Workouts!C:C,MATCH(C114,Workouts!A:A,0)))</f>
        <v/>
      </c>
      <c r="AI114" s="68" t="str">
        <f>IF(SUMIF(Data!B:B,A114,Data!F:F)=0,"",SUMIF(Data!B:B,A114,Data!F:F))</f>
        <v/>
      </c>
      <c r="AJ114" s="68">
        <f>AJ113+ (IF(AH114="",0,AH114)-AJ113)/Charts!$X$5</f>
        <v>1.9377127477056778E-6</v>
      </c>
      <c r="AK114" s="68">
        <f>AK113+ (IF(AI114="",0,AI114)-AK113)/Charts!$X$5</f>
        <v>1.9377127477056778E-6</v>
      </c>
      <c r="AL114" s="68">
        <f>AL113+ (IF(AH114="",0,AH114)-AL113)/Charts!$X$6</f>
        <v>3.7002759885845022</v>
      </c>
      <c r="AM114" s="68">
        <f>AM113+ (IF(AI114="",0,AI114)-AM113)/Charts!$X$6</f>
        <v>3.7002759885845022</v>
      </c>
      <c r="AN114" s="68" t="str">
        <f t="shared" si="22"/>
        <v>4</v>
      </c>
      <c r="AO114" s="68" t="str">
        <f t="shared" si="23"/>
        <v>4</v>
      </c>
      <c r="AP114" s="69" t="str">
        <f>IF(C114="","",INDEX(Workouts!D:D,MATCH(C114,Workouts!A:A,0)))</f>
        <v/>
      </c>
      <c r="AQ114" s="69" t="str">
        <f>IF(ISNA(MATCH(A114,Data!B:B,0)),"",INDEX(Data!G:G,MATCH(A114,Data!B:B,1)))</f>
        <v/>
      </c>
    </row>
    <row r="115" spans="1:43" s="1" customFormat="1" x14ac:dyDescent="0.2">
      <c r="A115" s="125">
        <f t="shared" si="21"/>
        <v>44310</v>
      </c>
      <c r="B115" s="126" t="str">
        <f t="shared" si="18"/>
        <v>Sat</v>
      </c>
      <c r="C115" s="140"/>
      <c r="D115" s="128" t="str">
        <f t="shared" si="19"/>
        <v/>
      </c>
      <c r="E115" s="129" t="str">
        <f t="shared" si="20"/>
        <v/>
      </c>
      <c r="F115" s="130" t="str">
        <f>IF(SUMIF(Data!B:B,A115,Data!C:C)=0,"",SUMIF(Data!B:B,A115,Data!C:C))</f>
        <v/>
      </c>
      <c r="G115" s="126" t="str">
        <f>IF(OR(S115="T",S115="RUN",SUMIF(Data!B:B,A115,Data!E:E)=0),"",SUMIF(Data!B:B,A115,Data!E:E))</f>
        <v/>
      </c>
      <c r="H115" s="126" t="str">
        <f t="shared" si="12"/>
        <v/>
      </c>
      <c r="I115" s="131" t="str">
        <f t="shared" si="13"/>
        <v>0 (0)</v>
      </c>
      <c r="J115" s="131" t="str">
        <f t="shared" si="14"/>
        <v>4 (4)</v>
      </c>
      <c r="K115" s="131" t="str">
        <f t="shared" si="15"/>
        <v>4 (4)</v>
      </c>
      <c r="L115" s="132" t="str">
        <f t="shared" si="16"/>
        <v/>
      </c>
      <c r="M115" s="131" t="str">
        <f t="shared" si="17"/>
        <v/>
      </c>
      <c r="N115" s="126" t="str">
        <f>IF(ISNA(MATCH(A115,Data!B:B,0)),"",INDEX(Data!H:H,MATCH(A115,Data!B:B,1))) &amp; ""</f>
        <v/>
      </c>
      <c r="O115" s="126" t="str">
        <f>IF(ISNA(MATCH(A115,Data!B:B,0)),"",INDEX(Data!I:I,MATCH(A115,Data!B:B,1))) &amp; ""</f>
        <v/>
      </c>
      <c r="P115" s="133" t="str">
        <f>IF(ISNA(MATCH(A115,Data!B:B,0)),"",INDEX(Data!J:J,MATCH(A115,Data!B:B,1))) &amp; ""</f>
        <v/>
      </c>
      <c r="Q115" s="126" t="str">
        <f>IF(S115="T",Charts!$X$7,IF(ISNA(MATCH(A115,Data!B:B,0)),"",INDEX(Data!K:K,MATCH(A115,Data!B:B,1)))) &amp; ""</f>
        <v/>
      </c>
      <c r="R115" s="134"/>
      <c r="S115" s="134"/>
      <c r="T115" s="127"/>
      <c r="AF115" s="24" t="str">
        <f>IF(C115="","",INDEX(Workouts!B:B,MATCH(C115,Workouts!A:A,0)))</f>
        <v/>
      </c>
      <c r="AG115" s="24" t="str">
        <f>IF(SUMIF(Data!B:B,A115,Data!D:D)=0,"",SUMIF(Data!B:B,A115,Data!D:D))</f>
        <v/>
      </c>
      <c r="AH115" s="25" t="str">
        <f>IF(C115="","",INDEX(Workouts!C:C,MATCH(C115,Workouts!A:A,0)))</f>
        <v/>
      </c>
      <c r="AI115" s="68" t="str">
        <f>IF(SUMIF(Data!B:B,A115,Data!F:F)=0,"",SUMIF(Data!B:B,A115,Data!F:F))</f>
        <v/>
      </c>
      <c r="AJ115" s="68">
        <f>AJ114+ (IF(AH115="",0,AH115)-AJ114)/Charts!$X$5</f>
        <v>1.660896640890581E-6</v>
      </c>
      <c r="AK115" s="68">
        <f>AK114+ (IF(AI115="",0,AI115)-AK114)/Charts!$X$5</f>
        <v>1.660896640890581E-6</v>
      </c>
      <c r="AL115" s="68">
        <f>AL114+ (IF(AH115="",0,AH115)-AL114)/Charts!$X$6</f>
        <v>3.6121741793324902</v>
      </c>
      <c r="AM115" s="68">
        <f>AM114+ (IF(AI115="",0,AI115)-AM114)/Charts!$X$6</f>
        <v>3.6121741793324902</v>
      </c>
      <c r="AN115" s="68" t="str">
        <f t="shared" si="22"/>
        <v>4</v>
      </c>
      <c r="AO115" s="68" t="str">
        <f t="shared" si="23"/>
        <v>4</v>
      </c>
      <c r="AP115" s="69" t="str">
        <f>IF(C115="","",INDEX(Workouts!D:D,MATCH(C115,Workouts!A:A,0)))</f>
        <v/>
      </c>
      <c r="AQ115" s="69" t="str">
        <f>IF(ISNA(MATCH(A115,Data!B:B,0)),"",INDEX(Data!G:G,MATCH(A115,Data!B:B,1)))</f>
        <v/>
      </c>
    </row>
    <row r="116" spans="1:43" s="1" customFormat="1" x14ac:dyDescent="0.2">
      <c r="A116" s="125">
        <f t="shared" si="21"/>
        <v>44311</v>
      </c>
      <c r="B116" s="126" t="str">
        <f t="shared" si="18"/>
        <v>Sun</v>
      </c>
      <c r="C116" s="140"/>
      <c r="D116" s="128" t="str">
        <f t="shared" si="19"/>
        <v/>
      </c>
      <c r="E116" s="129" t="str">
        <f t="shared" si="20"/>
        <v/>
      </c>
      <c r="F116" s="130" t="str">
        <f>IF(SUMIF(Data!B:B,A116,Data!C:C)=0,"",SUMIF(Data!B:B,A116,Data!C:C))</f>
        <v/>
      </c>
      <c r="G116" s="126" t="str">
        <f>IF(OR(S116="T",S116="RUN",SUMIF(Data!B:B,A116,Data!E:E)=0),"",SUMIF(Data!B:B,A116,Data!E:E))</f>
        <v/>
      </c>
      <c r="H116" s="126" t="str">
        <f t="shared" si="12"/>
        <v/>
      </c>
      <c r="I116" s="131" t="str">
        <f t="shared" si="13"/>
        <v>0 (0)</v>
      </c>
      <c r="J116" s="131" t="str">
        <f t="shared" si="14"/>
        <v>4 (4)</v>
      </c>
      <c r="K116" s="131" t="str">
        <f t="shared" si="15"/>
        <v>4 (4)</v>
      </c>
      <c r="L116" s="132" t="str">
        <f t="shared" si="16"/>
        <v/>
      </c>
      <c r="M116" s="131" t="str">
        <f t="shared" si="17"/>
        <v/>
      </c>
      <c r="N116" s="126" t="str">
        <f>IF(ISNA(MATCH(A116,Data!B:B,0)),"",INDEX(Data!H:H,MATCH(A116,Data!B:B,1))) &amp; ""</f>
        <v/>
      </c>
      <c r="O116" s="126" t="str">
        <f>IF(ISNA(MATCH(A116,Data!B:B,0)),"",INDEX(Data!I:I,MATCH(A116,Data!B:B,1))) &amp; ""</f>
        <v/>
      </c>
      <c r="P116" s="133" t="str">
        <f>IF(ISNA(MATCH(A116,Data!B:B,0)),"",INDEX(Data!J:J,MATCH(A116,Data!B:B,1))) &amp; ""</f>
        <v/>
      </c>
      <c r="Q116" s="126" t="str">
        <f>IF(S116="T",Charts!$X$7,IF(ISNA(MATCH(A116,Data!B:B,0)),"",INDEX(Data!K:K,MATCH(A116,Data!B:B,1)))) &amp; ""</f>
        <v/>
      </c>
      <c r="R116" s="134"/>
      <c r="S116" s="134"/>
      <c r="T116" s="127"/>
      <c r="AF116" s="24" t="str">
        <f>IF(C116="","",INDEX(Workouts!B:B,MATCH(C116,Workouts!A:A,0)))</f>
        <v/>
      </c>
      <c r="AG116" s="24" t="str">
        <f>IF(SUMIF(Data!B:B,A116,Data!D:D)=0,"",SUMIF(Data!B:B,A116,Data!D:D))</f>
        <v/>
      </c>
      <c r="AH116" s="25" t="str">
        <f>IF(C116="","",INDEX(Workouts!C:C,MATCH(C116,Workouts!A:A,0)))</f>
        <v/>
      </c>
      <c r="AI116" s="68" t="str">
        <f>IF(SUMIF(Data!B:B,A116,Data!F:F)=0,"",SUMIF(Data!B:B,A116,Data!F:F))</f>
        <v/>
      </c>
      <c r="AJ116" s="68">
        <f>AJ115+ (IF(AH116="",0,AH116)-AJ115)/Charts!$X$5</f>
        <v>1.4236256921919265E-6</v>
      </c>
      <c r="AK116" s="68">
        <f>AK115+ (IF(AI116="",0,AI116)-AK115)/Charts!$X$5</f>
        <v>1.4236256921919265E-6</v>
      </c>
      <c r="AL116" s="68">
        <f>AL115+ (IF(AH116="",0,AH116)-AL115)/Charts!$X$6</f>
        <v>3.5261700322055263</v>
      </c>
      <c r="AM116" s="68">
        <f>AM115+ (IF(AI116="",0,AI116)-AM115)/Charts!$X$6</f>
        <v>3.5261700322055263</v>
      </c>
      <c r="AN116" s="68" t="str">
        <f t="shared" si="22"/>
        <v>4</v>
      </c>
      <c r="AO116" s="68" t="str">
        <f t="shared" si="23"/>
        <v>4</v>
      </c>
      <c r="AP116" s="69" t="str">
        <f>IF(C116="","",INDEX(Workouts!D:D,MATCH(C116,Workouts!A:A,0)))</f>
        <v/>
      </c>
      <c r="AQ116" s="69" t="str">
        <f>IF(ISNA(MATCH(A116,Data!B:B,0)),"",INDEX(Data!G:G,MATCH(A116,Data!B:B,1)))</f>
        <v/>
      </c>
    </row>
    <row r="117" spans="1:43" s="1" customFormat="1" x14ac:dyDescent="0.2">
      <c r="A117" s="125">
        <f t="shared" si="21"/>
        <v>44312</v>
      </c>
      <c r="B117" s="126" t="str">
        <f t="shared" si="18"/>
        <v>Mon</v>
      </c>
      <c r="C117" s="140"/>
      <c r="D117" s="128" t="str">
        <f t="shared" si="19"/>
        <v/>
      </c>
      <c r="E117" s="129" t="str">
        <f t="shared" si="20"/>
        <v/>
      </c>
      <c r="F117" s="130" t="str">
        <f>IF(SUMIF(Data!B:B,A117,Data!C:C)=0,"",SUMIF(Data!B:B,A117,Data!C:C))</f>
        <v/>
      </c>
      <c r="G117" s="126" t="str">
        <f>IF(OR(S117="T",S117="RUN",SUMIF(Data!B:B,A117,Data!E:E)=0),"",SUMIF(Data!B:B,A117,Data!E:E))</f>
        <v/>
      </c>
      <c r="H117" s="126" t="str">
        <f t="shared" si="12"/>
        <v/>
      </c>
      <c r="I117" s="131" t="str">
        <f t="shared" si="13"/>
        <v>0 (0)</v>
      </c>
      <c r="J117" s="131" t="str">
        <f t="shared" si="14"/>
        <v>3 (3)</v>
      </c>
      <c r="K117" s="131" t="str">
        <f t="shared" si="15"/>
        <v>4 (4)</v>
      </c>
      <c r="L117" s="132" t="str">
        <f t="shared" si="16"/>
        <v/>
      </c>
      <c r="M117" s="131" t="str">
        <f t="shared" si="17"/>
        <v/>
      </c>
      <c r="N117" s="126" t="str">
        <f>IF(ISNA(MATCH(A117,Data!B:B,0)),"",INDEX(Data!H:H,MATCH(A117,Data!B:B,1))) &amp; ""</f>
        <v/>
      </c>
      <c r="O117" s="126" t="str">
        <f>IF(ISNA(MATCH(A117,Data!B:B,0)),"",INDEX(Data!I:I,MATCH(A117,Data!B:B,1))) &amp; ""</f>
        <v/>
      </c>
      <c r="P117" s="133" t="str">
        <f>IF(ISNA(MATCH(A117,Data!B:B,0)),"",INDEX(Data!J:J,MATCH(A117,Data!B:B,1))) &amp; ""</f>
        <v/>
      </c>
      <c r="Q117" s="126" t="str">
        <f>IF(S117="T",Charts!$X$7,IF(ISNA(MATCH(A117,Data!B:B,0)),"",INDEX(Data!K:K,MATCH(A117,Data!B:B,1)))) &amp; ""</f>
        <v/>
      </c>
      <c r="R117" s="134"/>
      <c r="S117" s="134"/>
      <c r="T117" s="127"/>
      <c r="AF117" s="24" t="str">
        <f>IF(C117="","",INDEX(Workouts!B:B,MATCH(C117,Workouts!A:A,0)))</f>
        <v/>
      </c>
      <c r="AG117" s="24" t="str">
        <f>IF(SUMIF(Data!B:B,A117,Data!D:D)=0,"",SUMIF(Data!B:B,A117,Data!D:D))</f>
        <v/>
      </c>
      <c r="AH117" s="25" t="str">
        <f>IF(C117="","",INDEX(Workouts!C:C,MATCH(C117,Workouts!A:A,0)))</f>
        <v/>
      </c>
      <c r="AI117" s="68" t="str">
        <f>IF(SUMIF(Data!B:B,A117,Data!F:F)=0,"",SUMIF(Data!B:B,A117,Data!F:F))</f>
        <v/>
      </c>
      <c r="AJ117" s="68">
        <f>AJ116+ (IF(AH117="",0,AH117)-AJ116)/Charts!$X$5</f>
        <v>1.2202505933073656E-6</v>
      </c>
      <c r="AK117" s="68">
        <f>AK116+ (IF(AI117="",0,AI117)-AK116)/Charts!$X$5</f>
        <v>1.2202505933073656E-6</v>
      </c>
      <c r="AL117" s="68">
        <f>AL116+ (IF(AH117="",0,AH117)-AL116)/Charts!$X$6</f>
        <v>3.4422136028672994</v>
      </c>
      <c r="AM117" s="68">
        <f>AM116+ (IF(AI117="",0,AI117)-AM116)/Charts!$X$6</f>
        <v>3.4422136028672994</v>
      </c>
      <c r="AN117" s="68" t="str">
        <f t="shared" si="22"/>
        <v>4</v>
      </c>
      <c r="AO117" s="68" t="str">
        <f t="shared" si="23"/>
        <v>4</v>
      </c>
      <c r="AP117" s="69" t="str">
        <f>IF(C117="","",INDEX(Workouts!D:D,MATCH(C117,Workouts!A:A,0)))</f>
        <v/>
      </c>
      <c r="AQ117" s="69" t="str">
        <f>IF(ISNA(MATCH(A117,Data!B:B,0)),"",INDEX(Data!G:G,MATCH(A117,Data!B:B,1)))</f>
        <v/>
      </c>
    </row>
    <row r="118" spans="1:43" s="1" customFormat="1" x14ac:dyDescent="0.2">
      <c r="A118" s="125">
        <f t="shared" si="21"/>
        <v>44313</v>
      </c>
      <c r="B118" s="126" t="str">
        <f t="shared" si="18"/>
        <v>Tue</v>
      </c>
      <c r="C118" s="140"/>
      <c r="D118" s="128" t="str">
        <f t="shared" si="19"/>
        <v/>
      </c>
      <c r="E118" s="129" t="str">
        <f t="shared" si="20"/>
        <v/>
      </c>
      <c r="F118" s="130" t="str">
        <f>IF(SUMIF(Data!B:B,A118,Data!C:C)=0,"",SUMIF(Data!B:B,A118,Data!C:C))</f>
        <v/>
      </c>
      <c r="G118" s="126" t="str">
        <f>IF(OR(S118="T",S118="RUN",SUMIF(Data!B:B,A118,Data!E:E)=0),"",SUMIF(Data!B:B,A118,Data!E:E))</f>
        <v/>
      </c>
      <c r="H118" s="126" t="str">
        <f t="shared" si="12"/>
        <v/>
      </c>
      <c r="I118" s="131" t="str">
        <f t="shared" si="13"/>
        <v>0 (0)</v>
      </c>
      <c r="J118" s="131" t="str">
        <f t="shared" si="14"/>
        <v>3 (3)</v>
      </c>
      <c r="K118" s="131" t="str">
        <f t="shared" si="15"/>
        <v>3 (3)</v>
      </c>
      <c r="L118" s="132" t="str">
        <f t="shared" si="16"/>
        <v/>
      </c>
      <c r="M118" s="131" t="str">
        <f t="shared" si="17"/>
        <v/>
      </c>
      <c r="N118" s="126" t="str">
        <f>IF(ISNA(MATCH(A118,Data!B:B,0)),"",INDEX(Data!H:H,MATCH(A118,Data!B:B,1))) &amp; ""</f>
        <v/>
      </c>
      <c r="O118" s="126" t="str">
        <f>IF(ISNA(MATCH(A118,Data!B:B,0)),"",INDEX(Data!I:I,MATCH(A118,Data!B:B,1))) &amp; ""</f>
        <v/>
      </c>
      <c r="P118" s="133" t="str">
        <f>IF(ISNA(MATCH(A118,Data!B:B,0)),"",INDEX(Data!J:J,MATCH(A118,Data!B:B,1))) &amp; ""</f>
        <v/>
      </c>
      <c r="Q118" s="126" t="str">
        <f>IF(S118="T",Charts!$X$7,IF(ISNA(MATCH(A118,Data!B:B,0)),"",INDEX(Data!K:K,MATCH(A118,Data!B:B,1)))) &amp; ""</f>
        <v/>
      </c>
      <c r="R118" s="134"/>
      <c r="S118" s="134"/>
      <c r="T118" s="127"/>
      <c r="AF118" s="24" t="str">
        <f>IF(C118="","",INDEX(Workouts!B:B,MATCH(C118,Workouts!A:A,0)))</f>
        <v/>
      </c>
      <c r="AG118" s="24" t="str">
        <f>IF(SUMIF(Data!B:B,A118,Data!D:D)=0,"",SUMIF(Data!B:B,A118,Data!D:D))</f>
        <v/>
      </c>
      <c r="AH118" s="25" t="str">
        <f>IF(C118="","",INDEX(Workouts!C:C,MATCH(C118,Workouts!A:A,0)))</f>
        <v/>
      </c>
      <c r="AI118" s="68" t="str">
        <f>IF(SUMIF(Data!B:B,A118,Data!F:F)=0,"",SUMIF(Data!B:B,A118,Data!F:F))</f>
        <v/>
      </c>
      <c r="AJ118" s="68">
        <f>AJ117+ (IF(AH118="",0,AH118)-AJ117)/Charts!$X$5</f>
        <v>1.0459290799777419E-6</v>
      </c>
      <c r="AK118" s="68">
        <f>AK117+ (IF(AI118="",0,AI118)-AK117)/Charts!$X$5</f>
        <v>1.0459290799777419E-6</v>
      </c>
      <c r="AL118" s="68">
        <f>AL117+ (IF(AH118="",0,AH118)-AL117)/Charts!$X$6</f>
        <v>3.3602561361323637</v>
      </c>
      <c r="AM118" s="68">
        <f>AM117+ (IF(AI118="",0,AI118)-AM117)/Charts!$X$6</f>
        <v>3.3602561361323637</v>
      </c>
      <c r="AN118" s="68" t="str">
        <f t="shared" si="22"/>
        <v>3</v>
      </c>
      <c r="AO118" s="68" t="str">
        <f t="shared" si="23"/>
        <v>3</v>
      </c>
      <c r="AP118" s="69" t="str">
        <f>IF(C118="","",INDEX(Workouts!D:D,MATCH(C118,Workouts!A:A,0)))</f>
        <v/>
      </c>
      <c r="AQ118" s="69" t="str">
        <f>IF(ISNA(MATCH(A118,Data!B:B,0)),"",INDEX(Data!G:G,MATCH(A118,Data!B:B,1)))</f>
        <v/>
      </c>
    </row>
    <row r="119" spans="1:43" s="1" customFormat="1" x14ac:dyDescent="0.2">
      <c r="A119" s="125">
        <f t="shared" si="21"/>
        <v>44314</v>
      </c>
      <c r="B119" s="126" t="str">
        <f t="shared" si="18"/>
        <v>Wed</v>
      </c>
      <c r="C119" s="140"/>
      <c r="D119" s="128" t="str">
        <f t="shared" si="19"/>
        <v/>
      </c>
      <c r="E119" s="129" t="str">
        <f t="shared" si="20"/>
        <v/>
      </c>
      <c r="F119" s="130" t="str">
        <f>IF(SUMIF(Data!B:B,A119,Data!C:C)=0,"",SUMIF(Data!B:B,A119,Data!C:C))</f>
        <v/>
      </c>
      <c r="G119" s="126" t="str">
        <f>IF(OR(S119="T",S119="RUN",SUMIF(Data!B:B,A119,Data!E:E)=0),"",SUMIF(Data!B:B,A119,Data!E:E))</f>
        <v/>
      </c>
      <c r="H119" s="126" t="str">
        <f t="shared" si="12"/>
        <v/>
      </c>
      <c r="I119" s="131" t="str">
        <f t="shared" si="13"/>
        <v>0 (0)</v>
      </c>
      <c r="J119" s="131" t="str">
        <f t="shared" si="14"/>
        <v>3 (3)</v>
      </c>
      <c r="K119" s="131" t="str">
        <f t="shared" si="15"/>
        <v>3 (3)</v>
      </c>
      <c r="L119" s="132" t="str">
        <f t="shared" si="16"/>
        <v/>
      </c>
      <c r="M119" s="131" t="str">
        <f t="shared" si="17"/>
        <v/>
      </c>
      <c r="N119" s="126" t="str">
        <f>IF(ISNA(MATCH(A119,Data!B:B,0)),"",INDEX(Data!H:H,MATCH(A119,Data!B:B,1))) &amp; ""</f>
        <v/>
      </c>
      <c r="O119" s="126" t="str">
        <f>IF(ISNA(MATCH(A119,Data!B:B,0)),"",INDEX(Data!I:I,MATCH(A119,Data!B:B,1))) &amp; ""</f>
        <v/>
      </c>
      <c r="P119" s="133" t="str">
        <f>IF(ISNA(MATCH(A119,Data!B:B,0)),"",INDEX(Data!J:J,MATCH(A119,Data!B:B,1))) &amp; ""</f>
        <v/>
      </c>
      <c r="Q119" s="126" t="str">
        <f>IF(S119="T",Charts!$X$7,IF(ISNA(MATCH(A119,Data!B:B,0)),"",INDEX(Data!K:K,MATCH(A119,Data!B:B,1)))) &amp; ""</f>
        <v/>
      </c>
      <c r="R119" s="134"/>
      <c r="S119" s="134"/>
      <c r="T119" s="127"/>
      <c r="AF119" s="24" t="str">
        <f>IF(C119="","",INDEX(Workouts!B:B,MATCH(C119,Workouts!A:A,0)))</f>
        <v/>
      </c>
      <c r="AG119" s="24" t="str">
        <f>IF(SUMIF(Data!B:B,A119,Data!D:D)=0,"",SUMIF(Data!B:B,A119,Data!D:D))</f>
        <v/>
      </c>
      <c r="AH119" s="25" t="str">
        <f>IF(C119="","",INDEX(Workouts!C:C,MATCH(C119,Workouts!A:A,0)))</f>
        <v/>
      </c>
      <c r="AI119" s="68" t="str">
        <f>IF(SUMIF(Data!B:B,A119,Data!F:F)=0,"",SUMIF(Data!B:B,A119,Data!F:F))</f>
        <v/>
      </c>
      <c r="AJ119" s="68">
        <f>AJ118+ (IF(AH119="",0,AH119)-AJ118)/Charts!$X$5</f>
        <v>8.9651063998092171E-7</v>
      </c>
      <c r="AK119" s="68">
        <f>AK118+ (IF(AI119="",0,AI119)-AK118)/Charts!$X$5</f>
        <v>8.9651063998092171E-7</v>
      </c>
      <c r="AL119" s="68">
        <f>AL118+ (IF(AH119="",0,AH119)-AL118)/Charts!$X$6</f>
        <v>3.2802500376530217</v>
      </c>
      <c r="AM119" s="68">
        <f>AM118+ (IF(AI119="",0,AI119)-AM118)/Charts!$X$6</f>
        <v>3.2802500376530217</v>
      </c>
      <c r="AN119" s="68" t="str">
        <f t="shared" si="22"/>
        <v>3</v>
      </c>
      <c r="AO119" s="68" t="str">
        <f t="shared" si="23"/>
        <v>3</v>
      </c>
      <c r="AP119" s="69" t="str">
        <f>IF(C119="","",INDEX(Workouts!D:D,MATCH(C119,Workouts!A:A,0)))</f>
        <v/>
      </c>
      <c r="AQ119" s="69" t="str">
        <f>IF(ISNA(MATCH(A119,Data!B:B,0)),"",INDEX(Data!G:G,MATCH(A119,Data!B:B,1)))</f>
        <v/>
      </c>
    </row>
    <row r="120" spans="1:43" s="1" customFormat="1" x14ac:dyDescent="0.2">
      <c r="A120" s="125">
        <f t="shared" si="21"/>
        <v>44315</v>
      </c>
      <c r="B120" s="126" t="str">
        <f t="shared" si="18"/>
        <v>Thu</v>
      </c>
      <c r="C120" s="140"/>
      <c r="D120" s="128" t="str">
        <f t="shared" si="19"/>
        <v/>
      </c>
      <c r="E120" s="129" t="str">
        <f t="shared" si="20"/>
        <v/>
      </c>
      <c r="F120" s="130" t="str">
        <f>IF(SUMIF(Data!B:B,A120,Data!C:C)=0,"",SUMIF(Data!B:B,A120,Data!C:C))</f>
        <v/>
      </c>
      <c r="G120" s="126" t="str">
        <f>IF(OR(S120="T",S120="RUN",SUMIF(Data!B:B,A120,Data!E:E)=0),"",SUMIF(Data!B:B,A120,Data!E:E))</f>
        <v/>
      </c>
      <c r="H120" s="126" t="str">
        <f t="shared" si="12"/>
        <v/>
      </c>
      <c r="I120" s="131" t="str">
        <f t="shared" si="13"/>
        <v>0 (0)</v>
      </c>
      <c r="J120" s="131" t="str">
        <f t="shared" si="14"/>
        <v>3 (3)</v>
      </c>
      <c r="K120" s="131" t="str">
        <f t="shared" si="15"/>
        <v>3 (3)</v>
      </c>
      <c r="L120" s="132" t="str">
        <f t="shared" si="16"/>
        <v/>
      </c>
      <c r="M120" s="131" t="str">
        <f t="shared" si="17"/>
        <v/>
      </c>
      <c r="N120" s="126" t="str">
        <f>IF(ISNA(MATCH(A120,Data!B:B,0)),"",INDEX(Data!H:H,MATCH(A120,Data!B:B,1))) &amp; ""</f>
        <v/>
      </c>
      <c r="O120" s="126" t="str">
        <f>IF(ISNA(MATCH(A120,Data!B:B,0)),"",INDEX(Data!I:I,MATCH(A120,Data!B:B,1))) &amp; ""</f>
        <v/>
      </c>
      <c r="P120" s="133" t="str">
        <f>IF(ISNA(MATCH(A120,Data!B:B,0)),"",INDEX(Data!J:J,MATCH(A120,Data!B:B,1))) &amp; ""</f>
        <v/>
      </c>
      <c r="Q120" s="126" t="str">
        <f>IF(S120="T",Charts!$X$7,IF(ISNA(MATCH(A120,Data!B:B,0)),"",INDEX(Data!K:K,MATCH(A120,Data!B:B,1)))) &amp; ""</f>
        <v/>
      </c>
      <c r="R120" s="134"/>
      <c r="S120" s="134"/>
      <c r="T120" s="127"/>
      <c r="AF120" s="24" t="str">
        <f>IF(C120="","",INDEX(Workouts!B:B,MATCH(C120,Workouts!A:A,0)))</f>
        <v/>
      </c>
      <c r="AG120" s="24" t="str">
        <f>IF(SUMIF(Data!B:B,A120,Data!D:D)=0,"",SUMIF(Data!B:B,A120,Data!D:D))</f>
        <v/>
      </c>
      <c r="AH120" s="25" t="str">
        <f>IF(C120="","",INDEX(Workouts!C:C,MATCH(C120,Workouts!A:A,0)))</f>
        <v/>
      </c>
      <c r="AI120" s="68" t="str">
        <f>IF(SUMIF(Data!B:B,A120,Data!F:F)=0,"",SUMIF(Data!B:B,A120,Data!F:F))</f>
        <v/>
      </c>
      <c r="AJ120" s="68">
        <f>AJ119+ (IF(AH120="",0,AH120)-AJ119)/Charts!$X$5</f>
        <v>7.684376914122186E-7</v>
      </c>
      <c r="AK120" s="68">
        <f>AK119+ (IF(AI120="",0,AI120)-AK119)/Charts!$X$5</f>
        <v>7.684376914122186E-7</v>
      </c>
      <c r="AL120" s="68">
        <f>AL119+ (IF(AH120="",0,AH120)-AL119)/Charts!$X$6</f>
        <v>3.2021488462803309</v>
      </c>
      <c r="AM120" s="68">
        <f>AM119+ (IF(AI120="",0,AI120)-AM119)/Charts!$X$6</f>
        <v>3.2021488462803309</v>
      </c>
      <c r="AN120" s="68" t="str">
        <f t="shared" si="22"/>
        <v>3</v>
      </c>
      <c r="AO120" s="68" t="str">
        <f t="shared" si="23"/>
        <v>3</v>
      </c>
      <c r="AP120" s="69" t="str">
        <f>IF(C120="","",INDEX(Workouts!D:D,MATCH(C120,Workouts!A:A,0)))</f>
        <v/>
      </c>
      <c r="AQ120" s="69" t="str">
        <f>IF(ISNA(MATCH(A120,Data!B:B,0)),"",INDEX(Data!G:G,MATCH(A120,Data!B:B,1)))</f>
        <v/>
      </c>
    </row>
    <row r="121" spans="1:43" s="1" customFormat="1" x14ac:dyDescent="0.2">
      <c r="A121" s="125">
        <f t="shared" si="21"/>
        <v>44316</v>
      </c>
      <c r="B121" s="126" t="str">
        <f t="shared" si="18"/>
        <v>Fri</v>
      </c>
      <c r="C121" s="140"/>
      <c r="D121" s="128" t="str">
        <f t="shared" si="19"/>
        <v/>
      </c>
      <c r="E121" s="129" t="str">
        <f t="shared" si="20"/>
        <v/>
      </c>
      <c r="F121" s="130" t="str">
        <f>IF(SUMIF(Data!B:B,A121,Data!C:C)=0,"",SUMIF(Data!B:B,A121,Data!C:C))</f>
        <v/>
      </c>
      <c r="G121" s="126" t="str">
        <f>IF(OR(S121="T",S121="RUN",SUMIF(Data!B:B,A121,Data!E:E)=0),"",SUMIF(Data!B:B,A121,Data!E:E))</f>
        <v/>
      </c>
      <c r="H121" s="126" t="str">
        <f t="shared" si="12"/>
        <v/>
      </c>
      <c r="I121" s="131" t="str">
        <f t="shared" si="13"/>
        <v>0 (0)</v>
      </c>
      <c r="J121" s="131" t="str">
        <f t="shared" si="14"/>
        <v>3 (3)</v>
      </c>
      <c r="K121" s="131" t="str">
        <f t="shared" si="15"/>
        <v>3 (3)</v>
      </c>
      <c r="L121" s="132" t="str">
        <f t="shared" si="16"/>
        <v/>
      </c>
      <c r="M121" s="131" t="str">
        <f t="shared" si="17"/>
        <v/>
      </c>
      <c r="N121" s="126" t="str">
        <f>IF(ISNA(MATCH(A121,Data!B:B,0)),"",INDEX(Data!H:H,MATCH(A121,Data!B:B,1))) &amp; ""</f>
        <v/>
      </c>
      <c r="O121" s="126" t="str">
        <f>IF(ISNA(MATCH(A121,Data!B:B,0)),"",INDEX(Data!I:I,MATCH(A121,Data!B:B,1))) &amp; ""</f>
        <v/>
      </c>
      <c r="P121" s="133" t="str">
        <f>IF(ISNA(MATCH(A121,Data!B:B,0)),"",INDEX(Data!J:J,MATCH(A121,Data!B:B,1))) &amp; ""</f>
        <v/>
      </c>
      <c r="Q121" s="126" t="str">
        <f>IF(S121="T",Charts!$X$7,IF(ISNA(MATCH(A121,Data!B:B,0)),"",INDEX(Data!K:K,MATCH(A121,Data!B:B,1)))) &amp; ""</f>
        <v/>
      </c>
      <c r="R121" s="134"/>
      <c r="S121" s="134"/>
      <c r="T121" s="127"/>
      <c r="AF121" s="24" t="str">
        <f>IF(C121="","",INDEX(Workouts!B:B,MATCH(C121,Workouts!A:A,0)))</f>
        <v/>
      </c>
      <c r="AG121" s="24" t="str">
        <f>IF(SUMIF(Data!B:B,A121,Data!D:D)=0,"",SUMIF(Data!B:B,A121,Data!D:D))</f>
        <v/>
      </c>
      <c r="AH121" s="25" t="str">
        <f>IF(C121="","",INDEX(Workouts!C:C,MATCH(C121,Workouts!A:A,0)))</f>
        <v/>
      </c>
      <c r="AI121" s="68" t="str">
        <f>IF(SUMIF(Data!B:B,A121,Data!F:F)=0,"",SUMIF(Data!B:B,A121,Data!F:F))</f>
        <v/>
      </c>
      <c r="AJ121" s="68">
        <f>AJ120+ (IF(AH121="",0,AH121)-AJ120)/Charts!$X$5</f>
        <v>6.5866087835333027E-7</v>
      </c>
      <c r="AK121" s="68">
        <f>AK120+ (IF(AI121="",0,AI121)-AK120)/Charts!$X$5</f>
        <v>6.5866087835333027E-7</v>
      </c>
      <c r="AL121" s="68">
        <f>AL120+ (IF(AH121="",0,AH121)-AL120)/Charts!$X$6</f>
        <v>3.1259072070831802</v>
      </c>
      <c r="AM121" s="68">
        <f>AM120+ (IF(AI121="",0,AI121)-AM120)/Charts!$X$6</f>
        <v>3.1259072070831802</v>
      </c>
      <c r="AN121" s="68" t="str">
        <f t="shared" si="22"/>
        <v>3</v>
      </c>
      <c r="AO121" s="68" t="str">
        <f t="shared" si="23"/>
        <v>3</v>
      </c>
      <c r="AP121" s="69" t="str">
        <f>IF(C121="","",INDEX(Workouts!D:D,MATCH(C121,Workouts!A:A,0)))</f>
        <v/>
      </c>
      <c r="AQ121" s="69" t="str">
        <f>IF(ISNA(MATCH(A121,Data!B:B,0)),"",INDEX(Data!G:G,MATCH(A121,Data!B:B,1)))</f>
        <v/>
      </c>
    </row>
    <row r="122" spans="1:43" s="1" customFormat="1" x14ac:dyDescent="0.2">
      <c r="A122" s="125">
        <f t="shared" si="21"/>
        <v>44317</v>
      </c>
      <c r="B122" s="126" t="str">
        <f t="shared" si="18"/>
        <v>Sat</v>
      </c>
      <c r="C122" s="140"/>
      <c r="D122" s="128" t="str">
        <f t="shared" si="19"/>
        <v/>
      </c>
      <c r="E122" s="129" t="str">
        <f t="shared" si="20"/>
        <v/>
      </c>
      <c r="F122" s="130" t="str">
        <f>IF(SUMIF(Data!B:B,A122,Data!C:C)=0,"",SUMIF(Data!B:B,A122,Data!C:C))</f>
        <v/>
      </c>
      <c r="G122" s="126" t="str">
        <f>IF(OR(S122="T",S122="RUN",SUMIF(Data!B:B,A122,Data!E:E)=0),"",SUMIF(Data!B:B,A122,Data!E:E))</f>
        <v/>
      </c>
      <c r="H122" s="126" t="str">
        <f t="shared" si="12"/>
        <v/>
      </c>
      <c r="I122" s="131" t="str">
        <f t="shared" si="13"/>
        <v>0 (0)</v>
      </c>
      <c r="J122" s="131" t="str">
        <f t="shared" si="14"/>
        <v>3 (3)</v>
      </c>
      <c r="K122" s="131" t="str">
        <f t="shared" si="15"/>
        <v>3 (3)</v>
      </c>
      <c r="L122" s="132" t="str">
        <f t="shared" si="16"/>
        <v/>
      </c>
      <c r="M122" s="131" t="str">
        <f t="shared" si="17"/>
        <v/>
      </c>
      <c r="N122" s="126" t="str">
        <f>IF(ISNA(MATCH(A122,Data!B:B,0)),"",INDEX(Data!H:H,MATCH(A122,Data!B:B,1))) &amp; ""</f>
        <v/>
      </c>
      <c r="O122" s="126" t="str">
        <f>IF(ISNA(MATCH(A122,Data!B:B,0)),"",INDEX(Data!I:I,MATCH(A122,Data!B:B,1))) &amp; ""</f>
        <v/>
      </c>
      <c r="P122" s="133" t="str">
        <f>IF(ISNA(MATCH(A122,Data!B:B,0)),"",INDEX(Data!J:J,MATCH(A122,Data!B:B,1))) &amp; ""</f>
        <v/>
      </c>
      <c r="Q122" s="126" t="str">
        <f>IF(S122="T",Charts!$X$7,IF(ISNA(MATCH(A122,Data!B:B,0)),"",INDEX(Data!K:K,MATCH(A122,Data!B:B,1)))) &amp; ""</f>
        <v/>
      </c>
      <c r="R122" s="134"/>
      <c r="S122" s="134"/>
      <c r="T122" s="127"/>
      <c r="AF122" s="24" t="str">
        <f>IF(C122="","",INDEX(Workouts!B:B,MATCH(C122,Workouts!A:A,0)))</f>
        <v/>
      </c>
      <c r="AG122" s="24" t="str">
        <f>IF(SUMIF(Data!B:B,A122,Data!D:D)=0,"",SUMIF(Data!B:B,A122,Data!D:D))</f>
        <v/>
      </c>
      <c r="AH122" s="25" t="str">
        <f>IF(C122="","",INDEX(Workouts!C:C,MATCH(C122,Workouts!A:A,0)))</f>
        <v/>
      </c>
      <c r="AI122" s="68" t="str">
        <f>IF(SUMIF(Data!B:B,A122,Data!F:F)=0,"",SUMIF(Data!B:B,A122,Data!F:F))</f>
        <v/>
      </c>
      <c r="AJ122" s="68">
        <f>AJ121+ (IF(AH122="",0,AH122)-AJ121)/Charts!$X$5</f>
        <v>5.645664671599974E-7</v>
      </c>
      <c r="AK122" s="68">
        <f>AK121+ (IF(AI122="",0,AI122)-AK121)/Charts!$X$5</f>
        <v>5.645664671599974E-7</v>
      </c>
      <c r="AL122" s="68">
        <f>AL121+ (IF(AH122="",0,AH122)-AL121)/Charts!$X$6</f>
        <v>3.0514808450097712</v>
      </c>
      <c r="AM122" s="68">
        <f>AM121+ (IF(AI122="",0,AI122)-AM121)/Charts!$X$6</f>
        <v>3.0514808450097712</v>
      </c>
      <c r="AN122" s="68" t="str">
        <f t="shared" si="22"/>
        <v>3</v>
      </c>
      <c r="AO122" s="68" t="str">
        <f t="shared" si="23"/>
        <v>3</v>
      </c>
      <c r="AP122" s="69" t="str">
        <f>IF(C122="","",INDEX(Workouts!D:D,MATCH(C122,Workouts!A:A,0)))</f>
        <v/>
      </c>
      <c r="AQ122" s="69" t="str">
        <f>IF(ISNA(MATCH(A122,Data!B:B,0)),"",INDEX(Data!G:G,MATCH(A122,Data!B:B,1)))</f>
        <v/>
      </c>
    </row>
    <row r="123" spans="1:43" s="1" customFormat="1" x14ac:dyDescent="0.2">
      <c r="A123" s="125">
        <f t="shared" si="21"/>
        <v>44318</v>
      </c>
      <c r="B123" s="126" t="str">
        <f t="shared" si="18"/>
        <v>Sun</v>
      </c>
      <c r="C123" s="140"/>
      <c r="D123" s="128" t="str">
        <f t="shared" si="19"/>
        <v/>
      </c>
      <c r="E123" s="129" t="str">
        <f t="shared" si="20"/>
        <v/>
      </c>
      <c r="F123" s="130" t="str">
        <f>IF(SUMIF(Data!B:B,A123,Data!C:C)=0,"",SUMIF(Data!B:B,A123,Data!C:C))</f>
        <v/>
      </c>
      <c r="G123" s="126" t="str">
        <f>IF(OR(S123="T",S123="RUN",SUMIF(Data!B:B,A123,Data!E:E)=0),"",SUMIF(Data!B:B,A123,Data!E:E))</f>
        <v/>
      </c>
      <c r="H123" s="126" t="str">
        <f t="shared" si="12"/>
        <v/>
      </c>
      <c r="I123" s="131" t="str">
        <f t="shared" si="13"/>
        <v>0 (0)</v>
      </c>
      <c r="J123" s="131" t="str">
        <f t="shared" si="14"/>
        <v>3 (3)</v>
      </c>
      <c r="K123" s="131" t="str">
        <f t="shared" si="15"/>
        <v>3 (3)</v>
      </c>
      <c r="L123" s="132" t="str">
        <f t="shared" si="16"/>
        <v/>
      </c>
      <c r="M123" s="131" t="str">
        <f t="shared" si="17"/>
        <v/>
      </c>
      <c r="N123" s="126" t="str">
        <f>IF(ISNA(MATCH(A123,Data!B:B,0)),"",INDEX(Data!H:H,MATCH(A123,Data!B:B,1))) &amp; ""</f>
        <v/>
      </c>
      <c r="O123" s="126" t="str">
        <f>IF(ISNA(MATCH(A123,Data!B:B,0)),"",INDEX(Data!I:I,MATCH(A123,Data!B:B,1))) &amp; ""</f>
        <v/>
      </c>
      <c r="P123" s="133" t="str">
        <f>IF(ISNA(MATCH(A123,Data!B:B,0)),"",INDEX(Data!J:J,MATCH(A123,Data!B:B,1))) &amp; ""</f>
        <v/>
      </c>
      <c r="Q123" s="126" t="str">
        <f>IF(S123="T",Charts!$X$7,IF(ISNA(MATCH(A123,Data!B:B,0)),"",INDEX(Data!K:K,MATCH(A123,Data!B:B,1)))) &amp; ""</f>
        <v/>
      </c>
      <c r="R123" s="134"/>
      <c r="S123" s="134"/>
      <c r="T123" s="127"/>
      <c r="AF123" s="24" t="str">
        <f>IF(C123="","",INDEX(Workouts!B:B,MATCH(C123,Workouts!A:A,0)))</f>
        <v/>
      </c>
      <c r="AG123" s="24" t="str">
        <f>IF(SUMIF(Data!B:B,A123,Data!D:D)=0,"",SUMIF(Data!B:B,A123,Data!D:D))</f>
        <v/>
      </c>
      <c r="AH123" s="25" t="str">
        <f>IF(C123="","",INDEX(Workouts!C:C,MATCH(C123,Workouts!A:A,0)))</f>
        <v/>
      </c>
      <c r="AI123" s="68" t="str">
        <f>IF(SUMIF(Data!B:B,A123,Data!F:F)=0,"",SUMIF(Data!B:B,A123,Data!F:F))</f>
        <v/>
      </c>
      <c r="AJ123" s="68">
        <f>AJ122+ (IF(AH123="",0,AH123)-AJ122)/Charts!$X$5</f>
        <v>4.839141147085692E-7</v>
      </c>
      <c r="AK123" s="68">
        <f>AK122+ (IF(AI123="",0,AI123)-AK122)/Charts!$X$5</f>
        <v>4.839141147085692E-7</v>
      </c>
      <c r="AL123" s="68">
        <f>AL122+ (IF(AH123="",0,AH123)-AL122)/Charts!$X$6</f>
        <v>2.9788265391762052</v>
      </c>
      <c r="AM123" s="68">
        <f>AM122+ (IF(AI123="",0,AI123)-AM122)/Charts!$X$6</f>
        <v>2.9788265391762052</v>
      </c>
      <c r="AN123" s="68" t="str">
        <f t="shared" si="22"/>
        <v>3</v>
      </c>
      <c r="AO123" s="68" t="str">
        <f t="shared" si="23"/>
        <v>3</v>
      </c>
      <c r="AP123" s="69" t="str">
        <f>IF(C123="","",INDEX(Workouts!D:D,MATCH(C123,Workouts!A:A,0)))</f>
        <v/>
      </c>
      <c r="AQ123" s="69" t="str">
        <f>IF(ISNA(MATCH(A123,Data!B:B,0)),"",INDEX(Data!G:G,MATCH(A123,Data!B:B,1)))</f>
        <v/>
      </c>
    </row>
    <row r="124" spans="1:43" s="1" customFormat="1" x14ac:dyDescent="0.2">
      <c r="A124" s="125">
        <f t="shared" si="21"/>
        <v>44319</v>
      </c>
      <c r="B124" s="126" t="str">
        <f t="shared" si="18"/>
        <v>Mon</v>
      </c>
      <c r="C124" s="140"/>
      <c r="D124" s="128" t="str">
        <f t="shared" si="19"/>
        <v/>
      </c>
      <c r="E124" s="129" t="str">
        <f t="shared" si="20"/>
        <v/>
      </c>
      <c r="F124" s="130" t="str">
        <f>IF(SUMIF(Data!B:B,A124,Data!C:C)=0,"",SUMIF(Data!B:B,A124,Data!C:C))</f>
        <v/>
      </c>
      <c r="G124" s="126" t="str">
        <f>IF(OR(S124="T",S124="RUN",SUMIF(Data!B:B,A124,Data!E:E)=0),"",SUMIF(Data!B:B,A124,Data!E:E))</f>
        <v/>
      </c>
      <c r="H124" s="126" t="str">
        <f t="shared" si="12"/>
        <v/>
      </c>
      <c r="I124" s="131" t="str">
        <f t="shared" si="13"/>
        <v>0 (0)</v>
      </c>
      <c r="J124" s="131" t="str">
        <f t="shared" si="14"/>
        <v>3 (3)</v>
      </c>
      <c r="K124" s="131" t="str">
        <f t="shared" si="15"/>
        <v>3 (3)</v>
      </c>
      <c r="L124" s="132" t="str">
        <f t="shared" si="16"/>
        <v/>
      </c>
      <c r="M124" s="131" t="str">
        <f t="shared" si="17"/>
        <v/>
      </c>
      <c r="N124" s="126" t="str">
        <f>IF(ISNA(MATCH(A124,Data!B:B,0)),"",INDEX(Data!H:H,MATCH(A124,Data!B:B,1))) &amp; ""</f>
        <v/>
      </c>
      <c r="O124" s="126" t="str">
        <f>IF(ISNA(MATCH(A124,Data!B:B,0)),"",INDEX(Data!I:I,MATCH(A124,Data!B:B,1))) &amp; ""</f>
        <v/>
      </c>
      <c r="P124" s="133" t="str">
        <f>IF(ISNA(MATCH(A124,Data!B:B,0)),"",INDEX(Data!J:J,MATCH(A124,Data!B:B,1))) &amp; ""</f>
        <v/>
      </c>
      <c r="Q124" s="126" t="str">
        <f>IF(S124="T",Charts!$X$7,IF(ISNA(MATCH(A124,Data!B:B,0)),"",INDEX(Data!K:K,MATCH(A124,Data!B:B,1)))) &amp; ""</f>
        <v/>
      </c>
      <c r="R124" s="134"/>
      <c r="S124" s="134"/>
      <c r="T124" s="127"/>
      <c r="AF124" s="24" t="str">
        <f>IF(C124="","",INDEX(Workouts!B:B,MATCH(C124,Workouts!A:A,0)))</f>
        <v/>
      </c>
      <c r="AG124" s="24" t="str">
        <f>IF(SUMIF(Data!B:B,A124,Data!D:D)=0,"",SUMIF(Data!B:B,A124,Data!D:D))</f>
        <v/>
      </c>
      <c r="AH124" s="25" t="str">
        <f>IF(C124="","",INDEX(Workouts!C:C,MATCH(C124,Workouts!A:A,0)))</f>
        <v/>
      </c>
      <c r="AI124" s="68" t="str">
        <f>IF(SUMIF(Data!B:B,A124,Data!F:F)=0,"",SUMIF(Data!B:B,A124,Data!F:F))</f>
        <v/>
      </c>
      <c r="AJ124" s="68">
        <f>AJ123+ (IF(AH124="",0,AH124)-AJ123)/Charts!$X$5</f>
        <v>4.1478352689305933E-7</v>
      </c>
      <c r="AK124" s="68">
        <f>AK123+ (IF(AI124="",0,AI124)-AK123)/Charts!$X$5</f>
        <v>4.1478352689305933E-7</v>
      </c>
      <c r="AL124" s="68">
        <f>AL123+ (IF(AH124="",0,AH124)-AL123)/Charts!$X$6</f>
        <v>2.9079020977672481</v>
      </c>
      <c r="AM124" s="68">
        <f>AM123+ (IF(AI124="",0,AI124)-AM123)/Charts!$X$6</f>
        <v>2.9079020977672481</v>
      </c>
      <c r="AN124" s="68" t="str">
        <f t="shared" si="22"/>
        <v>3</v>
      </c>
      <c r="AO124" s="68" t="str">
        <f t="shared" si="23"/>
        <v>3</v>
      </c>
      <c r="AP124" s="69" t="str">
        <f>IF(C124="","",INDEX(Workouts!D:D,MATCH(C124,Workouts!A:A,0)))</f>
        <v/>
      </c>
      <c r="AQ124" s="69" t="str">
        <f>IF(ISNA(MATCH(A124,Data!B:B,0)),"",INDEX(Data!G:G,MATCH(A124,Data!B:B,1)))</f>
        <v/>
      </c>
    </row>
    <row r="125" spans="1:43" s="1" customFormat="1" x14ac:dyDescent="0.2">
      <c r="A125" s="125">
        <f t="shared" si="21"/>
        <v>44320</v>
      </c>
      <c r="B125" s="126" t="str">
        <f t="shared" si="18"/>
        <v>Tue</v>
      </c>
      <c r="C125" s="140"/>
      <c r="D125" s="128" t="str">
        <f t="shared" si="19"/>
        <v/>
      </c>
      <c r="E125" s="129" t="str">
        <f t="shared" si="20"/>
        <v/>
      </c>
      <c r="F125" s="130" t="str">
        <f>IF(SUMIF(Data!B:B,A125,Data!C:C)=0,"",SUMIF(Data!B:B,A125,Data!C:C))</f>
        <v/>
      </c>
      <c r="G125" s="126" t="str">
        <f>IF(OR(S125="T",S125="RUN",SUMIF(Data!B:B,A125,Data!E:E)=0),"",SUMIF(Data!B:B,A125,Data!E:E))</f>
        <v/>
      </c>
      <c r="H125" s="126" t="str">
        <f t="shared" si="12"/>
        <v/>
      </c>
      <c r="I125" s="131" t="str">
        <f t="shared" si="13"/>
        <v>0 (0)</v>
      </c>
      <c r="J125" s="131" t="str">
        <f t="shared" si="14"/>
        <v>3 (3)</v>
      </c>
      <c r="K125" s="131" t="str">
        <f t="shared" si="15"/>
        <v>3 (3)</v>
      </c>
      <c r="L125" s="132" t="str">
        <f t="shared" si="16"/>
        <v/>
      </c>
      <c r="M125" s="131" t="str">
        <f t="shared" si="17"/>
        <v/>
      </c>
      <c r="N125" s="126" t="str">
        <f>IF(ISNA(MATCH(A125,Data!B:B,0)),"",INDEX(Data!H:H,MATCH(A125,Data!B:B,1))) &amp; ""</f>
        <v/>
      </c>
      <c r="O125" s="126" t="str">
        <f>IF(ISNA(MATCH(A125,Data!B:B,0)),"",INDEX(Data!I:I,MATCH(A125,Data!B:B,1))) &amp; ""</f>
        <v/>
      </c>
      <c r="P125" s="133" t="str">
        <f>IF(ISNA(MATCH(A125,Data!B:B,0)),"",INDEX(Data!J:J,MATCH(A125,Data!B:B,1))) &amp; ""</f>
        <v/>
      </c>
      <c r="Q125" s="126" t="str">
        <f>IF(S125="T",Charts!$X$7,IF(ISNA(MATCH(A125,Data!B:B,0)),"",INDEX(Data!K:K,MATCH(A125,Data!B:B,1)))) &amp; ""</f>
        <v/>
      </c>
      <c r="R125" s="134"/>
      <c r="S125" s="134"/>
      <c r="T125" s="127"/>
      <c r="AF125" s="24" t="str">
        <f>IF(C125="","",INDEX(Workouts!B:B,MATCH(C125,Workouts!A:A,0)))</f>
        <v/>
      </c>
      <c r="AG125" s="24" t="str">
        <f>IF(SUMIF(Data!B:B,A125,Data!D:D)=0,"",SUMIF(Data!B:B,A125,Data!D:D))</f>
        <v/>
      </c>
      <c r="AH125" s="25" t="str">
        <f>IF(C125="","",INDEX(Workouts!C:C,MATCH(C125,Workouts!A:A,0)))</f>
        <v/>
      </c>
      <c r="AI125" s="68" t="str">
        <f>IF(SUMIF(Data!B:B,A125,Data!F:F)=0,"",SUMIF(Data!B:B,A125,Data!F:F))</f>
        <v/>
      </c>
      <c r="AJ125" s="68">
        <f>AJ124+ (IF(AH125="",0,AH125)-AJ124)/Charts!$X$5</f>
        <v>3.5552873733690802E-7</v>
      </c>
      <c r="AK125" s="68">
        <f>AK124+ (IF(AI125="",0,AI125)-AK124)/Charts!$X$5</f>
        <v>3.5552873733690802E-7</v>
      </c>
      <c r="AL125" s="68">
        <f>AL124+ (IF(AH125="",0,AH125)-AL124)/Charts!$X$6</f>
        <v>2.8386663335346944</v>
      </c>
      <c r="AM125" s="68">
        <f>AM124+ (IF(AI125="",0,AI125)-AM124)/Charts!$X$6</f>
        <v>2.8386663335346944</v>
      </c>
      <c r="AN125" s="68" t="str">
        <f t="shared" si="22"/>
        <v>3</v>
      </c>
      <c r="AO125" s="68" t="str">
        <f t="shared" si="23"/>
        <v>3</v>
      </c>
      <c r="AP125" s="69" t="str">
        <f>IF(C125="","",INDEX(Workouts!D:D,MATCH(C125,Workouts!A:A,0)))</f>
        <v/>
      </c>
      <c r="AQ125" s="69" t="str">
        <f>IF(ISNA(MATCH(A125,Data!B:B,0)),"",INDEX(Data!G:G,MATCH(A125,Data!B:B,1)))</f>
        <v/>
      </c>
    </row>
    <row r="126" spans="1:43" s="1" customFormat="1" x14ac:dyDescent="0.2">
      <c r="A126" s="125">
        <f t="shared" si="21"/>
        <v>44321</v>
      </c>
      <c r="B126" s="126" t="str">
        <f t="shared" si="18"/>
        <v>Wed</v>
      </c>
      <c r="C126" s="140"/>
      <c r="D126" s="128" t="str">
        <f t="shared" si="19"/>
        <v/>
      </c>
      <c r="E126" s="129" t="str">
        <f t="shared" si="20"/>
        <v/>
      </c>
      <c r="F126" s="130" t="str">
        <f>IF(SUMIF(Data!B:B,A126,Data!C:C)=0,"",SUMIF(Data!B:B,A126,Data!C:C))</f>
        <v/>
      </c>
      <c r="G126" s="126" t="str">
        <f>IF(OR(S126="T",S126="RUN",SUMIF(Data!B:B,A126,Data!E:E)=0),"",SUMIF(Data!B:B,A126,Data!E:E))</f>
        <v/>
      </c>
      <c r="H126" s="126" t="str">
        <f t="shared" si="12"/>
        <v/>
      </c>
      <c r="I126" s="131" t="str">
        <f t="shared" si="13"/>
        <v>0 (0)</v>
      </c>
      <c r="J126" s="131" t="str">
        <f t="shared" si="14"/>
        <v>3 (3)</v>
      </c>
      <c r="K126" s="131" t="str">
        <f t="shared" si="15"/>
        <v>3 (3)</v>
      </c>
      <c r="L126" s="132" t="str">
        <f t="shared" si="16"/>
        <v/>
      </c>
      <c r="M126" s="131" t="str">
        <f t="shared" si="17"/>
        <v/>
      </c>
      <c r="N126" s="126" t="str">
        <f>IF(ISNA(MATCH(A126,Data!B:B,0)),"",INDEX(Data!H:H,MATCH(A126,Data!B:B,1))) &amp; ""</f>
        <v/>
      </c>
      <c r="O126" s="126" t="str">
        <f>IF(ISNA(MATCH(A126,Data!B:B,0)),"",INDEX(Data!I:I,MATCH(A126,Data!B:B,1))) &amp; ""</f>
        <v/>
      </c>
      <c r="P126" s="133" t="str">
        <f>IF(ISNA(MATCH(A126,Data!B:B,0)),"",INDEX(Data!J:J,MATCH(A126,Data!B:B,1))) &amp; ""</f>
        <v/>
      </c>
      <c r="Q126" s="126" t="str">
        <f>IF(S126="T",Charts!$X$7,IF(ISNA(MATCH(A126,Data!B:B,0)),"",INDEX(Data!K:K,MATCH(A126,Data!B:B,1)))) &amp; ""</f>
        <v/>
      </c>
      <c r="R126" s="134"/>
      <c r="S126" s="134"/>
      <c r="T126" s="127"/>
      <c r="AF126" s="24" t="str">
        <f>IF(C126="","",INDEX(Workouts!B:B,MATCH(C126,Workouts!A:A,0)))</f>
        <v/>
      </c>
      <c r="AG126" s="24" t="str">
        <f>IF(SUMIF(Data!B:B,A126,Data!D:D)=0,"",SUMIF(Data!B:B,A126,Data!D:D))</f>
        <v/>
      </c>
      <c r="AH126" s="25" t="str">
        <f>IF(C126="","",INDEX(Workouts!C:C,MATCH(C126,Workouts!A:A,0)))</f>
        <v/>
      </c>
      <c r="AI126" s="68" t="str">
        <f>IF(SUMIF(Data!B:B,A126,Data!F:F)=0,"",SUMIF(Data!B:B,A126,Data!F:F))</f>
        <v/>
      </c>
      <c r="AJ126" s="68">
        <f>AJ125+ (IF(AH126="",0,AH126)-AJ125)/Charts!$X$5</f>
        <v>3.0473891771734972E-7</v>
      </c>
      <c r="AK126" s="68">
        <f>AK125+ (IF(AI126="",0,AI126)-AK125)/Charts!$X$5</f>
        <v>3.0473891771734972E-7</v>
      </c>
      <c r="AL126" s="68">
        <f>AL125+ (IF(AH126="",0,AH126)-AL125)/Charts!$X$6</f>
        <v>2.7710790398791065</v>
      </c>
      <c r="AM126" s="68">
        <f>AM125+ (IF(AI126="",0,AI126)-AM125)/Charts!$X$6</f>
        <v>2.7710790398791065</v>
      </c>
      <c r="AN126" s="68" t="str">
        <f t="shared" si="22"/>
        <v>3</v>
      </c>
      <c r="AO126" s="68" t="str">
        <f t="shared" si="23"/>
        <v>3</v>
      </c>
      <c r="AP126" s="69" t="str">
        <f>IF(C126="","",INDEX(Workouts!D:D,MATCH(C126,Workouts!A:A,0)))</f>
        <v/>
      </c>
      <c r="AQ126" s="69" t="str">
        <f>IF(ISNA(MATCH(A126,Data!B:B,0)),"",INDEX(Data!G:G,MATCH(A126,Data!B:B,1)))</f>
        <v/>
      </c>
    </row>
    <row r="127" spans="1:43" s="1" customFormat="1" x14ac:dyDescent="0.2">
      <c r="A127" s="125">
        <f t="shared" si="21"/>
        <v>44322</v>
      </c>
      <c r="B127" s="126" t="str">
        <f t="shared" si="18"/>
        <v>Thu</v>
      </c>
      <c r="C127" s="140"/>
      <c r="D127" s="128" t="str">
        <f t="shared" si="19"/>
        <v/>
      </c>
      <c r="E127" s="129" t="str">
        <f t="shared" si="20"/>
        <v/>
      </c>
      <c r="F127" s="130" t="str">
        <f>IF(SUMIF(Data!B:B,A127,Data!C:C)=0,"",SUMIF(Data!B:B,A127,Data!C:C))</f>
        <v/>
      </c>
      <c r="G127" s="126" t="str">
        <f>IF(OR(S127="T",S127="RUN",SUMIF(Data!B:B,A127,Data!E:E)=0),"",SUMIF(Data!B:B,A127,Data!E:E))</f>
        <v/>
      </c>
      <c r="H127" s="126" t="str">
        <f t="shared" si="12"/>
        <v/>
      </c>
      <c r="I127" s="131" t="str">
        <f t="shared" si="13"/>
        <v>0 (0)</v>
      </c>
      <c r="J127" s="131" t="str">
        <f t="shared" si="14"/>
        <v>3 (3)</v>
      </c>
      <c r="K127" s="131" t="str">
        <f t="shared" si="15"/>
        <v>3 (3)</v>
      </c>
      <c r="L127" s="132" t="str">
        <f t="shared" si="16"/>
        <v/>
      </c>
      <c r="M127" s="131" t="str">
        <f t="shared" si="17"/>
        <v/>
      </c>
      <c r="N127" s="126" t="str">
        <f>IF(ISNA(MATCH(A127,Data!B:B,0)),"",INDEX(Data!H:H,MATCH(A127,Data!B:B,1))) &amp; ""</f>
        <v/>
      </c>
      <c r="O127" s="126" t="str">
        <f>IF(ISNA(MATCH(A127,Data!B:B,0)),"",INDEX(Data!I:I,MATCH(A127,Data!B:B,1))) &amp; ""</f>
        <v/>
      </c>
      <c r="P127" s="133" t="str">
        <f>IF(ISNA(MATCH(A127,Data!B:B,0)),"",INDEX(Data!J:J,MATCH(A127,Data!B:B,1))) &amp; ""</f>
        <v/>
      </c>
      <c r="Q127" s="126" t="str">
        <f>IF(S127="T",Charts!$X$7,IF(ISNA(MATCH(A127,Data!B:B,0)),"",INDEX(Data!K:K,MATCH(A127,Data!B:B,1)))) &amp; ""</f>
        <v/>
      </c>
      <c r="R127" s="134"/>
      <c r="S127" s="134"/>
      <c r="T127" s="127"/>
      <c r="AF127" s="24" t="str">
        <f>IF(C127="","",INDEX(Workouts!B:B,MATCH(C127,Workouts!A:A,0)))</f>
        <v/>
      </c>
      <c r="AG127" s="24" t="str">
        <f>IF(SUMIF(Data!B:B,A127,Data!D:D)=0,"",SUMIF(Data!B:B,A127,Data!D:D))</f>
        <v/>
      </c>
      <c r="AH127" s="25" t="str">
        <f>IF(C127="","",INDEX(Workouts!C:C,MATCH(C127,Workouts!A:A,0)))</f>
        <v/>
      </c>
      <c r="AI127" s="68" t="str">
        <f>IF(SUMIF(Data!B:B,A127,Data!F:F)=0,"",SUMIF(Data!B:B,A127,Data!F:F))</f>
        <v/>
      </c>
      <c r="AJ127" s="68">
        <f>AJ126+ (IF(AH127="",0,AH127)-AJ126)/Charts!$X$5</f>
        <v>2.612047866148712E-7</v>
      </c>
      <c r="AK127" s="68">
        <f>AK126+ (IF(AI127="",0,AI127)-AK126)/Charts!$X$5</f>
        <v>2.612047866148712E-7</v>
      </c>
      <c r="AL127" s="68">
        <f>AL126+ (IF(AH127="",0,AH127)-AL126)/Charts!$X$6</f>
        <v>2.7051009675010325</v>
      </c>
      <c r="AM127" s="68">
        <f>AM126+ (IF(AI127="",0,AI127)-AM126)/Charts!$X$6</f>
        <v>2.7051009675010325</v>
      </c>
      <c r="AN127" s="68" t="str">
        <f t="shared" si="22"/>
        <v>3</v>
      </c>
      <c r="AO127" s="68" t="str">
        <f t="shared" si="23"/>
        <v>3</v>
      </c>
      <c r="AP127" s="69" t="str">
        <f>IF(C127="","",INDEX(Workouts!D:D,MATCH(C127,Workouts!A:A,0)))</f>
        <v/>
      </c>
      <c r="AQ127" s="69" t="str">
        <f>IF(ISNA(MATCH(A127,Data!B:B,0)),"",INDEX(Data!G:G,MATCH(A127,Data!B:B,1)))</f>
        <v/>
      </c>
    </row>
    <row r="128" spans="1:43" s="1" customFormat="1" x14ac:dyDescent="0.2">
      <c r="A128" s="125">
        <f t="shared" si="21"/>
        <v>44323</v>
      </c>
      <c r="B128" s="126" t="str">
        <f t="shared" si="18"/>
        <v>Fri</v>
      </c>
      <c r="C128" s="140"/>
      <c r="D128" s="128" t="str">
        <f t="shared" si="19"/>
        <v/>
      </c>
      <c r="E128" s="129" t="str">
        <f t="shared" si="20"/>
        <v/>
      </c>
      <c r="F128" s="130" t="str">
        <f>IF(SUMIF(Data!B:B,A128,Data!C:C)=0,"",SUMIF(Data!B:B,A128,Data!C:C))</f>
        <v/>
      </c>
      <c r="G128" s="126" t="str">
        <f>IF(OR(S128="T",S128="RUN",SUMIF(Data!B:B,A128,Data!E:E)=0),"",SUMIF(Data!B:B,A128,Data!E:E))</f>
        <v/>
      </c>
      <c r="H128" s="126" t="str">
        <f t="shared" si="12"/>
        <v/>
      </c>
      <c r="I128" s="131" t="str">
        <f t="shared" si="13"/>
        <v>0 (0)</v>
      </c>
      <c r="J128" s="131" t="str">
        <f t="shared" si="14"/>
        <v>3 (3)</v>
      </c>
      <c r="K128" s="131" t="str">
        <f t="shared" si="15"/>
        <v>3 (3)</v>
      </c>
      <c r="L128" s="132" t="str">
        <f t="shared" si="16"/>
        <v/>
      </c>
      <c r="M128" s="131" t="str">
        <f t="shared" si="17"/>
        <v/>
      </c>
      <c r="N128" s="126" t="str">
        <f>IF(ISNA(MATCH(A128,Data!B:B,0)),"",INDEX(Data!H:H,MATCH(A128,Data!B:B,1))) &amp; ""</f>
        <v/>
      </c>
      <c r="O128" s="126" t="str">
        <f>IF(ISNA(MATCH(A128,Data!B:B,0)),"",INDEX(Data!I:I,MATCH(A128,Data!B:B,1))) &amp; ""</f>
        <v/>
      </c>
      <c r="P128" s="133" t="str">
        <f>IF(ISNA(MATCH(A128,Data!B:B,0)),"",INDEX(Data!J:J,MATCH(A128,Data!B:B,1))) &amp; ""</f>
        <v/>
      </c>
      <c r="Q128" s="126" t="str">
        <f>IF(S128="T",Charts!$X$7,IF(ISNA(MATCH(A128,Data!B:B,0)),"",INDEX(Data!K:K,MATCH(A128,Data!B:B,1)))) &amp; ""</f>
        <v/>
      </c>
      <c r="R128" s="134"/>
      <c r="S128" s="134"/>
      <c r="T128" s="127"/>
      <c r="AF128" s="24" t="str">
        <f>IF(C128="","",INDEX(Workouts!B:B,MATCH(C128,Workouts!A:A,0)))</f>
        <v/>
      </c>
      <c r="AG128" s="24" t="str">
        <f>IF(SUMIF(Data!B:B,A128,Data!D:D)=0,"",SUMIF(Data!B:B,A128,Data!D:D))</f>
        <v/>
      </c>
      <c r="AH128" s="25" t="str">
        <f>IF(C128="","",INDEX(Workouts!C:C,MATCH(C128,Workouts!A:A,0)))</f>
        <v/>
      </c>
      <c r="AI128" s="68" t="str">
        <f>IF(SUMIF(Data!B:B,A128,Data!F:F)=0,"",SUMIF(Data!B:B,A128,Data!F:F))</f>
        <v/>
      </c>
      <c r="AJ128" s="68">
        <f>AJ127+ (IF(AH128="",0,AH128)-AJ127)/Charts!$X$5</f>
        <v>2.2388981709846102E-7</v>
      </c>
      <c r="AK128" s="68">
        <f>AK127+ (IF(AI128="",0,AI128)-AK127)/Charts!$X$5</f>
        <v>2.2388981709846102E-7</v>
      </c>
      <c r="AL128" s="68">
        <f>AL127+ (IF(AH128="",0,AH128)-AL127)/Charts!$X$6</f>
        <v>2.6406938016081507</v>
      </c>
      <c r="AM128" s="68">
        <f>AM127+ (IF(AI128="",0,AI128)-AM127)/Charts!$X$6</f>
        <v>2.6406938016081507</v>
      </c>
      <c r="AN128" s="68" t="str">
        <f t="shared" si="22"/>
        <v>3</v>
      </c>
      <c r="AO128" s="68" t="str">
        <f t="shared" si="23"/>
        <v>3</v>
      </c>
      <c r="AP128" s="69" t="str">
        <f>IF(C128="","",INDEX(Workouts!D:D,MATCH(C128,Workouts!A:A,0)))</f>
        <v/>
      </c>
      <c r="AQ128" s="69" t="str">
        <f>IF(ISNA(MATCH(A128,Data!B:B,0)),"",INDEX(Data!G:G,MATCH(A128,Data!B:B,1)))</f>
        <v/>
      </c>
    </row>
    <row r="129" spans="1:43" s="1" customFormat="1" x14ac:dyDescent="0.2">
      <c r="A129" s="125">
        <f t="shared" si="21"/>
        <v>44324</v>
      </c>
      <c r="B129" s="126" t="str">
        <f t="shared" si="18"/>
        <v>Sat</v>
      </c>
      <c r="C129" s="140"/>
      <c r="D129" s="128" t="str">
        <f t="shared" si="19"/>
        <v/>
      </c>
      <c r="E129" s="129" t="str">
        <f t="shared" si="20"/>
        <v/>
      </c>
      <c r="F129" s="130" t="str">
        <f>IF(SUMIF(Data!B:B,A129,Data!C:C)=0,"",SUMIF(Data!B:B,A129,Data!C:C))</f>
        <v/>
      </c>
      <c r="G129" s="126" t="str">
        <f>IF(OR(S129="T",S129="RUN",SUMIF(Data!B:B,A129,Data!E:E)=0),"",SUMIF(Data!B:B,A129,Data!E:E))</f>
        <v/>
      </c>
      <c r="H129" s="126" t="str">
        <f t="shared" si="12"/>
        <v/>
      </c>
      <c r="I129" s="131" t="str">
        <f t="shared" si="13"/>
        <v>0 (0)</v>
      </c>
      <c r="J129" s="131" t="str">
        <f t="shared" si="14"/>
        <v>3 (3)</v>
      </c>
      <c r="K129" s="131" t="str">
        <f t="shared" si="15"/>
        <v>3 (3)</v>
      </c>
      <c r="L129" s="132" t="str">
        <f t="shared" si="16"/>
        <v/>
      </c>
      <c r="M129" s="131" t="str">
        <f t="shared" si="17"/>
        <v/>
      </c>
      <c r="N129" s="126" t="str">
        <f>IF(ISNA(MATCH(A129,Data!B:B,0)),"",INDEX(Data!H:H,MATCH(A129,Data!B:B,1))) &amp; ""</f>
        <v/>
      </c>
      <c r="O129" s="126" t="str">
        <f>IF(ISNA(MATCH(A129,Data!B:B,0)),"",INDEX(Data!I:I,MATCH(A129,Data!B:B,1))) &amp; ""</f>
        <v/>
      </c>
      <c r="P129" s="133" t="str">
        <f>IF(ISNA(MATCH(A129,Data!B:B,0)),"",INDEX(Data!J:J,MATCH(A129,Data!B:B,1))) &amp; ""</f>
        <v/>
      </c>
      <c r="Q129" s="126" t="str">
        <f>IF(S129="T",Charts!$X$7,IF(ISNA(MATCH(A129,Data!B:B,0)),"",INDEX(Data!K:K,MATCH(A129,Data!B:B,1)))) &amp; ""</f>
        <v/>
      </c>
      <c r="R129" s="134"/>
      <c r="S129" s="134"/>
      <c r="T129" s="127"/>
      <c r="AF129" s="24" t="str">
        <f>IF(C129="","",INDEX(Workouts!B:B,MATCH(C129,Workouts!A:A,0)))</f>
        <v/>
      </c>
      <c r="AG129" s="24" t="str">
        <f>IF(SUMIF(Data!B:B,A129,Data!D:D)=0,"",SUMIF(Data!B:B,A129,Data!D:D))</f>
        <v/>
      </c>
      <c r="AH129" s="25" t="str">
        <f>IF(C129="","",INDEX(Workouts!C:C,MATCH(C129,Workouts!A:A,0)))</f>
        <v/>
      </c>
      <c r="AI129" s="68" t="str">
        <f>IF(SUMIF(Data!B:B,A129,Data!F:F)=0,"",SUMIF(Data!B:B,A129,Data!F:F))</f>
        <v/>
      </c>
      <c r="AJ129" s="68">
        <f>AJ128+ (IF(AH129="",0,AH129)-AJ128)/Charts!$X$5</f>
        <v>1.919055575129666E-7</v>
      </c>
      <c r="AK129" s="68">
        <f>AK128+ (IF(AI129="",0,AI129)-AK128)/Charts!$X$5</f>
        <v>1.919055575129666E-7</v>
      </c>
      <c r="AL129" s="68">
        <f>AL128+ (IF(AH129="",0,AH129)-AL128)/Charts!$X$6</f>
        <v>2.5778201396650995</v>
      </c>
      <c r="AM129" s="68">
        <f>AM128+ (IF(AI129="",0,AI129)-AM128)/Charts!$X$6</f>
        <v>2.5778201396650995</v>
      </c>
      <c r="AN129" s="68" t="str">
        <f t="shared" si="22"/>
        <v>3</v>
      </c>
      <c r="AO129" s="68" t="str">
        <f t="shared" si="23"/>
        <v>3</v>
      </c>
      <c r="AP129" s="69" t="str">
        <f>IF(C129="","",INDEX(Workouts!D:D,MATCH(C129,Workouts!A:A,0)))</f>
        <v/>
      </c>
      <c r="AQ129" s="69" t="str">
        <f>IF(ISNA(MATCH(A129,Data!B:B,0)),"",INDEX(Data!G:G,MATCH(A129,Data!B:B,1)))</f>
        <v/>
      </c>
    </row>
    <row r="130" spans="1:43" s="1" customFormat="1" x14ac:dyDescent="0.2">
      <c r="A130" s="125">
        <f t="shared" si="21"/>
        <v>44325</v>
      </c>
      <c r="B130" s="126" t="str">
        <f t="shared" si="18"/>
        <v>Sun</v>
      </c>
      <c r="C130" s="140"/>
      <c r="D130" s="128" t="str">
        <f t="shared" si="19"/>
        <v/>
      </c>
      <c r="E130" s="129" t="str">
        <f t="shared" si="20"/>
        <v/>
      </c>
      <c r="F130" s="130" t="str">
        <f>IF(SUMIF(Data!B:B,A130,Data!C:C)=0,"",SUMIF(Data!B:B,A130,Data!C:C))</f>
        <v/>
      </c>
      <c r="G130" s="126" t="str">
        <f>IF(OR(S130="T",S130="RUN",SUMIF(Data!B:B,A130,Data!E:E)=0),"",SUMIF(Data!B:B,A130,Data!E:E))</f>
        <v/>
      </c>
      <c r="H130" s="126" t="str">
        <f t="shared" ref="H130:H193" si="24">IF(G130&lt;&gt;"",INT(G130/F130),"")</f>
        <v/>
      </c>
      <c r="I130" s="131" t="str">
        <f t="shared" ref="I130:I193" si="25">ROUND(AK130,0)&amp;IF(AJ130="",""," ("&amp;ROUND(AJ130,0)&amp;")")</f>
        <v>0 (0)</v>
      </c>
      <c r="J130" s="131" t="str">
        <f t="shared" ref="J130:J193" si="26">ROUND(AM130,0)&amp;IF(AL130="",""," ("&amp;ROUND(AL130,0)&amp;")")</f>
        <v>3 (3)</v>
      </c>
      <c r="K130" s="131" t="str">
        <f t="shared" ref="K130:K193" si="27">AO130&amp;IF(AN130="",""," ("&amp;AN130&amp;")")</f>
        <v>3 (3)</v>
      </c>
      <c r="L130" s="132" t="str">
        <f t="shared" ref="L130:L193" si="28">AI130&amp;IF(AH130="",""," ("&amp;AH130&amp;")")</f>
        <v/>
      </c>
      <c r="M130" s="131" t="str">
        <f t="shared" ref="M130:M193" si="29">TEXT(AQ130,"0.00")&amp;IF(AP130="",""," ("&amp;TEXT(AP130,"0.00")&amp;")")</f>
        <v/>
      </c>
      <c r="N130" s="126" t="str">
        <f>IF(ISNA(MATCH(A130,Data!B:B,0)),"",INDEX(Data!H:H,MATCH(A130,Data!B:B,1))) &amp; ""</f>
        <v/>
      </c>
      <c r="O130" s="126" t="str">
        <f>IF(ISNA(MATCH(A130,Data!B:B,0)),"",INDEX(Data!I:I,MATCH(A130,Data!B:B,1))) &amp; ""</f>
        <v/>
      </c>
      <c r="P130" s="133" t="str">
        <f>IF(ISNA(MATCH(A130,Data!B:B,0)),"",INDEX(Data!J:J,MATCH(A130,Data!B:B,1))) &amp; ""</f>
        <v/>
      </c>
      <c r="Q130" s="126" t="str">
        <f>IF(S130="T",Charts!$X$7,IF(ISNA(MATCH(A130,Data!B:B,0)),"",INDEX(Data!K:K,MATCH(A130,Data!B:B,1)))) &amp; ""</f>
        <v/>
      </c>
      <c r="R130" s="134"/>
      <c r="S130" s="134"/>
      <c r="T130" s="127"/>
      <c r="AF130" s="24" t="str">
        <f>IF(C130="","",INDEX(Workouts!B:B,MATCH(C130,Workouts!A:A,0)))</f>
        <v/>
      </c>
      <c r="AG130" s="24" t="str">
        <f>IF(SUMIF(Data!B:B,A130,Data!D:D)=0,"",SUMIF(Data!B:B,A130,Data!D:D))</f>
        <v/>
      </c>
      <c r="AH130" s="25" t="str">
        <f>IF(C130="","",INDEX(Workouts!C:C,MATCH(C130,Workouts!A:A,0)))</f>
        <v/>
      </c>
      <c r="AI130" s="68" t="str">
        <f>IF(SUMIF(Data!B:B,A130,Data!F:F)=0,"",SUMIF(Data!B:B,A130,Data!F:F))</f>
        <v/>
      </c>
      <c r="AJ130" s="68">
        <f>AJ129+ (IF(AH130="",0,AH130)-AJ129)/Charts!$X$5</f>
        <v>1.6449047786825707E-7</v>
      </c>
      <c r="AK130" s="68">
        <f>AK129+ (IF(AI130="",0,AI130)-AK129)/Charts!$X$5</f>
        <v>1.6449047786825707E-7</v>
      </c>
      <c r="AL130" s="68">
        <f>AL129+ (IF(AH130="",0,AH130)-AL129)/Charts!$X$6</f>
        <v>2.5164434696730735</v>
      </c>
      <c r="AM130" s="68">
        <f>AM129+ (IF(AI130="",0,AI130)-AM129)/Charts!$X$6</f>
        <v>2.5164434696730735</v>
      </c>
      <c r="AN130" s="68" t="str">
        <f t="shared" si="22"/>
        <v>3</v>
      </c>
      <c r="AO130" s="68" t="str">
        <f t="shared" si="23"/>
        <v>3</v>
      </c>
      <c r="AP130" s="69" t="str">
        <f>IF(C130="","",INDEX(Workouts!D:D,MATCH(C130,Workouts!A:A,0)))</f>
        <v/>
      </c>
      <c r="AQ130" s="69" t="str">
        <f>IF(ISNA(MATCH(A130,Data!B:B,0)),"",INDEX(Data!G:G,MATCH(A130,Data!B:B,1)))</f>
        <v/>
      </c>
    </row>
    <row r="131" spans="1:43" s="1" customFormat="1" x14ac:dyDescent="0.2">
      <c r="A131" s="125">
        <f t="shared" si="21"/>
        <v>44326</v>
      </c>
      <c r="B131" s="126" t="str">
        <f t="shared" ref="B131:B194" si="30">TEXT(A131,"ddd")</f>
        <v>Mon</v>
      </c>
      <c r="C131" s="140"/>
      <c r="D131" s="128" t="str">
        <f t="shared" ref="D131:D194" si="31">IF(AG131="","",INT(AG131/60)&amp;":"&amp;RIGHT("00"&amp;MOD(AG131,60),2)&amp;" ")
&amp;IF(OR(AF131="",AF131=0),"","("&amp;INT(AF131/60)&amp;":"&amp;RIGHT("00"&amp;MOD(AF131,60),2)&amp;")")</f>
        <v/>
      </c>
      <c r="E131" s="129" t="str">
        <f t="shared" ref="E131:E194" si="32">IF(AG131&lt;&gt;"",F131/AG131*60,"")</f>
        <v/>
      </c>
      <c r="F131" s="130" t="str">
        <f>IF(SUMIF(Data!B:B,A131,Data!C:C)=0,"",SUMIF(Data!B:B,A131,Data!C:C))</f>
        <v/>
      </c>
      <c r="G131" s="126" t="str">
        <f>IF(OR(S131="T",S131="RUN",SUMIF(Data!B:B,A131,Data!E:E)=0),"",SUMIF(Data!B:B,A131,Data!E:E))</f>
        <v/>
      </c>
      <c r="H131" s="126" t="str">
        <f t="shared" si="24"/>
        <v/>
      </c>
      <c r="I131" s="131" t="str">
        <f t="shared" si="25"/>
        <v>0 (0)</v>
      </c>
      <c r="J131" s="131" t="str">
        <f t="shared" si="26"/>
        <v>2 (2)</v>
      </c>
      <c r="K131" s="131" t="str">
        <f t="shared" si="27"/>
        <v>3 (3)</v>
      </c>
      <c r="L131" s="132" t="str">
        <f t="shared" si="28"/>
        <v/>
      </c>
      <c r="M131" s="131" t="str">
        <f t="shared" si="29"/>
        <v/>
      </c>
      <c r="N131" s="126" t="str">
        <f>IF(ISNA(MATCH(A131,Data!B:B,0)),"",INDEX(Data!H:H,MATCH(A131,Data!B:B,1))) &amp; ""</f>
        <v/>
      </c>
      <c r="O131" s="126" t="str">
        <f>IF(ISNA(MATCH(A131,Data!B:B,0)),"",INDEX(Data!I:I,MATCH(A131,Data!B:B,1))) &amp; ""</f>
        <v/>
      </c>
      <c r="P131" s="133" t="str">
        <f>IF(ISNA(MATCH(A131,Data!B:B,0)),"",INDEX(Data!J:J,MATCH(A131,Data!B:B,1))) &amp; ""</f>
        <v/>
      </c>
      <c r="Q131" s="126" t="str">
        <f>IF(S131="T",Charts!$X$7,IF(ISNA(MATCH(A131,Data!B:B,0)),"",INDEX(Data!K:K,MATCH(A131,Data!B:B,1)))) &amp; ""</f>
        <v/>
      </c>
      <c r="R131" s="134"/>
      <c r="S131" s="134"/>
      <c r="T131" s="127"/>
      <c r="AF131" s="24" t="str">
        <f>IF(C131="","",INDEX(Workouts!B:B,MATCH(C131,Workouts!A:A,0)))</f>
        <v/>
      </c>
      <c r="AG131" s="24" t="str">
        <f>IF(SUMIF(Data!B:B,A131,Data!D:D)=0,"",SUMIF(Data!B:B,A131,Data!D:D))</f>
        <v/>
      </c>
      <c r="AH131" s="25" t="str">
        <f>IF(C131="","",INDEX(Workouts!C:C,MATCH(C131,Workouts!A:A,0)))</f>
        <v/>
      </c>
      <c r="AI131" s="68" t="str">
        <f>IF(SUMIF(Data!B:B,A131,Data!F:F)=0,"",SUMIF(Data!B:B,A131,Data!F:F))</f>
        <v/>
      </c>
      <c r="AJ131" s="68">
        <f>AJ130+ (IF(AH131="",0,AH131)-AJ130)/Charts!$X$5</f>
        <v>1.4099183817279177E-7</v>
      </c>
      <c r="AK131" s="68">
        <f>AK130+ (IF(AI131="",0,AI131)-AK130)/Charts!$X$5</f>
        <v>1.4099183817279177E-7</v>
      </c>
      <c r="AL131" s="68">
        <f>AL130+ (IF(AH131="",0,AH131)-AL130)/Charts!$X$6</f>
        <v>2.4565281489665716</v>
      </c>
      <c r="AM131" s="68">
        <f>AM130+ (IF(AI131="",0,AI131)-AM130)/Charts!$X$6</f>
        <v>2.4565281489665716</v>
      </c>
      <c r="AN131" s="68" t="str">
        <f t="shared" si="22"/>
        <v>3</v>
      </c>
      <c r="AO131" s="68" t="str">
        <f t="shared" si="23"/>
        <v>3</v>
      </c>
      <c r="AP131" s="69" t="str">
        <f>IF(C131="","",INDEX(Workouts!D:D,MATCH(C131,Workouts!A:A,0)))</f>
        <v/>
      </c>
      <c r="AQ131" s="69" t="str">
        <f>IF(ISNA(MATCH(A131,Data!B:B,0)),"",INDEX(Data!G:G,MATCH(A131,Data!B:B,1)))</f>
        <v/>
      </c>
    </row>
    <row r="132" spans="1:43" s="1" customFormat="1" x14ac:dyDescent="0.2">
      <c r="A132" s="125">
        <f t="shared" ref="A132:A195" si="33">A131+1</f>
        <v>44327</v>
      </c>
      <c r="B132" s="126" t="str">
        <f t="shared" si="30"/>
        <v>Tue</v>
      </c>
      <c r="C132" s="140"/>
      <c r="D132" s="128" t="str">
        <f t="shared" si="31"/>
        <v/>
      </c>
      <c r="E132" s="129" t="str">
        <f t="shared" si="32"/>
        <v/>
      </c>
      <c r="F132" s="130" t="str">
        <f>IF(SUMIF(Data!B:B,A132,Data!C:C)=0,"",SUMIF(Data!B:B,A132,Data!C:C))</f>
        <v/>
      </c>
      <c r="G132" s="126" t="str">
        <f>IF(OR(S132="T",S132="RUN",SUMIF(Data!B:B,A132,Data!E:E)=0),"",SUMIF(Data!B:B,A132,Data!E:E))</f>
        <v/>
      </c>
      <c r="H132" s="126" t="str">
        <f t="shared" si="24"/>
        <v/>
      </c>
      <c r="I132" s="131" t="str">
        <f t="shared" si="25"/>
        <v>0 (0)</v>
      </c>
      <c r="J132" s="131" t="str">
        <f t="shared" si="26"/>
        <v>2 (2)</v>
      </c>
      <c r="K132" s="131" t="str">
        <f t="shared" si="27"/>
        <v>2 (2)</v>
      </c>
      <c r="L132" s="132" t="str">
        <f t="shared" si="28"/>
        <v/>
      </c>
      <c r="M132" s="131" t="str">
        <f t="shared" si="29"/>
        <v/>
      </c>
      <c r="N132" s="126" t="str">
        <f>IF(ISNA(MATCH(A132,Data!B:B,0)),"",INDEX(Data!H:H,MATCH(A132,Data!B:B,1))) &amp; ""</f>
        <v/>
      </c>
      <c r="O132" s="126" t="str">
        <f>IF(ISNA(MATCH(A132,Data!B:B,0)),"",INDEX(Data!I:I,MATCH(A132,Data!B:B,1))) &amp; ""</f>
        <v/>
      </c>
      <c r="P132" s="133" t="str">
        <f>IF(ISNA(MATCH(A132,Data!B:B,0)),"",INDEX(Data!J:J,MATCH(A132,Data!B:B,1))) &amp; ""</f>
        <v/>
      </c>
      <c r="Q132" s="126" t="str">
        <f>IF(S132="T",Charts!$X$7,IF(ISNA(MATCH(A132,Data!B:B,0)),"",INDEX(Data!K:K,MATCH(A132,Data!B:B,1)))) &amp; ""</f>
        <v/>
      </c>
      <c r="R132" s="134"/>
      <c r="S132" s="134"/>
      <c r="T132" s="127"/>
      <c r="AF132" s="24" t="str">
        <f>IF(C132="","",INDEX(Workouts!B:B,MATCH(C132,Workouts!A:A,0)))</f>
        <v/>
      </c>
      <c r="AG132" s="24" t="str">
        <f>IF(SUMIF(Data!B:B,A132,Data!D:D)=0,"",SUMIF(Data!B:B,A132,Data!D:D))</f>
        <v/>
      </c>
      <c r="AH132" s="25" t="str">
        <f>IF(C132="","",INDEX(Workouts!C:C,MATCH(C132,Workouts!A:A,0)))</f>
        <v/>
      </c>
      <c r="AI132" s="68" t="str">
        <f>IF(SUMIF(Data!B:B,A132,Data!F:F)=0,"",SUMIF(Data!B:B,A132,Data!F:F))</f>
        <v/>
      </c>
      <c r="AJ132" s="68">
        <f>AJ131+ (IF(AH132="",0,AH132)-AJ131)/Charts!$X$5</f>
        <v>1.208501470052501E-7</v>
      </c>
      <c r="AK132" s="68">
        <f>AK131+ (IF(AI132="",0,AI132)-AK131)/Charts!$X$5</f>
        <v>1.208501470052501E-7</v>
      </c>
      <c r="AL132" s="68">
        <f>AL131+ (IF(AH132="",0,AH132)-AL131)/Charts!$X$6</f>
        <v>2.3980393835149867</v>
      </c>
      <c r="AM132" s="68">
        <f>AM131+ (IF(AI132="",0,AI132)-AM131)/Charts!$X$6</f>
        <v>2.3980393835149867</v>
      </c>
      <c r="AN132" s="68" t="str">
        <f t="shared" ref="AN132:AN195" si="34">TEXT(ROUND(AL131,0)-ROUND(AJ131,0),"0")</f>
        <v>2</v>
      </c>
      <c r="AO132" s="68" t="str">
        <f t="shared" ref="AO132:AO195" si="35">TEXT(ROUND(AM131,0)-ROUND(AK131,0),"0")</f>
        <v>2</v>
      </c>
      <c r="AP132" s="69" t="str">
        <f>IF(C132="","",INDEX(Workouts!D:D,MATCH(C132,Workouts!A:A,0)))</f>
        <v/>
      </c>
      <c r="AQ132" s="69" t="str">
        <f>IF(ISNA(MATCH(A132,Data!B:B,0)),"",INDEX(Data!G:G,MATCH(A132,Data!B:B,1)))</f>
        <v/>
      </c>
    </row>
    <row r="133" spans="1:43" s="1" customFormat="1" x14ac:dyDescent="0.2">
      <c r="A133" s="125">
        <f t="shared" si="33"/>
        <v>44328</v>
      </c>
      <c r="B133" s="126" t="str">
        <f t="shared" si="30"/>
        <v>Wed</v>
      </c>
      <c r="C133" s="140"/>
      <c r="D133" s="128" t="str">
        <f t="shared" si="31"/>
        <v/>
      </c>
      <c r="E133" s="129" t="str">
        <f t="shared" si="32"/>
        <v/>
      </c>
      <c r="F133" s="130" t="str">
        <f>IF(SUMIF(Data!B:B,A133,Data!C:C)=0,"",SUMIF(Data!B:B,A133,Data!C:C))</f>
        <v/>
      </c>
      <c r="G133" s="126" t="str">
        <f>IF(OR(S133="T",S133="RUN",SUMIF(Data!B:B,A133,Data!E:E)=0),"",SUMIF(Data!B:B,A133,Data!E:E))</f>
        <v/>
      </c>
      <c r="H133" s="126" t="str">
        <f t="shared" si="24"/>
        <v/>
      </c>
      <c r="I133" s="131" t="str">
        <f t="shared" si="25"/>
        <v>0 (0)</v>
      </c>
      <c r="J133" s="131" t="str">
        <f t="shared" si="26"/>
        <v>2 (2)</v>
      </c>
      <c r="K133" s="131" t="str">
        <f t="shared" si="27"/>
        <v>2 (2)</v>
      </c>
      <c r="L133" s="132" t="str">
        <f t="shared" si="28"/>
        <v/>
      </c>
      <c r="M133" s="131" t="str">
        <f t="shared" si="29"/>
        <v/>
      </c>
      <c r="N133" s="126" t="str">
        <f>IF(ISNA(MATCH(A133,Data!B:B,0)),"",INDEX(Data!H:H,MATCH(A133,Data!B:B,1))) &amp; ""</f>
        <v/>
      </c>
      <c r="O133" s="126" t="str">
        <f>IF(ISNA(MATCH(A133,Data!B:B,0)),"",INDEX(Data!I:I,MATCH(A133,Data!B:B,1))) &amp; ""</f>
        <v/>
      </c>
      <c r="P133" s="133" t="str">
        <f>IF(ISNA(MATCH(A133,Data!B:B,0)),"",INDEX(Data!J:J,MATCH(A133,Data!B:B,1))) &amp; ""</f>
        <v/>
      </c>
      <c r="Q133" s="126" t="str">
        <f>IF(S133="T",Charts!$X$7,IF(ISNA(MATCH(A133,Data!B:B,0)),"",INDEX(Data!K:K,MATCH(A133,Data!B:B,1)))) &amp; ""</f>
        <v/>
      </c>
      <c r="R133" s="134"/>
      <c r="S133" s="134"/>
      <c r="T133" s="127"/>
      <c r="AF133" s="24" t="str">
        <f>IF(C133="","",INDEX(Workouts!B:B,MATCH(C133,Workouts!A:A,0)))</f>
        <v/>
      </c>
      <c r="AG133" s="24" t="str">
        <f>IF(SUMIF(Data!B:B,A133,Data!D:D)=0,"",SUMIF(Data!B:B,A133,Data!D:D))</f>
        <v/>
      </c>
      <c r="AH133" s="25" t="str">
        <f>IF(C133="","",INDEX(Workouts!C:C,MATCH(C133,Workouts!A:A,0)))</f>
        <v/>
      </c>
      <c r="AI133" s="68" t="str">
        <f>IF(SUMIF(Data!B:B,A133,Data!F:F)=0,"",SUMIF(Data!B:B,A133,Data!F:F))</f>
        <v/>
      </c>
      <c r="AJ133" s="68">
        <f>AJ132+ (IF(AH133="",0,AH133)-AJ132)/Charts!$X$5</f>
        <v>1.0358584029021437E-7</v>
      </c>
      <c r="AK133" s="68">
        <f>AK132+ (IF(AI133="",0,AI133)-AK132)/Charts!$X$5</f>
        <v>1.0358584029021437E-7</v>
      </c>
      <c r="AL133" s="68">
        <f>AL132+ (IF(AH133="",0,AH133)-AL132)/Charts!$X$6</f>
        <v>2.3409432077170109</v>
      </c>
      <c r="AM133" s="68">
        <f>AM132+ (IF(AI133="",0,AI133)-AM132)/Charts!$X$6</f>
        <v>2.3409432077170109</v>
      </c>
      <c r="AN133" s="68" t="str">
        <f t="shared" si="34"/>
        <v>2</v>
      </c>
      <c r="AO133" s="68" t="str">
        <f t="shared" si="35"/>
        <v>2</v>
      </c>
      <c r="AP133" s="69" t="str">
        <f>IF(C133="","",INDEX(Workouts!D:D,MATCH(C133,Workouts!A:A,0)))</f>
        <v/>
      </c>
      <c r="AQ133" s="69" t="str">
        <f>IF(ISNA(MATCH(A133,Data!B:B,0)),"",INDEX(Data!G:G,MATCH(A133,Data!B:B,1)))</f>
        <v/>
      </c>
    </row>
    <row r="134" spans="1:43" s="1" customFormat="1" x14ac:dyDescent="0.2">
      <c r="A134" s="125">
        <f t="shared" si="33"/>
        <v>44329</v>
      </c>
      <c r="B134" s="126" t="str">
        <f t="shared" si="30"/>
        <v>Thu</v>
      </c>
      <c r="C134" s="140"/>
      <c r="D134" s="128" t="str">
        <f t="shared" si="31"/>
        <v/>
      </c>
      <c r="E134" s="129" t="str">
        <f t="shared" si="32"/>
        <v/>
      </c>
      <c r="F134" s="130" t="str">
        <f>IF(SUMIF(Data!B:B,A134,Data!C:C)=0,"",SUMIF(Data!B:B,A134,Data!C:C))</f>
        <v/>
      </c>
      <c r="G134" s="126" t="str">
        <f>IF(OR(S134="T",S134="RUN",SUMIF(Data!B:B,A134,Data!E:E)=0),"",SUMIF(Data!B:B,A134,Data!E:E))</f>
        <v/>
      </c>
      <c r="H134" s="126" t="str">
        <f t="shared" si="24"/>
        <v/>
      </c>
      <c r="I134" s="131" t="str">
        <f t="shared" si="25"/>
        <v>0 (0)</v>
      </c>
      <c r="J134" s="131" t="str">
        <f t="shared" si="26"/>
        <v>2 (2)</v>
      </c>
      <c r="K134" s="131" t="str">
        <f t="shared" si="27"/>
        <v>2 (2)</v>
      </c>
      <c r="L134" s="132" t="str">
        <f t="shared" si="28"/>
        <v/>
      </c>
      <c r="M134" s="131" t="str">
        <f t="shared" si="29"/>
        <v/>
      </c>
      <c r="N134" s="126" t="str">
        <f>IF(ISNA(MATCH(A134,Data!B:B,0)),"",INDEX(Data!H:H,MATCH(A134,Data!B:B,1))) &amp; ""</f>
        <v/>
      </c>
      <c r="O134" s="126" t="str">
        <f>IF(ISNA(MATCH(A134,Data!B:B,0)),"",INDEX(Data!I:I,MATCH(A134,Data!B:B,1))) &amp; ""</f>
        <v/>
      </c>
      <c r="P134" s="133" t="str">
        <f>IF(ISNA(MATCH(A134,Data!B:B,0)),"",INDEX(Data!J:J,MATCH(A134,Data!B:B,1))) &amp; ""</f>
        <v/>
      </c>
      <c r="Q134" s="126" t="str">
        <f>IF(S134="T",Charts!$X$7,IF(ISNA(MATCH(A134,Data!B:B,0)),"",INDEX(Data!K:K,MATCH(A134,Data!B:B,1)))) &amp; ""</f>
        <v/>
      </c>
      <c r="R134" s="134"/>
      <c r="S134" s="134"/>
      <c r="T134" s="127"/>
      <c r="AF134" s="24" t="str">
        <f>IF(C134="","",INDEX(Workouts!B:B,MATCH(C134,Workouts!A:A,0)))</f>
        <v/>
      </c>
      <c r="AG134" s="24" t="str">
        <f>IF(SUMIF(Data!B:B,A134,Data!D:D)=0,"",SUMIF(Data!B:B,A134,Data!D:D))</f>
        <v/>
      </c>
      <c r="AH134" s="25" t="str">
        <f>IF(C134="","",INDEX(Workouts!C:C,MATCH(C134,Workouts!A:A,0)))</f>
        <v/>
      </c>
      <c r="AI134" s="68" t="str">
        <f>IF(SUMIF(Data!B:B,A134,Data!F:F)=0,"",SUMIF(Data!B:B,A134,Data!F:F))</f>
        <v/>
      </c>
      <c r="AJ134" s="68">
        <f>AJ133+ (IF(AH134="",0,AH134)-AJ133)/Charts!$X$5</f>
        <v>8.8787863105898038E-8</v>
      </c>
      <c r="AK134" s="68">
        <f>AK133+ (IF(AI134="",0,AI134)-AK133)/Charts!$X$5</f>
        <v>8.8787863105898038E-8</v>
      </c>
      <c r="AL134" s="68">
        <f>AL133+ (IF(AH134="",0,AH134)-AL133)/Charts!$X$6</f>
        <v>2.2852064646761296</v>
      </c>
      <c r="AM134" s="68">
        <f>AM133+ (IF(AI134="",0,AI134)-AM133)/Charts!$X$6</f>
        <v>2.2852064646761296</v>
      </c>
      <c r="AN134" s="68" t="str">
        <f t="shared" si="34"/>
        <v>2</v>
      </c>
      <c r="AO134" s="68" t="str">
        <f t="shared" si="35"/>
        <v>2</v>
      </c>
      <c r="AP134" s="69" t="str">
        <f>IF(C134="","",INDEX(Workouts!D:D,MATCH(C134,Workouts!A:A,0)))</f>
        <v/>
      </c>
      <c r="AQ134" s="69" t="str">
        <f>IF(ISNA(MATCH(A134,Data!B:B,0)),"",INDEX(Data!G:G,MATCH(A134,Data!B:B,1)))</f>
        <v/>
      </c>
    </row>
    <row r="135" spans="1:43" s="1" customFormat="1" x14ac:dyDescent="0.2">
      <c r="A135" s="125">
        <f t="shared" si="33"/>
        <v>44330</v>
      </c>
      <c r="B135" s="126" t="str">
        <f t="shared" si="30"/>
        <v>Fri</v>
      </c>
      <c r="C135" s="140"/>
      <c r="D135" s="128" t="str">
        <f t="shared" si="31"/>
        <v/>
      </c>
      <c r="E135" s="129" t="str">
        <f t="shared" si="32"/>
        <v/>
      </c>
      <c r="F135" s="130" t="str">
        <f>IF(SUMIF(Data!B:B,A135,Data!C:C)=0,"",SUMIF(Data!B:B,A135,Data!C:C))</f>
        <v/>
      </c>
      <c r="G135" s="126" t="str">
        <f>IF(OR(S135="T",S135="RUN",SUMIF(Data!B:B,A135,Data!E:E)=0),"",SUMIF(Data!B:B,A135,Data!E:E))</f>
        <v/>
      </c>
      <c r="H135" s="126" t="str">
        <f t="shared" si="24"/>
        <v/>
      </c>
      <c r="I135" s="131" t="str">
        <f t="shared" si="25"/>
        <v>0 (0)</v>
      </c>
      <c r="J135" s="131" t="str">
        <f t="shared" si="26"/>
        <v>2 (2)</v>
      </c>
      <c r="K135" s="131" t="str">
        <f t="shared" si="27"/>
        <v>2 (2)</v>
      </c>
      <c r="L135" s="132" t="str">
        <f t="shared" si="28"/>
        <v/>
      </c>
      <c r="M135" s="131" t="str">
        <f t="shared" si="29"/>
        <v/>
      </c>
      <c r="N135" s="126" t="str">
        <f>IF(ISNA(MATCH(A135,Data!B:B,0)),"",INDEX(Data!H:H,MATCH(A135,Data!B:B,1))) &amp; ""</f>
        <v/>
      </c>
      <c r="O135" s="126" t="str">
        <f>IF(ISNA(MATCH(A135,Data!B:B,0)),"",INDEX(Data!I:I,MATCH(A135,Data!B:B,1))) &amp; ""</f>
        <v/>
      </c>
      <c r="P135" s="133" t="str">
        <f>IF(ISNA(MATCH(A135,Data!B:B,0)),"",INDEX(Data!J:J,MATCH(A135,Data!B:B,1))) &amp; ""</f>
        <v/>
      </c>
      <c r="Q135" s="126" t="str">
        <f>IF(S135="T",Charts!$X$7,IF(ISNA(MATCH(A135,Data!B:B,0)),"",INDEX(Data!K:K,MATCH(A135,Data!B:B,1)))) &amp; ""</f>
        <v/>
      </c>
      <c r="R135" s="134"/>
      <c r="S135" s="134"/>
      <c r="T135" s="127"/>
      <c r="AF135" s="24" t="str">
        <f>IF(C135="","",INDEX(Workouts!B:B,MATCH(C135,Workouts!A:A,0)))</f>
        <v/>
      </c>
      <c r="AG135" s="24" t="str">
        <f>IF(SUMIF(Data!B:B,A135,Data!D:D)=0,"",SUMIF(Data!B:B,A135,Data!D:D))</f>
        <v/>
      </c>
      <c r="AH135" s="25" t="str">
        <f>IF(C135="","",INDEX(Workouts!C:C,MATCH(C135,Workouts!A:A,0)))</f>
        <v/>
      </c>
      <c r="AI135" s="68" t="str">
        <f>IF(SUMIF(Data!B:B,A135,Data!F:F)=0,"",SUMIF(Data!B:B,A135,Data!F:F))</f>
        <v/>
      </c>
      <c r="AJ135" s="68">
        <f>AJ134+ (IF(AH135="",0,AH135)-AJ134)/Charts!$X$5</f>
        <v>7.6103882662198314E-8</v>
      </c>
      <c r="AK135" s="68">
        <f>AK134+ (IF(AI135="",0,AI135)-AK134)/Charts!$X$5</f>
        <v>7.6103882662198314E-8</v>
      </c>
      <c r="AL135" s="68">
        <f>AL134+ (IF(AH135="",0,AH135)-AL134)/Charts!$X$6</f>
        <v>2.2307967869457457</v>
      </c>
      <c r="AM135" s="68">
        <f>AM134+ (IF(AI135="",0,AI135)-AM134)/Charts!$X$6</f>
        <v>2.2307967869457457</v>
      </c>
      <c r="AN135" s="68" t="str">
        <f t="shared" si="34"/>
        <v>2</v>
      </c>
      <c r="AO135" s="68" t="str">
        <f t="shared" si="35"/>
        <v>2</v>
      </c>
      <c r="AP135" s="69" t="str">
        <f>IF(C135="","",INDEX(Workouts!D:D,MATCH(C135,Workouts!A:A,0)))</f>
        <v/>
      </c>
      <c r="AQ135" s="69" t="str">
        <f>IF(ISNA(MATCH(A135,Data!B:B,0)),"",INDEX(Data!G:G,MATCH(A135,Data!B:B,1)))</f>
        <v/>
      </c>
    </row>
    <row r="136" spans="1:43" s="1" customFormat="1" x14ac:dyDescent="0.2">
      <c r="A136" s="125">
        <f t="shared" si="33"/>
        <v>44331</v>
      </c>
      <c r="B136" s="126" t="str">
        <f t="shared" si="30"/>
        <v>Sat</v>
      </c>
      <c r="C136" s="140"/>
      <c r="D136" s="128" t="str">
        <f t="shared" si="31"/>
        <v/>
      </c>
      <c r="E136" s="129" t="str">
        <f t="shared" si="32"/>
        <v/>
      </c>
      <c r="F136" s="130" t="str">
        <f>IF(SUMIF(Data!B:B,A136,Data!C:C)=0,"",SUMIF(Data!B:B,A136,Data!C:C))</f>
        <v/>
      </c>
      <c r="G136" s="126" t="str">
        <f>IF(OR(S136="T",S136="RUN",SUMIF(Data!B:B,A136,Data!E:E)=0),"",SUMIF(Data!B:B,A136,Data!E:E))</f>
        <v/>
      </c>
      <c r="H136" s="126" t="str">
        <f t="shared" si="24"/>
        <v/>
      </c>
      <c r="I136" s="131" t="str">
        <f t="shared" si="25"/>
        <v>0 (0)</v>
      </c>
      <c r="J136" s="131" t="str">
        <f t="shared" si="26"/>
        <v>2 (2)</v>
      </c>
      <c r="K136" s="131" t="str">
        <f t="shared" si="27"/>
        <v>2 (2)</v>
      </c>
      <c r="L136" s="132" t="str">
        <f t="shared" si="28"/>
        <v/>
      </c>
      <c r="M136" s="131" t="str">
        <f t="shared" si="29"/>
        <v/>
      </c>
      <c r="N136" s="126" t="str">
        <f>IF(ISNA(MATCH(A136,Data!B:B,0)),"",INDEX(Data!H:H,MATCH(A136,Data!B:B,1))) &amp; ""</f>
        <v/>
      </c>
      <c r="O136" s="126" t="str">
        <f>IF(ISNA(MATCH(A136,Data!B:B,0)),"",INDEX(Data!I:I,MATCH(A136,Data!B:B,1))) &amp; ""</f>
        <v/>
      </c>
      <c r="P136" s="133" t="str">
        <f>IF(ISNA(MATCH(A136,Data!B:B,0)),"",INDEX(Data!J:J,MATCH(A136,Data!B:B,1))) &amp; ""</f>
        <v/>
      </c>
      <c r="Q136" s="126" t="str">
        <f>IF(S136="T",Charts!$X$7,IF(ISNA(MATCH(A136,Data!B:B,0)),"",INDEX(Data!K:K,MATCH(A136,Data!B:B,1)))) &amp; ""</f>
        <v/>
      </c>
      <c r="R136" s="134"/>
      <c r="S136" s="134"/>
      <c r="T136" s="127"/>
      <c r="AF136" s="24" t="str">
        <f>IF(C136="","",INDEX(Workouts!B:B,MATCH(C136,Workouts!A:A,0)))</f>
        <v/>
      </c>
      <c r="AG136" s="24" t="str">
        <f>IF(SUMIF(Data!B:B,A136,Data!D:D)=0,"",SUMIF(Data!B:B,A136,Data!D:D))</f>
        <v/>
      </c>
      <c r="AH136" s="25" t="str">
        <f>IF(C136="","",INDEX(Workouts!C:C,MATCH(C136,Workouts!A:A,0)))</f>
        <v/>
      </c>
      <c r="AI136" s="68" t="str">
        <f>IF(SUMIF(Data!B:B,A136,Data!F:F)=0,"",SUMIF(Data!B:B,A136,Data!F:F))</f>
        <v/>
      </c>
      <c r="AJ136" s="68">
        <f>AJ135+ (IF(AH136="",0,AH136)-AJ135)/Charts!$X$5</f>
        <v>6.5231899424741418E-8</v>
      </c>
      <c r="AK136" s="68">
        <f>AK135+ (IF(AI136="",0,AI136)-AK135)/Charts!$X$5</f>
        <v>6.5231899424741418E-8</v>
      </c>
      <c r="AL136" s="68">
        <f>AL135+ (IF(AH136="",0,AH136)-AL135)/Charts!$X$6</f>
        <v>2.1776825777327518</v>
      </c>
      <c r="AM136" s="68">
        <f>AM135+ (IF(AI136="",0,AI136)-AM135)/Charts!$X$6</f>
        <v>2.1776825777327518</v>
      </c>
      <c r="AN136" s="68" t="str">
        <f t="shared" si="34"/>
        <v>2</v>
      </c>
      <c r="AO136" s="68" t="str">
        <f t="shared" si="35"/>
        <v>2</v>
      </c>
      <c r="AP136" s="69" t="str">
        <f>IF(C136="","",INDEX(Workouts!D:D,MATCH(C136,Workouts!A:A,0)))</f>
        <v/>
      </c>
      <c r="AQ136" s="69" t="str">
        <f>IF(ISNA(MATCH(A136,Data!B:B,0)),"",INDEX(Data!G:G,MATCH(A136,Data!B:B,1)))</f>
        <v/>
      </c>
    </row>
    <row r="137" spans="1:43" s="1" customFormat="1" x14ac:dyDescent="0.2">
      <c r="A137" s="125">
        <f t="shared" si="33"/>
        <v>44332</v>
      </c>
      <c r="B137" s="126" t="str">
        <f t="shared" si="30"/>
        <v>Sun</v>
      </c>
      <c r="C137" s="140"/>
      <c r="D137" s="128" t="str">
        <f t="shared" si="31"/>
        <v/>
      </c>
      <c r="E137" s="129" t="str">
        <f t="shared" si="32"/>
        <v/>
      </c>
      <c r="F137" s="130" t="str">
        <f>IF(SUMIF(Data!B:B,A137,Data!C:C)=0,"",SUMIF(Data!B:B,A137,Data!C:C))</f>
        <v/>
      </c>
      <c r="G137" s="126" t="str">
        <f>IF(OR(S137="T",S137="RUN",SUMIF(Data!B:B,A137,Data!E:E)=0),"",SUMIF(Data!B:B,A137,Data!E:E))</f>
        <v/>
      </c>
      <c r="H137" s="126" t="str">
        <f t="shared" si="24"/>
        <v/>
      </c>
      <c r="I137" s="131" t="str">
        <f t="shared" si="25"/>
        <v>0 (0)</v>
      </c>
      <c r="J137" s="131" t="str">
        <f t="shared" si="26"/>
        <v>2 (2)</v>
      </c>
      <c r="K137" s="131" t="str">
        <f t="shared" si="27"/>
        <v>2 (2)</v>
      </c>
      <c r="L137" s="132" t="str">
        <f t="shared" si="28"/>
        <v/>
      </c>
      <c r="M137" s="131" t="str">
        <f t="shared" si="29"/>
        <v/>
      </c>
      <c r="N137" s="126" t="str">
        <f>IF(ISNA(MATCH(A137,Data!B:B,0)),"",INDEX(Data!H:H,MATCH(A137,Data!B:B,1))) &amp; ""</f>
        <v/>
      </c>
      <c r="O137" s="126" t="str">
        <f>IF(ISNA(MATCH(A137,Data!B:B,0)),"",INDEX(Data!I:I,MATCH(A137,Data!B:B,1))) &amp; ""</f>
        <v/>
      </c>
      <c r="P137" s="133" t="str">
        <f>IF(ISNA(MATCH(A137,Data!B:B,0)),"",INDEX(Data!J:J,MATCH(A137,Data!B:B,1))) &amp; ""</f>
        <v/>
      </c>
      <c r="Q137" s="126" t="str">
        <f>IF(S137="T",Charts!$X$7,IF(ISNA(MATCH(A137,Data!B:B,0)),"",INDEX(Data!K:K,MATCH(A137,Data!B:B,1)))) &amp; ""</f>
        <v/>
      </c>
      <c r="R137" s="134"/>
      <c r="S137" s="134"/>
      <c r="T137" s="127"/>
      <c r="AF137" s="24" t="str">
        <f>IF(C137="","",INDEX(Workouts!B:B,MATCH(C137,Workouts!A:A,0)))</f>
        <v/>
      </c>
      <c r="AG137" s="24" t="str">
        <f>IF(SUMIF(Data!B:B,A137,Data!D:D)=0,"",SUMIF(Data!B:B,A137,Data!D:D))</f>
        <v/>
      </c>
      <c r="AH137" s="25" t="str">
        <f>IF(C137="","",INDEX(Workouts!C:C,MATCH(C137,Workouts!A:A,0)))</f>
        <v/>
      </c>
      <c r="AI137" s="68" t="str">
        <f>IF(SUMIF(Data!B:B,A137,Data!F:F)=0,"",SUMIF(Data!B:B,A137,Data!F:F))</f>
        <v/>
      </c>
      <c r="AJ137" s="68">
        <f>AJ136+ (IF(AH137="",0,AH137)-AJ136)/Charts!$X$5</f>
        <v>5.591305664977836E-8</v>
      </c>
      <c r="AK137" s="68">
        <f>AK136+ (IF(AI137="",0,AI137)-AK136)/Charts!$X$5</f>
        <v>5.591305664977836E-8</v>
      </c>
      <c r="AL137" s="68">
        <f>AL136+ (IF(AH137="",0,AH137)-AL136)/Charts!$X$6</f>
        <v>2.1258329925486388</v>
      </c>
      <c r="AM137" s="68">
        <f>AM136+ (IF(AI137="",0,AI137)-AM136)/Charts!$X$6</f>
        <v>2.1258329925486388</v>
      </c>
      <c r="AN137" s="68" t="str">
        <f t="shared" si="34"/>
        <v>2</v>
      </c>
      <c r="AO137" s="68" t="str">
        <f t="shared" si="35"/>
        <v>2</v>
      </c>
      <c r="AP137" s="69" t="str">
        <f>IF(C137="","",INDEX(Workouts!D:D,MATCH(C137,Workouts!A:A,0)))</f>
        <v/>
      </c>
      <c r="AQ137" s="69" t="str">
        <f>IF(ISNA(MATCH(A137,Data!B:B,0)),"",INDEX(Data!G:G,MATCH(A137,Data!B:B,1)))</f>
        <v/>
      </c>
    </row>
    <row r="138" spans="1:43" s="1" customFormat="1" x14ac:dyDescent="0.2">
      <c r="A138" s="125">
        <f t="shared" si="33"/>
        <v>44333</v>
      </c>
      <c r="B138" s="126" t="str">
        <f t="shared" si="30"/>
        <v>Mon</v>
      </c>
      <c r="C138" s="140"/>
      <c r="D138" s="128" t="str">
        <f t="shared" si="31"/>
        <v/>
      </c>
      <c r="E138" s="129" t="str">
        <f t="shared" si="32"/>
        <v/>
      </c>
      <c r="F138" s="130" t="str">
        <f>IF(SUMIF(Data!B:B,A138,Data!C:C)=0,"",SUMIF(Data!B:B,A138,Data!C:C))</f>
        <v/>
      </c>
      <c r="G138" s="126" t="str">
        <f>IF(OR(S138="T",S138="RUN",SUMIF(Data!B:B,A138,Data!E:E)=0),"",SUMIF(Data!B:B,A138,Data!E:E))</f>
        <v/>
      </c>
      <c r="H138" s="126" t="str">
        <f t="shared" si="24"/>
        <v/>
      </c>
      <c r="I138" s="131" t="str">
        <f t="shared" si="25"/>
        <v>0 (0)</v>
      </c>
      <c r="J138" s="131" t="str">
        <f t="shared" si="26"/>
        <v>2 (2)</v>
      </c>
      <c r="K138" s="131" t="str">
        <f t="shared" si="27"/>
        <v>2 (2)</v>
      </c>
      <c r="L138" s="132" t="str">
        <f t="shared" si="28"/>
        <v/>
      </c>
      <c r="M138" s="131" t="str">
        <f t="shared" si="29"/>
        <v/>
      </c>
      <c r="N138" s="126" t="str">
        <f>IF(ISNA(MATCH(A138,Data!B:B,0)),"",INDEX(Data!H:H,MATCH(A138,Data!B:B,1))) &amp; ""</f>
        <v/>
      </c>
      <c r="O138" s="126" t="str">
        <f>IF(ISNA(MATCH(A138,Data!B:B,0)),"",INDEX(Data!I:I,MATCH(A138,Data!B:B,1))) &amp; ""</f>
        <v/>
      </c>
      <c r="P138" s="133" t="str">
        <f>IF(ISNA(MATCH(A138,Data!B:B,0)),"",INDEX(Data!J:J,MATCH(A138,Data!B:B,1))) &amp; ""</f>
        <v/>
      </c>
      <c r="Q138" s="126" t="str">
        <f>IF(S138="T",Charts!$X$7,IF(ISNA(MATCH(A138,Data!B:B,0)),"",INDEX(Data!K:K,MATCH(A138,Data!B:B,1)))) &amp; ""</f>
        <v/>
      </c>
      <c r="R138" s="134"/>
      <c r="S138" s="134"/>
      <c r="T138" s="127"/>
      <c r="AF138" s="24" t="str">
        <f>IF(C138="","",INDEX(Workouts!B:B,MATCH(C138,Workouts!A:A,0)))</f>
        <v/>
      </c>
      <c r="AG138" s="24" t="str">
        <f>IF(SUMIF(Data!B:B,A138,Data!D:D)=0,"",SUMIF(Data!B:B,A138,Data!D:D))</f>
        <v/>
      </c>
      <c r="AH138" s="25" t="str">
        <f>IF(C138="","",INDEX(Workouts!C:C,MATCH(C138,Workouts!A:A,0)))</f>
        <v/>
      </c>
      <c r="AI138" s="68" t="str">
        <f>IF(SUMIF(Data!B:B,A138,Data!F:F)=0,"",SUMIF(Data!B:B,A138,Data!F:F))</f>
        <v/>
      </c>
      <c r="AJ138" s="68">
        <f>AJ137+ (IF(AH138="",0,AH138)-AJ137)/Charts!$X$5</f>
        <v>4.7925477128381452E-8</v>
      </c>
      <c r="AK138" s="68">
        <f>AK137+ (IF(AI138="",0,AI138)-AK137)/Charts!$X$5</f>
        <v>4.7925477128381452E-8</v>
      </c>
      <c r="AL138" s="68">
        <f>AL137+ (IF(AH138="",0,AH138)-AL137)/Charts!$X$6</f>
        <v>2.0752179212974808</v>
      </c>
      <c r="AM138" s="68">
        <f>AM137+ (IF(AI138="",0,AI138)-AM137)/Charts!$X$6</f>
        <v>2.0752179212974808</v>
      </c>
      <c r="AN138" s="68" t="str">
        <f t="shared" si="34"/>
        <v>2</v>
      </c>
      <c r="AO138" s="68" t="str">
        <f t="shared" si="35"/>
        <v>2</v>
      </c>
      <c r="AP138" s="69" t="str">
        <f>IF(C138="","",INDEX(Workouts!D:D,MATCH(C138,Workouts!A:A,0)))</f>
        <v/>
      </c>
      <c r="AQ138" s="69" t="str">
        <f>IF(ISNA(MATCH(A138,Data!B:B,0)),"",INDEX(Data!G:G,MATCH(A138,Data!B:B,1)))</f>
        <v/>
      </c>
    </row>
    <row r="139" spans="1:43" s="1" customFormat="1" x14ac:dyDescent="0.2">
      <c r="A139" s="125">
        <f t="shared" si="33"/>
        <v>44334</v>
      </c>
      <c r="B139" s="126" t="str">
        <f t="shared" si="30"/>
        <v>Tue</v>
      </c>
      <c r="C139" s="140"/>
      <c r="D139" s="128" t="str">
        <f t="shared" si="31"/>
        <v/>
      </c>
      <c r="E139" s="129" t="str">
        <f t="shared" si="32"/>
        <v/>
      </c>
      <c r="F139" s="130" t="str">
        <f>IF(SUMIF(Data!B:B,A139,Data!C:C)=0,"",SUMIF(Data!B:B,A139,Data!C:C))</f>
        <v/>
      </c>
      <c r="G139" s="126" t="str">
        <f>IF(OR(S139="T",S139="RUN",SUMIF(Data!B:B,A139,Data!E:E)=0),"",SUMIF(Data!B:B,A139,Data!E:E))</f>
        <v/>
      </c>
      <c r="H139" s="126" t="str">
        <f t="shared" si="24"/>
        <v/>
      </c>
      <c r="I139" s="131" t="str">
        <f t="shared" si="25"/>
        <v>0 (0)</v>
      </c>
      <c r="J139" s="131" t="str">
        <f t="shared" si="26"/>
        <v>2 (2)</v>
      </c>
      <c r="K139" s="131" t="str">
        <f t="shared" si="27"/>
        <v>2 (2)</v>
      </c>
      <c r="L139" s="132" t="str">
        <f t="shared" si="28"/>
        <v/>
      </c>
      <c r="M139" s="131" t="str">
        <f t="shared" si="29"/>
        <v/>
      </c>
      <c r="N139" s="126" t="str">
        <f>IF(ISNA(MATCH(A139,Data!B:B,0)),"",INDEX(Data!H:H,MATCH(A139,Data!B:B,1))) &amp; ""</f>
        <v/>
      </c>
      <c r="O139" s="126" t="str">
        <f>IF(ISNA(MATCH(A139,Data!B:B,0)),"",INDEX(Data!I:I,MATCH(A139,Data!B:B,1))) &amp; ""</f>
        <v/>
      </c>
      <c r="P139" s="133" t="str">
        <f>IF(ISNA(MATCH(A139,Data!B:B,0)),"",INDEX(Data!J:J,MATCH(A139,Data!B:B,1))) &amp; ""</f>
        <v/>
      </c>
      <c r="Q139" s="126" t="str">
        <f>IF(S139="T",Charts!$X$7,IF(ISNA(MATCH(A139,Data!B:B,0)),"",INDEX(Data!K:K,MATCH(A139,Data!B:B,1)))) &amp; ""</f>
        <v/>
      </c>
      <c r="R139" s="134"/>
      <c r="S139" s="134"/>
      <c r="T139" s="127"/>
      <c r="AF139" s="24" t="str">
        <f>IF(C139="","",INDEX(Workouts!B:B,MATCH(C139,Workouts!A:A,0)))</f>
        <v/>
      </c>
      <c r="AG139" s="24" t="str">
        <f>IF(SUMIF(Data!B:B,A139,Data!D:D)=0,"",SUMIF(Data!B:B,A139,Data!D:D))</f>
        <v/>
      </c>
      <c r="AH139" s="25" t="str">
        <f>IF(C139="","",INDEX(Workouts!C:C,MATCH(C139,Workouts!A:A,0)))</f>
        <v/>
      </c>
      <c r="AI139" s="68" t="str">
        <f>IF(SUMIF(Data!B:B,A139,Data!F:F)=0,"",SUMIF(Data!B:B,A139,Data!F:F))</f>
        <v/>
      </c>
      <c r="AJ139" s="68">
        <f>AJ138+ (IF(AH139="",0,AH139)-AJ138)/Charts!$X$5</f>
        <v>4.1078980395755532E-8</v>
      </c>
      <c r="AK139" s="68">
        <f>AK138+ (IF(AI139="",0,AI139)-AK138)/Charts!$X$5</f>
        <v>4.1078980395755532E-8</v>
      </c>
      <c r="AL139" s="68">
        <f>AL138+ (IF(AH139="",0,AH139)-AL138)/Charts!$X$6</f>
        <v>2.0258079707903978</v>
      </c>
      <c r="AM139" s="68">
        <f>AM138+ (IF(AI139="",0,AI139)-AM138)/Charts!$X$6</f>
        <v>2.0258079707903978</v>
      </c>
      <c r="AN139" s="68" t="str">
        <f t="shared" si="34"/>
        <v>2</v>
      </c>
      <c r="AO139" s="68" t="str">
        <f t="shared" si="35"/>
        <v>2</v>
      </c>
      <c r="AP139" s="69" t="str">
        <f>IF(C139="","",INDEX(Workouts!D:D,MATCH(C139,Workouts!A:A,0)))</f>
        <v/>
      </c>
      <c r="AQ139" s="69" t="str">
        <f>IF(ISNA(MATCH(A139,Data!B:B,0)),"",INDEX(Data!G:G,MATCH(A139,Data!B:B,1)))</f>
        <v/>
      </c>
    </row>
    <row r="140" spans="1:43" s="1" customFormat="1" x14ac:dyDescent="0.2">
      <c r="A140" s="125">
        <f t="shared" si="33"/>
        <v>44335</v>
      </c>
      <c r="B140" s="126" t="str">
        <f t="shared" si="30"/>
        <v>Wed</v>
      </c>
      <c r="C140" s="140"/>
      <c r="D140" s="128" t="str">
        <f t="shared" si="31"/>
        <v/>
      </c>
      <c r="E140" s="129" t="str">
        <f t="shared" si="32"/>
        <v/>
      </c>
      <c r="F140" s="130" t="str">
        <f>IF(SUMIF(Data!B:B,A140,Data!C:C)=0,"",SUMIF(Data!B:B,A140,Data!C:C))</f>
        <v/>
      </c>
      <c r="G140" s="126" t="str">
        <f>IF(OR(S140="T",S140="RUN",SUMIF(Data!B:B,A140,Data!E:E)=0),"",SUMIF(Data!B:B,A140,Data!E:E))</f>
        <v/>
      </c>
      <c r="H140" s="126" t="str">
        <f t="shared" si="24"/>
        <v/>
      </c>
      <c r="I140" s="131" t="str">
        <f t="shared" si="25"/>
        <v>0 (0)</v>
      </c>
      <c r="J140" s="131" t="str">
        <f t="shared" si="26"/>
        <v>2 (2)</v>
      </c>
      <c r="K140" s="131" t="str">
        <f t="shared" si="27"/>
        <v>2 (2)</v>
      </c>
      <c r="L140" s="132" t="str">
        <f t="shared" si="28"/>
        <v/>
      </c>
      <c r="M140" s="131" t="str">
        <f t="shared" si="29"/>
        <v/>
      </c>
      <c r="N140" s="126" t="str">
        <f>IF(ISNA(MATCH(A140,Data!B:B,0)),"",INDEX(Data!H:H,MATCH(A140,Data!B:B,1))) &amp; ""</f>
        <v/>
      </c>
      <c r="O140" s="126" t="str">
        <f>IF(ISNA(MATCH(A140,Data!B:B,0)),"",INDEX(Data!I:I,MATCH(A140,Data!B:B,1))) &amp; ""</f>
        <v/>
      </c>
      <c r="P140" s="133" t="str">
        <f>IF(ISNA(MATCH(A140,Data!B:B,0)),"",INDEX(Data!J:J,MATCH(A140,Data!B:B,1))) &amp; ""</f>
        <v/>
      </c>
      <c r="Q140" s="126" t="str">
        <f>IF(S140="T",Charts!$X$7,IF(ISNA(MATCH(A140,Data!B:B,0)),"",INDEX(Data!K:K,MATCH(A140,Data!B:B,1)))) &amp; ""</f>
        <v/>
      </c>
      <c r="R140" s="134"/>
      <c r="S140" s="134"/>
      <c r="T140" s="127"/>
      <c r="AF140" s="24" t="str">
        <f>IF(C140="","",INDEX(Workouts!B:B,MATCH(C140,Workouts!A:A,0)))</f>
        <v/>
      </c>
      <c r="AG140" s="24" t="str">
        <f>IF(SUMIF(Data!B:B,A140,Data!D:D)=0,"",SUMIF(Data!B:B,A140,Data!D:D))</f>
        <v/>
      </c>
      <c r="AH140" s="25" t="str">
        <f>IF(C140="","",INDEX(Workouts!C:C,MATCH(C140,Workouts!A:A,0)))</f>
        <v/>
      </c>
      <c r="AI140" s="68" t="str">
        <f>IF(SUMIF(Data!B:B,A140,Data!F:F)=0,"",SUMIF(Data!B:B,A140,Data!F:F))</f>
        <v/>
      </c>
      <c r="AJ140" s="68">
        <f>AJ139+ (IF(AH140="",0,AH140)-AJ139)/Charts!$X$5</f>
        <v>3.5210554624933312E-8</v>
      </c>
      <c r="AK140" s="68">
        <f>AK139+ (IF(AI140="",0,AI140)-AK139)/Charts!$X$5</f>
        <v>3.5210554624933312E-8</v>
      </c>
      <c r="AL140" s="68">
        <f>AL139+ (IF(AH140="",0,AH140)-AL139)/Charts!$X$6</f>
        <v>1.9775744476763406</v>
      </c>
      <c r="AM140" s="68">
        <f>AM139+ (IF(AI140="",0,AI140)-AM139)/Charts!$X$6</f>
        <v>1.9775744476763406</v>
      </c>
      <c r="AN140" s="68" t="str">
        <f t="shared" si="34"/>
        <v>2</v>
      </c>
      <c r="AO140" s="68" t="str">
        <f t="shared" si="35"/>
        <v>2</v>
      </c>
      <c r="AP140" s="69" t="str">
        <f>IF(C140="","",INDEX(Workouts!D:D,MATCH(C140,Workouts!A:A,0)))</f>
        <v/>
      </c>
      <c r="AQ140" s="69" t="str">
        <f>IF(ISNA(MATCH(A140,Data!B:B,0)),"",INDEX(Data!G:G,MATCH(A140,Data!B:B,1)))</f>
        <v/>
      </c>
    </row>
    <row r="141" spans="1:43" s="1" customFormat="1" x14ac:dyDescent="0.2">
      <c r="A141" s="125">
        <f t="shared" si="33"/>
        <v>44336</v>
      </c>
      <c r="B141" s="126" t="str">
        <f t="shared" si="30"/>
        <v>Thu</v>
      </c>
      <c r="C141" s="140"/>
      <c r="D141" s="128" t="str">
        <f t="shared" si="31"/>
        <v/>
      </c>
      <c r="E141" s="129" t="str">
        <f t="shared" si="32"/>
        <v/>
      </c>
      <c r="F141" s="130" t="str">
        <f>IF(SUMIF(Data!B:B,A141,Data!C:C)=0,"",SUMIF(Data!B:B,A141,Data!C:C))</f>
        <v/>
      </c>
      <c r="G141" s="126" t="str">
        <f>IF(OR(S141="T",S141="RUN",SUMIF(Data!B:B,A141,Data!E:E)=0),"",SUMIF(Data!B:B,A141,Data!E:E))</f>
        <v/>
      </c>
      <c r="H141" s="126" t="str">
        <f t="shared" si="24"/>
        <v/>
      </c>
      <c r="I141" s="131" t="str">
        <f t="shared" si="25"/>
        <v>0 (0)</v>
      </c>
      <c r="J141" s="131" t="str">
        <f t="shared" si="26"/>
        <v>2 (2)</v>
      </c>
      <c r="K141" s="131" t="str">
        <f t="shared" si="27"/>
        <v>2 (2)</v>
      </c>
      <c r="L141" s="132" t="str">
        <f t="shared" si="28"/>
        <v/>
      </c>
      <c r="M141" s="131" t="str">
        <f t="shared" si="29"/>
        <v/>
      </c>
      <c r="N141" s="126" t="str">
        <f>IF(ISNA(MATCH(A141,Data!B:B,0)),"",INDEX(Data!H:H,MATCH(A141,Data!B:B,1))) &amp; ""</f>
        <v/>
      </c>
      <c r="O141" s="126" t="str">
        <f>IF(ISNA(MATCH(A141,Data!B:B,0)),"",INDEX(Data!I:I,MATCH(A141,Data!B:B,1))) &amp; ""</f>
        <v/>
      </c>
      <c r="P141" s="133" t="str">
        <f>IF(ISNA(MATCH(A141,Data!B:B,0)),"",INDEX(Data!J:J,MATCH(A141,Data!B:B,1))) &amp; ""</f>
        <v/>
      </c>
      <c r="Q141" s="126" t="str">
        <f>IF(S141="T",Charts!$X$7,IF(ISNA(MATCH(A141,Data!B:B,0)),"",INDEX(Data!K:K,MATCH(A141,Data!B:B,1)))) &amp; ""</f>
        <v/>
      </c>
      <c r="R141" s="134"/>
      <c r="S141" s="134"/>
      <c r="T141" s="127"/>
      <c r="AF141" s="24" t="str">
        <f>IF(C141="","",INDEX(Workouts!B:B,MATCH(C141,Workouts!A:A,0)))</f>
        <v/>
      </c>
      <c r="AG141" s="24" t="str">
        <f>IF(SUMIF(Data!B:B,A141,Data!D:D)=0,"",SUMIF(Data!B:B,A141,Data!D:D))</f>
        <v/>
      </c>
      <c r="AH141" s="25" t="str">
        <f>IF(C141="","",INDEX(Workouts!C:C,MATCH(C141,Workouts!A:A,0)))</f>
        <v/>
      </c>
      <c r="AI141" s="68" t="str">
        <f>IF(SUMIF(Data!B:B,A141,Data!F:F)=0,"",SUMIF(Data!B:B,A141,Data!F:F))</f>
        <v/>
      </c>
      <c r="AJ141" s="68">
        <f>AJ140+ (IF(AH141="",0,AH141)-AJ140)/Charts!$X$5</f>
        <v>3.0180475392799981E-8</v>
      </c>
      <c r="AK141" s="68">
        <f>AK140+ (IF(AI141="",0,AI141)-AK140)/Charts!$X$5</f>
        <v>3.0180475392799981E-8</v>
      </c>
      <c r="AL141" s="68">
        <f>AL140+ (IF(AH141="",0,AH141)-AL140)/Charts!$X$6</f>
        <v>1.9304893417792848</v>
      </c>
      <c r="AM141" s="68">
        <f>AM140+ (IF(AI141="",0,AI141)-AM140)/Charts!$X$6</f>
        <v>1.9304893417792848</v>
      </c>
      <c r="AN141" s="68" t="str">
        <f t="shared" si="34"/>
        <v>2</v>
      </c>
      <c r="AO141" s="68" t="str">
        <f t="shared" si="35"/>
        <v>2</v>
      </c>
      <c r="AP141" s="69" t="str">
        <f>IF(C141="","",INDEX(Workouts!D:D,MATCH(C141,Workouts!A:A,0)))</f>
        <v/>
      </c>
      <c r="AQ141" s="69" t="str">
        <f>IF(ISNA(MATCH(A141,Data!B:B,0)),"",INDEX(Data!G:G,MATCH(A141,Data!B:B,1)))</f>
        <v/>
      </c>
    </row>
    <row r="142" spans="1:43" s="1" customFormat="1" x14ac:dyDescent="0.2">
      <c r="A142" s="125">
        <f t="shared" si="33"/>
        <v>44337</v>
      </c>
      <c r="B142" s="126" t="str">
        <f t="shared" si="30"/>
        <v>Fri</v>
      </c>
      <c r="C142" s="140"/>
      <c r="D142" s="128" t="str">
        <f t="shared" si="31"/>
        <v/>
      </c>
      <c r="E142" s="129" t="str">
        <f t="shared" si="32"/>
        <v/>
      </c>
      <c r="F142" s="130" t="str">
        <f>IF(SUMIF(Data!B:B,A142,Data!C:C)=0,"",SUMIF(Data!B:B,A142,Data!C:C))</f>
        <v/>
      </c>
      <c r="G142" s="126" t="str">
        <f>IF(OR(S142="T",S142="RUN",SUMIF(Data!B:B,A142,Data!E:E)=0),"",SUMIF(Data!B:B,A142,Data!E:E))</f>
        <v/>
      </c>
      <c r="H142" s="126" t="str">
        <f t="shared" si="24"/>
        <v/>
      </c>
      <c r="I142" s="131" t="str">
        <f t="shared" si="25"/>
        <v>0 (0)</v>
      </c>
      <c r="J142" s="131" t="str">
        <f t="shared" si="26"/>
        <v>2 (2)</v>
      </c>
      <c r="K142" s="131" t="str">
        <f t="shared" si="27"/>
        <v>2 (2)</v>
      </c>
      <c r="L142" s="132" t="str">
        <f t="shared" si="28"/>
        <v/>
      </c>
      <c r="M142" s="131" t="str">
        <f t="shared" si="29"/>
        <v/>
      </c>
      <c r="N142" s="126" t="str">
        <f>IF(ISNA(MATCH(A142,Data!B:B,0)),"",INDEX(Data!H:H,MATCH(A142,Data!B:B,1))) &amp; ""</f>
        <v/>
      </c>
      <c r="O142" s="126" t="str">
        <f>IF(ISNA(MATCH(A142,Data!B:B,0)),"",INDEX(Data!I:I,MATCH(A142,Data!B:B,1))) &amp; ""</f>
        <v/>
      </c>
      <c r="P142" s="133" t="str">
        <f>IF(ISNA(MATCH(A142,Data!B:B,0)),"",INDEX(Data!J:J,MATCH(A142,Data!B:B,1))) &amp; ""</f>
        <v/>
      </c>
      <c r="Q142" s="126" t="str">
        <f>IF(S142="T",Charts!$X$7,IF(ISNA(MATCH(A142,Data!B:B,0)),"",INDEX(Data!K:K,MATCH(A142,Data!B:B,1)))) &amp; ""</f>
        <v/>
      </c>
      <c r="R142" s="134"/>
      <c r="S142" s="134"/>
      <c r="T142" s="127"/>
      <c r="AF142" s="24" t="str">
        <f>IF(C142="","",INDEX(Workouts!B:B,MATCH(C142,Workouts!A:A,0)))</f>
        <v/>
      </c>
      <c r="AG142" s="24" t="str">
        <f>IF(SUMIF(Data!B:B,A142,Data!D:D)=0,"",SUMIF(Data!B:B,A142,Data!D:D))</f>
        <v/>
      </c>
      <c r="AH142" s="25" t="str">
        <f>IF(C142="","",INDEX(Workouts!C:C,MATCH(C142,Workouts!A:A,0)))</f>
        <v/>
      </c>
      <c r="AI142" s="68" t="str">
        <f>IF(SUMIF(Data!B:B,A142,Data!F:F)=0,"",SUMIF(Data!B:B,A142,Data!F:F))</f>
        <v/>
      </c>
      <c r="AJ142" s="68">
        <f>AJ141+ (IF(AH142="",0,AH142)-AJ141)/Charts!$X$5</f>
        <v>2.5868978908114271E-8</v>
      </c>
      <c r="AK142" s="68">
        <f>AK141+ (IF(AI142="",0,AI142)-AK141)/Charts!$X$5</f>
        <v>2.5868978908114271E-8</v>
      </c>
      <c r="AL142" s="68">
        <f>AL141+ (IF(AH142="",0,AH142)-AL141)/Charts!$X$6</f>
        <v>1.884525309832159</v>
      </c>
      <c r="AM142" s="68">
        <f>AM141+ (IF(AI142="",0,AI142)-AM141)/Charts!$X$6</f>
        <v>1.884525309832159</v>
      </c>
      <c r="AN142" s="68" t="str">
        <f t="shared" si="34"/>
        <v>2</v>
      </c>
      <c r="AO142" s="68" t="str">
        <f t="shared" si="35"/>
        <v>2</v>
      </c>
      <c r="AP142" s="69" t="str">
        <f>IF(C142="","",INDEX(Workouts!D:D,MATCH(C142,Workouts!A:A,0)))</f>
        <v/>
      </c>
      <c r="AQ142" s="69" t="str">
        <f>IF(ISNA(MATCH(A142,Data!B:B,0)),"",INDEX(Data!G:G,MATCH(A142,Data!B:B,1)))</f>
        <v/>
      </c>
    </row>
    <row r="143" spans="1:43" s="1" customFormat="1" x14ac:dyDescent="0.2">
      <c r="A143" s="125">
        <f t="shared" si="33"/>
        <v>44338</v>
      </c>
      <c r="B143" s="126" t="str">
        <f t="shared" si="30"/>
        <v>Sat</v>
      </c>
      <c r="C143" s="140"/>
      <c r="D143" s="128" t="str">
        <f t="shared" si="31"/>
        <v/>
      </c>
      <c r="E143" s="129" t="str">
        <f t="shared" si="32"/>
        <v/>
      </c>
      <c r="F143" s="130" t="str">
        <f>IF(SUMIF(Data!B:B,A143,Data!C:C)=0,"",SUMIF(Data!B:B,A143,Data!C:C))</f>
        <v/>
      </c>
      <c r="G143" s="126" t="str">
        <f>IF(OR(S143="T",S143="RUN",SUMIF(Data!B:B,A143,Data!E:E)=0),"",SUMIF(Data!B:B,A143,Data!E:E))</f>
        <v/>
      </c>
      <c r="H143" s="126" t="str">
        <f t="shared" si="24"/>
        <v/>
      </c>
      <c r="I143" s="131" t="str">
        <f t="shared" si="25"/>
        <v>0 (0)</v>
      </c>
      <c r="J143" s="131" t="str">
        <f t="shared" si="26"/>
        <v>2 (2)</v>
      </c>
      <c r="K143" s="131" t="str">
        <f t="shared" si="27"/>
        <v>2 (2)</v>
      </c>
      <c r="L143" s="132" t="str">
        <f t="shared" si="28"/>
        <v/>
      </c>
      <c r="M143" s="131" t="str">
        <f t="shared" si="29"/>
        <v/>
      </c>
      <c r="N143" s="126" t="str">
        <f>IF(ISNA(MATCH(A143,Data!B:B,0)),"",INDEX(Data!H:H,MATCH(A143,Data!B:B,1))) &amp; ""</f>
        <v/>
      </c>
      <c r="O143" s="126" t="str">
        <f>IF(ISNA(MATCH(A143,Data!B:B,0)),"",INDEX(Data!I:I,MATCH(A143,Data!B:B,1))) &amp; ""</f>
        <v/>
      </c>
      <c r="P143" s="133" t="str">
        <f>IF(ISNA(MATCH(A143,Data!B:B,0)),"",INDEX(Data!J:J,MATCH(A143,Data!B:B,1))) &amp; ""</f>
        <v/>
      </c>
      <c r="Q143" s="126" t="str">
        <f>IF(S143="T",Charts!$X$7,IF(ISNA(MATCH(A143,Data!B:B,0)),"",INDEX(Data!K:K,MATCH(A143,Data!B:B,1)))) &amp; ""</f>
        <v/>
      </c>
      <c r="R143" s="134"/>
      <c r="S143" s="134"/>
      <c r="T143" s="127"/>
      <c r="AF143" s="24" t="str">
        <f>IF(C143="","",INDEX(Workouts!B:B,MATCH(C143,Workouts!A:A,0)))</f>
        <v/>
      </c>
      <c r="AG143" s="24" t="str">
        <f>IF(SUMIF(Data!B:B,A143,Data!D:D)=0,"",SUMIF(Data!B:B,A143,Data!D:D))</f>
        <v/>
      </c>
      <c r="AH143" s="25" t="str">
        <f>IF(C143="","",INDEX(Workouts!C:C,MATCH(C143,Workouts!A:A,0)))</f>
        <v/>
      </c>
      <c r="AI143" s="68" t="str">
        <f>IF(SUMIF(Data!B:B,A143,Data!F:F)=0,"",SUMIF(Data!B:B,A143,Data!F:F))</f>
        <v/>
      </c>
      <c r="AJ143" s="68">
        <f>AJ142+ (IF(AH143="",0,AH143)-AJ142)/Charts!$X$5</f>
        <v>2.2173410492669376E-8</v>
      </c>
      <c r="AK143" s="68">
        <f>AK142+ (IF(AI143="",0,AI143)-AK142)/Charts!$X$5</f>
        <v>2.2173410492669376E-8</v>
      </c>
      <c r="AL143" s="68">
        <f>AL142+ (IF(AH143="",0,AH143)-AL142)/Charts!$X$6</f>
        <v>1.83965565959806</v>
      </c>
      <c r="AM143" s="68">
        <f>AM142+ (IF(AI143="",0,AI143)-AM142)/Charts!$X$6</f>
        <v>1.83965565959806</v>
      </c>
      <c r="AN143" s="68" t="str">
        <f t="shared" si="34"/>
        <v>2</v>
      </c>
      <c r="AO143" s="68" t="str">
        <f t="shared" si="35"/>
        <v>2</v>
      </c>
      <c r="AP143" s="69" t="str">
        <f>IF(C143="","",INDEX(Workouts!D:D,MATCH(C143,Workouts!A:A,0)))</f>
        <v/>
      </c>
      <c r="AQ143" s="69" t="str">
        <f>IF(ISNA(MATCH(A143,Data!B:B,0)),"",INDEX(Data!G:G,MATCH(A143,Data!B:B,1)))</f>
        <v/>
      </c>
    </row>
    <row r="144" spans="1:43" s="1" customFormat="1" x14ac:dyDescent="0.2">
      <c r="A144" s="125">
        <f t="shared" si="33"/>
        <v>44339</v>
      </c>
      <c r="B144" s="126" t="str">
        <f t="shared" si="30"/>
        <v>Sun</v>
      </c>
      <c r="C144" s="140"/>
      <c r="D144" s="128" t="str">
        <f t="shared" si="31"/>
        <v/>
      </c>
      <c r="E144" s="129" t="str">
        <f t="shared" si="32"/>
        <v/>
      </c>
      <c r="F144" s="130" t="str">
        <f>IF(SUMIF(Data!B:B,A144,Data!C:C)=0,"",SUMIF(Data!B:B,A144,Data!C:C))</f>
        <v/>
      </c>
      <c r="G144" s="126" t="str">
        <f>IF(OR(S144="T",S144="RUN",SUMIF(Data!B:B,A144,Data!E:E)=0),"",SUMIF(Data!B:B,A144,Data!E:E))</f>
        <v/>
      </c>
      <c r="H144" s="126" t="str">
        <f t="shared" si="24"/>
        <v/>
      </c>
      <c r="I144" s="131" t="str">
        <f t="shared" si="25"/>
        <v>0 (0)</v>
      </c>
      <c r="J144" s="131" t="str">
        <f t="shared" si="26"/>
        <v>2 (2)</v>
      </c>
      <c r="K144" s="131" t="str">
        <f t="shared" si="27"/>
        <v>2 (2)</v>
      </c>
      <c r="L144" s="132" t="str">
        <f t="shared" si="28"/>
        <v/>
      </c>
      <c r="M144" s="131" t="str">
        <f t="shared" si="29"/>
        <v/>
      </c>
      <c r="N144" s="126" t="str">
        <f>IF(ISNA(MATCH(A144,Data!B:B,0)),"",INDEX(Data!H:H,MATCH(A144,Data!B:B,1))) &amp; ""</f>
        <v/>
      </c>
      <c r="O144" s="126" t="str">
        <f>IF(ISNA(MATCH(A144,Data!B:B,0)),"",INDEX(Data!I:I,MATCH(A144,Data!B:B,1))) &amp; ""</f>
        <v/>
      </c>
      <c r="P144" s="133" t="str">
        <f>IF(ISNA(MATCH(A144,Data!B:B,0)),"",INDEX(Data!J:J,MATCH(A144,Data!B:B,1))) &amp; ""</f>
        <v/>
      </c>
      <c r="Q144" s="126" t="str">
        <f>IF(S144="T",Charts!$X$7,IF(ISNA(MATCH(A144,Data!B:B,0)),"",INDEX(Data!K:K,MATCH(A144,Data!B:B,1)))) &amp; ""</f>
        <v/>
      </c>
      <c r="R144" s="134"/>
      <c r="S144" s="134"/>
      <c r="T144" s="127"/>
      <c r="AF144" s="24" t="str">
        <f>IF(C144="","",INDEX(Workouts!B:B,MATCH(C144,Workouts!A:A,0)))</f>
        <v/>
      </c>
      <c r="AG144" s="24" t="str">
        <f>IF(SUMIF(Data!B:B,A144,Data!D:D)=0,"",SUMIF(Data!B:B,A144,Data!D:D))</f>
        <v/>
      </c>
      <c r="AH144" s="25" t="str">
        <f>IF(C144="","",INDEX(Workouts!C:C,MATCH(C144,Workouts!A:A,0)))</f>
        <v/>
      </c>
      <c r="AI144" s="68" t="str">
        <f>IF(SUMIF(Data!B:B,A144,Data!F:F)=0,"",SUMIF(Data!B:B,A144,Data!F:F))</f>
        <v/>
      </c>
      <c r="AJ144" s="68">
        <f>AJ143+ (IF(AH144="",0,AH144)-AJ143)/Charts!$X$5</f>
        <v>1.9005780422288035E-8</v>
      </c>
      <c r="AK144" s="68">
        <f>AK143+ (IF(AI144="",0,AI144)-AK143)/Charts!$X$5</f>
        <v>1.9005780422288035E-8</v>
      </c>
      <c r="AL144" s="68">
        <f>AL143+ (IF(AH144="",0,AH144)-AL143)/Charts!$X$6</f>
        <v>1.7958543343695348</v>
      </c>
      <c r="AM144" s="68">
        <f>AM143+ (IF(AI144="",0,AI144)-AM143)/Charts!$X$6</f>
        <v>1.7958543343695348</v>
      </c>
      <c r="AN144" s="68" t="str">
        <f t="shared" si="34"/>
        <v>2</v>
      </c>
      <c r="AO144" s="68" t="str">
        <f t="shared" si="35"/>
        <v>2</v>
      </c>
      <c r="AP144" s="69" t="str">
        <f>IF(C144="","",INDEX(Workouts!D:D,MATCH(C144,Workouts!A:A,0)))</f>
        <v/>
      </c>
      <c r="AQ144" s="69" t="str">
        <f>IF(ISNA(MATCH(A144,Data!B:B,0)),"",INDEX(Data!G:G,MATCH(A144,Data!B:B,1)))</f>
        <v/>
      </c>
    </row>
    <row r="145" spans="1:43" s="1" customFormat="1" x14ac:dyDescent="0.2">
      <c r="A145" s="125">
        <f t="shared" si="33"/>
        <v>44340</v>
      </c>
      <c r="B145" s="126" t="str">
        <f t="shared" si="30"/>
        <v>Mon</v>
      </c>
      <c r="C145" s="140"/>
      <c r="D145" s="128" t="str">
        <f t="shared" si="31"/>
        <v/>
      </c>
      <c r="E145" s="129" t="str">
        <f t="shared" si="32"/>
        <v/>
      </c>
      <c r="F145" s="130" t="str">
        <f>IF(SUMIF(Data!B:B,A145,Data!C:C)=0,"",SUMIF(Data!B:B,A145,Data!C:C))</f>
        <v/>
      </c>
      <c r="G145" s="126" t="str">
        <f>IF(OR(S145="T",S145="RUN",SUMIF(Data!B:B,A145,Data!E:E)=0),"",SUMIF(Data!B:B,A145,Data!E:E))</f>
        <v/>
      </c>
      <c r="H145" s="126" t="str">
        <f t="shared" si="24"/>
        <v/>
      </c>
      <c r="I145" s="131" t="str">
        <f t="shared" si="25"/>
        <v>0 (0)</v>
      </c>
      <c r="J145" s="131" t="str">
        <f t="shared" si="26"/>
        <v>2 (2)</v>
      </c>
      <c r="K145" s="131" t="str">
        <f t="shared" si="27"/>
        <v>2 (2)</v>
      </c>
      <c r="L145" s="132" t="str">
        <f t="shared" si="28"/>
        <v/>
      </c>
      <c r="M145" s="131" t="str">
        <f t="shared" si="29"/>
        <v/>
      </c>
      <c r="N145" s="126" t="str">
        <f>IF(ISNA(MATCH(A145,Data!B:B,0)),"",INDEX(Data!H:H,MATCH(A145,Data!B:B,1))) &amp; ""</f>
        <v/>
      </c>
      <c r="O145" s="126" t="str">
        <f>IF(ISNA(MATCH(A145,Data!B:B,0)),"",INDEX(Data!I:I,MATCH(A145,Data!B:B,1))) &amp; ""</f>
        <v/>
      </c>
      <c r="P145" s="133" t="str">
        <f>IF(ISNA(MATCH(A145,Data!B:B,0)),"",INDEX(Data!J:J,MATCH(A145,Data!B:B,1))) &amp; ""</f>
        <v/>
      </c>
      <c r="Q145" s="126" t="str">
        <f>IF(S145="T",Charts!$X$7,IF(ISNA(MATCH(A145,Data!B:B,0)),"",INDEX(Data!K:K,MATCH(A145,Data!B:B,1)))) &amp; ""</f>
        <v/>
      </c>
      <c r="R145" s="134"/>
      <c r="S145" s="134"/>
      <c r="T145" s="127"/>
      <c r="AF145" s="24" t="str">
        <f>IF(C145="","",INDEX(Workouts!B:B,MATCH(C145,Workouts!A:A,0)))</f>
        <v/>
      </c>
      <c r="AG145" s="24" t="str">
        <f>IF(SUMIF(Data!B:B,A145,Data!D:D)=0,"",SUMIF(Data!B:B,A145,Data!D:D))</f>
        <v/>
      </c>
      <c r="AH145" s="25" t="str">
        <f>IF(C145="","",INDEX(Workouts!C:C,MATCH(C145,Workouts!A:A,0)))</f>
        <v/>
      </c>
      <c r="AI145" s="68" t="str">
        <f>IF(SUMIF(Data!B:B,A145,Data!F:F)=0,"",SUMIF(Data!B:B,A145,Data!F:F))</f>
        <v/>
      </c>
      <c r="AJ145" s="68">
        <f>AJ144+ (IF(AH145="",0,AH145)-AJ144)/Charts!$X$5</f>
        <v>1.6290668933389743E-8</v>
      </c>
      <c r="AK145" s="68">
        <f>AK144+ (IF(AI145="",0,AI145)-AK144)/Charts!$X$5</f>
        <v>1.6290668933389743E-8</v>
      </c>
      <c r="AL145" s="68">
        <f>AL144+ (IF(AH145="",0,AH145)-AL144)/Charts!$X$6</f>
        <v>1.7530958978369269</v>
      </c>
      <c r="AM145" s="68">
        <f>AM144+ (IF(AI145="",0,AI145)-AM144)/Charts!$X$6</f>
        <v>1.7530958978369269</v>
      </c>
      <c r="AN145" s="68" t="str">
        <f t="shared" si="34"/>
        <v>2</v>
      </c>
      <c r="AO145" s="68" t="str">
        <f t="shared" si="35"/>
        <v>2</v>
      </c>
      <c r="AP145" s="69" t="str">
        <f>IF(C145="","",INDEX(Workouts!D:D,MATCH(C145,Workouts!A:A,0)))</f>
        <v/>
      </c>
      <c r="AQ145" s="69" t="str">
        <f>IF(ISNA(MATCH(A145,Data!B:B,0)),"",INDEX(Data!G:G,MATCH(A145,Data!B:B,1)))</f>
        <v/>
      </c>
    </row>
    <row r="146" spans="1:43" s="1" customFormat="1" x14ac:dyDescent="0.2">
      <c r="A146" s="125">
        <f t="shared" si="33"/>
        <v>44341</v>
      </c>
      <c r="B146" s="126" t="str">
        <f t="shared" si="30"/>
        <v>Tue</v>
      </c>
      <c r="C146" s="140"/>
      <c r="D146" s="128" t="str">
        <f t="shared" si="31"/>
        <v/>
      </c>
      <c r="E146" s="129" t="str">
        <f t="shared" si="32"/>
        <v/>
      </c>
      <c r="F146" s="130" t="str">
        <f>IF(SUMIF(Data!B:B,A146,Data!C:C)=0,"",SUMIF(Data!B:B,A146,Data!C:C))</f>
        <v/>
      </c>
      <c r="G146" s="126" t="str">
        <f>IF(OR(S146="T",S146="RUN",SUMIF(Data!B:B,A146,Data!E:E)=0),"",SUMIF(Data!B:B,A146,Data!E:E))</f>
        <v/>
      </c>
      <c r="H146" s="126" t="str">
        <f t="shared" si="24"/>
        <v/>
      </c>
      <c r="I146" s="131" t="str">
        <f t="shared" si="25"/>
        <v>0 (0)</v>
      </c>
      <c r="J146" s="131" t="str">
        <f t="shared" si="26"/>
        <v>2 (2)</v>
      </c>
      <c r="K146" s="131" t="str">
        <f t="shared" si="27"/>
        <v>2 (2)</v>
      </c>
      <c r="L146" s="132" t="str">
        <f t="shared" si="28"/>
        <v/>
      </c>
      <c r="M146" s="131" t="str">
        <f t="shared" si="29"/>
        <v/>
      </c>
      <c r="N146" s="126" t="str">
        <f>IF(ISNA(MATCH(A146,Data!B:B,0)),"",INDEX(Data!H:H,MATCH(A146,Data!B:B,1))) &amp; ""</f>
        <v/>
      </c>
      <c r="O146" s="126" t="str">
        <f>IF(ISNA(MATCH(A146,Data!B:B,0)),"",INDEX(Data!I:I,MATCH(A146,Data!B:B,1))) &amp; ""</f>
        <v/>
      </c>
      <c r="P146" s="133" t="str">
        <f>IF(ISNA(MATCH(A146,Data!B:B,0)),"",INDEX(Data!J:J,MATCH(A146,Data!B:B,1))) &amp; ""</f>
        <v/>
      </c>
      <c r="Q146" s="126" t="str">
        <f>IF(S146="T",Charts!$X$7,IF(ISNA(MATCH(A146,Data!B:B,0)),"",INDEX(Data!K:K,MATCH(A146,Data!B:B,1)))) &amp; ""</f>
        <v/>
      </c>
      <c r="R146" s="134"/>
      <c r="S146" s="134"/>
      <c r="T146" s="127"/>
      <c r="AF146" s="24" t="str">
        <f>IF(C146="","",INDEX(Workouts!B:B,MATCH(C146,Workouts!A:A,0)))</f>
        <v/>
      </c>
      <c r="AG146" s="24" t="str">
        <f>IF(SUMIF(Data!B:B,A146,Data!D:D)=0,"",SUMIF(Data!B:B,A146,Data!D:D))</f>
        <v/>
      </c>
      <c r="AH146" s="25" t="str">
        <f>IF(C146="","",INDEX(Workouts!C:C,MATCH(C146,Workouts!A:A,0)))</f>
        <v/>
      </c>
      <c r="AI146" s="68" t="str">
        <f>IF(SUMIF(Data!B:B,A146,Data!F:F)=0,"",SUMIF(Data!B:B,A146,Data!F:F))</f>
        <v/>
      </c>
      <c r="AJ146" s="68">
        <f>AJ145+ (IF(AH146="",0,AH146)-AJ145)/Charts!$X$5</f>
        <v>1.3963430514334065E-8</v>
      </c>
      <c r="AK146" s="68">
        <f>AK145+ (IF(AI146="",0,AI146)-AK145)/Charts!$X$5</f>
        <v>1.3963430514334065E-8</v>
      </c>
      <c r="AL146" s="68">
        <f>AL145+ (IF(AH146="",0,AH146)-AL145)/Charts!$X$6</f>
        <v>1.711355519317</v>
      </c>
      <c r="AM146" s="68">
        <f>AM145+ (IF(AI146="",0,AI146)-AM145)/Charts!$X$6</f>
        <v>1.711355519317</v>
      </c>
      <c r="AN146" s="68" t="str">
        <f t="shared" si="34"/>
        <v>2</v>
      </c>
      <c r="AO146" s="68" t="str">
        <f t="shared" si="35"/>
        <v>2</v>
      </c>
      <c r="AP146" s="69" t="str">
        <f>IF(C146="","",INDEX(Workouts!D:D,MATCH(C146,Workouts!A:A,0)))</f>
        <v/>
      </c>
      <c r="AQ146" s="69" t="str">
        <f>IF(ISNA(MATCH(A146,Data!B:B,0)),"",INDEX(Data!G:G,MATCH(A146,Data!B:B,1)))</f>
        <v/>
      </c>
    </row>
    <row r="147" spans="1:43" s="1" customFormat="1" x14ac:dyDescent="0.2">
      <c r="A147" s="125">
        <f t="shared" si="33"/>
        <v>44342</v>
      </c>
      <c r="B147" s="126" t="str">
        <f t="shared" si="30"/>
        <v>Wed</v>
      </c>
      <c r="C147" s="140"/>
      <c r="D147" s="128" t="str">
        <f t="shared" si="31"/>
        <v/>
      </c>
      <c r="E147" s="129" t="str">
        <f t="shared" si="32"/>
        <v/>
      </c>
      <c r="F147" s="130" t="str">
        <f>IF(SUMIF(Data!B:B,A147,Data!C:C)=0,"",SUMIF(Data!B:B,A147,Data!C:C))</f>
        <v/>
      </c>
      <c r="G147" s="126" t="str">
        <f>IF(OR(S147="T",S147="RUN",SUMIF(Data!B:B,A147,Data!E:E)=0),"",SUMIF(Data!B:B,A147,Data!E:E))</f>
        <v/>
      </c>
      <c r="H147" s="126" t="str">
        <f t="shared" si="24"/>
        <v/>
      </c>
      <c r="I147" s="131" t="str">
        <f t="shared" si="25"/>
        <v>0 (0)</v>
      </c>
      <c r="J147" s="131" t="str">
        <f t="shared" si="26"/>
        <v>2 (2)</v>
      </c>
      <c r="K147" s="131" t="str">
        <f t="shared" si="27"/>
        <v>2 (2)</v>
      </c>
      <c r="L147" s="132" t="str">
        <f t="shared" si="28"/>
        <v/>
      </c>
      <c r="M147" s="131" t="str">
        <f t="shared" si="29"/>
        <v/>
      </c>
      <c r="N147" s="126" t="str">
        <f>IF(ISNA(MATCH(A147,Data!B:B,0)),"",INDEX(Data!H:H,MATCH(A147,Data!B:B,1))) &amp; ""</f>
        <v/>
      </c>
      <c r="O147" s="126" t="str">
        <f>IF(ISNA(MATCH(A147,Data!B:B,0)),"",INDEX(Data!I:I,MATCH(A147,Data!B:B,1))) &amp; ""</f>
        <v/>
      </c>
      <c r="P147" s="133" t="str">
        <f>IF(ISNA(MATCH(A147,Data!B:B,0)),"",INDEX(Data!J:J,MATCH(A147,Data!B:B,1))) &amp; ""</f>
        <v/>
      </c>
      <c r="Q147" s="126" t="str">
        <f>IF(S147="T",Charts!$X$7,IF(ISNA(MATCH(A147,Data!B:B,0)),"",INDEX(Data!K:K,MATCH(A147,Data!B:B,1)))) &amp; ""</f>
        <v/>
      </c>
      <c r="R147" s="134"/>
      <c r="S147" s="134"/>
      <c r="T147" s="127"/>
      <c r="AF147" s="24" t="str">
        <f>IF(C147="","",INDEX(Workouts!B:B,MATCH(C147,Workouts!A:A,0)))</f>
        <v/>
      </c>
      <c r="AG147" s="24" t="str">
        <f>IF(SUMIF(Data!B:B,A147,Data!D:D)=0,"",SUMIF(Data!B:B,A147,Data!D:D))</f>
        <v/>
      </c>
      <c r="AH147" s="25" t="str">
        <f>IF(C147="","",INDEX(Workouts!C:C,MATCH(C147,Workouts!A:A,0)))</f>
        <v/>
      </c>
      <c r="AI147" s="68" t="str">
        <f>IF(SUMIF(Data!B:B,A147,Data!F:F)=0,"",SUMIF(Data!B:B,A147,Data!F:F))</f>
        <v/>
      </c>
      <c r="AJ147" s="68">
        <f>AJ146+ (IF(AH147="",0,AH147)-AJ146)/Charts!$X$5</f>
        <v>1.1968654726572056E-8</v>
      </c>
      <c r="AK147" s="68">
        <f>AK146+ (IF(AI147="",0,AI147)-AK146)/Charts!$X$5</f>
        <v>1.1968654726572056E-8</v>
      </c>
      <c r="AL147" s="68">
        <f>AL146+ (IF(AH147="",0,AH147)-AL146)/Charts!$X$6</f>
        <v>1.670608959333262</v>
      </c>
      <c r="AM147" s="68">
        <f>AM146+ (IF(AI147="",0,AI147)-AM146)/Charts!$X$6</f>
        <v>1.670608959333262</v>
      </c>
      <c r="AN147" s="68" t="str">
        <f t="shared" si="34"/>
        <v>2</v>
      </c>
      <c r="AO147" s="68" t="str">
        <f t="shared" si="35"/>
        <v>2</v>
      </c>
      <c r="AP147" s="69" t="str">
        <f>IF(C147="","",INDEX(Workouts!D:D,MATCH(C147,Workouts!A:A,0)))</f>
        <v/>
      </c>
      <c r="AQ147" s="69" t="str">
        <f>IF(ISNA(MATCH(A147,Data!B:B,0)),"",INDEX(Data!G:G,MATCH(A147,Data!B:B,1)))</f>
        <v/>
      </c>
    </row>
    <row r="148" spans="1:43" s="1" customFormat="1" x14ac:dyDescent="0.2">
      <c r="A148" s="125">
        <f t="shared" si="33"/>
        <v>44343</v>
      </c>
      <c r="B148" s="126" t="str">
        <f t="shared" si="30"/>
        <v>Thu</v>
      </c>
      <c r="C148" s="140"/>
      <c r="D148" s="128" t="str">
        <f t="shared" si="31"/>
        <v/>
      </c>
      <c r="E148" s="129" t="str">
        <f t="shared" si="32"/>
        <v/>
      </c>
      <c r="F148" s="130" t="str">
        <f>IF(SUMIF(Data!B:B,A148,Data!C:C)=0,"",SUMIF(Data!B:B,A148,Data!C:C))</f>
        <v/>
      </c>
      <c r="G148" s="126" t="str">
        <f>IF(OR(S148="T",S148="RUN",SUMIF(Data!B:B,A148,Data!E:E)=0),"",SUMIF(Data!B:B,A148,Data!E:E))</f>
        <v/>
      </c>
      <c r="H148" s="126" t="str">
        <f t="shared" si="24"/>
        <v/>
      </c>
      <c r="I148" s="131" t="str">
        <f t="shared" si="25"/>
        <v>0 (0)</v>
      </c>
      <c r="J148" s="131" t="str">
        <f t="shared" si="26"/>
        <v>2 (2)</v>
      </c>
      <c r="K148" s="131" t="str">
        <f t="shared" si="27"/>
        <v>2 (2)</v>
      </c>
      <c r="L148" s="132" t="str">
        <f t="shared" si="28"/>
        <v/>
      </c>
      <c r="M148" s="131" t="str">
        <f t="shared" si="29"/>
        <v/>
      </c>
      <c r="N148" s="126" t="str">
        <f>IF(ISNA(MATCH(A148,Data!B:B,0)),"",INDEX(Data!H:H,MATCH(A148,Data!B:B,1))) &amp; ""</f>
        <v/>
      </c>
      <c r="O148" s="126" t="str">
        <f>IF(ISNA(MATCH(A148,Data!B:B,0)),"",INDEX(Data!I:I,MATCH(A148,Data!B:B,1))) &amp; ""</f>
        <v/>
      </c>
      <c r="P148" s="133" t="str">
        <f>IF(ISNA(MATCH(A148,Data!B:B,0)),"",INDEX(Data!J:J,MATCH(A148,Data!B:B,1))) &amp; ""</f>
        <v/>
      </c>
      <c r="Q148" s="126" t="str">
        <f>IF(S148="T",Charts!$X$7,IF(ISNA(MATCH(A148,Data!B:B,0)),"",INDEX(Data!K:K,MATCH(A148,Data!B:B,1)))) &amp; ""</f>
        <v/>
      </c>
      <c r="R148" s="134"/>
      <c r="S148" s="134"/>
      <c r="T148" s="127"/>
      <c r="AF148" s="24" t="str">
        <f>IF(C148="","",INDEX(Workouts!B:B,MATCH(C148,Workouts!A:A,0)))</f>
        <v/>
      </c>
      <c r="AG148" s="24" t="str">
        <f>IF(SUMIF(Data!B:B,A148,Data!D:D)=0,"",SUMIF(Data!B:B,A148,Data!D:D))</f>
        <v/>
      </c>
      <c r="AH148" s="25" t="str">
        <f>IF(C148="","",INDEX(Workouts!C:C,MATCH(C148,Workouts!A:A,0)))</f>
        <v/>
      </c>
      <c r="AI148" s="68" t="str">
        <f>IF(SUMIF(Data!B:B,A148,Data!F:F)=0,"",SUMIF(Data!B:B,A148,Data!F:F))</f>
        <v/>
      </c>
      <c r="AJ148" s="68">
        <f>AJ147+ (IF(AH148="",0,AH148)-AJ147)/Charts!$X$5</f>
        <v>1.0258846908490334E-8</v>
      </c>
      <c r="AK148" s="68">
        <f>AK147+ (IF(AI148="",0,AI148)-AK147)/Charts!$X$5</f>
        <v>1.0258846908490334E-8</v>
      </c>
      <c r="AL148" s="68">
        <f>AL147+ (IF(AH148="",0,AH148)-AL147)/Charts!$X$6</f>
        <v>1.630832555539613</v>
      </c>
      <c r="AM148" s="68">
        <f>AM147+ (IF(AI148="",0,AI148)-AM147)/Charts!$X$6</f>
        <v>1.630832555539613</v>
      </c>
      <c r="AN148" s="68" t="str">
        <f t="shared" si="34"/>
        <v>2</v>
      </c>
      <c r="AO148" s="68" t="str">
        <f t="shared" si="35"/>
        <v>2</v>
      </c>
      <c r="AP148" s="69" t="str">
        <f>IF(C148="","",INDEX(Workouts!D:D,MATCH(C148,Workouts!A:A,0)))</f>
        <v/>
      </c>
      <c r="AQ148" s="69" t="str">
        <f>IF(ISNA(MATCH(A148,Data!B:B,0)),"",INDEX(Data!G:G,MATCH(A148,Data!B:B,1)))</f>
        <v/>
      </c>
    </row>
    <row r="149" spans="1:43" s="26" customFormat="1" x14ac:dyDescent="0.2">
      <c r="A149" s="135">
        <f t="shared" si="33"/>
        <v>44344</v>
      </c>
      <c r="B149" s="136" t="str">
        <f t="shared" si="30"/>
        <v>Fri</v>
      </c>
      <c r="C149" s="141"/>
      <c r="D149" s="128" t="str">
        <f t="shared" si="31"/>
        <v/>
      </c>
      <c r="E149" s="129" t="str">
        <f t="shared" si="32"/>
        <v/>
      </c>
      <c r="F149" s="130" t="str">
        <f>IF(SUMIF(Data!B:B,A149,Data!C:C)=0,"",SUMIF(Data!B:B,A149,Data!C:C))</f>
        <v/>
      </c>
      <c r="G149" s="126" t="str">
        <f>IF(OR(S149="T",S149="RUN",SUMIF(Data!B:B,A149,Data!E:E)=0),"",SUMIF(Data!B:B,A149,Data!E:E))</f>
        <v/>
      </c>
      <c r="H149" s="126" t="str">
        <f t="shared" si="24"/>
        <v/>
      </c>
      <c r="I149" s="131" t="str">
        <f t="shared" si="25"/>
        <v>0 (0)</v>
      </c>
      <c r="J149" s="131" t="str">
        <f t="shared" si="26"/>
        <v>2 (2)</v>
      </c>
      <c r="K149" s="131" t="str">
        <f t="shared" si="27"/>
        <v>2 (2)</v>
      </c>
      <c r="L149" s="132" t="str">
        <f t="shared" si="28"/>
        <v/>
      </c>
      <c r="M149" s="131" t="str">
        <f t="shared" si="29"/>
        <v/>
      </c>
      <c r="N149" s="126" t="str">
        <f>IF(ISNA(MATCH(A149,Data!B:B,0)),"",INDEX(Data!H:H,MATCH(A149,Data!B:B,1))) &amp; ""</f>
        <v/>
      </c>
      <c r="O149" s="126" t="str">
        <f>IF(ISNA(MATCH(A149,Data!B:B,0)),"",INDEX(Data!I:I,MATCH(A149,Data!B:B,1))) &amp; ""</f>
        <v/>
      </c>
      <c r="P149" s="133" t="str">
        <f>IF(ISNA(MATCH(A149,Data!B:B,0)),"",INDEX(Data!J:J,MATCH(A149,Data!B:B,1))) &amp; ""</f>
        <v/>
      </c>
      <c r="Q149" s="126" t="str">
        <f>IF(S149="T",Charts!$X$7,IF(ISNA(MATCH(A149,Data!B:B,0)),"",INDEX(Data!K:K,MATCH(A149,Data!B:B,1)))) &amp; ""</f>
        <v/>
      </c>
      <c r="R149" s="134"/>
      <c r="S149" s="134"/>
      <c r="T149" s="127"/>
      <c r="AF149" s="24" t="str">
        <f>IF(C149="","",INDEX(Workouts!B:B,MATCH(C149,Workouts!A:A,0)))</f>
        <v/>
      </c>
      <c r="AG149" s="24" t="str">
        <f>IF(SUMIF(Data!B:B,A149,Data!D:D)=0,"",SUMIF(Data!B:B,A149,Data!D:D))</f>
        <v/>
      </c>
      <c r="AH149" s="25" t="str">
        <f>IF(C149="","",INDEX(Workouts!C:C,MATCH(C149,Workouts!A:A,0)))</f>
        <v/>
      </c>
      <c r="AI149" s="68" t="str">
        <f>IF(SUMIF(Data!B:B,A149,Data!F:F)=0,"",SUMIF(Data!B:B,A149,Data!F:F))</f>
        <v/>
      </c>
      <c r="AJ149" s="68">
        <f>AJ148+ (IF(AH149="",0,AH149)-AJ148)/Charts!$X$5</f>
        <v>8.7932973501345717E-9</v>
      </c>
      <c r="AK149" s="68">
        <f>AK148+ (IF(AI149="",0,AI149)-AK148)/Charts!$X$5</f>
        <v>8.7932973501345717E-9</v>
      </c>
      <c r="AL149" s="68">
        <f>AL148+ (IF(AH149="",0,AH149)-AL148)/Charts!$X$6</f>
        <v>1.592003208979146</v>
      </c>
      <c r="AM149" s="68">
        <f>AM148+ (IF(AI149="",0,AI149)-AM148)/Charts!$X$6</f>
        <v>1.592003208979146</v>
      </c>
      <c r="AN149" s="68" t="str">
        <f t="shared" si="34"/>
        <v>2</v>
      </c>
      <c r="AO149" s="68" t="str">
        <f t="shared" si="35"/>
        <v>2</v>
      </c>
      <c r="AP149" s="69" t="str">
        <f>IF(C149="","",INDEX(Workouts!D:D,MATCH(C149,Workouts!A:A,0)))</f>
        <v/>
      </c>
      <c r="AQ149" s="69" t="str">
        <f>IF(ISNA(MATCH(A149,Data!B:B,0)),"",INDEX(Data!G:G,MATCH(A149,Data!B:B,1)))</f>
        <v/>
      </c>
    </row>
    <row r="150" spans="1:43" s="1" customFormat="1" x14ac:dyDescent="0.2">
      <c r="A150" s="125">
        <f t="shared" si="33"/>
        <v>44345</v>
      </c>
      <c r="B150" s="126" t="str">
        <f t="shared" si="30"/>
        <v>Sat</v>
      </c>
      <c r="C150" s="140"/>
      <c r="D150" s="128" t="str">
        <f t="shared" si="31"/>
        <v/>
      </c>
      <c r="E150" s="129" t="str">
        <f t="shared" si="32"/>
        <v/>
      </c>
      <c r="F150" s="130" t="str">
        <f>IF(SUMIF(Data!B:B,A150,Data!C:C)=0,"",SUMIF(Data!B:B,A150,Data!C:C))</f>
        <v/>
      </c>
      <c r="G150" s="126" t="str">
        <f>IF(OR(S150="T",S150="RUN",SUMIF(Data!B:B,A150,Data!E:E)=0),"",SUMIF(Data!B:B,A150,Data!E:E))</f>
        <v/>
      </c>
      <c r="H150" s="126" t="str">
        <f t="shared" si="24"/>
        <v/>
      </c>
      <c r="I150" s="131" t="str">
        <f t="shared" si="25"/>
        <v>0 (0)</v>
      </c>
      <c r="J150" s="131" t="str">
        <f t="shared" si="26"/>
        <v>2 (2)</v>
      </c>
      <c r="K150" s="131" t="str">
        <f t="shared" si="27"/>
        <v>2 (2)</v>
      </c>
      <c r="L150" s="132" t="str">
        <f t="shared" si="28"/>
        <v/>
      </c>
      <c r="M150" s="131" t="str">
        <f t="shared" si="29"/>
        <v/>
      </c>
      <c r="N150" s="126" t="str">
        <f>IF(ISNA(MATCH(A150,Data!B:B,0)),"",INDEX(Data!H:H,MATCH(A150,Data!B:B,1))) &amp; ""</f>
        <v/>
      </c>
      <c r="O150" s="126" t="str">
        <f>IF(ISNA(MATCH(A150,Data!B:B,0)),"",INDEX(Data!I:I,MATCH(A150,Data!B:B,1))) &amp; ""</f>
        <v/>
      </c>
      <c r="P150" s="133" t="str">
        <f>IF(ISNA(MATCH(A150,Data!B:B,0)),"",INDEX(Data!J:J,MATCH(A150,Data!B:B,1))) &amp; ""</f>
        <v/>
      </c>
      <c r="Q150" s="126" t="str">
        <f>IF(S150="T",Charts!$X$7,IF(ISNA(MATCH(A150,Data!B:B,0)),"",INDEX(Data!K:K,MATCH(A150,Data!B:B,1)))) &amp; ""</f>
        <v/>
      </c>
      <c r="R150" s="134"/>
      <c r="S150" s="134"/>
      <c r="T150" s="127"/>
      <c r="AF150" s="24" t="str">
        <f>IF(C150="","",INDEX(Workouts!B:B,MATCH(C150,Workouts!A:A,0)))</f>
        <v/>
      </c>
      <c r="AG150" s="24" t="str">
        <f>IF(SUMIF(Data!B:B,A150,Data!D:D)=0,"",SUMIF(Data!B:B,A150,Data!D:D))</f>
        <v/>
      </c>
      <c r="AH150" s="25" t="str">
        <f>IF(C150="","",INDEX(Workouts!C:C,MATCH(C150,Workouts!A:A,0)))</f>
        <v/>
      </c>
      <c r="AI150" s="68" t="str">
        <f>IF(SUMIF(Data!B:B,A150,Data!F:F)=0,"",SUMIF(Data!B:B,A150,Data!F:F))</f>
        <v/>
      </c>
      <c r="AJ150" s="68">
        <f>AJ149+ (IF(AH150="",0,AH150)-AJ149)/Charts!$X$5</f>
        <v>7.5371120144010615E-9</v>
      </c>
      <c r="AK150" s="68">
        <f>AK149+ (IF(AI150="",0,AI150)-AK149)/Charts!$X$5</f>
        <v>7.5371120144010615E-9</v>
      </c>
      <c r="AL150" s="68">
        <f>AL149+ (IF(AH150="",0,AH150)-AL149)/Charts!$X$6</f>
        <v>1.5540983706701188</v>
      </c>
      <c r="AM150" s="68">
        <f>AM149+ (IF(AI150="",0,AI150)-AM149)/Charts!$X$6</f>
        <v>1.5540983706701188</v>
      </c>
      <c r="AN150" s="68" t="str">
        <f t="shared" si="34"/>
        <v>2</v>
      </c>
      <c r="AO150" s="68" t="str">
        <f t="shared" si="35"/>
        <v>2</v>
      </c>
      <c r="AP150" s="69" t="str">
        <f>IF(C150="","",INDEX(Workouts!D:D,MATCH(C150,Workouts!A:A,0)))</f>
        <v/>
      </c>
      <c r="AQ150" s="69" t="str">
        <f>IF(ISNA(MATCH(A150,Data!B:B,0)),"",INDEX(Data!G:G,MATCH(A150,Data!B:B,1)))</f>
        <v/>
      </c>
    </row>
    <row r="151" spans="1:43" s="1" customFormat="1" x14ac:dyDescent="0.2">
      <c r="A151" s="125">
        <f t="shared" si="33"/>
        <v>44346</v>
      </c>
      <c r="B151" s="126" t="str">
        <f t="shared" si="30"/>
        <v>Sun</v>
      </c>
      <c r="C151" s="140"/>
      <c r="D151" s="128" t="str">
        <f t="shared" si="31"/>
        <v/>
      </c>
      <c r="E151" s="129" t="str">
        <f t="shared" si="32"/>
        <v/>
      </c>
      <c r="F151" s="130" t="str">
        <f>IF(SUMIF(Data!B:B,A151,Data!C:C)=0,"",SUMIF(Data!B:B,A151,Data!C:C))</f>
        <v/>
      </c>
      <c r="G151" s="126" t="str">
        <f>IF(OR(S151="T",S151="RUN",SUMIF(Data!B:B,A151,Data!E:E)=0),"",SUMIF(Data!B:B,A151,Data!E:E))</f>
        <v/>
      </c>
      <c r="H151" s="126" t="str">
        <f t="shared" si="24"/>
        <v/>
      </c>
      <c r="I151" s="131" t="str">
        <f t="shared" si="25"/>
        <v>0 (0)</v>
      </c>
      <c r="J151" s="131" t="str">
        <f t="shared" si="26"/>
        <v>2 (2)</v>
      </c>
      <c r="K151" s="131" t="str">
        <f t="shared" si="27"/>
        <v>2 (2)</v>
      </c>
      <c r="L151" s="132" t="str">
        <f t="shared" si="28"/>
        <v/>
      </c>
      <c r="M151" s="131" t="str">
        <f t="shared" si="29"/>
        <v/>
      </c>
      <c r="N151" s="126" t="str">
        <f>IF(ISNA(MATCH(A151,Data!B:B,0)),"",INDEX(Data!H:H,MATCH(A151,Data!B:B,1))) &amp; ""</f>
        <v/>
      </c>
      <c r="O151" s="126" t="str">
        <f>IF(ISNA(MATCH(A151,Data!B:B,0)),"",INDEX(Data!I:I,MATCH(A151,Data!B:B,1))) &amp; ""</f>
        <v/>
      </c>
      <c r="P151" s="133" t="str">
        <f>IF(ISNA(MATCH(A151,Data!B:B,0)),"",INDEX(Data!J:J,MATCH(A151,Data!B:B,1))) &amp; ""</f>
        <v/>
      </c>
      <c r="Q151" s="126" t="str">
        <f>IF(S151="T",Charts!$X$7,IF(ISNA(MATCH(A151,Data!B:B,0)),"",INDEX(Data!K:K,MATCH(A151,Data!B:B,1)))) &amp; ""</f>
        <v/>
      </c>
      <c r="R151" s="134"/>
      <c r="S151" s="134"/>
      <c r="T151" s="127"/>
      <c r="AF151" s="24" t="str">
        <f>IF(C151="","",INDEX(Workouts!B:B,MATCH(C151,Workouts!A:A,0)))</f>
        <v/>
      </c>
      <c r="AG151" s="24" t="str">
        <f>IF(SUMIF(Data!B:B,A151,Data!D:D)=0,"",SUMIF(Data!B:B,A151,Data!D:D))</f>
        <v/>
      </c>
      <c r="AH151" s="25" t="str">
        <f>IF(C151="","",INDEX(Workouts!C:C,MATCH(C151,Workouts!A:A,0)))</f>
        <v/>
      </c>
      <c r="AI151" s="68" t="str">
        <f>IF(SUMIF(Data!B:B,A151,Data!F:F)=0,"",SUMIF(Data!B:B,A151,Data!F:F))</f>
        <v/>
      </c>
      <c r="AJ151" s="68">
        <f>AJ150+ (IF(AH151="",0,AH151)-AJ150)/Charts!$X$5</f>
        <v>6.4603817266294814E-9</v>
      </c>
      <c r="AK151" s="68">
        <f>AK150+ (IF(AI151="",0,AI151)-AK150)/Charts!$X$5</f>
        <v>6.4603817266294814E-9</v>
      </c>
      <c r="AL151" s="68">
        <f>AL150+ (IF(AH151="",0,AH151)-AL150)/Charts!$X$6</f>
        <v>1.5170960285113064</v>
      </c>
      <c r="AM151" s="68">
        <f>AM150+ (IF(AI151="",0,AI151)-AM150)/Charts!$X$6</f>
        <v>1.5170960285113064</v>
      </c>
      <c r="AN151" s="68" t="str">
        <f t="shared" si="34"/>
        <v>2</v>
      </c>
      <c r="AO151" s="68" t="str">
        <f t="shared" si="35"/>
        <v>2</v>
      </c>
      <c r="AP151" s="69" t="str">
        <f>IF(C151="","",INDEX(Workouts!D:D,MATCH(C151,Workouts!A:A,0)))</f>
        <v/>
      </c>
      <c r="AQ151" s="69" t="str">
        <f>IF(ISNA(MATCH(A151,Data!B:B,0)),"",INDEX(Data!G:G,MATCH(A151,Data!B:B,1)))</f>
        <v/>
      </c>
    </row>
    <row r="152" spans="1:43" s="1" customFormat="1" x14ac:dyDescent="0.2">
      <c r="A152" s="125">
        <f t="shared" si="33"/>
        <v>44347</v>
      </c>
      <c r="B152" s="126" t="str">
        <f t="shared" si="30"/>
        <v>Mon</v>
      </c>
      <c r="C152" s="140"/>
      <c r="D152" s="128" t="str">
        <f t="shared" si="31"/>
        <v/>
      </c>
      <c r="E152" s="129" t="str">
        <f t="shared" si="32"/>
        <v/>
      </c>
      <c r="F152" s="130" t="str">
        <f>IF(SUMIF(Data!B:B,A152,Data!C:C)=0,"",SUMIF(Data!B:B,A152,Data!C:C))</f>
        <v/>
      </c>
      <c r="G152" s="126" t="str">
        <f>IF(OR(S152="T",S152="RUN",SUMIF(Data!B:B,A152,Data!E:E)=0),"",SUMIF(Data!B:B,A152,Data!E:E))</f>
        <v/>
      </c>
      <c r="H152" s="126" t="str">
        <f t="shared" si="24"/>
        <v/>
      </c>
      <c r="I152" s="131" t="str">
        <f t="shared" si="25"/>
        <v>0 (0)</v>
      </c>
      <c r="J152" s="131" t="str">
        <f t="shared" si="26"/>
        <v>1 (1)</v>
      </c>
      <c r="K152" s="131" t="str">
        <f t="shared" si="27"/>
        <v>2 (2)</v>
      </c>
      <c r="L152" s="132" t="str">
        <f t="shared" si="28"/>
        <v/>
      </c>
      <c r="M152" s="131" t="str">
        <f t="shared" si="29"/>
        <v/>
      </c>
      <c r="N152" s="126" t="str">
        <f>IF(ISNA(MATCH(A152,Data!B:B,0)),"",INDEX(Data!H:H,MATCH(A152,Data!B:B,1))) &amp; ""</f>
        <v/>
      </c>
      <c r="O152" s="126" t="str">
        <f>IF(ISNA(MATCH(A152,Data!B:B,0)),"",INDEX(Data!I:I,MATCH(A152,Data!B:B,1))) &amp; ""</f>
        <v/>
      </c>
      <c r="P152" s="133" t="str">
        <f>IF(ISNA(MATCH(A152,Data!B:B,0)),"",INDEX(Data!J:J,MATCH(A152,Data!B:B,1))) &amp; ""</f>
        <v/>
      </c>
      <c r="Q152" s="126" t="str">
        <f>IF(S152="T",Charts!$X$7,IF(ISNA(MATCH(A152,Data!B:B,0)),"",INDEX(Data!K:K,MATCH(A152,Data!B:B,1)))) &amp; ""</f>
        <v/>
      </c>
      <c r="R152" s="134"/>
      <c r="S152" s="134"/>
      <c r="T152" s="127"/>
      <c r="AF152" s="24" t="str">
        <f>IF(C152="","",INDEX(Workouts!B:B,MATCH(C152,Workouts!A:A,0)))</f>
        <v/>
      </c>
      <c r="AG152" s="24" t="str">
        <f>IF(SUMIF(Data!B:B,A152,Data!D:D)=0,"",SUMIF(Data!B:B,A152,Data!D:D))</f>
        <v/>
      </c>
      <c r="AH152" s="25" t="str">
        <f>IF(C152="","",INDEX(Workouts!C:C,MATCH(C152,Workouts!A:A,0)))</f>
        <v/>
      </c>
      <c r="AI152" s="68" t="str">
        <f>IF(SUMIF(Data!B:B,A152,Data!F:F)=0,"",SUMIF(Data!B:B,A152,Data!F:F))</f>
        <v/>
      </c>
      <c r="AJ152" s="68">
        <f>AJ151+ (IF(AH152="",0,AH152)-AJ151)/Charts!$X$5</f>
        <v>5.5374700513966981E-9</v>
      </c>
      <c r="AK152" s="68">
        <f>AK151+ (IF(AI152="",0,AI152)-AK151)/Charts!$X$5</f>
        <v>5.5374700513966981E-9</v>
      </c>
      <c r="AL152" s="68">
        <f>AL151+ (IF(AH152="",0,AH152)-AL151)/Charts!$X$6</f>
        <v>1.4809746944991324</v>
      </c>
      <c r="AM152" s="68">
        <f>AM151+ (IF(AI152="",0,AI152)-AM151)/Charts!$X$6</f>
        <v>1.4809746944991324</v>
      </c>
      <c r="AN152" s="68" t="str">
        <f t="shared" si="34"/>
        <v>2</v>
      </c>
      <c r="AO152" s="68" t="str">
        <f t="shared" si="35"/>
        <v>2</v>
      </c>
      <c r="AP152" s="69" t="str">
        <f>IF(C152="","",INDEX(Workouts!D:D,MATCH(C152,Workouts!A:A,0)))</f>
        <v/>
      </c>
      <c r="AQ152" s="69" t="str">
        <f>IF(ISNA(MATCH(A152,Data!B:B,0)),"",INDEX(Data!G:G,MATCH(A152,Data!B:B,1)))</f>
        <v/>
      </c>
    </row>
    <row r="153" spans="1:43" s="1" customFormat="1" x14ac:dyDescent="0.2">
      <c r="A153" s="125">
        <f t="shared" si="33"/>
        <v>44348</v>
      </c>
      <c r="B153" s="126" t="str">
        <f t="shared" si="30"/>
        <v>Tue</v>
      </c>
      <c r="C153" s="140"/>
      <c r="D153" s="128" t="str">
        <f t="shared" si="31"/>
        <v/>
      </c>
      <c r="E153" s="129" t="str">
        <f t="shared" si="32"/>
        <v/>
      </c>
      <c r="F153" s="130" t="str">
        <f>IF(SUMIF(Data!B:B,A153,Data!C:C)=0,"",SUMIF(Data!B:B,A153,Data!C:C))</f>
        <v/>
      </c>
      <c r="G153" s="126" t="str">
        <f>IF(OR(S153="T",S153="RUN",SUMIF(Data!B:B,A153,Data!E:E)=0),"",SUMIF(Data!B:B,A153,Data!E:E))</f>
        <v/>
      </c>
      <c r="H153" s="126" t="str">
        <f t="shared" si="24"/>
        <v/>
      </c>
      <c r="I153" s="131" t="str">
        <f t="shared" si="25"/>
        <v>0 (0)</v>
      </c>
      <c r="J153" s="131" t="str">
        <f t="shared" si="26"/>
        <v>1 (1)</v>
      </c>
      <c r="K153" s="131" t="str">
        <f t="shared" si="27"/>
        <v>1 (1)</v>
      </c>
      <c r="L153" s="132" t="str">
        <f t="shared" si="28"/>
        <v/>
      </c>
      <c r="M153" s="131" t="str">
        <f t="shared" si="29"/>
        <v/>
      </c>
      <c r="N153" s="126" t="str">
        <f>IF(ISNA(MATCH(A153,Data!B:B,0)),"",INDEX(Data!H:H,MATCH(A153,Data!B:B,1))) &amp; ""</f>
        <v/>
      </c>
      <c r="O153" s="126" t="str">
        <f>IF(ISNA(MATCH(A153,Data!B:B,0)),"",INDEX(Data!I:I,MATCH(A153,Data!B:B,1))) &amp; ""</f>
        <v/>
      </c>
      <c r="P153" s="133" t="str">
        <f>IF(ISNA(MATCH(A153,Data!B:B,0)),"",INDEX(Data!J:J,MATCH(A153,Data!B:B,1))) &amp; ""</f>
        <v/>
      </c>
      <c r="Q153" s="126" t="str">
        <f>IF(S153="T",Charts!$X$7,IF(ISNA(MATCH(A153,Data!B:B,0)),"",INDEX(Data!K:K,MATCH(A153,Data!B:B,1)))) &amp; ""</f>
        <v/>
      </c>
      <c r="R153" s="134"/>
      <c r="S153" s="134"/>
      <c r="T153" s="127"/>
      <c r="AF153" s="24" t="str">
        <f>IF(C153="","",INDEX(Workouts!B:B,MATCH(C153,Workouts!A:A,0)))</f>
        <v/>
      </c>
      <c r="AG153" s="24" t="str">
        <f>IF(SUMIF(Data!B:B,A153,Data!D:D)=0,"",SUMIF(Data!B:B,A153,Data!D:D))</f>
        <v/>
      </c>
      <c r="AH153" s="25" t="str">
        <f>IF(C153="","",INDEX(Workouts!C:C,MATCH(C153,Workouts!A:A,0)))</f>
        <v/>
      </c>
      <c r="AI153" s="68" t="str">
        <f>IF(SUMIF(Data!B:B,A153,Data!F:F)=0,"",SUMIF(Data!B:B,A153,Data!F:F))</f>
        <v/>
      </c>
      <c r="AJ153" s="68">
        <f>AJ152+ (IF(AH153="",0,AH153)-AJ152)/Charts!$X$5</f>
        <v>4.7464029011971696E-9</v>
      </c>
      <c r="AK153" s="68">
        <f>AK152+ (IF(AI153="",0,AI153)-AK152)/Charts!$X$5</f>
        <v>4.7464029011971696E-9</v>
      </c>
      <c r="AL153" s="68">
        <f>AL152+ (IF(AH153="",0,AH153)-AL152)/Charts!$X$6</f>
        <v>1.4457133922491532</v>
      </c>
      <c r="AM153" s="68">
        <f>AM152+ (IF(AI153="",0,AI153)-AM152)/Charts!$X$6</f>
        <v>1.4457133922491532</v>
      </c>
      <c r="AN153" s="68" t="str">
        <f t="shared" si="34"/>
        <v>1</v>
      </c>
      <c r="AO153" s="68" t="str">
        <f t="shared" si="35"/>
        <v>1</v>
      </c>
      <c r="AP153" s="69" t="str">
        <f>IF(C153="","",INDEX(Workouts!D:D,MATCH(C153,Workouts!A:A,0)))</f>
        <v/>
      </c>
      <c r="AQ153" s="69" t="str">
        <f>IF(ISNA(MATCH(A153,Data!B:B,0)),"",INDEX(Data!G:G,MATCH(A153,Data!B:B,1)))</f>
        <v/>
      </c>
    </row>
    <row r="154" spans="1:43" s="1" customFormat="1" x14ac:dyDescent="0.2">
      <c r="A154" s="125">
        <f t="shared" si="33"/>
        <v>44349</v>
      </c>
      <c r="B154" s="126" t="str">
        <f t="shared" si="30"/>
        <v>Wed</v>
      </c>
      <c r="C154" s="140"/>
      <c r="D154" s="128" t="str">
        <f t="shared" si="31"/>
        <v/>
      </c>
      <c r="E154" s="129" t="str">
        <f t="shared" si="32"/>
        <v/>
      </c>
      <c r="F154" s="130" t="str">
        <f>IF(SUMIF(Data!B:B,A154,Data!C:C)=0,"",SUMIF(Data!B:B,A154,Data!C:C))</f>
        <v/>
      </c>
      <c r="G154" s="126" t="str">
        <f>IF(OR(S154="T",S154="RUN",SUMIF(Data!B:B,A154,Data!E:E)=0),"",SUMIF(Data!B:B,A154,Data!E:E))</f>
        <v/>
      </c>
      <c r="H154" s="126" t="str">
        <f t="shared" si="24"/>
        <v/>
      </c>
      <c r="I154" s="131" t="str">
        <f t="shared" si="25"/>
        <v>0 (0)</v>
      </c>
      <c r="J154" s="131" t="str">
        <f t="shared" si="26"/>
        <v>1 (1)</v>
      </c>
      <c r="K154" s="131" t="str">
        <f t="shared" si="27"/>
        <v>1 (1)</v>
      </c>
      <c r="L154" s="132" t="str">
        <f t="shared" si="28"/>
        <v/>
      </c>
      <c r="M154" s="131" t="str">
        <f t="shared" si="29"/>
        <v/>
      </c>
      <c r="N154" s="126" t="str">
        <f>IF(ISNA(MATCH(A154,Data!B:B,0)),"",INDEX(Data!H:H,MATCH(A154,Data!B:B,1))) &amp; ""</f>
        <v/>
      </c>
      <c r="O154" s="126" t="str">
        <f>IF(ISNA(MATCH(A154,Data!B:B,0)),"",INDEX(Data!I:I,MATCH(A154,Data!B:B,1))) &amp; ""</f>
        <v/>
      </c>
      <c r="P154" s="133" t="str">
        <f>IF(ISNA(MATCH(A154,Data!B:B,0)),"",INDEX(Data!J:J,MATCH(A154,Data!B:B,1))) &amp; ""</f>
        <v/>
      </c>
      <c r="Q154" s="126" t="str">
        <f>IF(S154="T",Charts!$X$7,IF(ISNA(MATCH(A154,Data!B:B,0)),"",INDEX(Data!K:K,MATCH(A154,Data!B:B,1)))) &amp; ""</f>
        <v/>
      </c>
      <c r="R154" s="134"/>
      <c r="S154" s="134"/>
      <c r="T154" s="127"/>
      <c r="AF154" s="24" t="str">
        <f>IF(C154="","",INDEX(Workouts!B:B,MATCH(C154,Workouts!A:A,0)))</f>
        <v/>
      </c>
      <c r="AG154" s="24" t="str">
        <f>IF(SUMIF(Data!B:B,A154,Data!D:D)=0,"",SUMIF(Data!B:B,A154,Data!D:D))</f>
        <v/>
      </c>
      <c r="AH154" s="25" t="str">
        <f>IF(C154="","",INDEX(Workouts!C:C,MATCH(C154,Workouts!A:A,0)))</f>
        <v/>
      </c>
      <c r="AI154" s="68" t="str">
        <f>IF(SUMIF(Data!B:B,A154,Data!F:F)=0,"",SUMIF(Data!B:B,A154,Data!F:F))</f>
        <v/>
      </c>
      <c r="AJ154" s="68">
        <f>AJ153+ (IF(AH154="",0,AH154)-AJ153)/Charts!$X$5</f>
        <v>4.0683453438832886E-9</v>
      </c>
      <c r="AK154" s="68">
        <f>AK153+ (IF(AI154="",0,AI154)-AK153)/Charts!$X$5</f>
        <v>4.0683453438832886E-9</v>
      </c>
      <c r="AL154" s="68">
        <f>AL153+ (IF(AH154="",0,AH154)-AL153)/Charts!$X$6</f>
        <v>1.4112916448146495</v>
      </c>
      <c r="AM154" s="68">
        <f>AM153+ (IF(AI154="",0,AI154)-AM153)/Charts!$X$6</f>
        <v>1.4112916448146495</v>
      </c>
      <c r="AN154" s="68" t="str">
        <f t="shared" si="34"/>
        <v>1</v>
      </c>
      <c r="AO154" s="68" t="str">
        <f t="shared" si="35"/>
        <v>1</v>
      </c>
      <c r="AP154" s="69" t="str">
        <f>IF(C154="","",INDEX(Workouts!D:D,MATCH(C154,Workouts!A:A,0)))</f>
        <v/>
      </c>
      <c r="AQ154" s="69" t="str">
        <f>IF(ISNA(MATCH(A154,Data!B:B,0)),"",INDEX(Data!G:G,MATCH(A154,Data!B:B,1)))</f>
        <v/>
      </c>
    </row>
    <row r="155" spans="1:43" s="1" customFormat="1" x14ac:dyDescent="0.2">
      <c r="A155" s="125">
        <f t="shared" si="33"/>
        <v>44350</v>
      </c>
      <c r="B155" s="126" t="str">
        <f t="shared" si="30"/>
        <v>Thu</v>
      </c>
      <c r="C155" s="140"/>
      <c r="D155" s="128" t="str">
        <f t="shared" si="31"/>
        <v/>
      </c>
      <c r="E155" s="129" t="str">
        <f t="shared" si="32"/>
        <v/>
      </c>
      <c r="F155" s="130" t="str">
        <f>IF(SUMIF(Data!B:B,A155,Data!C:C)=0,"",SUMIF(Data!B:B,A155,Data!C:C))</f>
        <v/>
      </c>
      <c r="G155" s="126" t="str">
        <f>IF(OR(S155="T",S155="RUN",SUMIF(Data!B:B,A155,Data!E:E)=0),"",SUMIF(Data!B:B,A155,Data!E:E))</f>
        <v/>
      </c>
      <c r="H155" s="126" t="str">
        <f t="shared" si="24"/>
        <v/>
      </c>
      <c r="I155" s="131" t="str">
        <f t="shared" si="25"/>
        <v>0 (0)</v>
      </c>
      <c r="J155" s="131" t="str">
        <f t="shared" si="26"/>
        <v>1 (1)</v>
      </c>
      <c r="K155" s="131" t="str">
        <f t="shared" si="27"/>
        <v>1 (1)</v>
      </c>
      <c r="L155" s="132" t="str">
        <f t="shared" si="28"/>
        <v/>
      </c>
      <c r="M155" s="131" t="str">
        <f t="shared" si="29"/>
        <v/>
      </c>
      <c r="N155" s="126" t="str">
        <f>IF(ISNA(MATCH(A155,Data!B:B,0)),"",INDEX(Data!H:H,MATCH(A155,Data!B:B,1))) &amp; ""</f>
        <v/>
      </c>
      <c r="O155" s="126" t="str">
        <f>IF(ISNA(MATCH(A155,Data!B:B,0)),"",INDEX(Data!I:I,MATCH(A155,Data!B:B,1))) &amp; ""</f>
        <v/>
      </c>
      <c r="P155" s="133" t="str">
        <f>IF(ISNA(MATCH(A155,Data!B:B,0)),"",INDEX(Data!J:J,MATCH(A155,Data!B:B,1))) &amp; ""</f>
        <v/>
      </c>
      <c r="Q155" s="126" t="str">
        <f>IF(S155="T",Charts!$X$7,IF(ISNA(MATCH(A155,Data!B:B,0)),"",INDEX(Data!K:K,MATCH(A155,Data!B:B,1)))) &amp; ""</f>
        <v/>
      </c>
      <c r="R155" s="134"/>
      <c r="S155" s="134"/>
      <c r="T155" s="127"/>
      <c r="AF155" s="24" t="str">
        <f>IF(C155="","",INDEX(Workouts!B:B,MATCH(C155,Workouts!A:A,0)))</f>
        <v/>
      </c>
      <c r="AG155" s="24" t="str">
        <f>IF(SUMIF(Data!B:B,A155,Data!D:D)=0,"",SUMIF(Data!B:B,A155,Data!D:D))</f>
        <v/>
      </c>
      <c r="AH155" s="25" t="str">
        <f>IF(C155="","",INDEX(Workouts!C:C,MATCH(C155,Workouts!A:A,0)))</f>
        <v/>
      </c>
      <c r="AI155" s="68" t="str">
        <f>IF(SUMIF(Data!B:B,A155,Data!F:F)=0,"",SUMIF(Data!B:B,A155,Data!F:F))</f>
        <v/>
      </c>
      <c r="AJ155" s="68">
        <f>AJ154+ (IF(AH155="",0,AH155)-AJ154)/Charts!$X$5</f>
        <v>3.4871531518999616E-9</v>
      </c>
      <c r="AK155" s="68">
        <f>AK154+ (IF(AI155="",0,AI155)-AK154)/Charts!$X$5</f>
        <v>3.4871531518999616E-9</v>
      </c>
      <c r="AL155" s="68">
        <f>AL154+ (IF(AH155="",0,AH155)-AL154)/Charts!$X$6</f>
        <v>1.3776894627952532</v>
      </c>
      <c r="AM155" s="68">
        <f>AM154+ (IF(AI155="",0,AI155)-AM154)/Charts!$X$6</f>
        <v>1.3776894627952532</v>
      </c>
      <c r="AN155" s="68" t="str">
        <f t="shared" si="34"/>
        <v>1</v>
      </c>
      <c r="AO155" s="68" t="str">
        <f t="shared" si="35"/>
        <v>1</v>
      </c>
      <c r="AP155" s="69" t="str">
        <f>IF(C155="","",INDEX(Workouts!D:D,MATCH(C155,Workouts!A:A,0)))</f>
        <v/>
      </c>
      <c r="AQ155" s="69" t="str">
        <f>IF(ISNA(MATCH(A155,Data!B:B,0)),"",INDEX(Data!G:G,MATCH(A155,Data!B:B,1)))</f>
        <v/>
      </c>
    </row>
    <row r="156" spans="1:43" s="1" customFormat="1" x14ac:dyDescent="0.2">
      <c r="A156" s="125">
        <f t="shared" si="33"/>
        <v>44351</v>
      </c>
      <c r="B156" s="126" t="str">
        <f t="shared" si="30"/>
        <v>Fri</v>
      </c>
      <c r="C156" s="140"/>
      <c r="D156" s="128" t="str">
        <f t="shared" si="31"/>
        <v/>
      </c>
      <c r="E156" s="129" t="str">
        <f t="shared" si="32"/>
        <v/>
      </c>
      <c r="F156" s="130" t="str">
        <f>IF(SUMIF(Data!B:B,A156,Data!C:C)=0,"",SUMIF(Data!B:B,A156,Data!C:C))</f>
        <v/>
      </c>
      <c r="G156" s="126" t="str">
        <f>IF(OR(S156="T",S156="RUN",SUMIF(Data!B:B,A156,Data!E:E)=0),"",SUMIF(Data!B:B,A156,Data!E:E))</f>
        <v/>
      </c>
      <c r="H156" s="126" t="str">
        <f t="shared" si="24"/>
        <v/>
      </c>
      <c r="I156" s="131" t="str">
        <f t="shared" si="25"/>
        <v>0 (0)</v>
      </c>
      <c r="J156" s="131" t="str">
        <f t="shared" si="26"/>
        <v>1 (1)</v>
      </c>
      <c r="K156" s="131" t="str">
        <f t="shared" si="27"/>
        <v>1 (1)</v>
      </c>
      <c r="L156" s="132" t="str">
        <f t="shared" si="28"/>
        <v/>
      </c>
      <c r="M156" s="131" t="str">
        <f t="shared" si="29"/>
        <v/>
      </c>
      <c r="N156" s="126" t="str">
        <f>IF(ISNA(MATCH(A156,Data!B:B,0)),"",INDEX(Data!H:H,MATCH(A156,Data!B:B,1))) &amp; ""</f>
        <v/>
      </c>
      <c r="O156" s="126" t="str">
        <f>IF(ISNA(MATCH(A156,Data!B:B,0)),"",INDEX(Data!I:I,MATCH(A156,Data!B:B,1))) &amp; ""</f>
        <v/>
      </c>
      <c r="P156" s="133" t="str">
        <f>IF(ISNA(MATCH(A156,Data!B:B,0)),"",INDEX(Data!J:J,MATCH(A156,Data!B:B,1))) &amp; ""</f>
        <v/>
      </c>
      <c r="Q156" s="126" t="str">
        <f>IF(S156="T",Charts!$X$7,IF(ISNA(MATCH(A156,Data!B:B,0)),"",INDEX(Data!K:K,MATCH(A156,Data!B:B,1)))) &amp; ""</f>
        <v/>
      </c>
      <c r="R156" s="134"/>
      <c r="S156" s="134"/>
      <c r="T156" s="127"/>
      <c r="AF156" s="24" t="str">
        <f>IF(C156="","",INDEX(Workouts!B:B,MATCH(C156,Workouts!A:A,0)))</f>
        <v/>
      </c>
      <c r="AG156" s="24" t="str">
        <f>IF(SUMIF(Data!B:B,A156,Data!D:D)=0,"",SUMIF(Data!B:B,A156,Data!D:D))</f>
        <v/>
      </c>
      <c r="AH156" s="25" t="str">
        <f>IF(C156="","",INDEX(Workouts!C:C,MATCH(C156,Workouts!A:A,0)))</f>
        <v/>
      </c>
      <c r="AI156" s="68" t="str">
        <f>IF(SUMIF(Data!B:B,A156,Data!F:F)=0,"",SUMIF(Data!B:B,A156,Data!F:F))</f>
        <v/>
      </c>
      <c r="AJ156" s="68">
        <f>AJ155+ (IF(AH156="",0,AH156)-AJ155)/Charts!$X$5</f>
        <v>2.9889884159142526E-9</v>
      </c>
      <c r="AK156" s="68">
        <f>AK155+ (IF(AI156="",0,AI156)-AK155)/Charts!$X$5</f>
        <v>2.9889884159142526E-9</v>
      </c>
      <c r="AL156" s="68">
        <f>AL155+ (IF(AH156="",0,AH156)-AL155)/Charts!$X$6</f>
        <v>1.3448873327286994</v>
      </c>
      <c r="AM156" s="68">
        <f>AM155+ (IF(AI156="",0,AI156)-AM155)/Charts!$X$6</f>
        <v>1.3448873327286994</v>
      </c>
      <c r="AN156" s="68" t="str">
        <f t="shared" si="34"/>
        <v>1</v>
      </c>
      <c r="AO156" s="68" t="str">
        <f t="shared" si="35"/>
        <v>1</v>
      </c>
      <c r="AP156" s="69" t="str">
        <f>IF(C156="","",INDEX(Workouts!D:D,MATCH(C156,Workouts!A:A,0)))</f>
        <v/>
      </c>
      <c r="AQ156" s="69" t="str">
        <f>IF(ISNA(MATCH(A156,Data!B:B,0)),"",INDEX(Data!G:G,MATCH(A156,Data!B:B,1)))</f>
        <v/>
      </c>
    </row>
    <row r="157" spans="1:43" s="1" customFormat="1" x14ac:dyDescent="0.2">
      <c r="A157" s="125">
        <f t="shared" si="33"/>
        <v>44352</v>
      </c>
      <c r="B157" s="126" t="str">
        <f t="shared" si="30"/>
        <v>Sat</v>
      </c>
      <c r="C157" s="140"/>
      <c r="D157" s="128" t="str">
        <f t="shared" si="31"/>
        <v/>
      </c>
      <c r="E157" s="129" t="str">
        <f t="shared" si="32"/>
        <v/>
      </c>
      <c r="F157" s="130" t="str">
        <f>IF(SUMIF(Data!B:B,A157,Data!C:C)=0,"",SUMIF(Data!B:B,A157,Data!C:C))</f>
        <v/>
      </c>
      <c r="G157" s="126" t="str">
        <f>IF(OR(S157="T",S157="RUN",SUMIF(Data!B:B,A157,Data!E:E)=0),"",SUMIF(Data!B:B,A157,Data!E:E))</f>
        <v/>
      </c>
      <c r="H157" s="126" t="str">
        <f t="shared" si="24"/>
        <v/>
      </c>
      <c r="I157" s="131" t="str">
        <f t="shared" si="25"/>
        <v>0 (0)</v>
      </c>
      <c r="J157" s="131" t="str">
        <f t="shared" si="26"/>
        <v>1 (1)</v>
      </c>
      <c r="K157" s="131" t="str">
        <f t="shared" si="27"/>
        <v>1 (1)</v>
      </c>
      <c r="L157" s="132" t="str">
        <f t="shared" si="28"/>
        <v/>
      </c>
      <c r="M157" s="131" t="str">
        <f t="shared" si="29"/>
        <v/>
      </c>
      <c r="N157" s="126" t="str">
        <f>IF(ISNA(MATCH(A157,Data!B:B,0)),"",INDEX(Data!H:H,MATCH(A157,Data!B:B,1))) &amp; ""</f>
        <v/>
      </c>
      <c r="O157" s="126" t="str">
        <f>IF(ISNA(MATCH(A157,Data!B:B,0)),"",INDEX(Data!I:I,MATCH(A157,Data!B:B,1))) &amp; ""</f>
        <v/>
      </c>
      <c r="P157" s="133" t="str">
        <f>IF(ISNA(MATCH(A157,Data!B:B,0)),"",INDEX(Data!J:J,MATCH(A157,Data!B:B,1))) &amp; ""</f>
        <v/>
      </c>
      <c r="Q157" s="126" t="str">
        <f>IF(S157="T",Charts!$X$7,IF(ISNA(MATCH(A157,Data!B:B,0)),"",INDEX(Data!K:K,MATCH(A157,Data!B:B,1)))) &amp; ""</f>
        <v/>
      </c>
      <c r="R157" s="134"/>
      <c r="S157" s="134"/>
      <c r="T157" s="127"/>
      <c r="AF157" s="24" t="str">
        <f>IF(C157="","",INDEX(Workouts!B:B,MATCH(C157,Workouts!A:A,0)))</f>
        <v/>
      </c>
      <c r="AG157" s="24" t="str">
        <f>IF(SUMIF(Data!B:B,A157,Data!D:D)=0,"",SUMIF(Data!B:B,A157,Data!D:D))</f>
        <v/>
      </c>
      <c r="AH157" s="25" t="str">
        <f>IF(C157="","",INDEX(Workouts!C:C,MATCH(C157,Workouts!A:A,0)))</f>
        <v/>
      </c>
      <c r="AI157" s="68" t="str">
        <f>IF(SUMIF(Data!B:B,A157,Data!F:F)=0,"",SUMIF(Data!B:B,A157,Data!F:F))</f>
        <v/>
      </c>
      <c r="AJ157" s="68">
        <f>AJ156+ (IF(AH157="",0,AH157)-AJ156)/Charts!$X$5</f>
        <v>2.5619900707836451E-9</v>
      </c>
      <c r="AK157" s="68">
        <f>AK156+ (IF(AI157="",0,AI157)-AK156)/Charts!$X$5</f>
        <v>2.5619900707836451E-9</v>
      </c>
      <c r="AL157" s="68">
        <f>AL156+ (IF(AH157="",0,AH157)-AL156)/Charts!$X$6</f>
        <v>1.3128662057589684</v>
      </c>
      <c r="AM157" s="68">
        <f>AM156+ (IF(AI157="",0,AI157)-AM156)/Charts!$X$6</f>
        <v>1.3128662057589684</v>
      </c>
      <c r="AN157" s="68" t="str">
        <f t="shared" si="34"/>
        <v>1</v>
      </c>
      <c r="AO157" s="68" t="str">
        <f t="shared" si="35"/>
        <v>1</v>
      </c>
      <c r="AP157" s="69" t="str">
        <f>IF(C157="","",INDEX(Workouts!D:D,MATCH(C157,Workouts!A:A,0)))</f>
        <v/>
      </c>
      <c r="AQ157" s="69" t="str">
        <f>IF(ISNA(MATCH(A157,Data!B:B,0)),"",INDEX(Data!G:G,MATCH(A157,Data!B:B,1)))</f>
        <v/>
      </c>
    </row>
    <row r="158" spans="1:43" s="1" customFormat="1" x14ac:dyDescent="0.2">
      <c r="A158" s="125">
        <f t="shared" si="33"/>
        <v>44353</v>
      </c>
      <c r="B158" s="126" t="str">
        <f t="shared" si="30"/>
        <v>Sun</v>
      </c>
      <c r="C158" s="140"/>
      <c r="D158" s="128" t="str">
        <f t="shared" si="31"/>
        <v/>
      </c>
      <c r="E158" s="129" t="str">
        <f t="shared" si="32"/>
        <v/>
      </c>
      <c r="F158" s="130" t="str">
        <f>IF(SUMIF(Data!B:B,A158,Data!C:C)=0,"",SUMIF(Data!B:B,A158,Data!C:C))</f>
        <v/>
      </c>
      <c r="G158" s="126" t="str">
        <f>IF(OR(S158="T",S158="RUN",SUMIF(Data!B:B,A158,Data!E:E)=0),"",SUMIF(Data!B:B,A158,Data!E:E))</f>
        <v/>
      </c>
      <c r="H158" s="126" t="str">
        <f t="shared" si="24"/>
        <v/>
      </c>
      <c r="I158" s="131" t="str">
        <f t="shared" si="25"/>
        <v>0 (0)</v>
      </c>
      <c r="J158" s="131" t="str">
        <f t="shared" si="26"/>
        <v>1 (1)</v>
      </c>
      <c r="K158" s="131" t="str">
        <f t="shared" si="27"/>
        <v>1 (1)</v>
      </c>
      <c r="L158" s="132" t="str">
        <f t="shared" si="28"/>
        <v/>
      </c>
      <c r="M158" s="131" t="str">
        <f t="shared" si="29"/>
        <v/>
      </c>
      <c r="N158" s="126" t="str">
        <f>IF(ISNA(MATCH(A158,Data!B:B,0)),"",INDEX(Data!H:H,MATCH(A158,Data!B:B,1))) &amp; ""</f>
        <v/>
      </c>
      <c r="O158" s="126" t="str">
        <f>IF(ISNA(MATCH(A158,Data!B:B,0)),"",INDEX(Data!I:I,MATCH(A158,Data!B:B,1))) &amp; ""</f>
        <v/>
      </c>
      <c r="P158" s="133" t="str">
        <f>IF(ISNA(MATCH(A158,Data!B:B,0)),"",INDEX(Data!J:J,MATCH(A158,Data!B:B,1))) &amp; ""</f>
        <v/>
      </c>
      <c r="Q158" s="126" t="str">
        <f>IF(S158="T",Charts!$X$7,IF(ISNA(MATCH(A158,Data!B:B,0)),"",INDEX(Data!K:K,MATCH(A158,Data!B:B,1)))) &amp; ""</f>
        <v/>
      </c>
      <c r="R158" s="134"/>
      <c r="S158" s="134"/>
      <c r="T158" s="127"/>
      <c r="AF158" s="24" t="str">
        <f>IF(C158="","",INDEX(Workouts!B:B,MATCH(C158,Workouts!A:A,0)))</f>
        <v/>
      </c>
      <c r="AG158" s="24" t="str">
        <f>IF(SUMIF(Data!B:B,A158,Data!D:D)=0,"",SUMIF(Data!B:B,A158,Data!D:D))</f>
        <v/>
      </c>
      <c r="AH158" s="25" t="str">
        <f>IF(C158="","",INDEX(Workouts!C:C,MATCH(C158,Workouts!A:A,0)))</f>
        <v/>
      </c>
      <c r="AI158" s="68" t="str">
        <f>IF(SUMIF(Data!B:B,A158,Data!F:F)=0,"",SUMIF(Data!B:B,A158,Data!F:F))</f>
        <v/>
      </c>
      <c r="AJ158" s="68">
        <f>AJ157+ (IF(AH158="",0,AH158)-AJ157)/Charts!$X$5</f>
        <v>2.1959914892431246E-9</v>
      </c>
      <c r="AK158" s="68">
        <f>AK157+ (IF(AI158="",0,AI158)-AK157)/Charts!$X$5</f>
        <v>2.1959914892431246E-9</v>
      </c>
      <c r="AL158" s="68">
        <f>AL157+ (IF(AH158="",0,AH158)-AL157)/Charts!$X$6</f>
        <v>1.2816074865742311</v>
      </c>
      <c r="AM158" s="68">
        <f>AM157+ (IF(AI158="",0,AI158)-AM157)/Charts!$X$6</f>
        <v>1.2816074865742311</v>
      </c>
      <c r="AN158" s="68" t="str">
        <f t="shared" si="34"/>
        <v>1</v>
      </c>
      <c r="AO158" s="68" t="str">
        <f t="shared" si="35"/>
        <v>1</v>
      </c>
      <c r="AP158" s="69" t="str">
        <f>IF(C158="","",INDEX(Workouts!D:D,MATCH(C158,Workouts!A:A,0)))</f>
        <v/>
      </c>
      <c r="AQ158" s="69" t="str">
        <f>IF(ISNA(MATCH(A158,Data!B:B,0)),"",INDEX(Data!G:G,MATCH(A158,Data!B:B,1)))</f>
        <v/>
      </c>
    </row>
    <row r="159" spans="1:43" s="1" customFormat="1" x14ac:dyDescent="0.2">
      <c r="A159" s="125">
        <f t="shared" si="33"/>
        <v>44354</v>
      </c>
      <c r="B159" s="126" t="str">
        <f t="shared" si="30"/>
        <v>Mon</v>
      </c>
      <c r="C159" s="140"/>
      <c r="D159" s="128" t="str">
        <f t="shared" si="31"/>
        <v/>
      </c>
      <c r="E159" s="129" t="str">
        <f t="shared" si="32"/>
        <v/>
      </c>
      <c r="F159" s="130" t="str">
        <f>IF(SUMIF(Data!B:B,A159,Data!C:C)=0,"",SUMIF(Data!B:B,A159,Data!C:C))</f>
        <v/>
      </c>
      <c r="G159" s="126" t="str">
        <f>IF(OR(S159="T",S159="RUN",SUMIF(Data!B:B,A159,Data!E:E)=0),"",SUMIF(Data!B:B,A159,Data!E:E))</f>
        <v/>
      </c>
      <c r="H159" s="126" t="str">
        <f t="shared" si="24"/>
        <v/>
      </c>
      <c r="I159" s="131" t="str">
        <f t="shared" si="25"/>
        <v>0 (0)</v>
      </c>
      <c r="J159" s="131" t="str">
        <f t="shared" si="26"/>
        <v>1 (1)</v>
      </c>
      <c r="K159" s="131" t="str">
        <f t="shared" si="27"/>
        <v>1 (1)</v>
      </c>
      <c r="L159" s="132" t="str">
        <f t="shared" si="28"/>
        <v/>
      </c>
      <c r="M159" s="131" t="str">
        <f t="shared" si="29"/>
        <v/>
      </c>
      <c r="N159" s="136" t="str">
        <f>IF(ISNA(MATCH(A159,Data!B:B,0)),"",INDEX(Data!H:H,MATCH(A159,Data!B:B,1))) &amp; ""</f>
        <v/>
      </c>
      <c r="O159" s="126" t="str">
        <f>IF(ISNA(MATCH(A159,Data!B:B,0)),"",INDEX(Data!I:I,MATCH(A159,Data!B:B,1))) &amp; ""</f>
        <v/>
      </c>
      <c r="P159" s="133" t="str">
        <f>IF(ISNA(MATCH(A159,Data!B:B,0)),"",INDEX(Data!J:J,MATCH(A159,Data!B:B,1))) &amp; ""</f>
        <v/>
      </c>
      <c r="Q159" s="126" t="str">
        <f>IF(S159="T",Charts!$X$7,IF(ISNA(MATCH(A159,Data!B:B,0)),"",INDEX(Data!K:K,MATCH(A159,Data!B:B,1)))) &amp; ""</f>
        <v/>
      </c>
      <c r="R159" s="134"/>
      <c r="S159" s="134"/>
      <c r="T159" s="127"/>
      <c r="AF159" s="24" t="str">
        <f>IF(C159="","",INDEX(Workouts!B:B,MATCH(C159,Workouts!A:A,0)))</f>
        <v/>
      </c>
      <c r="AG159" s="24" t="str">
        <f>IF(SUMIF(Data!B:B,A159,Data!D:D)=0,"",SUMIF(Data!B:B,A159,Data!D:D))</f>
        <v/>
      </c>
      <c r="AH159" s="25" t="str">
        <f>IF(C159="","",INDEX(Workouts!C:C,MATCH(C159,Workouts!A:A,0)))</f>
        <v/>
      </c>
      <c r="AI159" s="68" t="str">
        <f>IF(SUMIF(Data!B:B,A159,Data!F:F)=0,"",SUMIF(Data!B:B,A159,Data!F:F))</f>
        <v/>
      </c>
      <c r="AJ159" s="68">
        <f>AJ158+ (IF(AH159="",0,AH159)-AJ158)/Charts!$X$5</f>
        <v>1.8822784193512495E-9</v>
      </c>
      <c r="AK159" s="68">
        <f>AK158+ (IF(AI159="",0,AI159)-AK158)/Charts!$X$5</f>
        <v>1.8822784193512495E-9</v>
      </c>
      <c r="AL159" s="68">
        <f>AL158+ (IF(AH159="",0,AH159)-AL158)/Charts!$X$6</f>
        <v>1.251093022608178</v>
      </c>
      <c r="AM159" s="68">
        <f>AM158+ (IF(AI159="",0,AI159)-AM158)/Charts!$X$6</f>
        <v>1.251093022608178</v>
      </c>
      <c r="AN159" s="68" t="str">
        <f t="shared" si="34"/>
        <v>1</v>
      </c>
      <c r="AO159" s="68" t="str">
        <f t="shared" si="35"/>
        <v>1</v>
      </c>
      <c r="AP159" s="69" t="str">
        <f>IF(C159="","",INDEX(Workouts!D:D,MATCH(C159,Workouts!A:A,0)))</f>
        <v/>
      </c>
      <c r="AQ159" s="69" t="str">
        <f>IF(ISNA(MATCH(A159,Data!B:B,0)),"",INDEX(Data!G:G,MATCH(A159,Data!B:B,1)))</f>
        <v/>
      </c>
    </row>
    <row r="160" spans="1:43" s="1" customFormat="1" x14ac:dyDescent="0.2">
      <c r="A160" s="125">
        <f t="shared" si="33"/>
        <v>44355</v>
      </c>
      <c r="B160" s="126" t="str">
        <f t="shared" si="30"/>
        <v>Tue</v>
      </c>
      <c r="C160" s="140"/>
      <c r="D160" s="128" t="str">
        <f t="shared" si="31"/>
        <v/>
      </c>
      <c r="E160" s="129" t="str">
        <f t="shared" si="32"/>
        <v/>
      </c>
      <c r="F160" s="130" t="str">
        <f>IF(SUMIF(Data!B:B,A160,Data!C:C)=0,"",SUMIF(Data!B:B,A160,Data!C:C))</f>
        <v/>
      </c>
      <c r="G160" s="126" t="str">
        <f>IF(OR(S160="T",S160="RUN",SUMIF(Data!B:B,A160,Data!E:E)=0),"",SUMIF(Data!B:B,A160,Data!E:E))</f>
        <v/>
      </c>
      <c r="H160" s="126" t="str">
        <f t="shared" si="24"/>
        <v/>
      </c>
      <c r="I160" s="131" t="str">
        <f t="shared" si="25"/>
        <v>0 (0)</v>
      </c>
      <c r="J160" s="131" t="str">
        <f t="shared" si="26"/>
        <v>1 (1)</v>
      </c>
      <c r="K160" s="131" t="str">
        <f t="shared" si="27"/>
        <v>1 (1)</v>
      </c>
      <c r="L160" s="132" t="str">
        <f t="shared" si="28"/>
        <v/>
      </c>
      <c r="M160" s="131" t="str">
        <f t="shared" si="29"/>
        <v/>
      </c>
      <c r="N160" s="126" t="str">
        <f>IF(ISNA(MATCH(A160,Data!B:B,0)),"",INDEX(Data!H:H,MATCH(A160,Data!B:B,1))) &amp; ""</f>
        <v/>
      </c>
      <c r="O160" s="126" t="str">
        <f>IF(ISNA(MATCH(A160,Data!B:B,0)),"",INDEX(Data!I:I,MATCH(A160,Data!B:B,1))) &amp; ""</f>
        <v/>
      </c>
      <c r="P160" s="133" t="str">
        <f>IF(ISNA(MATCH(A160,Data!B:B,0)),"",INDEX(Data!J:J,MATCH(A160,Data!B:B,1))) &amp; ""</f>
        <v/>
      </c>
      <c r="Q160" s="126" t="str">
        <f>IF(S160="T",Charts!$X$7,IF(ISNA(MATCH(A160,Data!B:B,0)),"",INDEX(Data!K:K,MATCH(A160,Data!B:B,1)))) &amp; ""</f>
        <v/>
      </c>
      <c r="R160" s="134"/>
      <c r="S160" s="134"/>
      <c r="T160" s="127"/>
      <c r="AF160" s="24" t="str">
        <f>IF(C160="","",INDEX(Workouts!B:B,MATCH(C160,Workouts!A:A,0)))</f>
        <v/>
      </c>
      <c r="AG160" s="24" t="str">
        <f>IF(SUMIF(Data!B:B,A160,Data!D:D)=0,"",SUMIF(Data!B:B,A160,Data!D:D))</f>
        <v/>
      </c>
      <c r="AH160" s="25" t="str">
        <f>IF(C160="","",INDEX(Workouts!C:C,MATCH(C160,Workouts!A:A,0)))</f>
        <v/>
      </c>
      <c r="AI160" s="68" t="str">
        <f>IF(SUMIF(Data!B:B,A160,Data!F:F)=0,"",SUMIF(Data!B:B,A160,Data!F:F))</f>
        <v/>
      </c>
      <c r="AJ160" s="68">
        <f>AJ159+ (IF(AH160="",0,AH160)-AJ159)/Charts!$X$5</f>
        <v>1.613381502301071E-9</v>
      </c>
      <c r="AK160" s="68">
        <f>AK159+ (IF(AI160="",0,AI160)-AK159)/Charts!$X$5</f>
        <v>1.613381502301071E-9</v>
      </c>
      <c r="AL160" s="68">
        <f>AL159+ (IF(AH160="",0,AH160)-AL159)/Charts!$X$6</f>
        <v>1.2213050934984595</v>
      </c>
      <c r="AM160" s="68">
        <f>AM159+ (IF(AI160="",0,AI160)-AM159)/Charts!$X$6</f>
        <v>1.2213050934984595</v>
      </c>
      <c r="AN160" s="68" t="str">
        <f t="shared" si="34"/>
        <v>1</v>
      </c>
      <c r="AO160" s="68" t="str">
        <f t="shared" si="35"/>
        <v>1</v>
      </c>
      <c r="AP160" s="69" t="str">
        <f>IF(C160="","",INDEX(Workouts!D:D,MATCH(C160,Workouts!A:A,0)))</f>
        <v/>
      </c>
      <c r="AQ160" s="69" t="str">
        <f>IF(ISNA(MATCH(A160,Data!B:B,0)),"",INDEX(Data!G:G,MATCH(A160,Data!B:B,1)))</f>
        <v/>
      </c>
    </row>
    <row r="161" spans="1:43" s="1" customFormat="1" x14ac:dyDescent="0.2">
      <c r="A161" s="125">
        <f t="shared" si="33"/>
        <v>44356</v>
      </c>
      <c r="B161" s="126" t="str">
        <f t="shared" si="30"/>
        <v>Wed</v>
      </c>
      <c r="C161" s="140"/>
      <c r="D161" s="128" t="str">
        <f t="shared" si="31"/>
        <v/>
      </c>
      <c r="E161" s="129" t="str">
        <f t="shared" si="32"/>
        <v/>
      </c>
      <c r="F161" s="130" t="str">
        <f>IF(SUMIF(Data!B:B,A161,Data!C:C)=0,"",SUMIF(Data!B:B,A161,Data!C:C))</f>
        <v/>
      </c>
      <c r="G161" s="126" t="str">
        <f>IF(OR(S161="T",S161="RUN",SUMIF(Data!B:B,A161,Data!E:E)=0),"",SUMIF(Data!B:B,A161,Data!E:E))</f>
        <v/>
      </c>
      <c r="H161" s="126" t="str">
        <f t="shared" si="24"/>
        <v/>
      </c>
      <c r="I161" s="131" t="str">
        <f t="shared" si="25"/>
        <v>0 (0)</v>
      </c>
      <c r="J161" s="131" t="str">
        <f t="shared" si="26"/>
        <v>1 (1)</v>
      </c>
      <c r="K161" s="131" t="str">
        <f t="shared" si="27"/>
        <v>1 (1)</v>
      </c>
      <c r="L161" s="132" t="str">
        <f t="shared" si="28"/>
        <v/>
      </c>
      <c r="M161" s="131" t="str">
        <f t="shared" si="29"/>
        <v/>
      </c>
      <c r="N161" s="126" t="str">
        <f>IF(ISNA(MATCH(A161,Data!B:B,0)),"",INDEX(Data!H:H,MATCH(A161,Data!B:B,1))) &amp; ""</f>
        <v/>
      </c>
      <c r="O161" s="126" t="str">
        <f>IF(ISNA(MATCH(A161,Data!B:B,0)),"",INDEX(Data!I:I,MATCH(A161,Data!B:B,1))) &amp; ""</f>
        <v/>
      </c>
      <c r="P161" s="133" t="str">
        <f>IF(ISNA(MATCH(A161,Data!B:B,0)),"",INDEX(Data!J:J,MATCH(A161,Data!B:B,1))) &amp; ""</f>
        <v/>
      </c>
      <c r="Q161" s="126" t="str">
        <f>IF(S161="T",Charts!$X$7,IF(ISNA(MATCH(A161,Data!B:B,0)),"",INDEX(Data!K:K,MATCH(A161,Data!B:B,1)))) &amp; ""</f>
        <v/>
      </c>
      <c r="R161" s="134"/>
      <c r="S161" s="134"/>
      <c r="T161" s="127"/>
      <c r="AF161" s="24" t="str">
        <f>IF(C161="","",INDEX(Workouts!B:B,MATCH(C161,Workouts!A:A,0)))</f>
        <v/>
      </c>
      <c r="AG161" s="24" t="str">
        <f>IF(SUMIF(Data!B:B,A161,Data!D:D)=0,"",SUMIF(Data!B:B,A161,Data!D:D))</f>
        <v/>
      </c>
      <c r="AH161" s="25" t="str">
        <f>IF(C161="","",INDEX(Workouts!C:C,MATCH(C161,Workouts!A:A,0)))</f>
        <v/>
      </c>
      <c r="AI161" s="68" t="str">
        <f>IF(SUMIF(Data!B:B,A161,Data!F:F)=0,"",SUMIF(Data!B:B,A161,Data!F:F))</f>
        <v/>
      </c>
      <c r="AJ161" s="68">
        <f>AJ160+ (IF(AH161="",0,AH161)-AJ160)/Charts!$X$5</f>
        <v>1.3828984305437752E-9</v>
      </c>
      <c r="AK161" s="68">
        <f>AK160+ (IF(AI161="",0,AI161)-AK160)/Charts!$X$5</f>
        <v>1.3828984305437752E-9</v>
      </c>
      <c r="AL161" s="68">
        <f>AL160+ (IF(AH161="",0,AH161)-AL160)/Charts!$X$6</f>
        <v>1.1922264007961152</v>
      </c>
      <c r="AM161" s="68">
        <f>AM160+ (IF(AI161="",0,AI161)-AM160)/Charts!$X$6</f>
        <v>1.1922264007961152</v>
      </c>
      <c r="AN161" s="68" t="str">
        <f t="shared" si="34"/>
        <v>1</v>
      </c>
      <c r="AO161" s="68" t="str">
        <f t="shared" si="35"/>
        <v>1</v>
      </c>
      <c r="AP161" s="69" t="str">
        <f>IF(C161="","",INDEX(Workouts!D:D,MATCH(C161,Workouts!A:A,0)))</f>
        <v/>
      </c>
      <c r="AQ161" s="69" t="str">
        <f>IF(ISNA(MATCH(A161,Data!B:B,0)),"",INDEX(Data!G:G,MATCH(A161,Data!B:B,1)))</f>
        <v/>
      </c>
    </row>
    <row r="162" spans="1:43" s="1" customFormat="1" x14ac:dyDescent="0.2">
      <c r="A162" s="125">
        <f t="shared" si="33"/>
        <v>44357</v>
      </c>
      <c r="B162" s="126" t="str">
        <f t="shared" si="30"/>
        <v>Thu</v>
      </c>
      <c r="C162" s="140"/>
      <c r="D162" s="128" t="str">
        <f t="shared" si="31"/>
        <v/>
      </c>
      <c r="E162" s="129" t="str">
        <f t="shared" si="32"/>
        <v/>
      </c>
      <c r="F162" s="130" t="str">
        <f>IF(SUMIF(Data!B:B,A162,Data!C:C)=0,"",SUMIF(Data!B:B,A162,Data!C:C))</f>
        <v/>
      </c>
      <c r="G162" s="126" t="str">
        <f>IF(OR(S162="T",S162="RUN",SUMIF(Data!B:B,A162,Data!E:E)=0),"",SUMIF(Data!B:B,A162,Data!E:E))</f>
        <v/>
      </c>
      <c r="H162" s="126" t="str">
        <f t="shared" si="24"/>
        <v/>
      </c>
      <c r="I162" s="131" t="str">
        <f t="shared" si="25"/>
        <v>0 (0)</v>
      </c>
      <c r="J162" s="131" t="str">
        <f t="shared" si="26"/>
        <v>1 (1)</v>
      </c>
      <c r="K162" s="131" t="str">
        <f t="shared" si="27"/>
        <v>1 (1)</v>
      </c>
      <c r="L162" s="132" t="str">
        <f t="shared" si="28"/>
        <v/>
      </c>
      <c r="M162" s="131" t="str">
        <f t="shared" si="29"/>
        <v/>
      </c>
      <c r="N162" s="126" t="str">
        <f>IF(ISNA(MATCH(A162,Data!B:B,0)),"",INDEX(Data!H:H,MATCH(A162,Data!B:B,1))) &amp; ""</f>
        <v/>
      </c>
      <c r="O162" s="126" t="str">
        <f>IF(ISNA(MATCH(A162,Data!B:B,0)),"",INDEX(Data!I:I,MATCH(A162,Data!B:B,1))) &amp; ""</f>
        <v/>
      </c>
      <c r="P162" s="133" t="str">
        <f>IF(ISNA(MATCH(A162,Data!B:B,0)),"",INDEX(Data!J:J,MATCH(A162,Data!B:B,1))) &amp; ""</f>
        <v/>
      </c>
      <c r="Q162" s="126" t="str">
        <f>IF(S162="T",Charts!$X$7,IF(ISNA(MATCH(A162,Data!B:B,0)),"",INDEX(Data!K:K,MATCH(A162,Data!B:B,1)))) &amp; ""</f>
        <v/>
      </c>
      <c r="R162" s="134"/>
      <c r="S162" s="134"/>
      <c r="T162" s="127"/>
      <c r="AF162" s="24" t="str">
        <f>IF(C162="","",INDEX(Workouts!B:B,MATCH(C162,Workouts!A:A,0)))</f>
        <v/>
      </c>
      <c r="AG162" s="24" t="str">
        <f>IF(SUMIF(Data!B:B,A162,Data!D:D)=0,"",SUMIF(Data!B:B,A162,Data!D:D))</f>
        <v/>
      </c>
      <c r="AH162" s="25" t="str">
        <f>IF(C162="","",INDEX(Workouts!C:C,MATCH(C162,Workouts!A:A,0)))</f>
        <v/>
      </c>
      <c r="AI162" s="68" t="str">
        <f>IF(SUMIF(Data!B:B,A162,Data!F:F)=0,"",SUMIF(Data!B:B,A162,Data!F:F))</f>
        <v/>
      </c>
      <c r="AJ162" s="68">
        <f>AJ161+ (IF(AH162="",0,AH162)-AJ161)/Charts!$X$5</f>
        <v>1.1853415118946645E-9</v>
      </c>
      <c r="AK162" s="68">
        <f>AK161+ (IF(AI162="",0,AI162)-AK161)/Charts!$X$5</f>
        <v>1.1853415118946645E-9</v>
      </c>
      <c r="AL162" s="68">
        <f>AL161+ (IF(AH162="",0,AH162)-AL161)/Charts!$X$6</f>
        <v>1.1638400579200172</v>
      </c>
      <c r="AM162" s="68">
        <f>AM161+ (IF(AI162="",0,AI162)-AM161)/Charts!$X$6</f>
        <v>1.1638400579200172</v>
      </c>
      <c r="AN162" s="68" t="str">
        <f t="shared" si="34"/>
        <v>1</v>
      </c>
      <c r="AO162" s="68" t="str">
        <f t="shared" si="35"/>
        <v>1</v>
      </c>
      <c r="AP162" s="69" t="str">
        <f>IF(C162="","",INDEX(Workouts!D:D,MATCH(C162,Workouts!A:A,0)))</f>
        <v/>
      </c>
      <c r="AQ162" s="69" t="str">
        <f>IF(ISNA(MATCH(A162,Data!B:B,0)),"",INDEX(Data!G:G,MATCH(A162,Data!B:B,1)))</f>
        <v/>
      </c>
    </row>
    <row r="163" spans="1:43" s="1" customFormat="1" x14ac:dyDescent="0.2">
      <c r="A163" s="125">
        <f t="shared" si="33"/>
        <v>44358</v>
      </c>
      <c r="B163" s="126" t="str">
        <f t="shared" si="30"/>
        <v>Fri</v>
      </c>
      <c r="C163" s="140"/>
      <c r="D163" s="128" t="str">
        <f t="shared" si="31"/>
        <v/>
      </c>
      <c r="E163" s="129" t="str">
        <f t="shared" si="32"/>
        <v/>
      </c>
      <c r="F163" s="130" t="str">
        <f>IF(SUMIF(Data!B:B,A163,Data!C:C)=0,"",SUMIF(Data!B:B,A163,Data!C:C))</f>
        <v/>
      </c>
      <c r="G163" s="126" t="str">
        <f>IF(OR(S163="T",S163="RUN",SUMIF(Data!B:B,A163,Data!E:E)=0),"",SUMIF(Data!B:B,A163,Data!E:E))</f>
        <v/>
      </c>
      <c r="H163" s="126" t="str">
        <f t="shared" si="24"/>
        <v/>
      </c>
      <c r="I163" s="131" t="str">
        <f t="shared" si="25"/>
        <v>0 (0)</v>
      </c>
      <c r="J163" s="131" t="str">
        <f t="shared" si="26"/>
        <v>1 (1)</v>
      </c>
      <c r="K163" s="131" t="str">
        <f t="shared" si="27"/>
        <v>1 (1)</v>
      </c>
      <c r="L163" s="132" t="str">
        <f t="shared" si="28"/>
        <v/>
      </c>
      <c r="M163" s="131" t="str">
        <f t="shared" si="29"/>
        <v/>
      </c>
      <c r="N163" s="126" t="str">
        <f>IF(ISNA(MATCH(A163,Data!B:B,0)),"",INDEX(Data!H:H,MATCH(A163,Data!B:B,1))) &amp; ""</f>
        <v/>
      </c>
      <c r="O163" s="126" t="str">
        <f>IF(ISNA(MATCH(A163,Data!B:B,0)),"",INDEX(Data!I:I,MATCH(A163,Data!B:B,1))) &amp; ""</f>
        <v/>
      </c>
      <c r="P163" s="133" t="str">
        <f>IF(ISNA(MATCH(A163,Data!B:B,0)),"",INDEX(Data!J:J,MATCH(A163,Data!B:B,1))) &amp; ""</f>
        <v/>
      </c>
      <c r="Q163" s="126" t="str">
        <f>IF(S163="T",Charts!$X$7,IF(ISNA(MATCH(A163,Data!B:B,0)),"",INDEX(Data!K:K,MATCH(A163,Data!B:B,1)))) &amp; ""</f>
        <v/>
      </c>
      <c r="R163" s="134"/>
      <c r="S163" s="134"/>
      <c r="T163" s="127"/>
      <c r="AF163" s="24" t="str">
        <f>IF(C163="","",INDEX(Workouts!B:B,MATCH(C163,Workouts!A:A,0)))</f>
        <v/>
      </c>
      <c r="AG163" s="24" t="str">
        <f>IF(SUMIF(Data!B:B,A163,Data!D:D)=0,"",SUMIF(Data!B:B,A163,Data!D:D))</f>
        <v/>
      </c>
      <c r="AH163" s="25" t="str">
        <f>IF(C163="","",INDEX(Workouts!C:C,MATCH(C163,Workouts!A:A,0)))</f>
        <v/>
      </c>
      <c r="AI163" s="68" t="str">
        <f>IF(SUMIF(Data!B:B,A163,Data!F:F)=0,"",SUMIF(Data!B:B,A163,Data!F:F))</f>
        <v/>
      </c>
      <c r="AJ163" s="68">
        <f>AJ162+ (IF(AH163="",0,AH163)-AJ162)/Charts!$X$5</f>
        <v>1.0160070101954268E-9</v>
      </c>
      <c r="AK163" s="68">
        <f>AK162+ (IF(AI163="",0,AI163)-AK162)/Charts!$X$5</f>
        <v>1.0160070101954268E-9</v>
      </c>
      <c r="AL163" s="68">
        <f>AL162+ (IF(AH163="",0,AH163)-AL162)/Charts!$X$6</f>
        <v>1.1361295803504929</v>
      </c>
      <c r="AM163" s="68">
        <f>AM162+ (IF(AI163="",0,AI163)-AM162)/Charts!$X$6</f>
        <v>1.1361295803504929</v>
      </c>
      <c r="AN163" s="68" t="str">
        <f t="shared" si="34"/>
        <v>1</v>
      </c>
      <c r="AO163" s="68" t="str">
        <f t="shared" si="35"/>
        <v>1</v>
      </c>
      <c r="AP163" s="69" t="str">
        <f>IF(C163="","",INDEX(Workouts!D:D,MATCH(C163,Workouts!A:A,0)))</f>
        <v/>
      </c>
      <c r="AQ163" s="69" t="str">
        <f>IF(ISNA(MATCH(A163,Data!B:B,0)),"",INDEX(Data!G:G,MATCH(A163,Data!B:B,1)))</f>
        <v/>
      </c>
    </row>
    <row r="164" spans="1:43" s="1" customFormat="1" x14ac:dyDescent="0.2">
      <c r="A164" s="125">
        <f t="shared" si="33"/>
        <v>44359</v>
      </c>
      <c r="B164" s="126" t="str">
        <f t="shared" si="30"/>
        <v>Sat</v>
      </c>
      <c r="C164" s="140"/>
      <c r="D164" s="128" t="str">
        <f t="shared" si="31"/>
        <v/>
      </c>
      <c r="E164" s="129" t="str">
        <f t="shared" si="32"/>
        <v/>
      </c>
      <c r="F164" s="130" t="str">
        <f>IF(SUMIF(Data!B:B,A164,Data!C:C)=0,"",SUMIF(Data!B:B,A164,Data!C:C))</f>
        <v/>
      </c>
      <c r="G164" s="126" t="str">
        <f>IF(OR(S164="T",S164="RUN",SUMIF(Data!B:B,A164,Data!E:E)=0),"",SUMIF(Data!B:B,A164,Data!E:E))</f>
        <v/>
      </c>
      <c r="H164" s="126" t="str">
        <f t="shared" si="24"/>
        <v/>
      </c>
      <c r="I164" s="131" t="str">
        <f t="shared" si="25"/>
        <v>0 (0)</v>
      </c>
      <c r="J164" s="131" t="str">
        <f t="shared" si="26"/>
        <v>1 (1)</v>
      </c>
      <c r="K164" s="131" t="str">
        <f t="shared" si="27"/>
        <v>1 (1)</v>
      </c>
      <c r="L164" s="132" t="str">
        <f t="shared" si="28"/>
        <v/>
      </c>
      <c r="M164" s="131" t="str">
        <f t="shared" si="29"/>
        <v/>
      </c>
      <c r="N164" s="126" t="str">
        <f>IF(ISNA(MATCH(A164,Data!B:B,0)),"",INDEX(Data!H:H,MATCH(A164,Data!B:B,1))) &amp; ""</f>
        <v/>
      </c>
      <c r="O164" s="126" t="str">
        <f>IF(ISNA(MATCH(A164,Data!B:B,0)),"",INDEX(Data!I:I,MATCH(A164,Data!B:B,1))) &amp; ""</f>
        <v/>
      </c>
      <c r="P164" s="133" t="str">
        <f>IF(ISNA(MATCH(A164,Data!B:B,0)),"",INDEX(Data!J:J,MATCH(A164,Data!B:B,1))) &amp; ""</f>
        <v/>
      </c>
      <c r="Q164" s="126" t="str">
        <f>IF(S164="T",Charts!$X$7,IF(ISNA(MATCH(A164,Data!B:B,0)),"",INDEX(Data!K:K,MATCH(A164,Data!B:B,1)))) &amp; ""</f>
        <v/>
      </c>
      <c r="R164" s="134"/>
      <c r="S164" s="134"/>
      <c r="T164" s="127"/>
      <c r="AF164" s="24" t="str">
        <f>IF(C164="","",INDEX(Workouts!B:B,MATCH(C164,Workouts!A:A,0)))</f>
        <v/>
      </c>
      <c r="AG164" s="24" t="str">
        <f>IF(SUMIF(Data!B:B,A164,Data!D:D)=0,"",SUMIF(Data!B:B,A164,Data!D:D))</f>
        <v/>
      </c>
      <c r="AH164" s="25" t="str">
        <f>IF(C164="","",INDEX(Workouts!C:C,MATCH(C164,Workouts!A:A,0)))</f>
        <v/>
      </c>
      <c r="AI164" s="68" t="str">
        <f>IF(SUMIF(Data!B:B,A164,Data!F:F)=0,"",SUMIF(Data!B:B,A164,Data!F:F))</f>
        <v/>
      </c>
      <c r="AJ164" s="68">
        <f>AJ163+ (IF(AH164="",0,AH164)-AJ163)/Charts!$X$5</f>
        <v>8.7086315159608015E-10</v>
      </c>
      <c r="AK164" s="68">
        <f>AK163+ (IF(AI164="",0,AI164)-AK163)/Charts!$X$5</f>
        <v>8.7086315159608015E-10</v>
      </c>
      <c r="AL164" s="68">
        <f>AL163+ (IF(AH164="",0,AH164)-AL163)/Charts!$X$6</f>
        <v>1.1090788760564336</v>
      </c>
      <c r="AM164" s="68">
        <f>AM163+ (IF(AI164="",0,AI164)-AM163)/Charts!$X$6</f>
        <v>1.1090788760564336</v>
      </c>
      <c r="AN164" s="68" t="str">
        <f t="shared" si="34"/>
        <v>1</v>
      </c>
      <c r="AO164" s="68" t="str">
        <f t="shared" si="35"/>
        <v>1</v>
      </c>
      <c r="AP164" s="69" t="str">
        <f>IF(C164="","",INDEX(Workouts!D:D,MATCH(C164,Workouts!A:A,0)))</f>
        <v/>
      </c>
      <c r="AQ164" s="69" t="str">
        <f>IF(ISNA(MATCH(A164,Data!B:B,0)),"",INDEX(Data!G:G,MATCH(A164,Data!B:B,1)))</f>
        <v/>
      </c>
    </row>
    <row r="165" spans="1:43" s="1" customFormat="1" x14ac:dyDescent="0.2">
      <c r="A165" s="125">
        <f t="shared" si="33"/>
        <v>44360</v>
      </c>
      <c r="B165" s="126" t="str">
        <f t="shared" si="30"/>
        <v>Sun</v>
      </c>
      <c r="C165" s="140"/>
      <c r="D165" s="128" t="str">
        <f t="shared" si="31"/>
        <v/>
      </c>
      <c r="E165" s="129" t="str">
        <f t="shared" si="32"/>
        <v/>
      </c>
      <c r="F165" s="130" t="str">
        <f>IF(SUMIF(Data!B:B,A165,Data!C:C)=0,"",SUMIF(Data!B:B,A165,Data!C:C))</f>
        <v/>
      </c>
      <c r="G165" s="126" t="str">
        <f>IF(OR(S165="T",S165="RUN",SUMIF(Data!B:B,A165,Data!E:E)=0),"",SUMIF(Data!B:B,A165,Data!E:E))</f>
        <v/>
      </c>
      <c r="H165" s="126" t="str">
        <f t="shared" si="24"/>
        <v/>
      </c>
      <c r="I165" s="131" t="str">
        <f t="shared" si="25"/>
        <v>0 (0)</v>
      </c>
      <c r="J165" s="131" t="str">
        <f t="shared" si="26"/>
        <v>1 (1)</v>
      </c>
      <c r="K165" s="131" t="str">
        <f t="shared" si="27"/>
        <v>1 (1)</v>
      </c>
      <c r="L165" s="132" t="str">
        <f t="shared" si="28"/>
        <v/>
      </c>
      <c r="M165" s="131" t="str">
        <f t="shared" si="29"/>
        <v/>
      </c>
      <c r="N165" s="126" t="str">
        <f>IF(ISNA(MATCH(A165,Data!B:B,0)),"",INDEX(Data!H:H,MATCH(A165,Data!B:B,1))) &amp; ""</f>
        <v/>
      </c>
      <c r="O165" s="126" t="str">
        <f>IF(ISNA(MATCH(A165,Data!B:B,0)),"",INDEX(Data!I:I,MATCH(A165,Data!B:B,1))) &amp; ""</f>
        <v/>
      </c>
      <c r="P165" s="133" t="str">
        <f>IF(ISNA(MATCH(A165,Data!B:B,0)),"",INDEX(Data!J:J,MATCH(A165,Data!B:B,1))) &amp; ""</f>
        <v/>
      </c>
      <c r="Q165" s="126" t="str">
        <f>IF(S165="T",Charts!$X$7,IF(ISNA(MATCH(A165,Data!B:B,0)),"",INDEX(Data!K:K,MATCH(A165,Data!B:B,1)))) &amp; ""</f>
        <v/>
      </c>
      <c r="R165" s="134"/>
      <c r="S165" s="134"/>
      <c r="T165" s="127"/>
      <c r="AF165" s="24" t="str">
        <f>IF(C165="","",INDEX(Workouts!B:B,MATCH(C165,Workouts!A:A,0)))</f>
        <v/>
      </c>
      <c r="AG165" s="24" t="str">
        <f>IF(SUMIF(Data!B:B,A165,Data!D:D)=0,"",SUMIF(Data!B:B,A165,Data!D:D))</f>
        <v/>
      </c>
      <c r="AH165" s="25" t="str">
        <f>IF(C165="","",INDEX(Workouts!C:C,MATCH(C165,Workouts!A:A,0)))</f>
        <v/>
      </c>
      <c r="AI165" s="68" t="str">
        <f>IF(SUMIF(Data!B:B,A165,Data!F:F)=0,"",SUMIF(Data!B:B,A165,Data!F:F))</f>
        <v/>
      </c>
      <c r="AJ165" s="68">
        <f>AJ164+ (IF(AH165="",0,AH165)-AJ164)/Charts!$X$5</f>
        <v>7.4645412993949725E-10</v>
      </c>
      <c r="AK165" s="68">
        <f>AK164+ (IF(AI165="",0,AI165)-AK164)/Charts!$X$5</f>
        <v>7.4645412993949725E-10</v>
      </c>
      <c r="AL165" s="68">
        <f>AL164+ (IF(AH165="",0,AH165)-AL164)/Charts!$X$6</f>
        <v>1.082672236150328</v>
      </c>
      <c r="AM165" s="68">
        <f>AM164+ (IF(AI165="",0,AI165)-AM164)/Charts!$X$6</f>
        <v>1.082672236150328</v>
      </c>
      <c r="AN165" s="68" t="str">
        <f t="shared" si="34"/>
        <v>1</v>
      </c>
      <c r="AO165" s="68" t="str">
        <f t="shared" si="35"/>
        <v>1</v>
      </c>
      <c r="AP165" s="69" t="str">
        <f>IF(C165="","",INDEX(Workouts!D:D,MATCH(C165,Workouts!A:A,0)))</f>
        <v/>
      </c>
      <c r="AQ165" s="69" t="str">
        <f>IF(ISNA(MATCH(A165,Data!B:B,0)),"",INDEX(Data!G:G,MATCH(A165,Data!B:B,1)))</f>
        <v/>
      </c>
    </row>
    <row r="166" spans="1:43" s="1" customFormat="1" x14ac:dyDescent="0.2">
      <c r="A166" s="125">
        <f t="shared" si="33"/>
        <v>44361</v>
      </c>
      <c r="B166" s="126" t="str">
        <f t="shared" si="30"/>
        <v>Mon</v>
      </c>
      <c r="C166" s="140"/>
      <c r="D166" s="128" t="str">
        <f t="shared" si="31"/>
        <v/>
      </c>
      <c r="E166" s="129" t="str">
        <f t="shared" si="32"/>
        <v/>
      </c>
      <c r="F166" s="130" t="str">
        <f>IF(SUMIF(Data!B:B,A166,Data!C:C)=0,"",SUMIF(Data!B:B,A166,Data!C:C))</f>
        <v/>
      </c>
      <c r="G166" s="126" t="str">
        <f>IF(OR(S166="T",S166="RUN",SUMIF(Data!B:B,A166,Data!E:E)=0),"",SUMIF(Data!B:B,A166,Data!E:E))</f>
        <v/>
      </c>
      <c r="H166" s="126" t="str">
        <f t="shared" si="24"/>
        <v/>
      </c>
      <c r="I166" s="131" t="str">
        <f t="shared" si="25"/>
        <v>0 (0)</v>
      </c>
      <c r="J166" s="131" t="str">
        <f t="shared" si="26"/>
        <v>1 (1)</v>
      </c>
      <c r="K166" s="131" t="str">
        <f t="shared" si="27"/>
        <v>1 (1)</v>
      </c>
      <c r="L166" s="132" t="str">
        <f t="shared" si="28"/>
        <v/>
      </c>
      <c r="M166" s="131" t="str">
        <f t="shared" si="29"/>
        <v/>
      </c>
      <c r="N166" s="126" t="str">
        <f>IF(ISNA(MATCH(A166,Data!B:B,0)),"",INDEX(Data!H:H,MATCH(A166,Data!B:B,1))) &amp; ""</f>
        <v/>
      </c>
      <c r="O166" s="126" t="str">
        <f>IF(ISNA(MATCH(A166,Data!B:B,0)),"",INDEX(Data!I:I,MATCH(A166,Data!B:B,1))) &amp; ""</f>
        <v/>
      </c>
      <c r="P166" s="133" t="str">
        <f>IF(ISNA(MATCH(A166,Data!B:B,0)),"",INDEX(Data!J:J,MATCH(A166,Data!B:B,1))) &amp; ""</f>
        <v/>
      </c>
      <c r="Q166" s="126" t="str">
        <f>IF(S166="T",Charts!$X$7,IF(ISNA(MATCH(A166,Data!B:B,0)),"",INDEX(Data!K:K,MATCH(A166,Data!B:B,1)))) &amp; ""</f>
        <v/>
      </c>
      <c r="R166" s="134"/>
      <c r="S166" s="134"/>
      <c r="T166" s="127"/>
      <c r="AF166" s="24" t="str">
        <f>IF(C166="","",INDEX(Workouts!B:B,MATCH(C166,Workouts!A:A,0)))</f>
        <v/>
      </c>
      <c r="AG166" s="24" t="str">
        <f>IF(SUMIF(Data!B:B,A166,Data!D:D)=0,"",SUMIF(Data!B:B,A166,Data!D:D))</f>
        <v/>
      </c>
      <c r="AH166" s="25" t="str">
        <f>IF(C166="","",INDEX(Workouts!C:C,MATCH(C166,Workouts!A:A,0)))</f>
        <v/>
      </c>
      <c r="AI166" s="68" t="str">
        <f>IF(SUMIF(Data!B:B,A166,Data!F:F)=0,"",SUMIF(Data!B:B,A166,Data!F:F))</f>
        <v/>
      </c>
      <c r="AJ166" s="68">
        <f>AJ165+ (IF(AH166="",0,AH166)-AJ165)/Charts!$X$5</f>
        <v>6.3981782566242619E-10</v>
      </c>
      <c r="AK166" s="68">
        <f>AK165+ (IF(AI166="",0,AI166)-AK165)/Charts!$X$5</f>
        <v>6.3981782566242619E-10</v>
      </c>
      <c r="AL166" s="68">
        <f>AL165+ (IF(AH166="",0,AH166)-AL165)/Charts!$X$6</f>
        <v>1.0568943257657963</v>
      </c>
      <c r="AM166" s="68">
        <f>AM165+ (IF(AI166="",0,AI166)-AM165)/Charts!$X$6</f>
        <v>1.0568943257657963</v>
      </c>
      <c r="AN166" s="68" t="str">
        <f t="shared" si="34"/>
        <v>1</v>
      </c>
      <c r="AO166" s="68" t="str">
        <f t="shared" si="35"/>
        <v>1</v>
      </c>
      <c r="AP166" s="69" t="str">
        <f>IF(C166="","",INDEX(Workouts!D:D,MATCH(C166,Workouts!A:A,0)))</f>
        <v/>
      </c>
      <c r="AQ166" s="69" t="str">
        <f>IF(ISNA(MATCH(A166,Data!B:B,0)),"",INDEX(Data!G:G,MATCH(A166,Data!B:B,1)))</f>
        <v/>
      </c>
    </row>
    <row r="167" spans="1:43" s="1" customFormat="1" x14ac:dyDescent="0.2">
      <c r="A167" s="125">
        <f t="shared" si="33"/>
        <v>44362</v>
      </c>
      <c r="B167" s="126" t="str">
        <f t="shared" si="30"/>
        <v>Tue</v>
      </c>
      <c r="C167" s="140"/>
      <c r="D167" s="128" t="str">
        <f t="shared" si="31"/>
        <v/>
      </c>
      <c r="E167" s="129" t="str">
        <f t="shared" si="32"/>
        <v/>
      </c>
      <c r="F167" s="130" t="str">
        <f>IF(SUMIF(Data!B:B,A167,Data!C:C)=0,"",SUMIF(Data!B:B,A167,Data!C:C))</f>
        <v/>
      </c>
      <c r="G167" s="126" t="str">
        <f>IF(OR(S167="T",S167="RUN",SUMIF(Data!B:B,A167,Data!E:E)=0),"",SUMIF(Data!B:B,A167,Data!E:E))</f>
        <v/>
      </c>
      <c r="H167" s="126" t="str">
        <f t="shared" si="24"/>
        <v/>
      </c>
      <c r="I167" s="131" t="str">
        <f t="shared" si="25"/>
        <v>0 (0)</v>
      </c>
      <c r="J167" s="131" t="str">
        <f t="shared" si="26"/>
        <v>1 (1)</v>
      </c>
      <c r="K167" s="131" t="str">
        <f t="shared" si="27"/>
        <v>1 (1)</v>
      </c>
      <c r="L167" s="132" t="str">
        <f t="shared" si="28"/>
        <v/>
      </c>
      <c r="M167" s="131" t="str">
        <f t="shared" si="29"/>
        <v/>
      </c>
      <c r="N167" s="126" t="str">
        <f>IF(ISNA(MATCH(A167,Data!B:B,0)),"",INDEX(Data!H:H,MATCH(A167,Data!B:B,1))) &amp; ""</f>
        <v/>
      </c>
      <c r="O167" s="126" t="str">
        <f>IF(ISNA(MATCH(A167,Data!B:B,0)),"",INDEX(Data!I:I,MATCH(A167,Data!B:B,1))) &amp; ""</f>
        <v/>
      </c>
      <c r="P167" s="133" t="str">
        <f>IF(ISNA(MATCH(A167,Data!B:B,0)),"",INDEX(Data!J:J,MATCH(A167,Data!B:B,1))) &amp; ""</f>
        <v/>
      </c>
      <c r="Q167" s="126" t="str">
        <f>IF(S167="T",Charts!$X$7,IF(ISNA(MATCH(A167,Data!B:B,0)),"",INDEX(Data!K:K,MATCH(A167,Data!B:B,1)))) &amp; ""</f>
        <v/>
      </c>
      <c r="R167" s="134"/>
      <c r="S167" s="134"/>
      <c r="T167" s="127"/>
      <c r="AF167" s="24" t="str">
        <f>IF(C167="","",INDEX(Workouts!B:B,MATCH(C167,Workouts!A:A,0)))</f>
        <v/>
      </c>
      <c r="AG167" s="24" t="str">
        <f>IF(SUMIF(Data!B:B,A167,Data!D:D)=0,"",SUMIF(Data!B:B,A167,Data!D:D))</f>
        <v/>
      </c>
      <c r="AH167" s="25" t="str">
        <f>IF(C167="","",INDEX(Workouts!C:C,MATCH(C167,Workouts!A:A,0)))</f>
        <v/>
      </c>
      <c r="AI167" s="68" t="str">
        <f>IF(SUMIF(Data!B:B,A167,Data!F:F)=0,"",SUMIF(Data!B:B,A167,Data!F:F))</f>
        <v/>
      </c>
      <c r="AJ167" s="68">
        <f>AJ166+ (IF(AH167="",0,AH167)-AJ166)/Charts!$X$5</f>
        <v>5.4841527913922243E-10</v>
      </c>
      <c r="AK167" s="68">
        <f>AK166+ (IF(AI167="",0,AI167)-AK166)/Charts!$X$5</f>
        <v>5.4841527913922243E-10</v>
      </c>
      <c r="AL167" s="68">
        <f>AL166+ (IF(AH167="",0,AH167)-AL166)/Charts!$X$6</f>
        <v>1.0317301751523249</v>
      </c>
      <c r="AM167" s="68">
        <f>AM166+ (IF(AI167="",0,AI167)-AM166)/Charts!$X$6</f>
        <v>1.0317301751523249</v>
      </c>
      <c r="AN167" s="68" t="str">
        <f t="shared" si="34"/>
        <v>1</v>
      </c>
      <c r="AO167" s="68" t="str">
        <f t="shared" si="35"/>
        <v>1</v>
      </c>
      <c r="AP167" s="69" t="str">
        <f>IF(C167="","",INDEX(Workouts!D:D,MATCH(C167,Workouts!A:A,0)))</f>
        <v/>
      </c>
      <c r="AQ167" s="69" t="str">
        <f>IF(ISNA(MATCH(A167,Data!B:B,0)),"",INDEX(Data!G:G,MATCH(A167,Data!B:B,1)))</f>
        <v/>
      </c>
    </row>
    <row r="168" spans="1:43" s="1" customFormat="1" x14ac:dyDescent="0.2">
      <c r="A168" s="125">
        <f t="shared" si="33"/>
        <v>44363</v>
      </c>
      <c r="B168" s="126" t="str">
        <f t="shared" si="30"/>
        <v>Wed</v>
      </c>
      <c r="C168" s="140"/>
      <c r="D168" s="128" t="str">
        <f t="shared" si="31"/>
        <v/>
      </c>
      <c r="E168" s="129" t="str">
        <f t="shared" si="32"/>
        <v/>
      </c>
      <c r="F168" s="130" t="str">
        <f>IF(SUMIF(Data!B:B,A168,Data!C:C)=0,"",SUMIF(Data!B:B,A168,Data!C:C))</f>
        <v/>
      </c>
      <c r="G168" s="126" t="str">
        <f>IF(OR(S168="T",S168="RUN",SUMIF(Data!B:B,A168,Data!E:E)=0),"",SUMIF(Data!B:B,A168,Data!E:E))</f>
        <v/>
      </c>
      <c r="H168" s="126" t="str">
        <f t="shared" si="24"/>
        <v/>
      </c>
      <c r="I168" s="131" t="str">
        <f t="shared" si="25"/>
        <v>0 (0)</v>
      </c>
      <c r="J168" s="131" t="str">
        <f t="shared" si="26"/>
        <v>1 (1)</v>
      </c>
      <c r="K168" s="131" t="str">
        <f t="shared" si="27"/>
        <v>1 (1)</v>
      </c>
      <c r="L168" s="132" t="str">
        <f t="shared" si="28"/>
        <v/>
      </c>
      <c r="M168" s="131" t="str">
        <f t="shared" si="29"/>
        <v/>
      </c>
      <c r="N168" s="126" t="str">
        <f>IF(ISNA(MATCH(A168,Data!B:B,0)),"",INDEX(Data!H:H,MATCH(A168,Data!B:B,1))) &amp; ""</f>
        <v/>
      </c>
      <c r="O168" s="126" t="str">
        <f>IF(ISNA(MATCH(A168,Data!B:B,0)),"",INDEX(Data!I:I,MATCH(A168,Data!B:B,1))) &amp; ""</f>
        <v/>
      </c>
      <c r="P168" s="133" t="str">
        <f>IF(ISNA(MATCH(A168,Data!B:B,0)),"",INDEX(Data!J:J,MATCH(A168,Data!B:B,1))) &amp; ""</f>
        <v/>
      </c>
      <c r="Q168" s="126" t="str">
        <f>IF(S168="T",Charts!$X$7,IF(ISNA(MATCH(A168,Data!B:B,0)),"",INDEX(Data!K:K,MATCH(A168,Data!B:B,1)))) &amp; ""</f>
        <v/>
      </c>
      <c r="R168" s="134"/>
      <c r="S168" s="134"/>
      <c r="T168" s="127"/>
      <c r="AF168" s="24" t="str">
        <f>IF(C168="","",INDEX(Workouts!B:B,MATCH(C168,Workouts!A:A,0)))</f>
        <v/>
      </c>
      <c r="AG168" s="24" t="str">
        <f>IF(SUMIF(Data!B:B,A168,Data!D:D)=0,"",SUMIF(Data!B:B,A168,Data!D:D))</f>
        <v/>
      </c>
      <c r="AH168" s="25" t="str">
        <f>IF(C168="","",INDEX(Workouts!C:C,MATCH(C168,Workouts!A:A,0)))</f>
        <v/>
      </c>
      <c r="AI168" s="68" t="str">
        <f>IF(SUMIF(Data!B:B,A168,Data!F:F)=0,"",SUMIF(Data!B:B,A168,Data!F:F))</f>
        <v/>
      </c>
      <c r="AJ168" s="68">
        <f>AJ167+ (IF(AH168="",0,AH168)-AJ167)/Charts!$X$5</f>
        <v>4.7007023926219061E-10</v>
      </c>
      <c r="AK168" s="68">
        <f>AK167+ (IF(AI168="",0,AI168)-AK167)/Charts!$X$5</f>
        <v>4.7007023926219061E-10</v>
      </c>
      <c r="AL168" s="68">
        <f>AL167+ (IF(AH168="",0,AH168)-AL167)/Charts!$X$6</f>
        <v>1.0071651709820315</v>
      </c>
      <c r="AM168" s="68">
        <f>AM167+ (IF(AI168="",0,AI168)-AM167)/Charts!$X$6</f>
        <v>1.0071651709820315</v>
      </c>
      <c r="AN168" s="68" t="str">
        <f t="shared" si="34"/>
        <v>1</v>
      </c>
      <c r="AO168" s="68" t="str">
        <f t="shared" si="35"/>
        <v>1</v>
      </c>
      <c r="AP168" s="69" t="str">
        <f>IF(C168="","",INDEX(Workouts!D:D,MATCH(C168,Workouts!A:A,0)))</f>
        <v/>
      </c>
      <c r="AQ168" s="69" t="str">
        <f>IF(ISNA(MATCH(A168,Data!B:B,0)),"",INDEX(Data!G:G,MATCH(A168,Data!B:B,1)))</f>
        <v/>
      </c>
    </row>
    <row r="169" spans="1:43" s="1" customFormat="1" x14ac:dyDescent="0.2">
      <c r="A169" s="125">
        <f t="shared" si="33"/>
        <v>44364</v>
      </c>
      <c r="B169" s="126" t="str">
        <f t="shared" si="30"/>
        <v>Thu</v>
      </c>
      <c r="C169" s="140"/>
      <c r="D169" s="128" t="str">
        <f t="shared" si="31"/>
        <v/>
      </c>
      <c r="E169" s="129" t="str">
        <f t="shared" si="32"/>
        <v/>
      </c>
      <c r="F169" s="130" t="str">
        <f>IF(SUMIF(Data!B:B,A169,Data!C:C)=0,"",SUMIF(Data!B:B,A169,Data!C:C))</f>
        <v/>
      </c>
      <c r="G169" s="126" t="str">
        <f>IF(OR(S169="T",S169="RUN",SUMIF(Data!B:B,A169,Data!E:E)=0),"",SUMIF(Data!B:B,A169,Data!E:E))</f>
        <v/>
      </c>
      <c r="H169" s="126" t="str">
        <f t="shared" si="24"/>
        <v/>
      </c>
      <c r="I169" s="131" t="str">
        <f t="shared" si="25"/>
        <v>0 (0)</v>
      </c>
      <c r="J169" s="131" t="str">
        <f t="shared" si="26"/>
        <v>1 (1)</v>
      </c>
      <c r="K169" s="131" t="str">
        <f t="shared" si="27"/>
        <v>1 (1)</v>
      </c>
      <c r="L169" s="132" t="str">
        <f t="shared" si="28"/>
        <v/>
      </c>
      <c r="M169" s="131" t="str">
        <f t="shared" si="29"/>
        <v/>
      </c>
      <c r="N169" s="126" t="str">
        <f>IF(ISNA(MATCH(A169,Data!B:B,0)),"",INDEX(Data!H:H,MATCH(A169,Data!B:B,1))) &amp; ""</f>
        <v/>
      </c>
      <c r="O169" s="126" t="str">
        <f>IF(ISNA(MATCH(A169,Data!B:B,0)),"",INDEX(Data!I:I,MATCH(A169,Data!B:B,1))) &amp; ""</f>
        <v/>
      </c>
      <c r="P169" s="133" t="str">
        <f>IF(ISNA(MATCH(A169,Data!B:B,0)),"",INDEX(Data!J:J,MATCH(A169,Data!B:B,1))) &amp; ""</f>
        <v/>
      </c>
      <c r="Q169" s="126" t="str">
        <f>IF(S169="T",Charts!$X$7,IF(ISNA(MATCH(A169,Data!B:B,0)),"",INDEX(Data!K:K,MATCH(A169,Data!B:B,1)))) &amp; ""</f>
        <v/>
      </c>
      <c r="R169" s="134"/>
      <c r="S169" s="134"/>
      <c r="T169" s="127"/>
      <c r="AF169" s="24" t="str">
        <f>IF(C169="","",INDEX(Workouts!B:B,MATCH(C169,Workouts!A:A,0)))</f>
        <v/>
      </c>
      <c r="AG169" s="24" t="str">
        <f>IF(SUMIF(Data!B:B,A169,Data!D:D)=0,"",SUMIF(Data!B:B,A169,Data!D:D))</f>
        <v/>
      </c>
      <c r="AH169" s="25" t="str">
        <f>IF(C169="","",INDEX(Workouts!C:C,MATCH(C169,Workouts!A:A,0)))</f>
        <v/>
      </c>
      <c r="AI169" s="68" t="str">
        <f>IF(SUMIF(Data!B:B,A169,Data!F:F)=0,"",SUMIF(Data!B:B,A169,Data!F:F))</f>
        <v/>
      </c>
      <c r="AJ169" s="68">
        <f>AJ168+ (IF(AH169="",0,AH169)-AJ168)/Charts!$X$5</f>
        <v>4.0291734793902054E-10</v>
      </c>
      <c r="AK169" s="68">
        <f>AK168+ (IF(AI169="",0,AI169)-AK168)/Charts!$X$5</f>
        <v>4.0291734793902054E-10</v>
      </c>
      <c r="AL169" s="68">
        <f>AL168+ (IF(AH169="",0,AH169)-AL168)/Charts!$X$6</f>
        <v>0.98318504786341177</v>
      </c>
      <c r="AM169" s="68">
        <f>AM168+ (IF(AI169="",0,AI169)-AM168)/Charts!$X$6</f>
        <v>0.98318504786341177</v>
      </c>
      <c r="AN169" s="68" t="str">
        <f t="shared" si="34"/>
        <v>1</v>
      </c>
      <c r="AO169" s="68" t="str">
        <f t="shared" si="35"/>
        <v>1</v>
      </c>
      <c r="AP169" s="69" t="str">
        <f>IF(C169="","",INDEX(Workouts!D:D,MATCH(C169,Workouts!A:A,0)))</f>
        <v/>
      </c>
      <c r="AQ169" s="69" t="str">
        <f>IF(ISNA(MATCH(A169,Data!B:B,0)),"",INDEX(Data!G:G,MATCH(A169,Data!B:B,1)))</f>
        <v/>
      </c>
    </row>
    <row r="170" spans="1:43" s="1" customFormat="1" x14ac:dyDescent="0.2">
      <c r="A170" s="125">
        <f t="shared" si="33"/>
        <v>44365</v>
      </c>
      <c r="B170" s="126" t="str">
        <f t="shared" si="30"/>
        <v>Fri</v>
      </c>
      <c r="C170" s="140"/>
      <c r="D170" s="128" t="str">
        <f t="shared" si="31"/>
        <v/>
      </c>
      <c r="E170" s="129" t="str">
        <f t="shared" si="32"/>
        <v/>
      </c>
      <c r="F170" s="130" t="str">
        <f>IF(SUMIF(Data!B:B,A170,Data!C:C)=0,"",SUMIF(Data!B:B,A170,Data!C:C))</f>
        <v/>
      </c>
      <c r="G170" s="126" t="str">
        <f>IF(OR(S170="T",S170="RUN",SUMIF(Data!B:B,A170,Data!E:E)=0),"",SUMIF(Data!B:B,A170,Data!E:E))</f>
        <v/>
      </c>
      <c r="H170" s="126" t="str">
        <f t="shared" si="24"/>
        <v/>
      </c>
      <c r="I170" s="131" t="str">
        <f t="shared" si="25"/>
        <v>0 (0)</v>
      </c>
      <c r="J170" s="131" t="str">
        <f t="shared" si="26"/>
        <v>1 (1)</v>
      </c>
      <c r="K170" s="131" t="str">
        <f t="shared" si="27"/>
        <v>1 (1)</v>
      </c>
      <c r="L170" s="132" t="str">
        <f t="shared" si="28"/>
        <v/>
      </c>
      <c r="M170" s="131" t="str">
        <f t="shared" si="29"/>
        <v/>
      </c>
      <c r="N170" s="126" t="str">
        <f>IF(ISNA(MATCH(A170,Data!B:B,0)),"",INDEX(Data!H:H,MATCH(A170,Data!B:B,1))) &amp; ""</f>
        <v/>
      </c>
      <c r="O170" s="126" t="str">
        <f>IF(ISNA(MATCH(A170,Data!B:B,0)),"",INDEX(Data!I:I,MATCH(A170,Data!B:B,1))) &amp; ""</f>
        <v/>
      </c>
      <c r="P170" s="133" t="str">
        <f>IF(ISNA(MATCH(A170,Data!B:B,0)),"",INDEX(Data!J:J,MATCH(A170,Data!B:B,1))) &amp; ""</f>
        <v/>
      </c>
      <c r="Q170" s="126" t="str">
        <f>IF(S170="T",Charts!$X$7,IF(ISNA(MATCH(A170,Data!B:B,0)),"",INDEX(Data!K:K,MATCH(A170,Data!B:B,1)))) &amp; ""</f>
        <v/>
      </c>
      <c r="R170" s="134"/>
      <c r="S170" s="134"/>
      <c r="T170" s="127"/>
      <c r="AF170" s="24" t="str">
        <f>IF(C170="","",INDEX(Workouts!B:B,MATCH(C170,Workouts!A:A,0)))</f>
        <v/>
      </c>
      <c r="AG170" s="24" t="str">
        <f>IF(SUMIF(Data!B:B,A170,Data!D:D)=0,"",SUMIF(Data!B:B,A170,Data!D:D))</f>
        <v/>
      </c>
      <c r="AH170" s="25" t="str">
        <f>IF(C170="","",INDEX(Workouts!C:C,MATCH(C170,Workouts!A:A,0)))</f>
        <v/>
      </c>
      <c r="AI170" s="68" t="str">
        <f>IF(SUMIF(Data!B:B,A170,Data!F:F)=0,"",SUMIF(Data!B:B,A170,Data!F:F))</f>
        <v/>
      </c>
      <c r="AJ170" s="68">
        <f>AJ169+ (IF(AH170="",0,AH170)-AJ169)/Charts!$X$5</f>
        <v>3.4535772680487473E-10</v>
      </c>
      <c r="AK170" s="68">
        <f>AK169+ (IF(AI170="",0,AI170)-AK169)/Charts!$X$5</f>
        <v>3.4535772680487473E-10</v>
      </c>
      <c r="AL170" s="68">
        <f>AL169+ (IF(AH170="",0,AH170)-AL169)/Charts!$X$6</f>
        <v>0.9597758800571401</v>
      </c>
      <c r="AM170" s="68">
        <f>AM169+ (IF(AI170="",0,AI170)-AM169)/Charts!$X$6</f>
        <v>0.9597758800571401</v>
      </c>
      <c r="AN170" s="68" t="str">
        <f t="shared" si="34"/>
        <v>1</v>
      </c>
      <c r="AO170" s="68" t="str">
        <f t="shared" si="35"/>
        <v>1</v>
      </c>
      <c r="AP170" s="69" t="str">
        <f>IF(C170="","",INDEX(Workouts!D:D,MATCH(C170,Workouts!A:A,0)))</f>
        <v/>
      </c>
      <c r="AQ170" s="69" t="str">
        <f>IF(ISNA(MATCH(A170,Data!B:B,0)),"",INDEX(Data!G:G,MATCH(A170,Data!B:B,1)))</f>
        <v/>
      </c>
    </row>
    <row r="171" spans="1:43" s="1" customFormat="1" x14ac:dyDescent="0.2">
      <c r="A171" s="125">
        <f t="shared" si="33"/>
        <v>44366</v>
      </c>
      <c r="B171" s="126" t="str">
        <f t="shared" si="30"/>
        <v>Sat</v>
      </c>
      <c r="C171" s="140"/>
      <c r="D171" s="128" t="str">
        <f t="shared" si="31"/>
        <v/>
      </c>
      <c r="E171" s="129" t="str">
        <f t="shared" si="32"/>
        <v/>
      </c>
      <c r="F171" s="130" t="str">
        <f>IF(SUMIF(Data!B:B,A171,Data!C:C)=0,"",SUMIF(Data!B:B,A171,Data!C:C))</f>
        <v/>
      </c>
      <c r="G171" s="126" t="str">
        <f>IF(OR(S171="T",S171="RUN",SUMIF(Data!B:B,A171,Data!E:E)=0),"",SUMIF(Data!B:B,A171,Data!E:E))</f>
        <v/>
      </c>
      <c r="H171" s="126" t="str">
        <f t="shared" si="24"/>
        <v/>
      </c>
      <c r="I171" s="131" t="str">
        <f t="shared" si="25"/>
        <v>0 (0)</v>
      </c>
      <c r="J171" s="131" t="str">
        <f t="shared" si="26"/>
        <v>1 (1)</v>
      </c>
      <c r="K171" s="131" t="str">
        <f t="shared" si="27"/>
        <v>1 (1)</v>
      </c>
      <c r="L171" s="132" t="str">
        <f t="shared" si="28"/>
        <v/>
      </c>
      <c r="M171" s="131" t="str">
        <f t="shared" si="29"/>
        <v/>
      </c>
      <c r="N171" s="126" t="str">
        <f>IF(ISNA(MATCH(A171,Data!B:B,0)),"",INDEX(Data!H:H,MATCH(A171,Data!B:B,1))) &amp; ""</f>
        <v/>
      </c>
      <c r="O171" s="126" t="str">
        <f>IF(ISNA(MATCH(A171,Data!B:B,0)),"",INDEX(Data!I:I,MATCH(A171,Data!B:B,1))) &amp; ""</f>
        <v/>
      </c>
      <c r="P171" s="133" t="str">
        <f>IF(ISNA(MATCH(A171,Data!B:B,0)),"",INDEX(Data!J:J,MATCH(A171,Data!B:B,1))) &amp; ""</f>
        <v/>
      </c>
      <c r="Q171" s="126" t="str">
        <f>IF(S171="T",Charts!$X$7,IF(ISNA(MATCH(A171,Data!B:B,0)),"",INDEX(Data!K:K,MATCH(A171,Data!B:B,1)))) &amp; ""</f>
        <v/>
      </c>
      <c r="R171" s="134"/>
      <c r="S171" s="134"/>
      <c r="T171" s="127"/>
      <c r="AF171" s="24" t="str">
        <f>IF(C171="","",INDEX(Workouts!B:B,MATCH(C171,Workouts!A:A,0)))</f>
        <v/>
      </c>
      <c r="AG171" s="24" t="str">
        <f>IF(SUMIF(Data!B:B,A171,Data!D:D)=0,"",SUMIF(Data!B:B,A171,Data!D:D))</f>
        <v/>
      </c>
      <c r="AH171" s="25" t="str">
        <f>IF(C171="","",INDEX(Workouts!C:C,MATCH(C171,Workouts!A:A,0)))</f>
        <v/>
      </c>
      <c r="AI171" s="68" t="str">
        <f>IF(SUMIF(Data!B:B,A171,Data!F:F)=0,"",SUMIF(Data!B:B,A171,Data!F:F))</f>
        <v/>
      </c>
      <c r="AJ171" s="68">
        <f>AJ170+ (IF(AH171="",0,AH171)-AJ170)/Charts!$X$5</f>
        <v>2.9602090868989263E-10</v>
      </c>
      <c r="AK171" s="68">
        <f>AK170+ (IF(AI171="",0,AI171)-AK170)/Charts!$X$5</f>
        <v>2.9602090868989263E-10</v>
      </c>
      <c r="AL171" s="68">
        <f>AL170+ (IF(AH171="",0,AH171)-AL170)/Charts!$X$6</f>
        <v>0.93692407338911299</v>
      </c>
      <c r="AM171" s="68">
        <f>AM170+ (IF(AI171="",0,AI171)-AM170)/Charts!$X$6</f>
        <v>0.93692407338911299</v>
      </c>
      <c r="AN171" s="68" t="str">
        <f t="shared" si="34"/>
        <v>1</v>
      </c>
      <c r="AO171" s="68" t="str">
        <f t="shared" si="35"/>
        <v>1</v>
      </c>
      <c r="AP171" s="69" t="str">
        <f>IF(C171="","",INDEX(Workouts!D:D,MATCH(C171,Workouts!A:A,0)))</f>
        <v/>
      </c>
      <c r="AQ171" s="69" t="str">
        <f>IF(ISNA(MATCH(A171,Data!B:B,0)),"",INDEX(Data!G:G,MATCH(A171,Data!B:B,1)))</f>
        <v/>
      </c>
    </row>
    <row r="172" spans="1:43" s="1" customFormat="1" x14ac:dyDescent="0.2">
      <c r="A172" s="125">
        <f t="shared" si="33"/>
        <v>44367</v>
      </c>
      <c r="B172" s="126" t="str">
        <f t="shared" si="30"/>
        <v>Sun</v>
      </c>
      <c r="C172" s="140"/>
      <c r="D172" s="128" t="str">
        <f t="shared" si="31"/>
        <v/>
      </c>
      <c r="E172" s="129" t="str">
        <f t="shared" si="32"/>
        <v/>
      </c>
      <c r="F172" s="130" t="str">
        <f>IF(SUMIF(Data!B:B,A172,Data!C:C)=0,"",SUMIF(Data!B:B,A172,Data!C:C))</f>
        <v/>
      </c>
      <c r="G172" s="126" t="str">
        <f>IF(OR(S172="T",S172="RUN",SUMIF(Data!B:B,A172,Data!E:E)=0),"",SUMIF(Data!B:B,A172,Data!E:E))</f>
        <v/>
      </c>
      <c r="H172" s="126" t="str">
        <f t="shared" si="24"/>
        <v/>
      </c>
      <c r="I172" s="131" t="str">
        <f t="shared" si="25"/>
        <v>0 (0)</v>
      </c>
      <c r="J172" s="131" t="str">
        <f t="shared" si="26"/>
        <v>1 (1)</v>
      </c>
      <c r="K172" s="131" t="str">
        <f t="shared" si="27"/>
        <v>1 (1)</v>
      </c>
      <c r="L172" s="132" t="str">
        <f t="shared" si="28"/>
        <v/>
      </c>
      <c r="M172" s="131" t="str">
        <f t="shared" si="29"/>
        <v/>
      </c>
      <c r="N172" s="126" t="str">
        <f>IF(ISNA(MATCH(A172,Data!B:B,0)),"",INDEX(Data!H:H,MATCH(A172,Data!B:B,1))) &amp; ""</f>
        <v/>
      </c>
      <c r="O172" s="126" t="str">
        <f>IF(ISNA(MATCH(A172,Data!B:B,0)),"",INDEX(Data!I:I,MATCH(A172,Data!B:B,1))) &amp; ""</f>
        <v/>
      </c>
      <c r="P172" s="133" t="str">
        <f>IF(ISNA(MATCH(A172,Data!B:B,0)),"",INDEX(Data!J:J,MATCH(A172,Data!B:B,1))) &amp; ""</f>
        <v/>
      </c>
      <c r="Q172" s="126" t="str">
        <f>IF(S172="T",Charts!$X$7,IF(ISNA(MATCH(A172,Data!B:B,0)),"",INDEX(Data!K:K,MATCH(A172,Data!B:B,1)))) &amp; ""</f>
        <v/>
      </c>
      <c r="R172" s="134"/>
      <c r="S172" s="134"/>
      <c r="T172" s="127"/>
      <c r="AF172" s="24" t="str">
        <f>IF(C172="","",INDEX(Workouts!B:B,MATCH(C172,Workouts!A:A,0)))</f>
        <v/>
      </c>
      <c r="AG172" s="24" t="str">
        <f>IF(SUMIF(Data!B:B,A172,Data!D:D)=0,"",SUMIF(Data!B:B,A172,Data!D:D))</f>
        <v/>
      </c>
      <c r="AH172" s="25" t="str">
        <f>IF(C172="","",INDEX(Workouts!C:C,MATCH(C172,Workouts!A:A,0)))</f>
        <v/>
      </c>
      <c r="AI172" s="68" t="str">
        <f>IF(SUMIF(Data!B:B,A172,Data!F:F)=0,"",SUMIF(Data!B:B,A172,Data!F:F))</f>
        <v/>
      </c>
      <c r="AJ172" s="68">
        <f>AJ171+ (IF(AH172="",0,AH172)-AJ171)/Charts!$X$5</f>
        <v>2.5373220744847939E-10</v>
      </c>
      <c r="AK172" s="68">
        <f>AK171+ (IF(AI172="",0,AI172)-AK171)/Charts!$X$5</f>
        <v>2.5373220744847939E-10</v>
      </c>
      <c r="AL172" s="68">
        <f>AL171+ (IF(AH172="",0,AH172)-AL171)/Charts!$X$6</f>
        <v>0.91461635735603886</v>
      </c>
      <c r="AM172" s="68">
        <f>AM171+ (IF(AI172="",0,AI172)-AM171)/Charts!$X$6</f>
        <v>0.91461635735603886</v>
      </c>
      <c r="AN172" s="68" t="str">
        <f t="shared" si="34"/>
        <v>1</v>
      </c>
      <c r="AO172" s="68" t="str">
        <f t="shared" si="35"/>
        <v>1</v>
      </c>
      <c r="AP172" s="69" t="str">
        <f>IF(C172="","",INDEX(Workouts!D:D,MATCH(C172,Workouts!A:A,0)))</f>
        <v/>
      </c>
      <c r="AQ172" s="69" t="str">
        <f>IF(ISNA(MATCH(A172,Data!B:B,0)),"",INDEX(Data!G:G,MATCH(A172,Data!B:B,1)))</f>
        <v/>
      </c>
    </row>
    <row r="173" spans="1:43" s="1" customFormat="1" x14ac:dyDescent="0.2">
      <c r="A173" s="125">
        <f t="shared" si="33"/>
        <v>44368</v>
      </c>
      <c r="B173" s="126" t="str">
        <f t="shared" si="30"/>
        <v>Mon</v>
      </c>
      <c r="C173" s="140"/>
      <c r="D173" s="128" t="str">
        <f t="shared" si="31"/>
        <v/>
      </c>
      <c r="E173" s="129" t="str">
        <f t="shared" si="32"/>
        <v/>
      </c>
      <c r="F173" s="130" t="str">
        <f>IF(SUMIF(Data!B:B,A173,Data!C:C)=0,"",SUMIF(Data!B:B,A173,Data!C:C))</f>
        <v/>
      </c>
      <c r="G173" s="126" t="str">
        <f>IF(OR(S173="T",S173="RUN",SUMIF(Data!B:B,A173,Data!E:E)=0),"",SUMIF(Data!B:B,A173,Data!E:E))</f>
        <v/>
      </c>
      <c r="H173" s="126" t="str">
        <f t="shared" si="24"/>
        <v/>
      </c>
      <c r="I173" s="131" t="str">
        <f t="shared" si="25"/>
        <v>0 (0)</v>
      </c>
      <c r="J173" s="131" t="str">
        <f t="shared" si="26"/>
        <v>1 (1)</v>
      </c>
      <c r="K173" s="131" t="str">
        <f t="shared" si="27"/>
        <v>1 (1)</v>
      </c>
      <c r="L173" s="132" t="str">
        <f t="shared" si="28"/>
        <v/>
      </c>
      <c r="M173" s="131" t="str">
        <f t="shared" si="29"/>
        <v/>
      </c>
      <c r="N173" s="126" t="str">
        <f>IF(ISNA(MATCH(A173,Data!B:B,0)),"",INDEX(Data!H:H,MATCH(A173,Data!B:B,1))) &amp; ""</f>
        <v/>
      </c>
      <c r="O173" s="126" t="str">
        <f>IF(ISNA(MATCH(A173,Data!B:B,0)),"",INDEX(Data!I:I,MATCH(A173,Data!B:B,1))) &amp; ""</f>
        <v/>
      </c>
      <c r="P173" s="133" t="str">
        <f>IF(ISNA(MATCH(A173,Data!B:B,0)),"",INDEX(Data!J:J,MATCH(A173,Data!B:B,1))) &amp; ""</f>
        <v/>
      </c>
      <c r="Q173" s="126" t="str">
        <f>IF(S173="T",Charts!$X$7,IF(ISNA(MATCH(A173,Data!B:B,0)),"",INDEX(Data!K:K,MATCH(A173,Data!B:B,1)))) &amp; ""</f>
        <v/>
      </c>
      <c r="R173" s="134"/>
      <c r="S173" s="134"/>
      <c r="T173" s="127"/>
      <c r="AF173" s="24" t="str">
        <f>IF(C173="","",INDEX(Workouts!B:B,MATCH(C173,Workouts!A:A,0)))</f>
        <v/>
      </c>
      <c r="AG173" s="24" t="str">
        <f>IF(SUMIF(Data!B:B,A173,Data!D:D)=0,"",SUMIF(Data!B:B,A173,Data!D:D))</f>
        <v/>
      </c>
      <c r="AH173" s="25" t="str">
        <f>IF(C173="","",INDEX(Workouts!C:C,MATCH(C173,Workouts!A:A,0)))</f>
        <v/>
      </c>
      <c r="AI173" s="68" t="str">
        <f>IF(SUMIF(Data!B:B,A173,Data!F:F)=0,"",SUMIF(Data!B:B,A173,Data!F:F))</f>
        <v/>
      </c>
      <c r="AJ173" s="68">
        <f>AJ172+ (IF(AH173="",0,AH173)-AJ172)/Charts!$X$5</f>
        <v>2.1748474924155378E-10</v>
      </c>
      <c r="AK173" s="68">
        <f>AK172+ (IF(AI173="",0,AI173)-AK172)/Charts!$X$5</f>
        <v>2.1748474924155378E-10</v>
      </c>
      <c r="AL173" s="68">
        <f>AL172+ (IF(AH173="",0,AH173)-AL172)/Charts!$X$6</f>
        <v>0.89283977741899034</v>
      </c>
      <c r="AM173" s="68">
        <f>AM172+ (IF(AI173="",0,AI173)-AM172)/Charts!$X$6</f>
        <v>0.89283977741899034</v>
      </c>
      <c r="AN173" s="68" t="str">
        <f t="shared" si="34"/>
        <v>1</v>
      </c>
      <c r="AO173" s="68" t="str">
        <f t="shared" si="35"/>
        <v>1</v>
      </c>
      <c r="AP173" s="69" t="str">
        <f>IF(C173="","",INDEX(Workouts!D:D,MATCH(C173,Workouts!A:A,0)))</f>
        <v/>
      </c>
      <c r="AQ173" s="69" t="str">
        <f>IF(ISNA(MATCH(A173,Data!B:B,0)),"",INDEX(Data!G:G,MATCH(A173,Data!B:B,1)))</f>
        <v/>
      </c>
    </row>
    <row r="174" spans="1:43" s="1" customFormat="1" x14ac:dyDescent="0.2">
      <c r="A174" s="125">
        <f t="shared" si="33"/>
        <v>44369</v>
      </c>
      <c r="B174" s="126" t="str">
        <f t="shared" si="30"/>
        <v>Tue</v>
      </c>
      <c r="C174" s="140"/>
      <c r="D174" s="128" t="str">
        <f t="shared" si="31"/>
        <v/>
      </c>
      <c r="E174" s="129" t="str">
        <f t="shared" si="32"/>
        <v/>
      </c>
      <c r="F174" s="130" t="str">
        <f>IF(SUMIF(Data!B:B,A174,Data!C:C)=0,"",SUMIF(Data!B:B,A174,Data!C:C))</f>
        <v/>
      </c>
      <c r="G174" s="126" t="str">
        <f>IF(OR(S174="T",S174="RUN",SUMIF(Data!B:B,A174,Data!E:E)=0),"",SUMIF(Data!B:B,A174,Data!E:E))</f>
        <v/>
      </c>
      <c r="H174" s="126" t="str">
        <f t="shared" si="24"/>
        <v/>
      </c>
      <c r="I174" s="131" t="str">
        <f t="shared" si="25"/>
        <v>0 (0)</v>
      </c>
      <c r="J174" s="131" t="str">
        <f t="shared" si="26"/>
        <v>1 (1)</v>
      </c>
      <c r="K174" s="131" t="str">
        <f t="shared" si="27"/>
        <v>1 (1)</v>
      </c>
      <c r="L174" s="132" t="str">
        <f t="shared" si="28"/>
        <v/>
      </c>
      <c r="M174" s="131" t="str">
        <f t="shared" si="29"/>
        <v/>
      </c>
      <c r="N174" s="126" t="str">
        <f>IF(ISNA(MATCH(A174,Data!B:B,0)),"",INDEX(Data!H:H,MATCH(A174,Data!B:B,1))) &amp; ""</f>
        <v/>
      </c>
      <c r="O174" s="126" t="str">
        <f>IF(ISNA(MATCH(A174,Data!B:B,0)),"",INDEX(Data!I:I,MATCH(A174,Data!B:B,1))) &amp; ""</f>
        <v/>
      </c>
      <c r="P174" s="133" t="str">
        <f>IF(ISNA(MATCH(A174,Data!B:B,0)),"",INDEX(Data!J:J,MATCH(A174,Data!B:B,1))) &amp; ""</f>
        <v/>
      </c>
      <c r="Q174" s="126" t="str">
        <f>IF(S174="T",Charts!$X$7,IF(ISNA(MATCH(A174,Data!B:B,0)),"",INDEX(Data!K:K,MATCH(A174,Data!B:B,1)))) &amp; ""</f>
        <v/>
      </c>
      <c r="R174" s="134"/>
      <c r="S174" s="134"/>
      <c r="T174" s="127"/>
      <c r="AF174" s="24" t="str">
        <f>IF(C174="","",INDEX(Workouts!B:B,MATCH(C174,Workouts!A:A,0)))</f>
        <v/>
      </c>
      <c r="AG174" s="24" t="str">
        <f>IF(SUMIF(Data!B:B,A174,Data!D:D)=0,"",SUMIF(Data!B:B,A174,Data!D:D))</f>
        <v/>
      </c>
      <c r="AH174" s="25" t="str">
        <f>IF(C174="","",INDEX(Workouts!C:C,MATCH(C174,Workouts!A:A,0)))</f>
        <v/>
      </c>
      <c r="AI174" s="68" t="str">
        <f>IF(SUMIF(Data!B:B,A174,Data!F:F)=0,"",SUMIF(Data!B:B,A174,Data!F:F))</f>
        <v/>
      </c>
      <c r="AJ174" s="68">
        <f>AJ173+ (IF(AH174="",0,AH174)-AJ173)/Charts!$X$5</f>
        <v>1.8641549934990322E-10</v>
      </c>
      <c r="AK174" s="68">
        <f>AK173+ (IF(AI174="",0,AI174)-AK173)/Charts!$X$5</f>
        <v>1.8641549934990322E-10</v>
      </c>
      <c r="AL174" s="68">
        <f>AL173+ (IF(AH174="",0,AH174)-AL173)/Charts!$X$6</f>
        <v>0.87158168748044296</v>
      </c>
      <c r="AM174" s="68">
        <f>AM173+ (IF(AI174="",0,AI174)-AM173)/Charts!$X$6</f>
        <v>0.87158168748044296</v>
      </c>
      <c r="AN174" s="68" t="str">
        <f t="shared" si="34"/>
        <v>1</v>
      </c>
      <c r="AO174" s="68" t="str">
        <f t="shared" si="35"/>
        <v>1</v>
      </c>
      <c r="AP174" s="69" t="str">
        <f>IF(C174="","",INDEX(Workouts!D:D,MATCH(C174,Workouts!A:A,0)))</f>
        <v/>
      </c>
      <c r="AQ174" s="69" t="str">
        <f>IF(ISNA(MATCH(A174,Data!B:B,0)),"",INDEX(Data!G:G,MATCH(A174,Data!B:B,1)))</f>
        <v/>
      </c>
    </row>
    <row r="175" spans="1:43" s="1" customFormat="1" x14ac:dyDescent="0.2">
      <c r="A175" s="125">
        <f t="shared" si="33"/>
        <v>44370</v>
      </c>
      <c r="B175" s="126" t="str">
        <f t="shared" si="30"/>
        <v>Wed</v>
      </c>
      <c r="C175" s="140"/>
      <c r="D175" s="128" t="str">
        <f t="shared" si="31"/>
        <v/>
      </c>
      <c r="E175" s="129" t="str">
        <f t="shared" si="32"/>
        <v/>
      </c>
      <c r="F175" s="130" t="str">
        <f>IF(SUMIF(Data!B:B,A175,Data!C:C)=0,"",SUMIF(Data!B:B,A175,Data!C:C))</f>
        <v/>
      </c>
      <c r="G175" s="126" t="str">
        <f>IF(OR(S175="T",S175="RUN",SUMIF(Data!B:B,A175,Data!E:E)=0),"",SUMIF(Data!B:B,A175,Data!E:E))</f>
        <v/>
      </c>
      <c r="H175" s="126" t="str">
        <f t="shared" si="24"/>
        <v/>
      </c>
      <c r="I175" s="131" t="str">
        <f t="shared" si="25"/>
        <v>0 (0)</v>
      </c>
      <c r="J175" s="131" t="str">
        <f t="shared" si="26"/>
        <v>1 (1)</v>
      </c>
      <c r="K175" s="131" t="str">
        <f t="shared" si="27"/>
        <v>1 (1)</v>
      </c>
      <c r="L175" s="132" t="str">
        <f t="shared" si="28"/>
        <v/>
      </c>
      <c r="M175" s="131" t="str">
        <f t="shared" si="29"/>
        <v/>
      </c>
      <c r="N175" s="126" t="str">
        <f>IF(ISNA(MATCH(A175,Data!B:B,0)),"",INDEX(Data!H:H,MATCH(A175,Data!B:B,1))) &amp; ""</f>
        <v/>
      </c>
      <c r="O175" s="126" t="str">
        <f>IF(ISNA(MATCH(A175,Data!B:B,0)),"",INDEX(Data!I:I,MATCH(A175,Data!B:B,1))) &amp; ""</f>
        <v/>
      </c>
      <c r="P175" s="133" t="str">
        <f>IF(ISNA(MATCH(A175,Data!B:B,0)),"",INDEX(Data!J:J,MATCH(A175,Data!B:B,1))) &amp; ""</f>
        <v/>
      </c>
      <c r="Q175" s="126" t="str">
        <f>IF(S175="T",Charts!$X$7,IF(ISNA(MATCH(A175,Data!B:B,0)),"",INDEX(Data!K:K,MATCH(A175,Data!B:B,1)))) &amp; ""</f>
        <v/>
      </c>
      <c r="R175" s="134"/>
      <c r="S175" s="134"/>
      <c r="T175" s="127"/>
      <c r="AF175" s="24" t="str">
        <f>IF(C175="","",INDEX(Workouts!B:B,MATCH(C175,Workouts!A:A,0)))</f>
        <v/>
      </c>
      <c r="AG175" s="24" t="str">
        <f>IF(SUMIF(Data!B:B,A175,Data!D:D)=0,"",SUMIF(Data!B:B,A175,Data!D:D))</f>
        <v/>
      </c>
      <c r="AH175" s="25" t="str">
        <f>IF(C175="","",INDEX(Workouts!C:C,MATCH(C175,Workouts!A:A,0)))</f>
        <v/>
      </c>
      <c r="AI175" s="68" t="str">
        <f>IF(SUMIF(Data!B:B,A175,Data!F:F)=0,"",SUMIF(Data!B:B,A175,Data!F:F))</f>
        <v/>
      </c>
      <c r="AJ175" s="68">
        <f>AJ174+ (IF(AH175="",0,AH175)-AJ174)/Charts!$X$5</f>
        <v>1.5978471372848847E-10</v>
      </c>
      <c r="AK175" s="68">
        <f>AK174+ (IF(AI175="",0,AI175)-AK174)/Charts!$X$5</f>
        <v>1.5978471372848847E-10</v>
      </c>
      <c r="AL175" s="68">
        <f>AL174+ (IF(AH175="",0,AH175)-AL174)/Charts!$X$6</f>
        <v>0.85082974254043242</v>
      </c>
      <c r="AM175" s="68">
        <f>AM174+ (IF(AI175="",0,AI175)-AM174)/Charts!$X$6</f>
        <v>0.85082974254043242</v>
      </c>
      <c r="AN175" s="68" t="str">
        <f t="shared" si="34"/>
        <v>1</v>
      </c>
      <c r="AO175" s="68" t="str">
        <f t="shared" si="35"/>
        <v>1</v>
      </c>
      <c r="AP175" s="69" t="str">
        <f>IF(C175="","",INDEX(Workouts!D:D,MATCH(C175,Workouts!A:A,0)))</f>
        <v/>
      </c>
      <c r="AQ175" s="69" t="str">
        <f>IF(ISNA(MATCH(A175,Data!B:B,0)),"",INDEX(Data!G:G,MATCH(A175,Data!B:B,1)))</f>
        <v/>
      </c>
    </row>
    <row r="176" spans="1:43" s="1" customFormat="1" x14ac:dyDescent="0.2">
      <c r="A176" s="125">
        <f t="shared" si="33"/>
        <v>44371</v>
      </c>
      <c r="B176" s="126" t="str">
        <f t="shared" si="30"/>
        <v>Thu</v>
      </c>
      <c r="C176" s="140"/>
      <c r="D176" s="128" t="str">
        <f t="shared" si="31"/>
        <v/>
      </c>
      <c r="E176" s="129" t="str">
        <f t="shared" si="32"/>
        <v/>
      </c>
      <c r="F176" s="130" t="str">
        <f>IF(SUMIF(Data!B:B,A176,Data!C:C)=0,"",SUMIF(Data!B:B,A176,Data!C:C))</f>
        <v/>
      </c>
      <c r="G176" s="126" t="str">
        <f>IF(OR(S176="T",S176="RUN",SUMIF(Data!B:B,A176,Data!E:E)=0),"",SUMIF(Data!B:B,A176,Data!E:E))</f>
        <v/>
      </c>
      <c r="H176" s="126" t="str">
        <f t="shared" si="24"/>
        <v/>
      </c>
      <c r="I176" s="131" t="str">
        <f t="shared" si="25"/>
        <v>0 (0)</v>
      </c>
      <c r="J176" s="131" t="str">
        <f t="shared" si="26"/>
        <v>1 (1)</v>
      </c>
      <c r="K176" s="131" t="str">
        <f t="shared" si="27"/>
        <v>1 (1)</v>
      </c>
      <c r="L176" s="132" t="str">
        <f t="shared" si="28"/>
        <v/>
      </c>
      <c r="M176" s="131" t="str">
        <f t="shared" si="29"/>
        <v/>
      </c>
      <c r="N176" s="126" t="str">
        <f>IF(ISNA(MATCH(A176,Data!B:B,0)),"",INDEX(Data!H:H,MATCH(A176,Data!B:B,1))) &amp; ""</f>
        <v/>
      </c>
      <c r="O176" s="126" t="str">
        <f>IF(ISNA(MATCH(A176,Data!B:B,0)),"",INDEX(Data!I:I,MATCH(A176,Data!B:B,1))) &amp; ""</f>
        <v/>
      </c>
      <c r="P176" s="133" t="str">
        <f>IF(ISNA(MATCH(A176,Data!B:B,0)),"",INDEX(Data!J:J,MATCH(A176,Data!B:B,1))) &amp; ""</f>
        <v/>
      </c>
      <c r="Q176" s="126" t="str">
        <f>IF(S176="T",Charts!$X$7,IF(ISNA(MATCH(A176,Data!B:B,0)),"",INDEX(Data!K:K,MATCH(A176,Data!B:B,1)))) &amp; ""</f>
        <v/>
      </c>
      <c r="R176" s="134"/>
      <c r="S176" s="134"/>
      <c r="T176" s="127"/>
      <c r="AF176" s="24" t="str">
        <f>IF(C176="","",INDEX(Workouts!B:B,MATCH(C176,Workouts!A:A,0)))</f>
        <v/>
      </c>
      <c r="AG176" s="24" t="str">
        <f>IF(SUMIF(Data!B:B,A176,Data!D:D)=0,"",SUMIF(Data!B:B,A176,Data!D:D))</f>
        <v/>
      </c>
      <c r="AH176" s="25" t="str">
        <f>IF(C176="","",INDEX(Workouts!C:C,MATCH(C176,Workouts!A:A,0)))</f>
        <v/>
      </c>
      <c r="AI176" s="68" t="str">
        <f>IF(SUMIF(Data!B:B,A176,Data!F:F)=0,"",SUMIF(Data!B:B,A176,Data!F:F))</f>
        <v/>
      </c>
      <c r="AJ176" s="68">
        <f>AJ175+ (IF(AH176="",0,AH176)-AJ175)/Charts!$X$5</f>
        <v>1.3695832605299011E-10</v>
      </c>
      <c r="AK176" s="68">
        <f>AK175+ (IF(AI176="",0,AI176)-AK175)/Charts!$X$5</f>
        <v>1.3695832605299011E-10</v>
      </c>
      <c r="AL176" s="68">
        <f>AL175+ (IF(AH176="",0,AH176)-AL175)/Charts!$X$6</f>
        <v>0.83057189152756494</v>
      </c>
      <c r="AM176" s="68">
        <f>AM175+ (IF(AI176="",0,AI176)-AM175)/Charts!$X$6</f>
        <v>0.83057189152756494</v>
      </c>
      <c r="AN176" s="68" t="str">
        <f t="shared" si="34"/>
        <v>1</v>
      </c>
      <c r="AO176" s="68" t="str">
        <f t="shared" si="35"/>
        <v>1</v>
      </c>
      <c r="AP176" s="69" t="str">
        <f>IF(C176="","",INDEX(Workouts!D:D,MATCH(C176,Workouts!A:A,0)))</f>
        <v/>
      </c>
      <c r="AQ176" s="69" t="str">
        <f>IF(ISNA(MATCH(A176,Data!B:B,0)),"",INDEX(Data!G:G,MATCH(A176,Data!B:B,1)))</f>
        <v/>
      </c>
    </row>
    <row r="177" spans="1:43" s="26" customFormat="1" x14ac:dyDescent="0.2">
      <c r="A177" s="135">
        <f t="shared" si="33"/>
        <v>44372</v>
      </c>
      <c r="B177" s="136" t="str">
        <f t="shared" si="30"/>
        <v>Fri</v>
      </c>
      <c r="C177" s="141"/>
      <c r="D177" s="128" t="str">
        <f t="shared" si="31"/>
        <v/>
      </c>
      <c r="E177" s="129" t="str">
        <f t="shared" si="32"/>
        <v/>
      </c>
      <c r="F177" s="130" t="str">
        <f>IF(SUMIF(Data!B:B,A177,Data!C:C)=0,"",SUMIF(Data!B:B,A177,Data!C:C))</f>
        <v/>
      </c>
      <c r="G177" s="126" t="str">
        <f>IF(OR(S177="T",S177="RUN",SUMIF(Data!B:B,A177,Data!E:E)=0),"",SUMIF(Data!B:B,A177,Data!E:E))</f>
        <v/>
      </c>
      <c r="H177" s="126" t="str">
        <f t="shared" si="24"/>
        <v/>
      </c>
      <c r="I177" s="131" t="str">
        <f t="shared" si="25"/>
        <v>0 (0)</v>
      </c>
      <c r="J177" s="131" t="str">
        <f t="shared" si="26"/>
        <v>1 (1)</v>
      </c>
      <c r="K177" s="131" t="str">
        <f t="shared" si="27"/>
        <v>1 (1)</v>
      </c>
      <c r="L177" s="132" t="str">
        <f t="shared" si="28"/>
        <v/>
      </c>
      <c r="M177" s="131" t="str">
        <f t="shared" si="29"/>
        <v/>
      </c>
      <c r="N177" s="126" t="str">
        <f>IF(ISNA(MATCH(A177,Data!B:B,0)),"",INDEX(Data!H:H,MATCH(A177,Data!B:B,1))) &amp; ""</f>
        <v/>
      </c>
      <c r="O177" s="126" t="str">
        <f>IF(ISNA(MATCH(A177,Data!B:B,0)),"",INDEX(Data!I:I,MATCH(A177,Data!B:B,1))) &amp; ""</f>
        <v/>
      </c>
      <c r="P177" s="133" t="str">
        <f>IF(ISNA(MATCH(A177,Data!B:B,0)),"",INDEX(Data!J:J,MATCH(A177,Data!B:B,1))) &amp; ""</f>
        <v/>
      </c>
      <c r="Q177" s="126" t="str">
        <f>IF(S177="T",Charts!$X$7,IF(ISNA(MATCH(A177,Data!B:B,0)),"",INDEX(Data!K:K,MATCH(A177,Data!B:B,1)))) &amp; ""</f>
        <v/>
      </c>
      <c r="R177" s="134"/>
      <c r="S177" s="134"/>
      <c r="T177" s="127"/>
      <c r="AF177" s="24" t="str">
        <f>IF(C177="","",INDEX(Workouts!B:B,MATCH(C177,Workouts!A:A,0)))</f>
        <v/>
      </c>
      <c r="AG177" s="24" t="str">
        <f>IF(SUMIF(Data!B:B,A177,Data!D:D)=0,"",SUMIF(Data!B:B,A177,Data!D:D))</f>
        <v/>
      </c>
      <c r="AH177" s="25" t="str">
        <f>IF(C177="","",INDEX(Workouts!C:C,MATCH(C177,Workouts!A:A,0)))</f>
        <v/>
      </c>
      <c r="AI177" s="68" t="str">
        <f>IF(SUMIF(Data!B:B,A177,Data!F:F)=0,"",SUMIF(Data!B:B,A177,Data!F:F))</f>
        <v/>
      </c>
      <c r="AJ177" s="68">
        <f>AJ176+ (IF(AH177="",0,AH177)-AJ176)/Charts!$X$5</f>
        <v>1.1739285090256295E-10</v>
      </c>
      <c r="AK177" s="68">
        <f>AK176+ (IF(AI177="",0,AI177)-AK176)/Charts!$X$5</f>
        <v>1.1739285090256295E-10</v>
      </c>
      <c r="AL177" s="68">
        <f>AL176+ (IF(AH177="",0,AH177)-AL176)/Charts!$X$6</f>
        <v>0.81079637030071816</v>
      </c>
      <c r="AM177" s="68">
        <f>AM176+ (IF(AI177="",0,AI177)-AM176)/Charts!$X$6</f>
        <v>0.81079637030071816</v>
      </c>
      <c r="AN177" s="68" t="str">
        <f t="shared" si="34"/>
        <v>1</v>
      </c>
      <c r="AO177" s="68" t="str">
        <f t="shared" si="35"/>
        <v>1</v>
      </c>
      <c r="AP177" s="69" t="str">
        <f>IF(C177="","",INDEX(Workouts!D:D,MATCH(C177,Workouts!A:A,0)))</f>
        <v/>
      </c>
      <c r="AQ177" s="69" t="str">
        <f>IF(ISNA(MATCH(A177,Data!B:B,0)),"",INDEX(Data!G:G,MATCH(A177,Data!B:B,1)))</f>
        <v/>
      </c>
    </row>
    <row r="178" spans="1:43" s="1" customFormat="1" x14ac:dyDescent="0.2">
      <c r="A178" s="125">
        <f t="shared" si="33"/>
        <v>44373</v>
      </c>
      <c r="B178" s="126" t="str">
        <f t="shared" si="30"/>
        <v>Sat</v>
      </c>
      <c r="C178" s="140"/>
      <c r="D178" s="128" t="str">
        <f t="shared" si="31"/>
        <v/>
      </c>
      <c r="E178" s="129" t="str">
        <f t="shared" si="32"/>
        <v/>
      </c>
      <c r="F178" s="130" t="str">
        <f>IF(SUMIF(Data!B:B,A178,Data!C:C)=0,"",SUMIF(Data!B:B,A178,Data!C:C))</f>
        <v/>
      </c>
      <c r="G178" s="126" t="str">
        <f>IF(OR(S178="T",S178="RUN",SUMIF(Data!B:B,A178,Data!E:E)=0),"",SUMIF(Data!B:B,A178,Data!E:E))</f>
        <v/>
      </c>
      <c r="H178" s="126" t="str">
        <f t="shared" si="24"/>
        <v/>
      </c>
      <c r="I178" s="131" t="str">
        <f t="shared" si="25"/>
        <v>0 (0)</v>
      </c>
      <c r="J178" s="131" t="str">
        <f t="shared" si="26"/>
        <v>1 (1)</v>
      </c>
      <c r="K178" s="131" t="str">
        <f t="shared" si="27"/>
        <v>1 (1)</v>
      </c>
      <c r="L178" s="132" t="str">
        <f t="shared" si="28"/>
        <v/>
      </c>
      <c r="M178" s="131" t="str">
        <f t="shared" si="29"/>
        <v/>
      </c>
      <c r="N178" s="126" t="str">
        <f>IF(ISNA(MATCH(A178,Data!B:B,0)),"",INDEX(Data!H:H,MATCH(A178,Data!B:B,1))) &amp; ""</f>
        <v/>
      </c>
      <c r="O178" s="126" t="str">
        <f>IF(ISNA(MATCH(A178,Data!B:B,0)),"",INDEX(Data!I:I,MATCH(A178,Data!B:B,1))) &amp; ""</f>
        <v/>
      </c>
      <c r="P178" s="133" t="str">
        <f>IF(ISNA(MATCH(A178,Data!B:B,0)),"",INDEX(Data!J:J,MATCH(A178,Data!B:B,1))) &amp; ""</f>
        <v/>
      </c>
      <c r="Q178" s="126" t="str">
        <f>IF(S178="T",Charts!$X$7,IF(ISNA(MATCH(A178,Data!B:B,0)),"",INDEX(Data!K:K,MATCH(A178,Data!B:B,1)))) &amp; ""</f>
        <v/>
      </c>
      <c r="R178" s="134"/>
      <c r="S178" s="134"/>
      <c r="T178" s="127"/>
      <c r="AF178" s="24" t="str">
        <f>IF(C178="","",INDEX(Workouts!B:B,MATCH(C178,Workouts!A:A,0)))</f>
        <v/>
      </c>
      <c r="AG178" s="24" t="str">
        <f>IF(SUMIF(Data!B:B,A178,Data!D:D)=0,"",SUMIF(Data!B:B,A178,Data!D:D))</f>
        <v/>
      </c>
      <c r="AH178" s="25" t="str">
        <f>IF(C178="","",INDEX(Workouts!C:C,MATCH(C178,Workouts!A:A,0)))</f>
        <v/>
      </c>
      <c r="AI178" s="68" t="str">
        <f>IF(SUMIF(Data!B:B,A178,Data!F:F)=0,"",SUMIF(Data!B:B,A178,Data!F:F))</f>
        <v/>
      </c>
      <c r="AJ178" s="68">
        <f>AJ177+ (IF(AH178="",0,AH178)-AJ177)/Charts!$X$5</f>
        <v>1.0062244363076824E-10</v>
      </c>
      <c r="AK178" s="68">
        <f>AK177+ (IF(AI178="",0,AI178)-AK177)/Charts!$X$5</f>
        <v>1.0062244363076824E-10</v>
      </c>
      <c r="AL178" s="68">
        <f>AL177+ (IF(AH178="",0,AH178)-AL177)/Charts!$X$6</f>
        <v>0.7914916948173677</v>
      </c>
      <c r="AM178" s="68">
        <f>AM177+ (IF(AI178="",0,AI178)-AM177)/Charts!$X$6</f>
        <v>0.7914916948173677</v>
      </c>
      <c r="AN178" s="68" t="str">
        <f t="shared" si="34"/>
        <v>1</v>
      </c>
      <c r="AO178" s="68" t="str">
        <f t="shared" si="35"/>
        <v>1</v>
      </c>
      <c r="AP178" s="69" t="str">
        <f>IF(C178="","",INDEX(Workouts!D:D,MATCH(C178,Workouts!A:A,0)))</f>
        <v/>
      </c>
      <c r="AQ178" s="69" t="str">
        <f>IF(ISNA(MATCH(A178,Data!B:B,0)),"",INDEX(Data!G:G,MATCH(A178,Data!B:B,1)))</f>
        <v/>
      </c>
    </row>
    <row r="179" spans="1:43" s="1" customFormat="1" x14ac:dyDescent="0.2">
      <c r="A179" s="125">
        <f t="shared" si="33"/>
        <v>44374</v>
      </c>
      <c r="B179" s="126" t="str">
        <f t="shared" si="30"/>
        <v>Sun</v>
      </c>
      <c r="C179" s="140"/>
      <c r="D179" s="128" t="str">
        <f t="shared" si="31"/>
        <v/>
      </c>
      <c r="E179" s="129" t="str">
        <f t="shared" si="32"/>
        <v/>
      </c>
      <c r="F179" s="130" t="str">
        <f>IF(SUMIF(Data!B:B,A179,Data!C:C)=0,"",SUMIF(Data!B:B,A179,Data!C:C))</f>
        <v/>
      </c>
      <c r="G179" s="126" t="str">
        <f>IF(OR(S179="T",S179="RUN",SUMIF(Data!B:B,A179,Data!E:E)=0),"",SUMIF(Data!B:B,A179,Data!E:E))</f>
        <v/>
      </c>
      <c r="H179" s="126" t="str">
        <f t="shared" si="24"/>
        <v/>
      </c>
      <c r="I179" s="131" t="str">
        <f t="shared" si="25"/>
        <v>0 (0)</v>
      </c>
      <c r="J179" s="131" t="str">
        <f t="shared" si="26"/>
        <v>1 (1)</v>
      </c>
      <c r="K179" s="131" t="str">
        <f t="shared" si="27"/>
        <v>1 (1)</v>
      </c>
      <c r="L179" s="132" t="str">
        <f t="shared" si="28"/>
        <v/>
      </c>
      <c r="M179" s="131" t="str">
        <f t="shared" si="29"/>
        <v/>
      </c>
      <c r="N179" s="126" t="str">
        <f>IF(ISNA(MATCH(A179,Data!B:B,0)),"",INDEX(Data!H:H,MATCH(A179,Data!B:B,1))) &amp; ""</f>
        <v/>
      </c>
      <c r="O179" s="126" t="str">
        <f>IF(ISNA(MATCH(A179,Data!B:B,0)),"",INDEX(Data!I:I,MATCH(A179,Data!B:B,1))) &amp; ""</f>
        <v/>
      </c>
      <c r="P179" s="133" t="str">
        <f>IF(ISNA(MATCH(A179,Data!B:B,0)),"",INDEX(Data!J:J,MATCH(A179,Data!B:B,1))) &amp; ""</f>
        <v/>
      </c>
      <c r="Q179" s="126" t="str">
        <f>IF(S179="T",Charts!$X$7,IF(ISNA(MATCH(A179,Data!B:B,0)),"",INDEX(Data!K:K,MATCH(A179,Data!B:B,1)))) &amp; ""</f>
        <v/>
      </c>
      <c r="R179" s="134"/>
      <c r="S179" s="134"/>
      <c r="T179" s="127"/>
      <c r="AF179" s="24" t="str">
        <f>IF(C179="","",INDEX(Workouts!B:B,MATCH(C179,Workouts!A:A,0)))</f>
        <v/>
      </c>
      <c r="AG179" s="24" t="str">
        <f>IF(SUMIF(Data!B:B,A179,Data!D:D)=0,"",SUMIF(Data!B:B,A179,Data!D:D))</f>
        <v/>
      </c>
      <c r="AH179" s="25" t="str">
        <f>IF(C179="","",INDEX(Workouts!C:C,MATCH(C179,Workouts!A:A,0)))</f>
        <v/>
      </c>
      <c r="AI179" s="68" t="str">
        <f>IF(SUMIF(Data!B:B,A179,Data!F:F)=0,"",SUMIF(Data!B:B,A179,Data!F:F))</f>
        <v/>
      </c>
      <c r="AJ179" s="68">
        <f>AJ178+ (IF(AH179="",0,AH179)-AJ178)/Charts!$X$5</f>
        <v>8.6247808826372768E-11</v>
      </c>
      <c r="AK179" s="68">
        <f>AK178+ (IF(AI179="",0,AI179)-AK178)/Charts!$X$5</f>
        <v>8.6247808826372768E-11</v>
      </c>
      <c r="AL179" s="68">
        <f>AL178+ (IF(AH179="",0,AH179)-AL178)/Charts!$X$6</f>
        <v>0.77264665446457326</v>
      </c>
      <c r="AM179" s="68">
        <f>AM178+ (IF(AI179="",0,AI179)-AM178)/Charts!$X$6</f>
        <v>0.77264665446457326</v>
      </c>
      <c r="AN179" s="68" t="str">
        <f t="shared" si="34"/>
        <v>1</v>
      </c>
      <c r="AO179" s="68" t="str">
        <f t="shared" si="35"/>
        <v>1</v>
      </c>
      <c r="AP179" s="69" t="str">
        <f>IF(C179="","",INDEX(Workouts!D:D,MATCH(C179,Workouts!A:A,0)))</f>
        <v/>
      </c>
      <c r="AQ179" s="69" t="str">
        <f>IF(ISNA(MATCH(A179,Data!B:B,0)),"",INDEX(Data!G:G,MATCH(A179,Data!B:B,1)))</f>
        <v/>
      </c>
    </row>
    <row r="180" spans="1:43" s="1" customFormat="1" x14ac:dyDescent="0.2">
      <c r="A180" s="125">
        <f t="shared" si="33"/>
        <v>44375</v>
      </c>
      <c r="B180" s="126" t="str">
        <f t="shared" si="30"/>
        <v>Mon</v>
      </c>
      <c r="C180" s="140"/>
      <c r="D180" s="128" t="str">
        <f t="shared" si="31"/>
        <v/>
      </c>
      <c r="E180" s="129" t="str">
        <f t="shared" si="32"/>
        <v/>
      </c>
      <c r="F180" s="130" t="str">
        <f>IF(SUMIF(Data!B:B,A180,Data!C:C)=0,"",SUMIF(Data!B:B,A180,Data!C:C))</f>
        <v/>
      </c>
      <c r="G180" s="126" t="str">
        <f>IF(OR(S180="T",S180="RUN",SUMIF(Data!B:B,A180,Data!E:E)=0),"",SUMIF(Data!B:B,A180,Data!E:E))</f>
        <v/>
      </c>
      <c r="H180" s="126" t="str">
        <f t="shared" si="24"/>
        <v/>
      </c>
      <c r="I180" s="131" t="str">
        <f t="shared" si="25"/>
        <v>0 (0)</v>
      </c>
      <c r="J180" s="131" t="str">
        <f t="shared" si="26"/>
        <v>1 (1)</v>
      </c>
      <c r="K180" s="131" t="str">
        <f t="shared" si="27"/>
        <v>1 (1)</v>
      </c>
      <c r="L180" s="132" t="str">
        <f t="shared" si="28"/>
        <v/>
      </c>
      <c r="M180" s="131" t="str">
        <f t="shared" si="29"/>
        <v/>
      </c>
      <c r="N180" s="126" t="str">
        <f>IF(ISNA(MATCH(A180,Data!B:B,0)),"",INDEX(Data!H:H,MATCH(A180,Data!B:B,1))) &amp; ""</f>
        <v/>
      </c>
      <c r="O180" s="126" t="str">
        <f>IF(ISNA(MATCH(A180,Data!B:B,0)),"",INDEX(Data!I:I,MATCH(A180,Data!B:B,1))) &amp; ""</f>
        <v/>
      </c>
      <c r="P180" s="133" t="str">
        <f>IF(ISNA(MATCH(A180,Data!B:B,0)),"",INDEX(Data!J:J,MATCH(A180,Data!B:B,1))) &amp; ""</f>
        <v/>
      </c>
      <c r="Q180" s="126" t="str">
        <f>IF(S180="T",Charts!$X$7,IF(ISNA(MATCH(A180,Data!B:B,0)),"",INDEX(Data!K:K,MATCH(A180,Data!B:B,1)))) &amp; ""</f>
        <v/>
      </c>
      <c r="R180" s="134"/>
      <c r="S180" s="134"/>
      <c r="T180" s="127"/>
      <c r="AF180" s="24" t="str">
        <f>IF(C180="","",INDEX(Workouts!B:B,MATCH(C180,Workouts!A:A,0)))</f>
        <v/>
      </c>
      <c r="AG180" s="24" t="str">
        <f>IF(SUMIF(Data!B:B,A180,Data!D:D)=0,"",SUMIF(Data!B:B,A180,Data!D:D))</f>
        <v/>
      </c>
      <c r="AH180" s="25" t="str">
        <f>IF(C180="","",INDEX(Workouts!C:C,MATCH(C180,Workouts!A:A,0)))</f>
        <v/>
      </c>
      <c r="AI180" s="68" t="str">
        <f>IF(SUMIF(Data!B:B,A180,Data!F:F)=0,"",SUMIF(Data!B:B,A180,Data!F:F))</f>
        <v/>
      </c>
      <c r="AJ180" s="68">
        <f>AJ179+ (IF(AH180="",0,AH180)-AJ179)/Charts!$X$5</f>
        <v>7.3926693279748083E-11</v>
      </c>
      <c r="AK180" s="68">
        <f>AK179+ (IF(AI180="",0,AI180)-AK179)/Charts!$X$5</f>
        <v>7.3926693279748083E-11</v>
      </c>
      <c r="AL180" s="68">
        <f>AL179+ (IF(AH180="",0,AH180)-AL179)/Charts!$X$6</f>
        <v>0.75425030554875006</v>
      </c>
      <c r="AM180" s="68">
        <f>AM179+ (IF(AI180="",0,AI180)-AM179)/Charts!$X$6</f>
        <v>0.75425030554875006</v>
      </c>
      <c r="AN180" s="68" t="str">
        <f t="shared" si="34"/>
        <v>1</v>
      </c>
      <c r="AO180" s="68" t="str">
        <f t="shared" si="35"/>
        <v>1</v>
      </c>
      <c r="AP180" s="69" t="str">
        <f>IF(C180="","",INDEX(Workouts!D:D,MATCH(C180,Workouts!A:A,0)))</f>
        <v/>
      </c>
      <c r="AQ180" s="69" t="str">
        <f>IF(ISNA(MATCH(A180,Data!B:B,0)),"",INDEX(Data!G:G,MATCH(A180,Data!B:B,1)))</f>
        <v/>
      </c>
    </row>
    <row r="181" spans="1:43" s="1" customFormat="1" x14ac:dyDescent="0.2">
      <c r="A181" s="125">
        <f t="shared" si="33"/>
        <v>44376</v>
      </c>
      <c r="B181" s="126" t="str">
        <f t="shared" si="30"/>
        <v>Tue</v>
      </c>
      <c r="C181" s="140"/>
      <c r="D181" s="128" t="str">
        <f t="shared" si="31"/>
        <v/>
      </c>
      <c r="E181" s="129" t="str">
        <f t="shared" si="32"/>
        <v/>
      </c>
      <c r="F181" s="130" t="str">
        <f>IF(SUMIF(Data!B:B,A181,Data!C:C)=0,"",SUMIF(Data!B:B,A181,Data!C:C))</f>
        <v/>
      </c>
      <c r="G181" s="126" t="str">
        <f>IF(OR(S181="T",S181="RUN",SUMIF(Data!B:B,A181,Data!E:E)=0),"",SUMIF(Data!B:B,A181,Data!E:E))</f>
        <v/>
      </c>
      <c r="H181" s="126" t="str">
        <f t="shared" si="24"/>
        <v/>
      </c>
      <c r="I181" s="131" t="str">
        <f t="shared" si="25"/>
        <v>0 (0)</v>
      </c>
      <c r="J181" s="131" t="str">
        <f t="shared" si="26"/>
        <v>1 (1)</v>
      </c>
      <c r="K181" s="131" t="str">
        <f t="shared" si="27"/>
        <v>1 (1)</v>
      </c>
      <c r="L181" s="132" t="str">
        <f t="shared" si="28"/>
        <v/>
      </c>
      <c r="M181" s="131" t="str">
        <f t="shared" si="29"/>
        <v/>
      </c>
      <c r="N181" s="126" t="str">
        <f>IF(ISNA(MATCH(A181,Data!B:B,0)),"",INDEX(Data!H:H,MATCH(A181,Data!B:B,1))) &amp; ""</f>
        <v/>
      </c>
      <c r="O181" s="126" t="str">
        <f>IF(ISNA(MATCH(A181,Data!B:B,0)),"",INDEX(Data!I:I,MATCH(A181,Data!B:B,1))) &amp; ""</f>
        <v/>
      </c>
      <c r="P181" s="133" t="str">
        <f>IF(ISNA(MATCH(A181,Data!B:B,0)),"",INDEX(Data!J:J,MATCH(A181,Data!B:B,1))) &amp; ""</f>
        <v/>
      </c>
      <c r="Q181" s="126" t="str">
        <f>IF(S181="T",Charts!$X$7,IF(ISNA(MATCH(A181,Data!B:B,0)),"",INDEX(Data!K:K,MATCH(A181,Data!B:B,1)))) &amp; ""</f>
        <v/>
      </c>
      <c r="R181" s="134"/>
      <c r="S181" s="134"/>
      <c r="T181" s="127"/>
      <c r="AF181" s="24" t="str">
        <f>IF(C181="","",INDEX(Workouts!B:B,MATCH(C181,Workouts!A:A,0)))</f>
        <v/>
      </c>
      <c r="AG181" s="24" t="str">
        <f>IF(SUMIF(Data!B:B,A181,Data!D:D)=0,"",SUMIF(Data!B:B,A181,Data!D:D))</f>
        <v/>
      </c>
      <c r="AH181" s="25" t="str">
        <f>IF(C181="","",INDEX(Workouts!C:C,MATCH(C181,Workouts!A:A,0)))</f>
        <v/>
      </c>
      <c r="AI181" s="68" t="str">
        <f>IF(SUMIF(Data!B:B,A181,Data!F:F)=0,"",SUMIF(Data!B:B,A181,Data!F:F))</f>
        <v/>
      </c>
      <c r="AJ181" s="68">
        <f>AJ180+ (IF(AH181="",0,AH181)-AJ180)/Charts!$X$5</f>
        <v>6.3365737096926928E-11</v>
      </c>
      <c r="AK181" s="68">
        <f>AK180+ (IF(AI181="",0,AI181)-AK180)/Charts!$X$5</f>
        <v>6.3365737096926928E-11</v>
      </c>
      <c r="AL181" s="68">
        <f>AL180+ (IF(AH181="",0,AH181)-AL180)/Charts!$X$6</f>
        <v>0.73629196494044646</v>
      </c>
      <c r="AM181" s="68">
        <f>AM180+ (IF(AI181="",0,AI181)-AM180)/Charts!$X$6</f>
        <v>0.73629196494044646</v>
      </c>
      <c r="AN181" s="68" t="str">
        <f t="shared" si="34"/>
        <v>1</v>
      </c>
      <c r="AO181" s="68" t="str">
        <f t="shared" si="35"/>
        <v>1</v>
      </c>
      <c r="AP181" s="69" t="str">
        <f>IF(C181="","",INDEX(Workouts!D:D,MATCH(C181,Workouts!A:A,0)))</f>
        <v/>
      </c>
      <c r="AQ181" s="69" t="str">
        <f>IF(ISNA(MATCH(A181,Data!B:B,0)),"",INDEX(Data!G:G,MATCH(A181,Data!B:B,1)))</f>
        <v/>
      </c>
    </row>
    <row r="182" spans="1:43" s="1" customFormat="1" x14ac:dyDescent="0.2">
      <c r="A182" s="125">
        <f t="shared" si="33"/>
        <v>44377</v>
      </c>
      <c r="B182" s="126" t="str">
        <f t="shared" si="30"/>
        <v>Wed</v>
      </c>
      <c r="C182" s="140"/>
      <c r="D182" s="128" t="str">
        <f t="shared" si="31"/>
        <v/>
      </c>
      <c r="E182" s="129" t="str">
        <f t="shared" si="32"/>
        <v/>
      </c>
      <c r="F182" s="130" t="str">
        <f>IF(SUMIF(Data!B:B,A182,Data!C:C)=0,"",SUMIF(Data!B:B,A182,Data!C:C))</f>
        <v/>
      </c>
      <c r="G182" s="126" t="str">
        <f>IF(OR(S182="T",S182="RUN",SUMIF(Data!B:B,A182,Data!E:E)=0),"",SUMIF(Data!B:B,A182,Data!E:E))</f>
        <v/>
      </c>
      <c r="H182" s="126" t="str">
        <f t="shared" si="24"/>
        <v/>
      </c>
      <c r="I182" s="131" t="str">
        <f t="shared" si="25"/>
        <v>0 (0)</v>
      </c>
      <c r="J182" s="131" t="str">
        <f t="shared" si="26"/>
        <v>1 (1)</v>
      </c>
      <c r="K182" s="131" t="str">
        <f t="shared" si="27"/>
        <v>1 (1)</v>
      </c>
      <c r="L182" s="132" t="str">
        <f t="shared" si="28"/>
        <v/>
      </c>
      <c r="M182" s="131" t="str">
        <f t="shared" si="29"/>
        <v/>
      </c>
      <c r="N182" s="126" t="str">
        <f>IF(ISNA(MATCH(A182,Data!B:B,0)),"",INDEX(Data!H:H,MATCH(A182,Data!B:B,1))) &amp; ""</f>
        <v/>
      </c>
      <c r="O182" s="126" t="str">
        <f>IF(ISNA(MATCH(A182,Data!B:B,0)),"",INDEX(Data!I:I,MATCH(A182,Data!B:B,1))) &amp; ""</f>
        <v/>
      </c>
      <c r="P182" s="133" t="str">
        <f>IF(ISNA(MATCH(A182,Data!B:B,0)),"",INDEX(Data!J:J,MATCH(A182,Data!B:B,1))) &amp; ""</f>
        <v/>
      </c>
      <c r="Q182" s="126" t="str">
        <f>IF(S182="T",Charts!$X$7,IF(ISNA(MATCH(A182,Data!B:B,0)),"",INDEX(Data!K:K,MATCH(A182,Data!B:B,1)))) &amp; ""</f>
        <v/>
      </c>
      <c r="R182" s="134"/>
      <c r="S182" s="134"/>
      <c r="T182" s="127"/>
      <c r="AF182" s="24" t="str">
        <f>IF(C182="","",INDEX(Workouts!B:B,MATCH(C182,Workouts!A:A,0)))</f>
        <v/>
      </c>
      <c r="AG182" s="24" t="str">
        <f>IF(SUMIF(Data!B:B,A182,Data!D:D)=0,"",SUMIF(Data!B:B,A182,Data!D:D))</f>
        <v/>
      </c>
      <c r="AH182" s="25" t="str">
        <f>IF(C182="","",INDEX(Workouts!C:C,MATCH(C182,Workouts!A:A,0)))</f>
        <v/>
      </c>
      <c r="AI182" s="68" t="str">
        <f>IF(SUMIF(Data!B:B,A182,Data!F:F)=0,"",SUMIF(Data!B:B,A182,Data!F:F))</f>
        <v/>
      </c>
      <c r="AJ182" s="68">
        <f>AJ181+ (IF(AH182="",0,AH182)-AJ181)/Charts!$X$5</f>
        <v>5.4313488940223078E-11</v>
      </c>
      <c r="AK182" s="68">
        <f>AK181+ (IF(AI182="",0,AI182)-AK181)/Charts!$X$5</f>
        <v>5.4313488940223078E-11</v>
      </c>
      <c r="AL182" s="68">
        <f>AL181+ (IF(AH182="",0,AH182)-AL181)/Charts!$X$6</f>
        <v>0.71876120387043585</v>
      </c>
      <c r="AM182" s="68">
        <f>AM181+ (IF(AI182="",0,AI182)-AM181)/Charts!$X$6</f>
        <v>0.71876120387043585</v>
      </c>
      <c r="AN182" s="68" t="str">
        <f t="shared" si="34"/>
        <v>1</v>
      </c>
      <c r="AO182" s="68" t="str">
        <f t="shared" si="35"/>
        <v>1</v>
      </c>
      <c r="AP182" s="69" t="str">
        <f>IF(C182="","",INDEX(Workouts!D:D,MATCH(C182,Workouts!A:A,0)))</f>
        <v/>
      </c>
      <c r="AQ182" s="69" t="str">
        <f>IF(ISNA(MATCH(A182,Data!B:B,0)),"",INDEX(Data!G:G,MATCH(A182,Data!B:B,1)))</f>
        <v/>
      </c>
    </row>
    <row r="183" spans="1:43" s="1" customFormat="1" x14ac:dyDescent="0.2">
      <c r="A183" s="125">
        <f t="shared" si="33"/>
        <v>44378</v>
      </c>
      <c r="B183" s="126" t="str">
        <f t="shared" si="30"/>
        <v>Thu</v>
      </c>
      <c r="C183" s="140"/>
      <c r="D183" s="128" t="str">
        <f t="shared" si="31"/>
        <v/>
      </c>
      <c r="E183" s="129" t="str">
        <f t="shared" si="32"/>
        <v/>
      </c>
      <c r="F183" s="130" t="str">
        <f>IF(SUMIF(Data!B:B,A183,Data!C:C)=0,"",SUMIF(Data!B:B,A183,Data!C:C))</f>
        <v/>
      </c>
      <c r="G183" s="126" t="str">
        <f>IF(OR(S183="T",S183="RUN",SUMIF(Data!B:B,A183,Data!E:E)=0),"",SUMIF(Data!B:B,A183,Data!E:E))</f>
        <v/>
      </c>
      <c r="H183" s="126" t="str">
        <f t="shared" si="24"/>
        <v/>
      </c>
      <c r="I183" s="131" t="str">
        <f t="shared" si="25"/>
        <v>0 (0)</v>
      </c>
      <c r="J183" s="131" t="str">
        <f t="shared" si="26"/>
        <v>1 (1)</v>
      </c>
      <c r="K183" s="131" t="str">
        <f t="shared" si="27"/>
        <v>1 (1)</v>
      </c>
      <c r="L183" s="132" t="str">
        <f t="shared" si="28"/>
        <v/>
      </c>
      <c r="M183" s="131" t="str">
        <f t="shared" si="29"/>
        <v/>
      </c>
      <c r="N183" s="126" t="str">
        <f>IF(ISNA(MATCH(A183,Data!B:B,0)),"",INDEX(Data!H:H,MATCH(A183,Data!B:B,1))) &amp; ""</f>
        <v/>
      </c>
      <c r="O183" s="126" t="str">
        <f>IF(ISNA(MATCH(A183,Data!B:B,0)),"",INDEX(Data!I:I,MATCH(A183,Data!B:B,1))) &amp; ""</f>
        <v/>
      </c>
      <c r="P183" s="133" t="str">
        <f>IF(ISNA(MATCH(A183,Data!B:B,0)),"",INDEX(Data!J:J,MATCH(A183,Data!B:B,1))) &amp; ""</f>
        <v/>
      </c>
      <c r="Q183" s="126" t="str">
        <f>IF(S183="T",Charts!$X$7,IF(ISNA(MATCH(A183,Data!B:B,0)),"",INDEX(Data!K:K,MATCH(A183,Data!B:B,1)))) &amp; ""</f>
        <v/>
      </c>
      <c r="R183" s="134"/>
      <c r="S183" s="134"/>
      <c r="T183" s="127"/>
      <c r="AF183" s="24" t="str">
        <f>IF(C183="","",INDEX(Workouts!B:B,MATCH(C183,Workouts!A:A,0)))</f>
        <v/>
      </c>
      <c r="AG183" s="24" t="str">
        <f>IF(SUMIF(Data!B:B,A183,Data!D:D)=0,"",SUMIF(Data!B:B,A183,Data!D:D))</f>
        <v/>
      </c>
      <c r="AH183" s="25" t="str">
        <f>IF(C183="","",INDEX(Workouts!C:C,MATCH(C183,Workouts!A:A,0)))</f>
        <v/>
      </c>
      <c r="AI183" s="68" t="str">
        <f>IF(SUMIF(Data!B:B,A183,Data!F:F)=0,"",SUMIF(Data!B:B,A183,Data!F:F))</f>
        <v/>
      </c>
      <c r="AJ183" s="68">
        <f>AJ182+ (IF(AH183="",0,AH183)-AJ182)/Charts!$X$5</f>
        <v>4.655441909161978E-11</v>
      </c>
      <c r="AK183" s="68">
        <f>AK182+ (IF(AI183="",0,AI183)-AK182)/Charts!$X$5</f>
        <v>4.655441909161978E-11</v>
      </c>
      <c r="AL183" s="68">
        <f>AL182+ (IF(AH183="",0,AH183)-AL182)/Charts!$X$6</f>
        <v>0.70164784187352069</v>
      </c>
      <c r="AM183" s="68">
        <f>AM182+ (IF(AI183="",0,AI183)-AM182)/Charts!$X$6</f>
        <v>0.70164784187352069</v>
      </c>
      <c r="AN183" s="68" t="str">
        <f t="shared" si="34"/>
        <v>1</v>
      </c>
      <c r="AO183" s="68" t="str">
        <f t="shared" si="35"/>
        <v>1</v>
      </c>
      <c r="AP183" s="69" t="str">
        <f>IF(C183="","",INDEX(Workouts!D:D,MATCH(C183,Workouts!A:A,0)))</f>
        <v/>
      </c>
      <c r="AQ183" s="69" t="str">
        <f>IF(ISNA(MATCH(A183,Data!B:B,0)),"",INDEX(Data!G:G,MATCH(A183,Data!B:B,1)))</f>
        <v/>
      </c>
    </row>
    <row r="184" spans="1:43" s="26" customFormat="1" x14ac:dyDescent="0.2">
      <c r="A184" s="135">
        <f t="shared" si="33"/>
        <v>44379</v>
      </c>
      <c r="B184" s="136" t="str">
        <f t="shared" si="30"/>
        <v>Fri</v>
      </c>
      <c r="C184" s="141"/>
      <c r="D184" s="128" t="str">
        <f t="shared" si="31"/>
        <v/>
      </c>
      <c r="E184" s="129" t="str">
        <f t="shared" si="32"/>
        <v/>
      </c>
      <c r="F184" s="130" t="str">
        <f>IF(SUMIF(Data!B:B,A184,Data!C:C)=0,"",SUMIF(Data!B:B,A184,Data!C:C))</f>
        <v/>
      </c>
      <c r="G184" s="126" t="str">
        <f>IF(OR(S184="T",S184="RUN",SUMIF(Data!B:B,A184,Data!E:E)=0),"",SUMIF(Data!B:B,A184,Data!E:E))</f>
        <v/>
      </c>
      <c r="H184" s="126" t="str">
        <f t="shared" si="24"/>
        <v/>
      </c>
      <c r="I184" s="131" t="str">
        <f t="shared" si="25"/>
        <v>0 (0)</v>
      </c>
      <c r="J184" s="131" t="str">
        <f t="shared" si="26"/>
        <v>1 (1)</v>
      </c>
      <c r="K184" s="131" t="str">
        <f t="shared" si="27"/>
        <v>1 (1)</v>
      </c>
      <c r="L184" s="132" t="str">
        <f t="shared" si="28"/>
        <v/>
      </c>
      <c r="M184" s="131" t="str">
        <f t="shared" si="29"/>
        <v/>
      </c>
      <c r="N184" s="126" t="str">
        <f>IF(ISNA(MATCH(A184,Data!B:B,0)),"",INDEX(Data!H:H,MATCH(A184,Data!B:B,1))) &amp; ""</f>
        <v/>
      </c>
      <c r="O184" s="126" t="str">
        <f>IF(ISNA(MATCH(A184,Data!B:B,0)),"",INDEX(Data!I:I,MATCH(A184,Data!B:B,1))) &amp; ""</f>
        <v/>
      </c>
      <c r="P184" s="133" t="str">
        <f>IF(ISNA(MATCH(A184,Data!B:B,0)),"",INDEX(Data!J:J,MATCH(A184,Data!B:B,1))) &amp; ""</f>
        <v/>
      </c>
      <c r="Q184" s="126" t="str">
        <f>IF(S184="T",Charts!$X$7,IF(ISNA(MATCH(A184,Data!B:B,0)),"",INDEX(Data!K:K,MATCH(A184,Data!B:B,1)))) &amp; ""</f>
        <v/>
      </c>
      <c r="R184" s="134"/>
      <c r="S184" s="134"/>
      <c r="T184" s="127"/>
      <c r="AF184" s="24" t="str">
        <f>IF(C184="","",INDEX(Workouts!B:B,MATCH(C184,Workouts!A:A,0)))</f>
        <v/>
      </c>
      <c r="AG184" s="24" t="str">
        <f>IF(SUMIF(Data!B:B,A184,Data!D:D)=0,"",SUMIF(Data!B:B,A184,Data!D:D))</f>
        <v/>
      </c>
      <c r="AH184" s="25" t="str">
        <f>IF(C184="","",INDEX(Workouts!C:C,MATCH(C184,Workouts!A:A,0)))</f>
        <v/>
      </c>
      <c r="AI184" s="68" t="str">
        <f>IF(SUMIF(Data!B:B,A184,Data!F:F)=0,"",SUMIF(Data!B:B,A184,Data!F:F))</f>
        <v/>
      </c>
      <c r="AJ184" s="68">
        <f>AJ183+ (IF(AH184="",0,AH184)-AJ183)/Charts!$X$5</f>
        <v>3.9903787792816952E-11</v>
      </c>
      <c r="AK184" s="68">
        <f>AK183+ (IF(AI184="",0,AI184)-AK183)/Charts!$X$5</f>
        <v>3.9903787792816952E-11</v>
      </c>
      <c r="AL184" s="68">
        <f>AL183+ (IF(AH184="",0,AH184)-AL183)/Charts!$X$6</f>
        <v>0.68494194087653215</v>
      </c>
      <c r="AM184" s="68">
        <f>AM183+ (IF(AI184="",0,AI184)-AM183)/Charts!$X$6</f>
        <v>0.68494194087653215</v>
      </c>
      <c r="AN184" s="68" t="str">
        <f t="shared" si="34"/>
        <v>1</v>
      </c>
      <c r="AO184" s="68" t="str">
        <f t="shared" si="35"/>
        <v>1</v>
      </c>
      <c r="AP184" s="69" t="str">
        <f>IF(C184="","",INDEX(Workouts!D:D,MATCH(C184,Workouts!A:A,0)))</f>
        <v/>
      </c>
      <c r="AQ184" s="69" t="str">
        <f>IF(ISNA(MATCH(A184,Data!B:B,0)),"",INDEX(Data!G:G,MATCH(A184,Data!B:B,1)))</f>
        <v/>
      </c>
    </row>
    <row r="185" spans="1:43" s="1" customFormat="1" x14ac:dyDescent="0.2">
      <c r="A185" s="125">
        <f t="shared" si="33"/>
        <v>44380</v>
      </c>
      <c r="B185" s="126" t="str">
        <f t="shared" si="30"/>
        <v>Sat</v>
      </c>
      <c r="C185" s="140"/>
      <c r="D185" s="128" t="str">
        <f t="shared" si="31"/>
        <v/>
      </c>
      <c r="E185" s="129" t="str">
        <f t="shared" si="32"/>
        <v/>
      </c>
      <c r="F185" s="130" t="str">
        <f>IF(SUMIF(Data!B:B,A185,Data!C:C)=0,"",SUMIF(Data!B:B,A185,Data!C:C))</f>
        <v/>
      </c>
      <c r="G185" s="126" t="str">
        <f>IF(OR(S185="T",S185="RUN",SUMIF(Data!B:B,A185,Data!E:E)=0),"",SUMIF(Data!B:B,A185,Data!E:E))</f>
        <v/>
      </c>
      <c r="H185" s="126" t="str">
        <f t="shared" si="24"/>
        <v/>
      </c>
      <c r="I185" s="131" t="str">
        <f t="shared" si="25"/>
        <v>0 (0)</v>
      </c>
      <c r="J185" s="131" t="str">
        <f t="shared" si="26"/>
        <v>1 (1)</v>
      </c>
      <c r="K185" s="131" t="str">
        <f t="shared" si="27"/>
        <v>1 (1)</v>
      </c>
      <c r="L185" s="132" t="str">
        <f t="shared" si="28"/>
        <v/>
      </c>
      <c r="M185" s="131" t="str">
        <f t="shared" si="29"/>
        <v/>
      </c>
      <c r="N185" s="126" t="str">
        <f>IF(ISNA(MATCH(A185,Data!B:B,0)),"",INDEX(Data!H:H,MATCH(A185,Data!B:B,1))) &amp; ""</f>
        <v/>
      </c>
      <c r="O185" s="126" t="str">
        <f>IF(ISNA(MATCH(A185,Data!B:B,0)),"",INDEX(Data!I:I,MATCH(A185,Data!B:B,1))) &amp; ""</f>
        <v/>
      </c>
      <c r="P185" s="133" t="str">
        <f>IF(ISNA(MATCH(A185,Data!B:B,0)),"",INDEX(Data!J:J,MATCH(A185,Data!B:B,1))) &amp; ""</f>
        <v/>
      </c>
      <c r="Q185" s="126" t="str">
        <f>IF(S185="T",Charts!$X$7,IF(ISNA(MATCH(A185,Data!B:B,0)),"",INDEX(Data!K:K,MATCH(A185,Data!B:B,1)))) &amp; ""</f>
        <v/>
      </c>
      <c r="R185" s="134"/>
      <c r="S185" s="134"/>
      <c r="T185" s="127"/>
      <c r="AF185" s="24" t="str">
        <f>IF(C185="","",INDEX(Workouts!B:B,MATCH(C185,Workouts!A:A,0)))</f>
        <v/>
      </c>
      <c r="AG185" s="24" t="str">
        <f>IF(SUMIF(Data!B:B,A185,Data!D:D)=0,"",SUMIF(Data!B:B,A185,Data!D:D))</f>
        <v/>
      </c>
      <c r="AH185" s="25" t="str">
        <f>IF(C185="","",INDEX(Workouts!C:C,MATCH(C185,Workouts!A:A,0)))</f>
        <v/>
      </c>
      <c r="AI185" s="68" t="str">
        <f>IF(SUMIF(Data!B:B,A185,Data!F:F)=0,"",SUMIF(Data!B:B,A185,Data!F:F))</f>
        <v/>
      </c>
      <c r="AJ185" s="68">
        <f>AJ184+ (IF(AH185="",0,AH185)-AJ184)/Charts!$X$5</f>
        <v>3.4203246679557387E-11</v>
      </c>
      <c r="AK185" s="68">
        <f>AK184+ (IF(AI185="",0,AI185)-AK184)/Charts!$X$5</f>
        <v>3.4203246679557387E-11</v>
      </c>
      <c r="AL185" s="68">
        <f>AL184+ (IF(AH185="",0,AH185)-AL184)/Charts!$X$6</f>
        <v>0.66863379942709089</v>
      </c>
      <c r="AM185" s="68">
        <f>AM184+ (IF(AI185="",0,AI185)-AM184)/Charts!$X$6</f>
        <v>0.66863379942709089</v>
      </c>
      <c r="AN185" s="68" t="str">
        <f t="shared" si="34"/>
        <v>1</v>
      </c>
      <c r="AO185" s="68" t="str">
        <f t="shared" si="35"/>
        <v>1</v>
      </c>
      <c r="AP185" s="69" t="str">
        <f>IF(C185="","",INDEX(Workouts!D:D,MATCH(C185,Workouts!A:A,0)))</f>
        <v/>
      </c>
      <c r="AQ185" s="69" t="str">
        <f>IF(ISNA(MATCH(A185,Data!B:B,0)),"",INDEX(Data!G:G,MATCH(A185,Data!B:B,1)))</f>
        <v/>
      </c>
    </row>
    <row r="186" spans="1:43" s="1" customFormat="1" x14ac:dyDescent="0.2">
      <c r="A186" s="125">
        <f t="shared" si="33"/>
        <v>44381</v>
      </c>
      <c r="B186" s="126" t="str">
        <f t="shared" si="30"/>
        <v>Sun</v>
      </c>
      <c r="C186" s="140"/>
      <c r="D186" s="128" t="str">
        <f t="shared" si="31"/>
        <v/>
      </c>
      <c r="E186" s="129" t="str">
        <f t="shared" si="32"/>
        <v/>
      </c>
      <c r="F186" s="130" t="str">
        <f>IF(SUMIF(Data!B:B,A186,Data!C:C)=0,"",SUMIF(Data!B:B,A186,Data!C:C))</f>
        <v/>
      </c>
      <c r="G186" s="126" t="str">
        <f>IF(OR(S186="T",S186="RUN",SUMIF(Data!B:B,A186,Data!E:E)=0),"",SUMIF(Data!B:B,A186,Data!E:E))</f>
        <v/>
      </c>
      <c r="H186" s="126" t="str">
        <f t="shared" si="24"/>
        <v/>
      </c>
      <c r="I186" s="131" t="str">
        <f t="shared" si="25"/>
        <v>0 (0)</v>
      </c>
      <c r="J186" s="131" t="str">
        <f t="shared" si="26"/>
        <v>1 (1)</v>
      </c>
      <c r="K186" s="131" t="str">
        <f t="shared" si="27"/>
        <v>1 (1)</v>
      </c>
      <c r="L186" s="132" t="str">
        <f t="shared" si="28"/>
        <v/>
      </c>
      <c r="M186" s="131" t="str">
        <f t="shared" si="29"/>
        <v/>
      </c>
      <c r="N186" s="126" t="str">
        <f>IF(ISNA(MATCH(A186,Data!B:B,0)),"",INDEX(Data!H:H,MATCH(A186,Data!B:B,1))) &amp; ""</f>
        <v/>
      </c>
      <c r="O186" s="126" t="str">
        <f>IF(ISNA(MATCH(A186,Data!B:B,0)),"",INDEX(Data!I:I,MATCH(A186,Data!B:B,1))) &amp; ""</f>
        <v/>
      </c>
      <c r="P186" s="133" t="str">
        <f>IF(ISNA(MATCH(A186,Data!B:B,0)),"",INDEX(Data!J:J,MATCH(A186,Data!B:B,1))) &amp; ""</f>
        <v/>
      </c>
      <c r="Q186" s="126" t="str">
        <f>IF(S186="T",Charts!$X$7,IF(ISNA(MATCH(A186,Data!B:B,0)),"",INDEX(Data!K:K,MATCH(A186,Data!B:B,1)))) &amp; ""</f>
        <v/>
      </c>
      <c r="R186" s="134"/>
      <c r="S186" s="134"/>
      <c r="T186" s="127"/>
      <c r="AF186" s="24" t="str">
        <f>IF(C186="","",INDEX(Workouts!B:B,MATCH(C186,Workouts!A:A,0)))</f>
        <v/>
      </c>
      <c r="AG186" s="24" t="str">
        <f>IF(SUMIF(Data!B:B,A186,Data!D:D)=0,"",SUMIF(Data!B:B,A186,Data!D:D))</f>
        <v/>
      </c>
      <c r="AH186" s="25" t="str">
        <f>IF(C186="","",INDEX(Workouts!C:C,MATCH(C186,Workouts!A:A,0)))</f>
        <v/>
      </c>
      <c r="AI186" s="68" t="str">
        <f>IF(SUMIF(Data!B:B,A186,Data!F:F)=0,"",SUMIF(Data!B:B,A186,Data!F:F))</f>
        <v/>
      </c>
      <c r="AJ186" s="68">
        <f>AJ185+ (IF(AH186="",0,AH186)-AJ185)/Charts!$X$5</f>
        <v>2.9317068582477758E-11</v>
      </c>
      <c r="AK186" s="68">
        <f>AK185+ (IF(AI186="",0,AI186)-AK185)/Charts!$X$5</f>
        <v>2.9317068582477758E-11</v>
      </c>
      <c r="AL186" s="68">
        <f>AL185+ (IF(AH186="",0,AH186)-AL185)/Charts!$X$6</f>
        <v>0.65271394705977925</v>
      </c>
      <c r="AM186" s="68">
        <f>AM185+ (IF(AI186="",0,AI186)-AM185)/Charts!$X$6</f>
        <v>0.65271394705977925</v>
      </c>
      <c r="AN186" s="68" t="str">
        <f t="shared" si="34"/>
        <v>1</v>
      </c>
      <c r="AO186" s="68" t="str">
        <f t="shared" si="35"/>
        <v>1</v>
      </c>
      <c r="AP186" s="69" t="str">
        <f>IF(C186="","",INDEX(Workouts!D:D,MATCH(C186,Workouts!A:A,0)))</f>
        <v/>
      </c>
      <c r="AQ186" s="69" t="str">
        <f>IF(ISNA(MATCH(A186,Data!B:B,0)),"",INDEX(Data!G:G,MATCH(A186,Data!B:B,1)))</f>
        <v/>
      </c>
    </row>
    <row r="187" spans="1:43" s="1" customFormat="1" x14ac:dyDescent="0.2">
      <c r="A187" s="125">
        <f t="shared" si="33"/>
        <v>44382</v>
      </c>
      <c r="B187" s="126" t="str">
        <f t="shared" si="30"/>
        <v>Mon</v>
      </c>
      <c r="C187" s="140"/>
      <c r="D187" s="128" t="str">
        <f t="shared" si="31"/>
        <v/>
      </c>
      <c r="E187" s="129" t="str">
        <f t="shared" si="32"/>
        <v/>
      </c>
      <c r="F187" s="130" t="str">
        <f>IF(SUMIF(Data!B:B,A187,Data!C:C)=0,"",SUMIF(Data!B:B,A187,Data!C:C))</f>
        <v/>
      </c>
      <c r="G187" s="126" t="str">
        <f>IF(OR(S187="T",S187="RUN",SUMIF(Data!B:B,A187,Data!E:E)=0),"",SUMIF(Data!B:B,A187,Data!E:E))</f>
        <v/>
      </c>
      <c r="H187" s="126" t="str">
        <f t="shared" si="24"/>
        <v/>
      </c>
      <c r="I187" s="131" t="str">
        <f t="shared" si="25"/>
        <v>0 (0)</v>
      </c>
      <c r="J187" s="131" t="str">
        <f t="shared" si="26"/>
        <v>1 (1)</v>
      </c>
      <c r="K187" s="131" t="str">
        <f t="shared" si="27"/>
        <v>1 (1)</v>
      </c>
      <c r="L187" s="132" t="str">
        <f t="shared" si="28"/>
        <v/>
      </c>
      <c r="M187" s="131" t="str">
        <f t="shared" si="29"/>
        <v/>
      </c>
      <c r="N187" s="126" t="str">
        <f>IF(ISNA(MATCH(A187,Data!B:B,0)),"",INDEX(Data!H:H,MATCH(A187,Data!B:B,1))) &amp; ""</f>
        <v/>
      </c>
      <c r="O187" s="126" t="str">
        <f>IF(ISNA(MATCH(A187,Data!B:B,0)),"",INDEX(Data!I:I,MATCH(A187,Data!B:B,1))) &amp; ""</f>
        <v/>
      </c>
      <c r="P187" s="133" t="str">
        <f>IF(ISNA(MATCH(A187,Data!B:B,0)),"",INDEX(Data!J:J,MATCH(A187,Data!B:B,1))) &amp; ""</f>
        <v/>
      </c>
      <c r="Q187" s="126" t="str">
        <f>IF(S187="T",Charts!$X$7,IF(ISNA(MATCH(A187,Data!B:B,0)),"",INDEX(Data!K:K,MATCH(A187,Data!B:B,1)))) &amp; ""</f>
        <v/>
      </c>
      <c r="R187" s="134"/>
      <c r="S187" s="134"/>
      <c r="T187" s="127"/>
      <c r="AF187" s="24" t="str">
        <f>IF(C187="","",INDEX(Workouts!B:B,MATCH(C187,Workouts!A:A,0)))</f>
        <v/>
      </c>
      <c r="AG187" s="24" t="str">
        <f>IF(SUMIF(Data!B:B,A187,Data!D:D)=0,"",SUMIF(Data!B:B,A187,Data!D:D))</f>
        <v/>
      </c>
      <c r="AH187" s="25" t="str">
        <f>IF(C187="","",INDEX(Workouts!C:C,MATCH(C187,Workouts!A:A,0)))</f>
        <v/>
      </c>
      <c r="AI187" s="68" t="str">
        <f>IF(SUMIF(Data!B:B,A187,Data!F:F)=0,"",SUMIF(Data!B:B,A187,Data!F:F))</f>
        <v/>
      </c>
      <c r="AJ187" s="68">
        <f>AJ186+ (IF(AH187="",0,AH187)-AJ186)/Charts!$X$5</f>
        <v>2.5128915927838078E-11</v>
      </c>
      <c r="AK187" s="68">
        <f>AK186+ (IF(AI187="",0,AI187)-AK186)/Charts!$X$5</f>
        <v>2.5128915927838078E-11</v>
      </c>
      <c r="AL187" s="68">
        <f>AL186+ (IF(AH187="",0,AH187)-AL186)/Charts!$X$6</f>
        <v>0.63717313879645121</v>
      </c>
      <c r="AM187" s="68">
        <f>AM186+ (IF(AI187="",0,AI187)-AM186)/Charts!$X$6</f>
        <v>0.63717313879645121</v>
      </c>
      <c r="AN187" s="68" t="str">
        <f t="shared" si="34"/>
        <v>1</v>
      </c>
      <c r="AO187" s="68" t="str">
        <f t="shared" si="35"/>
        <v>1</v>
      </c>
      <c r="AP187" s="69" t="str">
        <f>IF(C187="","",INDEX(Workouts!D:D,MATCH(C187,Workouts!A:A,0)))</f>
        <v/>
      </c>
      <c r="AQ187" s="69" t="str">
        <f>IF(ISNA(MATCH(A187,Data!B:B,0)),"",INDEX(Data!G:G,MATCH(A187,Data!B:B,1)))</f>
        <v/>
      </c>
    </row>
    <row r="188" spans="1:43" s="1" customFormat="1" x14ac:dyDescent="0.2">
      <c r="A188" s="125">
        <f t="shared" si="33"/>
        <v>44383</v>
      </c>
      <c r="B188" s="126" t="str">
        <f t="shared" si="30"/>
        <v>Tue</v>
      </c>
      <c r="C188" s="140"/>
      <c r="D188" s="128" t="str">
        <f t="shared" si="31"/>
        <v/>
      </c>
      <c r="E188" s="129" t="str">
        <f t="shared" si="32"/>
        <v/>
      </c>
      <c r="F188" s="130" t="str">
        <f>IF(SUMIF(Data!B:B,A188,Data!C:C)=0,"",SUMIF(Data!B:B,A188,Data!C:C))</f>
        <v/>
      </c>
      <c r="G188" s="126" t="str">
        <f>IF(OR(S188="T",S188="RUN",SUMIF(Data!B:B,A188,Data!E:E)=0),"",SUMIF(Data!B:B,A188,Data!E:E))</f>
        <v/>
      </c>
      <c r="H188" s="126" t="str">
        <f t="shared" si="24"/>
        <v/>
      </c>
      <c r="I188" s="131" t="str">
        <f t="shared" si="25"/>
        <v>0 (0)</v>
      </c>
      <c r="J188" s="131" t="str">
        <f t="shared" si="26"/>
        <v>1 (1)</v>
      </c>
      <c r="K188" s="131" t="str">
        <f t="shared" si="27"/>
        <v>1 (1)</v>
      </c>
      <c r="L188" s="132" t="str">
        <f t="shared" si="28"/>
        <v/>
      </c>
      <c r="M188" s="131" t="str">
        <f t="shared" si="29"/>
        <v/>
      </c>
      <c r="N188" s="126" t="str">
        <f>IF(ISNA(MATCH(A188,Data!B:B,0)),"",INDEX(Data!H:H,MATCH(A188,Data!B:B,1))) &amp; ""</f>
        <v/>
      </c>
      <c r="O188" s="126" t="str">
        <f>IF(ISNA(MATCH(A188,Data!B:B,0)),"",INDEX(Data!I:I,MATCH(A188,Data!B:B,1))) &amp; ""</f>
        <v/>
      </c>
      <c r="P188" s="133" t="str">
        <f>IF(ISNA(MATCH(A188,Data!B:B,0)),"",INDEX(Data!J:J,MATCH(A188,Data!B:B,1))) &amp; ""</f>
        <v/>
      </c>
      <c r="Q188" s="126" t="str">
        <f>IF(S188="T",Charts!$X$7,IF(ISNA(MATCH(A188,Data!B:B,0)),"",INDEX(Data!K:K,MATCH(A188,Data!B:B,1)))) &amp; ""</f>
        <v/>
      </c>
      <c r="R188" s="134"/>
      <c r="S188" s="134"/>
      <c r="T188" s="127"/>
      <c r="AF188" s="24" t="str">
        <f>IF(C188="","",INDEX(Workouts!B:B,MATCH(C188,Workouts!A:A,0)))</f>
        <v/>
      </c>
      <c r="AG188" s="24" t="str">
        <f>IF(SUMIF(Data!B:B,A188,Data!D:D)=0,"",SUMIF(Data!B:B,A188,Data!D:D))</f>
        <v/>
      </c>
      <c r="AH188" s="25" t="str">
        <f>IF(C188="","",INDEX(Workouts!C:C,MATCH(C188,Workouts!A:A,0)))</f>
        <v/>
      </c>
      <c r="AI188" s="68" t="str">
        <f>IF(SUMIF(Data!B:B,A188,Data!F:F)=0,"",SUMIF(Data!B:B,A188,Data!F:F))</f>
        <v/>
      </c>
      <c r="AJ188" s="68">
        <f>AJ187+ (IF(AH188="",0,AH188)-AJ187)/Charts!$X$5</f>
        <v>2.1539070795289782E-11</v>
      </c>
      <c r="AK188" s="68">
        <f>AK187+ (IF(AI188="",0,AI188)-AK187)/Charts!$X$5</f>
        <v>2.1539070795289782E-11</v>
      </c>
      <c r="AL188" s="68">
        <f>AL187+ (IF(AH188="",0,AH188)-AL187)/Charts!$X$6</f>
        <v>0.62200234977748814</v>
      </c>
      <c r="AM188" s="68">
        <f>AM187+ (IF(AI188="",0,AI188)-AM187)/Charts!$X$6</f>
        <v>0.62200234977748814</v>
      </c>
      <c r="AN188" s="68" t="str">
        <f t="shared" si="34"/>
        <v>1</v>
      </c>
      <c r="AO188" s="68" t="str">
        <f t="shared" si="35"/>
        <v>1</v>
      </c>
      <c r="AP188" s="69" t="str">
        <f>IF(C188="","",INDEX(Workouts!D:D,MATCH(C188,Workouts!A:A,0)))</f>
        <v/>
      </c>
      <c r="AQ188" s="69" t="str">
        <f>IF(ISNA(MATCH(A188,Data!B:B,0)),"",INDEX(Data!G:G,MATCH(A188,Data!B:B,1)))</f>
        <v/>
      </c>
    </row>
    <row r="189" spans="1:43" s="1" customFormat="1" x14ac:dyDescent="0.2">
      <c r="A189" s="125">
        <f t="shared" si="33"/>
        <v>44384</v>
      </c>
      <c r="B189" s="126" t="str">
        <f t="shared" si="30"/>
        <v>Wed</v>
      </c>
      <c r="C189" s="140"/>
      <c r="D189" s="128" t="str">
        <f t="shared" si="31"/>
        <v/>
      </c>
      <c r="E189" s="129" t="str">
        <f t="shared" si="32"/>
        <v/>
      </c>
      <c r="F189" s="130" t="str">
        <f>IF(SUMIF(Data!B:B,A189,Data!C:C)=0,"",SUMIF(Data!B:B,A189,Data!C:C))</f>
        <v/>
      </c>
      <c r="G189" s="126" t="str">
        <f>IF(OR(S189="T",S189="RUN",SUMIF(Data!B:B,A189,Data!E:E)=0),"",SUMIF(Data!B:B,A189,Data!E:E))</f>
        <v/>
      </c>
      <c r="H189" s="126" t="str">
        <f t="shared" si="24"/>
        <v/>
      </c>
      <c r="I189" s="131" t="str">
        <f t="shared" si="25"/>
        <v>0 (0)</v>
      </c>
      <c r="J189" s="131" t="str">
        <f t="shared" si="26"/>
        <v>1 (1)</v>
      </c>
      <c r="K189" s="131" t="str">
        <f t="shared" si="27"/>
        <v>1 (1)</v>
      </c>
      <c r="L189" s="132" t="str">
        <f t="shared" si="28"/>
        <v/>
      </c>
      <c r="M189" s="131" t="str">
        <f t="shared" si="29"/>
        <v/>
      </c>
      <c r="N189" s="126" t="str">
        <f>IF(ISNA(MATCH(A189,Data!B:B,0)),"",INDEX(Data!H:H,MATCH(A189,Data!B:B,1))) &amp; ""</f>
        <v/>
      </c>
      <c r="O189" s="126" t="str">
        <f>IF(ISNA(MATCH(A189,Data!B:B,0)),"",INDEX(Data!I:I,MATCH(A189,Data!B:B,1))) &amp; ""</f>
        <v/>
      </c>
      <c r="P189" s="133" t="str">
        <f>IF(ISNA(MATCH(A189,Data!B:B,0)),"",INDEX(Data!J:J,MATCH(A189,Data!B:B,1))) &amp; ""</f>
        <v/>
      </c>
      <c r="Q189" s="126" t="str">
        <f>IF(S189="T",Charts!$X$7,IF(ISNA(MATCH(A189,Data!B:B,0)),"",INDEX(Data!K:K,MATCH(A189,Data!B:B,1)))) &amp; ""</f>
        <v/>
      </c>
      <c r="R189" s="134"/>
      <c r="S189" s="134"/>
      <c r="T189" s="127"/>
      <c r="AF189" s="24" t="str">
        <f>IF(C189="","",INDEX(Workouts!B:B,MATCH(C189,Workouts!A:A,0)))</f>
        <v/>
      </c>
      <c r="AG189" s="24" t="str">
        <f>IF(SUMIF(Data!B:B,A189,Data!D:D)=0,"",SUMIF(Data!B:B,A189,Data!D:D))</f>
        <v/>
      </c>
      <c r="AH189" s="25" t="str">
        <f>IF(C189="","",INDEX(Workouts!C:C,MATCH(C189,Workouts!A:A,0)))</f>
        <v/>
      </c>
      <c r="AI189" s="68" t="str">
        <f>IF(SUMIF(Data!B:B,A189,Data!F:F)=0,"",SUMIF(Data!B:B,A189,Data!F:F))</f>
        <v/>
      </c>
      <c r="AJ189" s="68">
        <f>AJ188+ (IF(AH189="",0,AH189)-AJ188)/Charts!$X$5</f>
        <v>1.8462060681676955E-11</v>
      </c>
      <c r="AK189" s="68">
        <f>AK188+ (IF(AI189="",0,AI189)-AK188)/Charts!$X$5</f>
        <v>1.8462060681676955E-11</v>
      </c>
      <c r="AL189" s="68">
        <f>AL188+ (IF(AH189="",0,AH189)-AL188)/Charts!$X$6</f>
        <v>0.60719277002088123</v>
      </c>
      <c r="AM189" s="68">
        <f>AM188+ (IF(AI189="",0,AI189)-AM188)/Charts!$X$6</f>
        <v>0.60719277002088123</v>
      </c>
      <c r="AN189" s="68" t="str">
        <f t="shared" si="34"/>
        <v>1</v>
      </c>
      <c r="AO189" s="68" t="str">
        <f t="shared" si="35"/>
        <v>1</v>
      </c>
      <c r="AP189" s="69" t="str">
        <f>IF(C189="","",INDEX(Workouts!D:D,MATCH(C189,Workouts!A:A,0)))</f>
        <v/>
      </c>
      <c r="AQ189" s="69" t="str">
        <f>IF(ISNA(MATCH(A189,Data!B:B,0)),"",INDEX(Data!G:G,MATCH(A189,Data!B:B,1)))</f>
        <v/>
      </c>
    </row>
    <row r="190" spans="1:43" s="1" customFormat="1" x14ac:dyDescent="0.2">
      <c r="A190" s="125">
        <f t="shared" si="33"/>
        <v>44385</v>
      </c>
      <c r="B190" s="126" t="str">
        <f t="shared" si="30"/>
        <v>Thu</v>
      </c>
      <c r="C190" s="140"/>
      <c r="D190" s="128" t="str">
        <f t="shared" si="31"/>
        <v/>
      </c>
      <c r="E190" s="129" t="str">
        <f t="shared" si="32"/>
        <v/>
      </c>
      <c r="F190" s="130" t="str">
        <f>IF(SUMIF(Data!B:B,A190,Data!C:C)=0,"",SUMIF(Data!B:B,A190,Data!C:C))</f>
        <v/>
      </c>
      <c r="G190" s="126" t="str">
        <f>IF(OR(S190="T",S190="RUN",SUMIF(Data!B:B,A190,Data!E:E)=0),"",SUMIF(Data!B:B,A190,Data!E:E))</f>
        <v/>
      </c>
      <c r="H190" s="126" t="str">
        <f t="shared" si="24"/>
        <v/>
      </c>
      <c r="I190" s="131" t="str">
        <f t="shared" si="25"/>
        <v>0 (0)</v>
      </c>
      <c r="J190" s="131" t="str">
        <f t="shared" si="26"/>
        <v>1 (1)</v>
      </c>
      <c r="K190" s="131" t="str">
        <f t="shared" si="27"/>
        <v>1 (1)</v>
      </c>
      <c r="L190" s="132" t="str">
        <f t="shared" si="28"/>
        <v/>
      </c>
      <c r="M190" s="131" t="str">
        <f t="shared" si="29"/>
        <v/>
      </c>
      <c r="N190" s="126" t="str">
        <f>IF(ISNA(MATCH(A190,Data!B:B,0)),"",INDEX(Data!H:H,MATCH(A190,Data!B:B,1))) &amp; ""</f>
        <v/>
      </c>
      <c r="O190" s="126" t="str">
        <f>IF(ISNA(MATCH(A190,Data!B:B,0)),"",INDEX(Data!I:I,MATCH(A190,Data!B:B,1))) &amp; ""</f>
        <v/>
      </c>
      <c r="P190" s="133" t="str">
        <f>IF(ISNA(MATCH(A190,Data!B:B,0)),"",INDEX(Data!J:J,MATCH(A190,Data!B:B,1))) &amp; ""</f>
        <v/>
      </c>
      <c r="Q190" s="126" t="str">
        <f>IF(S190="T",Charts!$X$7,IF(ISNA(MATCH(A190,Data!B:B,0)),"",INDEX(Data!K:K,MATCH(A190,Data!B:B,1)))) &amp; ""</f>
        <v/>
      </c>
      <c r="R190" s="134"/>
      <c r="S190" s="134"/>
      <c r="T190" s="127"/>
      <c r="AF190" s="24" t="str">
        <f>IF(C190="","",INDEX(Workouts!B:B,MATCH(C190,Workouts!A:A,0)))</f>
        <v/>
      </c>
      <c r="AG190" s="24" t="str">
        <f>IF(SUMIF(Data!B:B,A190,Data!D:D)=0,"",SUMIF(Data!B:B,A190,Data!D:D))</f>
        <v/>
      </c>
      <c r="AH190" s="25" t="str">
        <f>IF(C190="","",INDEX(Workouts!C:C,MATCH(C190,Workouts!A:A,0)))</f>
        <v/>
      </c>
      <c r="AI190" s="68" t="str">
        <f>IF(SUMIF(Data!B:B,A190,Data!F:F)=0,"",SUMIF(Data!B:B,A190,Data!F:F))</f>
        <v/>
      </c>
      <c r="AJ190" s="68">
        <f>AJ189+ (IF(AH190="",0,AH190)-AJ189)/Charts!$X$5</f>
        <v>1.582462344143739E-11</v>
      </c>
      <c r="AK190" s="68">
        <f>AK189+ (IF(AI190="",0,AI190)-AK189)/Charts!$X$5</f>
        <v>1.582462344143739E-11</v>
      </c>
      <c r="AL190" s="68">
        <f>AL189+ (IF(AH190="",0,AH190)-AL189)/Charts!$X$6</f>
        <v>0.59273579930609832</v>
      </c>
      <c r="AM190" s="68">
        <f>AM189+ (IF(AI190="",0,AI190)-AM189)/Charts!$X$6</f>
        <v>0.59273579930609832</v>
      </c>
      <c r="AN190" s="68" t="str">
        <f t="shared" si="34"/>
        <v>1</v>
      </c>
      <c r="AO190" s="68" t="str">
        <f t="shared" si="35"/>
        <v>1</v>
      </c>
      <c r="AP190" s="69" t="str">
        <f>IF(C190="","",INDEX(Workouts!D:D,MATCH(C190,Workouts!A:A,0)))</f>
        <v/>
      </c>
      <c r="AQ190" s="69" t="str">
        <f>IF(ISNA(MATCH(A190,Data!B:B,0)),"",INDEX(Data!G:G,MATCH(A190,Data!B:B,1)))</f>
        <v/>
      </c>
    </row>
    <row r="191" spans="1:43" s="26" customFormat="1" x14ac:dyDescent="0.2">
      <c r="A191" s="135">
        <f t="shared" si="33"/>
        <v>44386</v>
      </c>
      <c r="B191" s="136" t="str">
        <f t="shared" si="30"/>
        <v>Fri</v>
      </c>
      <c r="C191" s="141"/>
      <c r="D191" s="128" t="str">
        <f t="shared" si="31"/>
        <v/>
      </c>
      <c r="E191" s="129" t="str">
        <f t="shared" si="32"/>
        <v/>
      </c>
      <c r="F191" s="130" t="str">
        <f>IF(SUMIF(Data!B:B,A191,Data!C:C)=0,"",SUMIF(Data!B:B,A191,Data!C:C))</f>
        <v/>
      </c>
      <c r="G191" s="126" t="str">
        <f>IF(OR(S191="T",S191="RUN",SUMIF(Data!B:B,A191,Data!E:E)=0),"",SUMIF(Data!B:B,A191,Data!E:E))</f>
        <v/>
      </c>
      <c r="H191" s="126" t="str">
        <f t="shared" si="24"/>
        <v/>
      </c>
      <c r="I191" s="131" t="str">
        <f t="shared" si="25"/>
        <v>0 (0)</v>
      </c>
      <c r="J191" s="131" t="str">
        <f t="shared" si="26"/>
        <v>1 (1)</v>
      </c>
      <c r="K191" s="131" t="str">
        <f t="shared" si="27"/>
        <v>1 (1)</v>
      </c>
      <c r="L191" s="132" t="str">
        <f t="shared" si="28"/>
        <v/>
      </c>
      <c r="M191" s="131" t="str">
        <f t="shared" si="29"/>
        <v/>
      </c>
      <c r="N191" s="126" t="str">
        <f>IF(ISNA(MATCH(A191,Data!B:B,0)),"",INDEX(Data!H:H,MATCH(A191,Data!B:B,1))) &amp; ""</f>
        <v/>
      </c>
      <c r="O191" s="126" t="str">
        <f>IF(ISNA(MATCH(A191,Data!B:B,0)),"",INDEX(Data!I:I,MATCH(A191,Data!B:B,1))) &amp; ""</f>
        <v/>
      </c>
      <c r="P191" s="133" t="str">
        <f>IF(ISNA(MATCH(A191,Data!B:B,0)),"",INDEX(Data!J:J,MATCH(A191,Data!B:B,1))) &amp; ""</f>
        <v/>
      </c>
      <c r="Q191" s="126" t="str">
        <f>IF(S191="T",Charts!$X$7,IF(ISNA(MATCH(A191,Data!B:B,0)),"",INDEX(Data!K:K,MATCH(A191,Data!B:B,1)))) &amp; ""</f>
        <v/>
      </c>
      <c r="R191" s="134"/>
      <c r="S191" s="134"/>
      <c r="T191" s="127"/>
      <c r="AF191" s="24" t="str">
        <f>IF(C191="","",INDEX(Workouts!B:B,MATCH(C191,Workouts!A:A,0)))</f>
        <v/>
      </c>
      <c r="AG191" s="24" t="str">
        <f>IF(SUMIF(Data!B:B,A191,Data!D:D)=0,"",SUMIF(Data!B:B,A191,Data!D:D))</f>
        <v/>
      </c>
      <c r="AH191" s="25" t="str">
        <f>IF(C191="","",INDEX(Workouts!C:C,MATCH(C191,Workouts!A:A,0)))</f>
        <v/>
      </c>
      <c r="AI191" s="68" t="str">
        <f>IF(SUMIF(Data!B:B,A191,Data!F:F)=0,"",SUMIF(Data!B:B,A191,Data!F:F))</f>
        <v/>
      </c>
      <c r="AJ191" s="68">
        <f>AJ190+ (IF(AH191="",0,AH191)-AJ190)/Charts!$X$5</f>
        <v>1.3563962949803478E-11</v>
      </c>
      <c r="AK191" s="68">
        <f>AK190+ (IF(AI191="",0,AI191)-AK190)/Charts!$X$5</f>
        <v>1.3563962949803478E-11</v>
      </c>
      <c r="AL191" s="68">
        <f>AL190+ (IF(AH191="",0,AH191)-AL190)/Charts!$X$6</f>
        <v>0.57862304217976268</v>
      </c>
      <c r="AM191" s="68">
        <f>AM190+ (IF(AI191="",0,AI191)-AM190)/Charts!$X$6</f>
        <v>0.57862304217976268</v>
      </c>
      <c r="AN191" s="68" t="str">
        <f t="shared" si="34"/>
        <v>1</v>
      </c>
      <c r="AO191" s="68" t="str">
        <f t="shared" si="35"/>
        <v>1</v>
      </c>
      <c r="AP191" s="69" t="str">
        <f>IF(C191="","",INDEX(Workouts!D:D,MATCH(C191,Workouts!A:A,0)))</f>
        <v/>
      </c>
      <c r="AQ191" s="69" t="str">
        <f>IF(ISNA(MATCH(A191,Data!B:B,0)),"",INDEX(Data!G:G,MATCH(A191,Data!B:B,1)))</f>
        <v/>
      </c>
    </row>
    <row r="192" spans="1:43" s="1" customFormat="1" x14ac:dyDescent="0.2">
      <c r="A192" s="125">
        <f t="shared" si="33"/>
        <v>44387</v>
      </c>
      <c r="B192" s="126" t="str">
        <f t="shared" si="30"/>
        <v>Sat</v>
      </c>
      <c r="C192" s="140"/>
      <c r="D192" s="128" t="str">
        <f t="shared" si="31"/>
        <v/>
      </c>
      <c r="E192" s="129" t="str">
        <f t="shared" si="32"/>
        <v/>
      </c>
      <c r="F192" s="130" t="str">
        <f>IF(SUMIF(Data!B:B,A192,Data!C:C)=0,"",SUMIF(Data!B:B,A192,Data!C:C))</f>
        <v/>
      </c>
      <c r="G192" s="126" t="str">
        <f>IF(OR(S192="T",S192="RUN",SUMIF(Data!B:B,A192,Data!E:E)=0),"",SUMIF(Data!B:B,A192,Data!E:E))</f>
        <v/>
      </c>
      <c r="H192" s="126" t="str">
        <f t="shared" si="24"/>
        <v/>
      </c>
      <c r="I192" s="131" t="str">
        <f t="shared" si="25"/>
        <v>0 (0)</v>
      </c>
      <c r="J192" s="131" t="str">
        <f t="shared" si="26"/>
        <v>1 (1)</v>
      </c>
      <c r="K192" s="131" t="str">
        <f t="shared" si="27"/>
        <v>1 (1)</v>
      </c>
      <c r="L192" s="132" t="str">
        <f t="shared" si="28"/>
        <v/>
      </c>
      <c r="M192" s="131" t="str">
        <f t="shared" si="29"/>
        <v/>
      </c>
      <c r="N192" s="126" t="str">
        <f>IF(ISNA(MATCH(A192,Data!B:B,0)),"",INDEX(Data!H:H,MATCH(A192,Data!B:B,1))) &amp; ""</f>
        <v/>
      </c>
      <c r="O192" s="126" t="str">
        <f>IF(ISNA(MATCH(A192,Data!B:B,0)),"",INDEX(Data!I:I,MATCH(A192,Data!B:B,1))) &amp; ""</f>
        <v/>
      </c>
      <c r="P192" s="133" t="str">
        <f>IF(ISNA(MATCH(A192,Data!B:B,0)),"",INDEX(Data!J:J,MATCH(A192,Data!B:B,1))) &amp; ""</f>
        <v/>
      </c>
      <c r="Q192" s="126" t="str">
        <f>IF(S192="T",Charts!$X$7,IF(ISNA(MATCH(A192,Data!B:B,0)),"",INDEX(Data!K:K,MATCH(A192,Data!B:B,1)))) &amp; ""</f>
        <v/>
      </c>
      <c r="R192" s="134"/>
      <c r="S192" s="134"/>
      <c r="T192" s="127"/>
      <c r="AF192" s="24" t="str">
        <f>IF(C192="","",INDEX(Workouts!B:B,MATCH(C192,Workouts!A:A,0)))</f>
        <v/>
      </c>
      <c r="AG192" s="24" t="str">
        <f>IF(SUMIF(Data!B:B,A192,Data!D:D)=0,"",SUMIF(Data!B:B,A192,Data!D:D))</f>
        <v/>
      </c>
      <c r="AH192" s="25" t="str">
        <f>IF(C192="","",INDEX(Workouts!C:C,MATCH(C192,Workouts!A:A,0)))</f>
        <v/>
      </c>
      <c r="AI192" s="68" t="str">
        <f>IF(SUMIF(Data!B:B,A192,Data!F:F)=0,"",SUMIF(Data!B:B,A192,Data!F:F))</f>
        <v/>
      </c>
      <c r="AJ192" s="68">
        <f>AJ191+ (IF(AH192="",0,AH192)-AJ191)/Charts!$X$5</f>
        <v>1.1626253956974409E-11</v>
      </c>
      <c r="AK192" s="68">
        <f>AK191+ (IF(AI192="",0,AI192)-AK191)/Charts!$X$5</f>
        <v>1.1626253956974409E-11</v>
      </c>
      <c r="AL192" s="68">
        <f>AL191+ (IF(AH192="",0,AH192)-AL191)/Charts!$X$6</f>
        <v>0.56484630308024453</v>
      </c>
      <c r="AM192" s="68">
        <f>AM191+ (IF(AI192="",0,AI192)-AM191)/Charts!$X$6</f>
        <v>0.56484630308024453</v>
      </c>
      <c r="AN192" s="68" t="str">
        <f t="shared" si="34"/>
        <v>1</v>
      </c>
      <c r="AO192" s="68" t="str">
        <f t="shared" si="35"/>
        <v>1</v>
      </c>
      <c r="AP192" s="69" t="str">
        <f>IF(C192="","",INDEX(Workouts!D:D,MATCH(C192,Workouts!A:A,0)))</f>
        <v/>
      </c>
      <c r="AQ192" s="69" t="str">
        <f>IF(ISNA(MATCH(A192,Data!B:B,0)),"",INDEX(Data!G:G,MATCH(A192,Data!B:B,1)))</f>
        <v/>
      </c>
    </row>
    <row r="193" spans="1:43" s="1" customFormat="1" x14ac:dyDescent="0.2">
      <c r="A193" s="125">
        <f t="shared" si="33"/>
        <v>44388</v>
      </c>
      <c r="B193" s="126" t="str">
        <f t="shared" si="30"/>
        <v>Sun</v>
      </c>
      <c r="C193" s="140"/>
      <c r="D193" s="128" t="str">
        <f t="shared" si="31"/>
        <v/>
      </c>
      <c r="E193" s="129" t="str">
        <f t="shared" si="32"/>
        <v/>
      </c>
      <c r="F193" s="130" t="str">
        <f>IF(SUMIF(Data!B:B,A193,Data!C:C)=0,"",SUMIF(Data!B:B,A193,Data!C:C))</f>
        <v/>
      </c>
      <c r="G193" s="126" t="str">
        <f>IF(OR(S193="T",S193="RUN",SUMIF(Data!B:B,A193,Data!E:E)=0),"",SUMIF(Data!B:B,A193,Data!E:E))</f>
        <v/>
      </c>
      <c r="H193" s="126" t="str">
        <f t="shared" si="24"/>
        <v/>
      </c>
      <c r="I193" s="131" t="str">
        <f t="shared" si="25"/>
        <v>0 (0)</v>
      </c>
      <c r="J193" s="131" t="str">
        <f t="shared" si="26"/>
        <v>1 (1)</v>
      </c>
      <c r="K193" s="131" t="str">
        <f t="shared" si="27"/>
        <v>1 (1)</v>
      </c>
      <c r="L193" s="132" t="str">
        <f t="shared" si="28"/>
        <v/>
      </c>
      <c r="M193" s="131" t="str">
        <f t="shared" si="29"/>
        <v/>
      </c>
      <c r="N193" s="126" t="str">
        <f>IF(ISNA(MATCH(A193,Data!B:B,0)),"",INDEX(Data!H:H,MATCH(A193,Data!B:B,1))) &amp; ""</f>
        <v/>
      </c>
      <c r="O193" s="126" t="str">
        <f>IF(ISNA(MATCH(A193,Data!B:B,0)),"",INDEX(Data!I:I,MATCH(A193,Data!B:B,1))) &amp; ""</f>
        <v/>
      </c>
      <c r="P193" s="133" t="str">
        <f>IF(ISNA(MATCH(A193,Data!B:B,0)),"",INDEX(Data!J:J,MATCH(A193,Data!B:B,1))) &amp; ""</f>
        <v/>
      </c>
      <c r="Q193" s="126" t="str">
        <f>IF(S193="T",Charts!$X$7,IF(ISNA(MATCH(A193,Data!B:B,0)),"",INDEX(Data!K:K,MATCH(A193,Data!B:B,1)))) &amp; ""</f>
        <v/>
      </c>
      <c r="R193" s="134"/>
      <c r="S193" s="134"/>
      <c r="T193" s="127"/>
      <c r="AF193" s="24" t="str">
        <f>IF(C193="","",INDEX(Workouts!B:B,MATCH(C193,Workouts!A:A,0)))</f>
        <v/>
      </c>
      <c r="AG193" s="24" t="str">
        <f>IF(SUMIF(Data!B:B,A193,Data!D:D)=0,"",SUMIF(Data!B:B,A193,Data!D:D))</f>
        <v/>
      </c>
      <c r="AH193" s="25" t="str">
        <f>IF(C193="","",INDEX(Workouts!C:C,MATCH(C193,Workouts!A:A,0)))</f>
        <v/>
      </c>
      <c r="AI193" s="68" t="str">
        <f>IF(SUMIF(Data!B:B,A193,Data!F:F)=0,"",SUMIF(Data!B:B,A193,Data!F:F))</f>
        <v/>
      </c>
      <c r="AJ193" s="68">
        <f>AJ192+ (IF(AH193="",0,AH193)-AJ192)/Charts!$X$5</f>
        <v>9.9653605345494934E-12</v>
      </c>
      <c r="AK193" s="68">
        <f>AK192+ (IF(AI193="",0,AI193)-AK192)/Charts!$X$5</f>
        <v>9.9653605345494934E-12</v>
      </c>
      <c r="AL193" s="68">
        <f>AL192+ (IF(AH193="",0,AH193)-AL192)/Charts!$X$6</f>
        <v>0.55139758157833396</v>
      </c>
      <c r="AM193" s="68">
        <f>AM192+ (IF(AI193="",0,AI193)-AM192)/Charts!$X$6</f>
        <v>0.55139758157833396</v>
      </c>
      <c r="AN193" s="68" t="str">
        <f t="shared" si="34"/>
        <v>1</v>
      </c>
      <c r="AO193" s="68" t="str">
        <f t="shared" si="35"/>
        <v>1</v>
      </c>
      <c r="AP193" s="69" t="str">
        <f>IF(C193="","",INDEX(Workouts!D:D,MATCH(C193,Workouts!A:A,0)))</f>
        <v/>
      </c>
      <c r="AQ193" s="69" t="str">
        <f>IF(ISNA(MATCH(A193,Data!B:B,0)),"",INDEX(Data!G:G,MATCH(A193,Data!B:B,1)))</f>
        <v/>
      </c>
    </row>
    <row r="194" spans="1:43" s="1" customFormat="1" x14ac:dyDescent="0.2">
      <c r="A194" s="125">
        <f t="shared" si="33"/>
        <v>44389</v>
      </c>
      <c r="B194" s="126" t="str">
        <f t="shared" si="30"/>
        <v>Mon</v>
      </c>
      <c r="C194" s="140"/>
      <c r="D194" s="128" t="str">
        <f t="shared" si="31"/>
        <v/>
      </c>
      <c r="E194" s="129" t="str">
        <f t="shared" si="32"/>
        <v/>
      </c>
      <c r="F194" s="130" t="str">
        <f>IF(SUMIF(Data!B:B,A194,Data!C:C)=0,"",SUMIF(Data!B:B,A194,Data!C:C))</f>
        <v/>
      </c>
      <c r="G194" s="126" t="str">
        <f>IF(OR(S194="T",S194="RUN",SUMIF(Data!B:B,A194,Data!E:E)=0),"",SUMIF(Data!B:B,A194,Data!E:E))</f>
        <v/>
      </c>
      <c r="H194" s="126" t="str">
        <f t="shared" ref="H194:H257" si="36">IF(G194&lt;&gt;"",INT(G194/F194),"")</f>
        <v/>
      </c>
      <c r="I194" s="131" t="str">
        <f t="shared" ref="I194:I257" si="37">ROUND(AK194,0)&amp;IF(AJ194="",""," ("&amp;ROUND(AJ194,0)&amp;")")</f>
        <v>0 (0)</v>
      </c>
      <c r="J194" s="131" t="str">
        <f t="shared" ref="J194:J257" si="38">ROUND(AM194,0)&amp;IF(AL194="",""," ("&amp;ROUND(AL194,0)&amp;")")</f>
        <v>1 (1)</v>
      </c>
      <c r="K194" s="131" t="str">
        <f t="shared" ref="K194:K257" si="39">AO194&amp;IF(AN194="",""," ("&amp;AN194&amp;")")</f>
        <v>1 (1)</v>
      </c>
      <c r="L194" s="132" t="str">
        <f t="shared" ref="L194:L257" si="40">AI194&amp;IF(AH194="",""," ("&amp;AH194&amp;")")</f>
        <v/>
      </c>
      <c r="M194" s="131" t="str">
        <f t="shared" ref="M194:M257" si="41">TEXT(AQ194,"0.00")&amp;IF(AP194="",""," ("&amp;TEXT(AP194,"0.00")&amp;")")</f>
        <v/>
      </c>
      <c r="N194" s="126" t="str">
        <f>IF(ISNA(MATCH(A194,Data!B:B,0)),"",INDEX(Data!H:H,MATCH(A194,Data!B:B,1))) &amp; ""</f>
        <v/>
      </c>
      <c r="O194" s="126" t="str">
        <f>IF(ISNA(MATCH(A194,Data!B:B,0)),"",INDEX(Data!I:I,MATCH(A194,Data!B:B,1))) &amp; ""</f>
        <v/>
      </c>
      <c r="P194" s="133" t="str">
        <f>IF(ISNA(MATCH(A194,Data!B:B,0)),"",INDEX(Data!J:J,MATCH(A194,Data!B:B,1))) &amp; ""</f>
        <v/>
      </c>
      <c r="Q194" s="126" t="str">
        <f>IF(S194="T",Charts!$X$7,IF(ISNA(MATCH(A194,Data!B:B,0)),"",INDEX(Data!K:K,MATCH(A194,Data!B:B,1)))) &amp; ""</f>
        <v/>
      </c>
      <c r="R194" s="134"/>
      <c r="S194" s="134"/>
      <c r="T194" s="127"/>
      <c r="AF194" s="24" t="str">
        <f>IF(C194="","",INDEX(Workouts!B:B,MATCH(C194,Workouts!A:A,0)))</f>
        <v/>
      </c>
      <c r="AG194" s="24" t="str">
        <f>IF(SUMIF(Data!B:B,A194,Data!D:D)=0,"",SUMIF(Data!B:B,A194,Data!D:D))</f>
        <v/>
      </c>
      <c r="AH194" s="25" t="str">
        <f>IF(C194="","",INDEX(Workouts!C:C,MATCH(C194,Workouts!A:A,0)))</f>
        <v/>
      </c>
      <c r="AI194" s="68" t="str">
        <f>IF(SUMIF(Data!B:B,A194,Data!F:F)=0,"",SUMIF(Data!B:B,A194,Data!F:F))</f>
        <v/>
      </c>
      <c r="AJ194" s="68">
        <f>AJ193+ (IF(AH194="",0,AH194)-AJ193)/Charts!$X$5</f>
        <v>8.5417376010424222E-12</v>
      </c>
      <c r="AK194" s="68">
        <f>AK193+ (IF(AI194="",0,AI194)-AK193)/Charts!$X$5</f>
        <v>8.5417376010424222E-12</v>
      </c>
      <c r="AL194" s="68">
        <f>AL193+ (IF(AH194="",0,AH194)-AL193)/Charts!$X$6</f>
        <v>0.53826906773123073</v>
      </c>
      <c r="AM194" s="68">
        <f>AM193+ (IF(AI194="",0,AI194)-AM193)/Charts!$X$6</f>
        <v>0.53826906773123073</v>
      </c>
      <c r="AN194" s="68" t="str">
        <f t="shared" si="34"/>
        <v>1</v>
      </c>
      <c r="AO194" s="68" t="str">
        <f t="shared" si="35"/>
        <v>1</v>
      </c>
      <c r="AP194" s="69" t="str">
        <f>IF(C194="","",INDEX(Workouts!D:D,MATCH(C194,Workouts!A:A,0)))</f>
        <v/>
      </c>
      <c r="AQ194" s="69" t="str">
        <f>IF(ISNA(MATCH(A194,Data!B:B,0)),"",INDEX(Data!G:G,MATCH(A194,Data!B:B,1)))</f>
        <v/>
      </c>
    </row>
    <row r="195" spans="1:43" s="1" customFormat="1" x14ac:dyDescent="0.2">
      <c r="A195" s="125">
        <f t="shared" si="33"/>
        <v>44390</v>
      </c>
      <c r="B195" s="126" t="str">
        <f t="shared" ref="B195:B258" si="42">TEXT(A195,"ddd")</f>
        <v>Tue</v>
      </c>
      <c r="C195" s="140"/>
      <c r="D195" s="128" t="str">
        <f t="shared" ref="D195:D258" si="43">IF(AG195="","",INT(AG195/60)&amp;":"&amp;RIGHT("00"&amp;MOD(AG195,60),2)&amp;" ")
&amp;IF(OR(AF195="",AF195=0),"","("&amp;INT(AF195/60)&amp;":"&amp;RIGHT("00"&amp;MOD(AF195,60),2)&amp;")")</f>
        <v/>
      </c>
      <c r="E195" s="129" t="str">
        <f t="shared" ref="E195:E258" si="44">IF(AG195&lt;&gt;"",F195/AG195*60,"")</f>
        <v/>
      </c>
      <c r="F195" s="130" t="str">
        <f>IF(SUMIF(Data!B:B,A195,Data!C:C)=0,"",SUMIF(Data!B:B,A195,Data!C:C))</f>
        <v/>
      </c>
      <c r="G195" s="126" t="str">
        <f>IF(OR(S195="T",S195="RUN",SUMIF(Data!B:B,A195,Data!E:E)=0),"",SUMIF(Data!B:B,A195,Data!E:E))</f>
        <v/>
      </c>
      <c r="H195" s="126" t="str">
        <f t="shared" si="36"/>
        <v/>
      </c>
      <c r="I195" s="131" t="str">
        <f t="shared" si="37"/>
        <v>0 (0)</v>
      </c>
      <c r="J195" s="131" t="str">
        <f t="shared" si="38"/>
        <v>1 (1)</v>
      </c>
      <c r="K195" s="131" t="str">
        <f t="shared" si="39"/>
        <v>1 (1)</v>
      </c>
      <c r="L195" s="132" t="str">
        <f t="shared" si="40"/>
        <v/>
      </c>
      <c r="M195" s="131" t="str">
        <f t="shared" si="41"/>
        <v/>
      </c>
      <c r="N195" s="126" t="str">
        <f>IF(ISNA(MATCH(A195,Data!B:B,0)),"",INDEX(Data!H:H,MATCH(A195,Data!B:B,1))) &amp; ""</f>
        <v/>
      </c>
      <c r="O195" s="126" t="str">
        <f>IF(ISNA(MATCH(A195,Data!B:B,0)),"",INDEX(Data!I:I,MATCH(A195,Data!B:B,1))) &amp; ""</f>
        <v/>
      </c>
      <c r="P195" s="133" t="str">
        <f>IF(ISNA(MATCH(A195,Data!B:B,0)),"",INDEX(Data!J:J,MATCH(A195,Data!B:B,1))) &amp; ""</f>
        <v/>
      </c>
      <c r="Q195" s="126" t="str">
        <f>IF(S195="T",Charts!$X$7,IF(ISNA(MATCH(A195,Data!B:B,0)),"",INDEX(Data!K:K,MATCH(A195,Data!B:B,1)))) &amp; ""</f>
        <v/>
      </c>
      <c r="R195" s="134"/>
      <c r="S195" s="134"/>
      <c r="T195" s="127"/>
      <c r="AF195" s="24" t="str">
        <f>IF(C195="","",INDEX(Workouts!B:B,MATCH(C195,Workouts!A:A,0)))</f>
        <v/>
      </c>
      <c r="AG195" s="24" t="str">
        <f>IF(SUMIF(Data!B:B,A195,Data!D:D)=0,"",SUMIF(Data!B:B,A195,Data!D:D))</f>
        <v/>
      </c>
      <c r="AH195" s="25" t="str">
        <f>IF(C195="","",INDEX(Workouts!C:C,MATCH(C195,Workouts!A:A,0)))</f>
        <v/>
      </c>
      <c r="AI195" s="68" t="str">
        <f>IF(SUMIF(Data!B:B,A195,Data!F:F)=0,"",SUMIF(Data!B:B,A195,Data!F:F))</f>
        <v/>
      </c>
      <c r="AJ195" s="68">
        <f>AJ194+ (IF(AH195="",0,AH195)-AJ194)/Charts!$X$5</f>
        <v>7.3214893723220769E-12</v>
      </c>
      <c r="AK195" s="68">
        <f>AK194+ (IF(AI195="",0,AI195)-AK194)/Charts!$X$5</f>
        <v>7.3214893723220769E-12</v>
      </c>
      <c r="AL195" s="68">
        <f>AL194+ (IF(AH195="",0,AH195)-AL194)/Charts!$X$6</f>
        <v>0.52545313754715384</v>
      </c>
      <c r="AM195" s="68">
        <f>AM194+ (IF(AI195="",0,AI195)-AM194)/Charts!$X$6</f>
        <v>0.52545313754715384</v>
      </c>
      <c r="AN195" s="68" t="str">
        <f t="shared" si="34"/>
        <v>1</v>
      </c>
      <c r="AO195" s="68" t="str">
        <f t="shared" si="35"/>
        <v>1</v>
      </c>
      <c r="AP195" s="69" t="str">
        <f>IF(C195="","",INDEX(Workouts!D:D,MATCH(C195,Workouts!A:A,0)))</f>
        <v/>
      </c>
      <c r="AQ195" s="69" t="str">
        <f>IF(ISNA(MATCH(A195,Data!B:B,0)),"",INDEX(Data!G:G,MATCH(A195,Data!B:B,1)))</f>
        <v/>
      </c>
    </row>
    <row r="196" spans="1:43" s="1" customFormat="1" x14ac:dyDescent="0.2">
      <c r="A196" s="125">
        <f t="shared" ref="A196:A259" si="45">A195+1</f>
        <v>44391</v>
      </c>
      <c r="B196" s="126" t="str">
        <f t="shared" si="42"/>
        <v>Wed</v>
      </c>
      <c r="C196" s="140"/>
      <c r="D196" s="128" t="str">
        <f t="shared" si="43"/>
        <v/>
      </c>
      <c r="E196" s="129" t="str">
        <f t="shared" si="44"/>
        <v/>
      </c>
      <c r="F196" s="130" t="str">
        <f>IF(SUMIF(Data!B:B,A196,Data!C:C)=0,"",SUMIF(Data!B:B,A196,Data!C:C))</f>
        <v/>
      </c>
      <c r="G196" s="126" t="str">
        <f>IF(OR(S196="T",S196="RUN",SUMIF(Data!B:B,A196,Data!E:E)=0),"",SUMIF(Data!B:B,A196,Data!E:E))</f>
        <v/>
      </c>
      <c r="H196" s="126" t="str">
        <f t="shared" si="36"/>
        <v/>
      </c>
      <c r="I196" s="131" t="str">
        <f t="shared" si="37"/>
        <v>0 (0)</v>
      </c>
      <c r="J196" s="131" t="str">
        <f t="shared" si="38"/>
        <v>1 (1)</v>
      </c>
      <c r="K196" s="131" t="str">
        <f t="shared" si="39"/>
        <v>1 (1)</v>
      </c>
      <c r="L196" s="132" t="str">
        <f t="shared" si="40"/>
        <v/>
      </c>
      <c r="M196" s="131" t="str">
        <f t="shared" si="41"/>
        <v/>
      </c>
      <c r="N196" s="126" t="str">
        <f>IF(ISNA(MATCH(A196,Data!B:B,0)),"",INDEX(Data!H:H,MATCH(A196,Data!B:B,1))) &amp; ""</f>
        <v/>
      </c>
      <c r="O196" s="126" t="str">
        <f>IF(ISNA(MATCH(A196,Data!B:B,0)),"",INDEX(Data!I:I,MATCH(A196,Data!B:B,1))) &amp; ""</f>
        <v/>
      </c>
      <c r="P196" s="133" t="str">
        <f>IF(ISNA(MATCH(A196,Data!B:B,0)),"",INDEX(Data!J:J,MATCH(A196,Data!B:B,1))) &amp; ""</f>
        <v/>
      </c>
      <c r="Q196" s="126" t="str">
        <f>IF(S196="T",Charts!$X$7,IF(ISNA(MATCH(A196,Data!B:B,0)),"",INDEX(Data!K:K,MATCH(A196,Data!B:B,1)))) &amp; ""</f>
        <v/>
      </c>
      <c r="R196" s="134"/>
      <c r="S196" s="134"/>
      <c r="T196" s="127"/>
      <c r="AF196" s="24" t="str">
        <f>IF(C196="","",INDEX(Workouts!B:B,MATCH(C196,Workouts!A:A,0)))</f>
        <v/>
      </c>
      <c r="AG196" s="24" t="str">
        <f>IF(SUMIF(Data!B:B,A196,Data!D:D)=0,"",SUMIF(Data!B:B,A196,Data!D:D))</f>
        <v/>
      </c>
      <c r="AH196" s="25" t="str">
        <f>IF(C196="","",INDEX(Workouts!C:C,MATCH(C196,Workouts!A:A,0)))</f>
        <v/>
      </c>
      <c r="AI196" s="68" t="str">
        <f>IF(SUMIF(Data!B:B,A196,Data!F:F)=0,"",SUMIF(Data!B:B,A196,Data!F:F))</f>
        <v/>
      </c>
      <c r="AJ196" s="68">
        <f>AJ195+ (IF(AH196="",0,AH196)-AJ195)/Charts!$X$5</f>
        <v>6.2755623191332083E-12</v>
      </c>
      <c r="AK196" s="68">
        <f>AK195+ (IF(AI196="",0,AI196)-AK195)/Charts!$X$5</f>
        <v>6.2755623191332083E-12</v>
      </c>
      <c r="AL196" s="68">
        <f>AL195+ (IF(AH196="",0,AH196)-AL195)/Charts!$X$6</f>
        <v>0.51294234855793586</v>
      </c>
      <c r="AM196" s="68">
        <f>AM195+ (IF(AI196="",0,AI196)-AM195)/Charts!$X$6</f>
        <v>0.51294234855793586</v>
      </c>
      <c r="AN196" s="68" t="str">
        <f t="shared" ref="AN196:AN259" si="46">TEXT(ROUND(AL195,0)-ROUND(AJ195,0),"0")</f>
        <v>1</v>
      </c>
      <c r="AO196" s="68" t="str">
        <f t="shared" ref="AO196:AO259" si="47">TEXT(ROUND(AM195,0)-ROUND(AK195,0),"0")</f>
        <v>1</v>
      </c>
      <c r="AP196" s="69" t="str">
        <f>IF(C196="","",INDEX(Workouts!D:D,MATCH(C196,Workouts!A:A,0)))</f>
        <v/>
      </c>
      <c r="AQ196" s="69" t="str">
        <f>IF(ISNA(MATCH(A196,Data!B:B,0)),"",INDEX(Data!G:G,MATCH(A196,Data!B:B,1)))</f>
        <v/>
      </c>
    </row>
    <row r="197" spans="1:43" s="1" customFormat="1" x14ac:dyDescent="0.2">
      <c r="A197" s="125">
        <f t="shared" si="45"/>
        <v>44392</v>
      </c>
      <c r="B197" s="126" t="str">
        <f t="shared" si="42"/>
        <v>Thu</v>
      </c>
      <c r="C197" s="140"/>
      <c r="D197" s="128" t="str">
        <f t="shared" si="43"/>
        <v/>
      </c>
      <c r="E197" s="129" t="str">
        <f t="shared" si="44"/>
        <v/>
      </c>
      <c r="F197" s="130" t="str">
        <f>IF(SUMIF(Data!B:B,A197,Data!C:C)=0,"",SUMIF(Data!B:B,A197,Data!C:C))</f>
        <v/>
      </c>
      <c r="G197" s="126" t="str">
        <f>IF(OR(S197="T",S197="RUN",SUMIF(Data!B:B,A197,Data!E:E)=0),"",SUMIF(Data!B:B,A197,Data!E:E))</f>
        <v/>
      </c>
      <c r="H197" s="126" t="str">
        <f t="shared" si="36"/>
        <v/>
      </c>
      <c r="I197" s="131" t="str">
        <f t="shared" si="37"/>
        <v>0 (0)</v>
      </c>
      <c r="J197" s="131" t="str">
        <f t="shared" si="38"/>
        <v>1 (1)</v>
      </c>
      <c r="K197" s="131" t="str">
        <f t="shared" si="39"/>
        <v>1 (1)</v>
      </c>
      <c r="L197" s="132" t="str">
        <f t="shared" si="40"/>
        <v/>
      </c>
      <c r="M197" s="131" t="str">
        <f t="shared" si="41"/>
        <v/>
      </c>
      <c r="N197" s="126" t="str">
        <f>IF(ISNA(MATCH(A197,Data!B:B,0)),"",INDEX(Data!H:H,MATCH(A197,Data!B:B,1))) &amp; ""</f>
        <v/>
      </c>
      <c r="O197" s="126" t="str">
        <f>IF(ISNA(MATCH(A197,Data!B:B,0)),"",INDEX(Data!I:I,MATCH(A197,Data!B:B,1))) &amp; ""</f>
        <v/>
      </c>
      <c r="P197" s="133" t="str">
        <f>IF(ISNA(MATCH(A197,Data!B:B,0)),"",INDEX(Data!J:J,MATCH(A197,Data!B:B,1))) &amp; ""</f>
        <v/>
      </c>
      <c r="Q197" s="126" t="str">
        <f>IF(S197="T",Charts!$X$7,IF(ISNA(MATCH(A197,Data!B:B,0)),"",INDEX(Data!K:K,MATCH(A197,Data!B:B,1)))) &amp; ""</f>
        <v/>
      </c>
      <c r="R197" s="134"/>
      <c r="S197" s="134"/>
      <c r="T197" s="127"/>
      <c r="AF197" s="24" t="str">
        <f>IF(C197="","",INDEX(Workouts!B:B,MATCH(C197,Workouts!A:A,0)))</f>
        <v/>
      </c>
      <c r="AG197" s="24" t="str">
        <f>IF(SUMIF(Data!B:B,A197,Data!D:D)=0,"",SUMIF(Data!B:B,A197,Data!D:D))</f>
        <v/>
      </c>
      <c r="AH197" s="25" t="str">
        <f>IF(C197="","",INDEX(Workouts!C:C,MATCH(C197,Workouts!A:A,0)))</f>
        <v/>
      </c>
      <c r="AI197" s="68" t="str">
        <f>IF(SUMIF(Data!B:B,A197,Data!F:F)=0,"",SUMIF(Data!B:B,A197,Data!F:F))</f>
        <v/>
      </c>
      <c r="AJ197" s="68">
        <f>AJ196+ (IF(AH197="",0,AH197)-AJ196)/Charts!$X$5</f>
        <v>5.3790534163998926E-12</v>
      </c>
      <c r="AK197" s="68">
        <f>AK196+ (IF(AI197="",0,AI197)-AK196)/Charts!$X$5</f>
        <v>5.3790534163998926E-12</v>
      </c>
      <c r="AL197" s="68">
        <f>AL196+ (IF(AH197="",0,AH197)-AL196)/Charts!$X$6</f>
        <v>0.50072943549703264</v>
      </c>
      <c r="AM197" s="68">
        <f>AM196+ (IF(AI197="",0,AI197)-AM196)/Charts!$X$6</f>
        <v>0.50072943549703264</v>
      </c>
      <c r="AN197" s="68" t="str">
        <f t="shared" si="46"/>
        <v>1</v>
      </c>
      <c r="AO197" s="68" t="str">
        <f t="shared" si="47"/>
        <v>1</v>
      </c>
      <c r="AP197" s="69" t="str">
        <f>IF(C197="","",INDEX(Workouts!D:D,MATCH(C197,Workouts!A:A,0)))</f>
        <v/>
      </c>
      <c r="AQ197" s="69" t="str">
        <f>IF(ISNA(MATCH(A197,Data!B:B,0)),"",INDEX(Data!G:G,MATCH(A197,Data!B:B,1)))</f>
        <v/>
      </c>
    </row>
    <row r="198" spans="1:43" s="26" customFormat="1" x14ac:dyDescent="0.2">
      <c r="A198" s="135">
        <f t="shared" si="45"/>
        <v>44393</v>
      </c>
      <c r="B198" s="136" t="str">
        <f t="shared" si="42"/>
        <v>Fri</v>
      </c>
      <c r="C198" s="141"/>
      <c r="D198" s="128" t="str">
        <f t="shared" si="43"/>
        <v/>
      </c>
      <c r="E198" s="129" t="str">
        <f t="shared" si="44"/>
        <v/>
      </c>
      <c r="F198" s="130" t="str">
        <f>IF(SUMIF(Data!B:B,A198,Data!C:C)=0,"",SUMIF(Data!B:B,A198,Data!C:C))</f>
        <v/>
      </c>
      <c r="G198" s="126" t="str">
        <f>IF(OR(S198="T",S198="RUN",SUMIF(Data!B:B,A198,Data!E:E)=0),"",SUMIF(Data!B:B,A198,Data!E:E))</f>
        <v/>
      </c>
      <c r="H198" s="126" t="str">
        <f t="shared" si="36"/>
        <v/>
      </c>
      <c r="I198" s="131" t="str">
        <f t="shared" si="37"/>
        <v>0 (0)</v>
      </c>
      <c r="J198" s="131" t="str">
        <f t="shared" si="38"/>
        <v>0 (0)</v>
      </c>
      <c r="K198" s="131" t="str">
        <f t="shared" si="39"/>
        <v>1 (1)</v>
      </c>
      <c r="L198" s="132" t="str">
        <f t="shared" si="40"/>
        <v/>
      </c>
      <c r="M198" s="131" t="str">
        <f t="shared" si="41"/>
        <v/>
      </c>
      <c r="N198" s="126" t="str">
        <f>IF(ISNA(MATCH(A198,Data!B:B,0)),"",INDEX(Data!H:H,MATCH(A198,Data!B:B,1))) &amp; ""</f>
        <v/>
      </c>
      <c r="O198" s="126" t="str">
        <f>IF(ISNA(MATCH(A198,Data!B:B,0)),"",INDEX(Data!I:I,MATCH(A198,Data!B:B,1))) &amp; ""</f>
        <v/>
      </c>
      <c r="P198" s="133" t="str">
        <f>IF(ISNA(MATCH(A198,Data!B:B,0)),"",INDEX(Data!J:J,MATCH(A198,Data!B:B,1))) &amp; ""</f>
        <v/>
      </c>
      <c r="Q198" s="126" t="str">
        <f>IF(S198="T",Charts!$X$7,IF(ISNA(MATCH(A198,Data!B:B,0)),"",INDEX(Data!K:K,MATCH(A198,Data!B:B,1)))) &amp; ""</f>
        <v/>
      </c>
      <c r="R198" s="134"/>
      <c r="S198" s="134"/>
      <c r="T198" s="127"/>
      <c r="AF198" s="24" t="str">
        <f>IF(C198="","",INDEX(Workouts!B:B,MATCH(C198,Workouts!A:A,0)))</f>
        <v/>
      </c>
      <c r="AG198" s="24" t="str">
        <f>IF(SUMIF(Data!B:B,A198,Data!D:D)=0,"",SUMIF(Data!B:B,A198,Data!D:D))</f>
        <v/>
      </c>
      <c r="AH198" s="25" t="str">
        <f>IF(C198="","",INDEX(Workouts!C:C,MATCH(C198,Workouts!A:A,0)))</f>
        <v/>
      </c>
      <c r="AI198" s="68" t="str">
        <f>IF(SUMIF(Data!B:B,A198,Data!F:F)=0,"",SUMIF(Data!B:B,A198,Data!F:F))</f>
        <v/>
      </c>
      <c r="AJ198" s="68">
        <f>AJ197+ (IF(AH198="",0,AH198)-AJ197)/Charts!$X$5</f>
        <v>4.6106172140570508E-12</v>
      </c>
      <c r="AK198" s="68">
        <f>AK197+ (IF(AI198="",0,AI198)-AK197)/Charts!$X$5</f>
        <v>4.6106172140570508E-12</v>
      </c>
      <c r="AL198" s="68">
        <f>AL197+ (IF(AH198="",0,AH198)-AL197)/Charts!$X$6</f>
        <v>0.4888073060804366</v>
      </c>
      <c r="AM198" s="68">
        <f>AM197+ (IF(AI198="",0,AI198)-AM197)/Charts!$X$6</f>
        <v>0.4888073060804366</v>
      </c>
      <c r="AN198" s="68" t="str">
        <f t="shared" si="46"/>
        <v>1</v>
      </c>
      <c r="AO198" s="68" t="str">
        <f t="shared" si="47"/>
        <v>1</v>
      </c>
      <c r="AP198" s="69" t="str">
        <f>IF(C198="","",INDEX(Workouts!D:D,MATCH(C198,Workouts!A:A,0)))</f>
        <v/>
      </c>
      <c r="AQ198" s="69" t="str">
        <f>IF(ISNA(MATCH(A198,Data!B:B,0)),"",INDEX(Data!G:G,MATCH(A198,Data!B:B,1)))</f>
        <v/>
      </c>
    </row>
    <row r="199" spans="1:43" s="1" customFormat="1" x14ac:dyDescent="0.2">
      <c r="A199" s="125">
        <f t="shared" si="45"/>
        <v>44394</v>
      </c>
      <c r="B199" s="126" t="str">
        <f t="shared" si="42"/>
        <v>Sat</v>
      </c>
      <c r="C199" s="140"/>
      <c r="D199" s="128" t="str">
        <f t="shared" si="43"/>
        <v/>
      </c>
      <c r="E199" s="129" t="str">
        <f t="shared" si="44"/>
        <v/>
      </c>
      <c r="F199" s="130" t="str">
        <f>IF(SUMIF(Data!B:B,A199,Data!C:C)=0,"",SUMIF(Data!B:B,A199,Data!C:C))</f>
        <v/>
      </c>
      <c r="G199" s="126" t="str">
        <f>IF(OR(S199="T",S199="RUN",SUMIF(Data!B:B,A199,Data!E:E)=0),"",SUMIF(Data!B:B,A199,Data!E:E))</f>
        <v/>
      </c>
      <c r="H199" s="126" t="str">
        <f t="shared" si="36"/>
        <v/>
      </c>
      <c r="I199" s="131" t="str">
        <f t="shared" si="37"/>
        <v>0 (0)</v>
      </c>
      <c r="J199" s="131" t="str">
        <f t="shared" si="38"/>
        <v>0 (0)</v>
      </c>
      <c r="K199" s="131" t="str">
        <f t="shared" si="39"/>
        <v>0 (0)</v>
      </c>
      <c r="L199" s="132" t="str">
        <f t="shared" si="40"/>
        <v/>
      </c>
      <c r="M199" s="131" t="str">
        <f t="shared" si="41"/>
        <v/>
      </c>
      <c r="N199" s="126" t="str">
        <f>IF(ISNA(MATCH(A199,Data!B:B,0)),"",INDEX(Data!H:H,MATCH(A199,Data!B:B,1))) &amp; ""</f>
        <v/>
      </c>
      <c r="O199" s="126" t="str">
        <f>IF(ISNA(MATCH(A199,Data!B:B,0)),"",INDEX(Data!I:I,MATCH(A199,Data!B:B,1))) &amp; ""</f>
        <v/>
      </c>
      <c r="P199" s="133" t="str">
        <f>IF(ISNA(MATCH(A199,Data!B:B,0)),"",INDEX(Data!J:J,MATCH(A199,Data!B:B,1))) &amp; ""</f>
        <v/>
      </c>
      <c r="Q199" s="126" t="str">
        <f>IF(S199="T",Charts!$X$7,IF(ISNA(MATCH(A199,Data!B:B,0)),"",INDEX(Data!K:K,MATCH(A199,Data!B:B,1)))) &amp; ""</f>
        <v/>
      </c>
      <c r="R199" s="134"/>
      <c r="S199" s="134"/>
      <c r="T199" s="127"/>
      <c r="AF199" s="24" t="str">
        <f>IF(C199="","",INDEX(Workouts!B:B,MATCH(C199,Workouts!A:A,0)))</f>
        <v/>
      </c>
      <c r="AG199" s="24" t="str">
        <f>IF(SUMIF(Data!B:B,A199,Data!D:D)=0,"",SUMIF(Data!B:B,A199,Data!D:D))</f>
        <v/>
      </c>
      <c r="AH199" s="25" t="str">
        <f>IF(C199="","",INDEX(Workouts!C:C,MATCH(C199,Workouts!A:A,0)))</f>
        <v/>
      </c>
      <c r="AI199" s="68" t="str">
        <f>IF(SUMIF(Data!B:B,A199,Data!F:F)=0,"",SUMIF(Data!B:B,A199,Data!F:F))</f>
        <v/>
      </c>
      <c r="AJ199" s="68">
        <f>AJ198+ (IF(AH199="",0,AH199)-AJ198)/Charts!$X$5</f>
        <v>3.9519576120489009E-12</v>
      </c>
      <c r="AK199" s="68">
        <f>AK198+ (IF(AI199="",0,AI199)-AK198)/Charts!$X$5</f>
        <v>3.9519576120489009E-12</v>
      </c>
      <c r="AL199" s="68">
        <f>AL198+ (IF(AH199="",0,AH199)-AL198)/Charts!$X$6</f>
        <v>0.47716903688804524</v>
      </c>
      <c r="AM199" s="68">
        <f>AM198+ (IF(AI199="",0,AI199)-AM198)/Charts!$X$6</f>
        <v>0.47716903688804524</v>
      </c>
      <c r="AN199" s="68" t="str">
        <f t="shared" si="46"/>
        <v>0</v>
      </c>
      <c r="AO199" s="68" t="str">
        <f t="shared" si="47"/>
        <v>0</v>
      </c>
      <c r="AP199" s="69" t="str">
        <f>IF(C199="","",INDEX(Workouts!D:D,MATCH(C199,Workouts!A:A,0)))</f>
        <v/>
      </c>
      <c r="AQ199" s="69" t="str">
        <f>IF(ISNA(MATCH(A199,Data!B:B,0)),"",INDEX(Data!G:G,MATCH(A199,Data!B:B,1)))</f>
        <v/>
      </c>
    </row>
    <row r="200" spans="1:43" s="1" customFormat="1" x14ac:dyDescent="0.2">
      <c r="A200" s="125">
        <f t="shared" si="45"/>
        <v>44395</v>
      </c>
      <c r="B200" s="126" t="str">
        <f t="shared" si="42"/>
        <v>Sun</v>
      </c>
      <c r="C200" s="140"/>
      <c r="D200" s="128" t="str">
        <f t="shared" si="43"/>
        <v/>
      </c>
      <c r="E200" s="129" t="str">
        <f t="shared" si="44"/>
        <v/>
      </c>
      <c r="F200" s="130" t="str">
        <f>IF(SUMIF(Data!B:B,A200,Data!C:C)=0,"",SUMIF(Data!B:B,A200,Data!C:C))</f>
        <v/>
      </c>
      <c r="G200" s="126" t="str">
        <f>IF(OR(S200="T",S200="RUN",SUMIF(Data!B:B,A200,Data!E:E)=0),"",SUMIF(Data!B:B,A200,Data!E:E))</f>
        <v/>
      </c>
      <c r="H200" s="126" t="str">
        <f t="shared" si="36"/>
        <v/>
      </c>
      <c r="I200" s="131" t="str">
        <f t="shared" si="37"/>
        <v>0 (0)</v>
      </c>
      <c r="J200" s="131" t="str">
        <f t="shared" si="38"/>
        <v>0 (0)</v>
      </c>
      <c r="K200" s="131" t="str">
        <f t="shared" si="39"/>
        <v>0 (0)</v>
      </c>
      <c r="L200" s="132" t="str">
        <f t="shared" si="40"/>
        <v/>
      </c>
      <c r="M200" s="131" t="str">
        <f t="shared" si="41"/>
        <v/>
      </c>
      <c r="N200" s="126" t="str">
        <f>IF(ISNA(MATCH(A200,Data!B:B,0)),"",INDEX(Data!H:H,MATCH(A200,Data!B:B,1))) &amp; ""</f>
        <v/>
      </c>
      <c r="O200" s="126" t="str">
        <f>IF(ISNA(MATCH(A200,Data!B:B,0)),"",INDEX(Data!I:I,MATCH(A200,Data!B:B,1))) &amp; ""</f>
        <v/>
      </c>
      <c r="P200" s="133" t="str">
        <f>IF(ISNA(MATCH(A200,Data!B:B,0)),"",INDEX(Data!J:J,MATCH(A200,Data!B:B,1))) &amp; ""</f>
        <v/>
      </c>
      <c r="Q200" s="126" t="str">
        <f>IF(S200="T",Charts!$X$7,IF(ISNA(MATCH(A200,Data!B:B,0)),"",INDEX(Data!K:K,MATCH(A200,Data!B:B,1)))) &amp; ""</f>
        <v/>
      </c>
      <c r="R200" s="134"/>
      <c r="S200" s="134"/>
      <c r="T200" s="127"/>
      <c r="AF200" s="24" t="str">
        <f>IF(C200="","",INDEX(Workouts!B:B,MATCH(C200,Workouts!A:A,0)))</f>
        <v/>
      </c>
      <c r="AG200" s="24" t="str">
        <f>IF(SUMIF(Data!B:B,A200,Data!D:D)=0,"",SUMIF(Data!B:B,A200,Data!D:D))</f>
        <v/>
      </c>
      <c r="AH200" s="25" t="str">
        <f>IF(C200="","",INDEX(Workouts!C:C,MATCH(C200,Workouts!A:A,0)))</f>
        <v/>
      </c>
      <c r="AI200" s="68" t="str">
        <f>IF(SUMIF(Data!B:B,A200,Data!F:F)=0,"",SUMIF(Data!B:B,A200,Data!F:F))</f>
        <v/>
      </c>
      <c r="AJ200" s="68">
        <f>AJ199+ (IF(AH200="",0,AH200)-AJ199)/Charts!$X$5</f>
        <v>3.3873922388990579E-12</v>
      </c>
      <c r="AK200" s="68">
        <f>AK199+ (IF(AI200="",0,AI200)-AK199)/Charts!$X$5</f>
        <v>3.3873922388990579E-12</v>
      </c>
      <c r="AL200" s="68">
        <f>AL199+ (IF(AH200="",0,AH200)-AL199)/Charts!$X$6</f>
        <v>0.46580786934309176</v>
      </c>
      <c r="AM200" s="68">
        <f>AM199+ (IF(AI200="",0,AI200)-AM199)/Charts!$X$6</f>
        <v>0.46580786934309176</v>
      </c>
      <c r="AN200" s="68" t="str">
        <f t="shared" si="46"/>
        <v>0</v>
      </c>
      <c r="AO200" s="68" t="str">
        <f t="shared" si="47"/>
        <v>0</v>
      </c>
      <c r="AP200" s="69" t="str">
        <f>IF(C200="","",INDEX(Workouts!D:D,MATCH(C200,Workouts!A:A,0)))</f>
        <v/>
      </c>
      <c r="AQ200" s="69" t="str">
        <f>IF(ISNA(MATCH(A200,Data!B:B,0)),"",INDEX(Data!G:G,MATCH(A200,Data!B:B,1)))</f>
        <v/>
      </c>
    </row>
    <row r="201" spans="1:43" s="1" customFormat="1" x14ac:dyDescent="0.2">
      <c r="A201" s="125">
        <f t="shared" si="45"/>
        <v>44396</v>
      </c>
      <c r="B201" s="126" t="str">
        <f t="shared" si="42"/>
        <v>Mon</v>
      </c>
      <c r="C201" s="140"/>
      <c r="D201" s="128" t="str">
        <f t="shared" si="43"/>
        <v/>
      </c>
      <c r="E201" s="129" t="str">
        <f t="shared" si="44"/>
        <v/>
      </c>
      <c r="F201" s="130" t="str">
        <f>IF(SUMIF(Data!B:B,A201,Data!C:C)=0,"",SUMIF(Data!B:B,A201,Data!C:C))</f>
        <v/>
      </c>
      <c r="G201" s="126" t="str">
        <f>IF(OR(S201="T",S201="RUN",SUMIF(Data!B:B,A201,Data!E:E)=0),"",SUMIF(Data!B:B,A201,Data!E:E))</f>
        <v/>
      </c>
      <c r="H201" s="126" t="str">
        <f t="shared" si="36"/>
        <v/>
      </c>
      <c r="I201" s="131" t="str">
        <f t="shared" si="37"/>
        <v>0 (0)</v>
      </c>
      <c r="J201" s="131" t="str">
        <f t="shared" si="38"/>
        <v>0 (0)</v>
      </c>
      <c r="K201" s="131" t="str">
        <f t="shared" si="39"/>
        <v>0 (0)</v>
      </c>
      <c r="L201" s="132" t="str">
        <f t="shared" si="40"/>
        <v/>
      </c>
      <c r="M201" s="131" t="str">
        <f t="shared" si="41"/>
        <v/>
      </c>
      <c r="N201" s="126" t="str">
        <f>IF(ISNA(MATCH(A201,Data!B:B,0)),"",INDEX(Data!H:H,MATCH(A201,Data!B:B,1))) &amp; ""</f>
        <v/>
      </c>
      <c r="O201" s="126" t="str">
        <f>IF(ISNA(MATCH(A201,Data!B:B,0)),"",INDEX(Data!I:I,MATCH(A201,Data!B:B,1))) &amp; ""</f>
        <v/>
      </c>
      <c r="P201" s="133" t="str">
        <f>IF(ISNA(MATCH(A201,Data!B:B,0)),"",INDEX(Data!J:J,MATCH(A201,Data!B:B,1))) &amp; ""</f>
        <v/>
      </c>
      <c r="Q201" s="126" t="str">
        <f>IF(S201="T",Charts!$X$7,IF(ISNA(MATCH(A201,Data!B:B,0)),"",INDEX(Data!K:K,MATCH(A201,Data!B:B,1)))) &amp; ""</f>
        <v/>
      </c>
      <c r="R201" s="134"/>
      <c r="S201" s="134"/>
      <c r="T201" s="127"/>
      <c r="AF201" s="24" t="str">
        <f>IF(C201="","",INDEX(Workouts!B:B,MATCH(C201,Workouts!A:A,0)))</f>
        <v/>
      </c>
      <c r="AG201" s="24" t="str">
        <f>IF(SUMIF(Data!B:B,A201,Data!D:D)=0,"",SUMIF(Data!B:B,A201,Data!D:D))</f>
        <v/>
      </c>
      <c r="AH201" s="25" t="str">
        <f>IF(C201="","",INDEX(Workouts!C:C,MATCH(C201,Workouts!A:A,0)))</f>
        <v/>
      </c>
      <c r="AI201" s="68" t="str">
        <f>IF(SUMIF(Data!B:B,A201,Data!F:F)=0,"",SUMIF(Data!B:B,A201,Data!F:F))</f>
        <v/>
      </c>
      <c r="AJ201" s="68">
        <f>AJ200+ (IF(AH201="",0,AH201)-AJ200)/Charts!$X$5</f>
        <v>2.903479061913478E-12</v>
      </c>
      <c r="AK201" s="68">
        <f>AK200+ (IF(AI201="",0,AI201)-AK200)/Charts!$X$5</f>
        <v>2.903479061913478E-12</v>
      </c>
      <c r="AL201" s="68">
        <f>AL200+ (IF(AH201="",0,AH201)-AL200)/Charts!$X$6</f>
        <v>0.45471720578730385</v>
      </c>
      <c r="AM201" s="68">
        <f>AM200+ (IF(AI201="",0,AI201)-AM200)/Charts!$X$6</f>
        <v>0.45471720578730385</v>
      </c>
      <c r="AN201" s="68" t="str">
        <f t="shared" si="46"/>
        <v>0</v>
      </c>
      <c r="AO201" s="68" t="str">
        <f t="shared" si="47"/>
        <v>0</v>
      </c>
      <c r="AP201" s="69" t="str">
        <f>IF(C201="","",INDEX(Workouts!D:D,MATCH(C201,Workouts!A:A,0)))</f>
        <v/>
      </c>
      <c r="AQ201" s="69" t="str">
        <f>IF(ISNA(MATCH(A201,Data!B:B,0)),"",INDEX(Data!G:G,MATCH(A201,Data!B:B,1)))</f>
        <v/>
      </c>
    </row>
    <row r="202" spans="1:43" s="1" customFormat="1" x14ac:dyDescent="0.2">
      <c r="A202" s="125">
        <f t="shared" si="45"/>
        <v>44397</v>
      </c>
      <c r="B202" s="126" t="str">
        <f t="shared" si="42"/>
        <v>Tue</v>
      </c>
      <c r="C202" s="140"/>
      <c r="D202" s="128" t="str">
        <f t="shared" si="43"/>
        <v/>
      </c>
      <c r="E202" s="129" t="str">
        <f t="shared" si="44"/>
        <v/>
      </c>
      <c r="F202" s="130" t="str">
        <f>IF(SUMIF(Data!B:B,A202,Data!C:C)=0,"",SUMIF(Data!B:B,A202,Data!C:C))</f>
        <v/>
      </c>
      <c r="G202" s="126" t="str">
        <f>IF(OR(S202="T",S202="RUN",SUMIF(Data!B:B,A202,Data!E:E)=0),"",SUMIF(Data!B:B,A202,Data!E:E))</f>
        <v/>
      </c>
      <c r="H202" s="126" t="str">
        <f t="shared" si="36"/>
        <v/>
      </c>
      <c r="I202" s="131" t="str">
        <f t="shared" si="37"/>
        <v>0 (0)</v>
      </c>
      <c r="J202" s="131" t="str">
        <f t="shared" si="38"/>
        <v>0 (0)</v>
      </c>
      <c r="K202" s="131" t="str">
        <f t="shared" si="39"/>
        <v>0 (0)</v>
      </c>
      <c r="L202" s="132" t="str">
        <f t="shared" si="40"/>
        <v/>
      </c>
      <c r="M202" s="131" t="str">
        <f t="shared" si="41"/>
        <v/>
      </c>
      <c r="N202" s="126" t="str">
        <f>IF(ISNA(MATCH(A202,Data!B:B,0)),"",INDEX(Data!H:H,MATCH(A202,Data!B:B,1))) &amp; ""</f>
        <v/>
      </c>
      <c r="O202" s="126" t="str">
        <f>IF(ISNA(MATCH(A202,Data!B:B,0)),"",INDEX(Data!I:I,MATCH(A202,Data!B:B,1))) &amp; ""</f>
        <v/>
      </c>
      <c r="P202" s="133" t="str">
        <f>IF(ISNA(MATCH(A202,Data!B:B,0)),"",INDEX(Data!J:J,MATCH(A202,Data!B:B,1))) &amp; ""</f>
        <v/>
      </c>
      <c r="Q202" s="126" t="str">
        <f>IF(S202="T",Charts!$X$7,IF(ISNA(MATCH(A202,Data!B:B,0)),"",INDEX(Data!K:K,MATCH(A202,Data!B:B,1)))) &amp; ""</f>
        <v/>
      </c>
      <c r="R202" s="134"/>
      <c r="S202" s="134"/>
      <c r="T202" s="127"/>
      <c r="AF202" s="24" t="str">
        <f>IF(C202="","",INDEX(Workouts!B:B,MATCH(C202,Workouts!A:A,0)))</f>
        <v/>
      </c>
      <c r="AG202" s="24" t="str">
        <f>IF(SUMIF(Data!B:B,A202,Data!D:D)=0,"",SUMIF(Data!B:B,A202,Data!D:D))</f>
        <v/>
      </c>
      <c r="AH202" s="25" t="str">
        <f>IF(C202="","",INDEX(Workouts!C:C,MATCH(C202,Workouts!A:A,0)))</f>
        <v/>
      </c>
      <c r="AI202" s="68" t="str">
        <f>IF(SUMIF(Data!B:B,A202,Data!F:F)=0,"",SUMIF(Data!B:B,A202,Data!F:F))</f>
        <v/>
      </c>
      <c r="AJ202" s="68">
        <f>AJ201+ (IF(AH202="",0,AH202)-AJ201)/Charts!$X$5</f>
        <v>2.488696338782981E-12</v>
      </c>
      <c r="AK202" s="68">
        <f>AK201+ (IF(AI202="",0,AI202)-AK201)/Charts!$X$5</f>
        <v>2.488696338782981E-12</v>
      </c>
      <c r="AL202" s="68">
        <f>AL201+ (IF(AH202="",0,AH202)-AL201)/Charts!$X$6</f>
        <v>0.44389060564951088</v>
      </c>
      <c r="AM202" s="68">
        <f>AM201+ (IF(AI202="",0,AI202)-AM201)/Charts!$X$6</f>
        <v>0.44389060564951088</v>
      </c>
      <c r="AN202" s="68" t="str">
        <f t="shared" si="46"/>
        <v>0</v>
      </c>
      <c r="AO202" s="68" t="str">
        <f t="shared" si="47"/>
        <v>0</v>
      </c>
      <c r="AP202" s="69" t="str">
        <f>IF(C202="","",INDEX(Workouts!D:D,MATCH(C202,Workouts!A:A,0)))</f>
        <v/>
      </c>
      <c r="AQ202" s="69" t="str">
        <f>IF(ISNA(MATCH(A202,Data!B:B,0)),"",INDEX(Data!G:G,MATCH(A202,Data!B:B,1)))</f>
        <v/>
      </c>
    </row>
    <row r="203" spans="1:43" s="1" customFormat="1" x14ac:dyDescent="0.2">
      <c r="A203" s="125">
        <f t="shared" si="45"/>
        <v>44398</v>
      </c>
      <c r="B203" s="126" t="str">
        <f t="shared" si="42"/>
        <v>Wed</v>
      </c>
      <c r="C203" s="140"/>
      <c r="D203" s="128" t="str">
        <f t="shared" si="43"/>
        <v/>
      </c>
      <c r="E203" s="129" t="str">
        <f t="shared" si="44"/>
        <v/>
      </c>
      <c r="F203" s="130" t="str">
        <f>IF(SUMIF(Data!B:B,A203,Data!C:C)=0,"",SUMIF(Data!B:B,A203,Data!C:C))</f>
        <v/>
      </c>
      <c r="G203" s="126" t="str">
        <f>IF(OR(S203="T",S203="RUN",SUMIF(Data!B:B,A203,Data!E:E)=0),"",SUMIF(Data!B:B,A203,Data!E:E))</f>
        <v/>
      </c>
      <c r="H203" s="126" t="str">
        <f t="shared" si="36"/>
        <v/>
      </c>
      <c r="I203" s="131" t="str">
        <f t="shared" si="37"/>
        <v>0 (0)</v>
      </c>
      <c r="J203" s="131" t="str">
        <f t="shared" si="38"/>
        <v>0 (0)</v>
      </c>
      <c r="K203" s="131" t="str">
        <f t="shared" si="39"/>
        <v>0 (0)</v>
      </c>
      <c r="L203" s="132" t="str">
        <f t="shared" si="40"/>
        <v/>
      </c>
      <c r="M203" s="131" t="str">
        <f t="shared" si="41"/>
        <v/>
      </c>
      <c r="N203" s="126" t="str">
        <f>IF(ISNA(MATCH(A203,Data!B:B,0)),"",INDEX(Data!H:H,MATCH(A203,Data!B:B,1))) &amp; ""</f>
        <v/>
      </c>
      <c r="O203" s="126" t="str">
        <f>IF(ISNA(MATCH(A203,Data!B:B,0)),"",INDEX(Data!I:I,MATCH(A203,Data!B:B,1))) &amp; ""</f>
        <v/>
      </c>
      <c r="P203" s="133" t="str">
        <f>IF(ISNA(MATCH(A203,Data!B:B,0)),"",INDEX(Data!J:J,MATCH(A203,Data!B:B,1))) &amp; ""</f>
        <v/>
      </c>
      <c r="Q203" s="126" t="str">
        <f>IF(S203="T",Charts!$X$7,IF(ISNA(MATCH(A203,Data!B:B,0)),"",INDEX(Data!K:K,MATCH(A203,Data!B:B,1)))) &amp; ""</f>
        <v/>
      </c>
      <c r="R203" s="134"/>
      <c r="S203" s="134"/>
      <c r="T203" s="127"/>
      <c r="AF203" s="24" t="str">
        <f>IF(C203="","",INDEX(Workouts!B:B,MATCH(C203,Workouts!A:A,0)))</f>
        <v/>
      </c>
      <c r="AG203" s="24" t="str">
        <f>IF(SUMIF(Data!B:B,A203,Data!D:D)=0,"",SUMIF(Data!B:B,A203,Data!D:D))</f>
        <v/>
      </c>
      <c r="AH203" s="25" t="str">
        <f>IF(C203="","",INDEX(Workouts!C:C,MATCH(C203,Workouts!A:A,0)))</f>
        <v/>
      </c>
      <c r="AI203" s="68" t="str">
        <f>IF(SUMIF(Data!B:B,A203,Data!F:F)=0,"",SUMIF(Data!B:B,A203,Data!F:F))</f>
        <v/>
      </c>
      <c r="AJ203" s="68">
        <f>AJ202+ (IF(AH203="",0,AH203)-AJ202)/Charts!$X$5</f>
        <v>2.1331682903854121E-12</v>
      </c>
      <c r="AK203" s="68">
        <f>AK202+ (IF(AI203="",0,AI203)-AK202)/Charts!$X$5</f>
        <v>2.1331682903854121E-12</v>
      </c>
      <c r="AL203" s="68">
        <f>AL202+ (IF(AH203="",0,AH203)-AL202)/Charts!$X$6</f>
        <v>0.43332178170547492</v>
      </c>
      <c r="AM203" s="68">
        <f>AM202+ (IF(AI203="",0,AI203)-AM202)/Charts!$X$6</f>
        <v>0.43332178170547492</v>
      </c>
      <c r="AN203" s="68" t="str">
        <f t="shared" si="46"/>
        <v>0</v>
      </c>
      <c r="AO203" s="68" t="str">
        <f t="shared" si="47"/>
        <v>0</v>
      </c>
      <c r="AP203" s="69" t="str">
        <f>IF(C203="","",INDEX(Workouts!D:D,MATCH(C203,Workouts!A:A,0)))</f>
        <v/>
      </c>
      <c r="AQ203" s="69" t="str">
        <f>IF(ISNA(MATCH(A203,Data!B:B,0)),"",INDEX(Data!G:G,MATCH(A203,Data!B:B,1)))</f>
        <v/>
      </c>
    </row>
    <row r="204" spans="1:43" s="1" customFormat="1" x14ac:dyDescent="0.2">
      <c r="A204" s="125">
        <f t="shared" si="45"/>
        <v>44399</v>
      </c>
      <c r="B204" s="126" t="str">
        <f t="shared" si="42"/>
        <v>Thu</v>
      </c>
      <c r="C204" s="140"/>
      <c r="D204" s="128" t="str">
        <f t="shared" si="43"/>
        <v/>
      </c>
      <c r="E204" s="129" t="str">
        <f t="shared" si="44"/>
        <v/>
      </c>
      <c r="F204" s="130" t="str">
        <f>IF(SUMIF(Data!B:B,A204,Data!C:C)=0,"",SUMIF(Data!B:B,A204,Data!C:C))</f>
        <v/>
      </c>
      <c r="G204" s="126" t="str">
        <f>IF(OR(S204="T",S204="RUN",SUMIF(Data!B:B,A204,Data!E:E)=0),"",SUMIF(Data!B:B,A204,Data!E:E))</f>
        <v/>
      </c>
      <c r="H204" s="126" t="str">
        <f t="shared" si="36"/>
        <v/>
      </c>
      <c r="I204" s="131" t="str">
        <f t="shared" si="37"/>
        <v>0 (0)</v>
      </c>
      <c r="J204" s="131" t="str">
        <f t="shared" si="38"/>
        <v>0 (0)</v>
      </c>
      <c r="K204" s="131" t="str">
        <f t="shared" si="39"/>
        <v>0 (0)</v>
      </c>
      <c r="L204" s="132" t="str">
        <f t="shared" si="40"/>
        <v/>
      </c>
      <c r="M204" s="131" t="str">
        <f t="shared" si="41"/>
        <v/>
      </c>
      <c r="N204" s="126" t="str">
        <f>IF(ISNA(MATCH(A204,Data!B:B,0)),"",INDEX(Data!H:H,MATCH(A204,Data!B:B,1))) &amp; ""</f>
        <v/>
      </c>
      <c r="O204" s="126" t="str">
        <f>IF(ISNA(MATCH(A204,Data!B:B,0)),"",INDEX(Data!I:I,MATCH(A204,Data!B:B,1))) &amp; ""</f>
        <v/>
      </c>
      <c r="P204" s="133" t="str">
        <f>IF(ISNA(MATCH(A204,Data!B:B,0)),"",INDEX(Data!J:J,MATCH(A204,Data!B:B,1))) &amp; ""</f>
        <v/>
      </c>
      <c r="Q204" s="126" t="str">
        <f>IF(S204="T",Charts!$X$7,IF(ISNA(MATCH(A204,Data!B:B,0)),"",INDEX(Data!K:K,MATCH(A204,Data!B:B,1)))) &amp; ""</f>
        <v/>
      </c>
      <c r="R204" s="134"/>
      <c r="S204" s="134"/>
      <c r="T204" s="127"/>
      <c r="AF204" s="24" t="str">
        <f>IF(C204="","",INDEX(Workouts!B:B,MATCH(C204,Workouts!A:A,0)))</f>
        <v/>
      </c>
      <c r="AG204" s="24" t="str">
        <f>IF(SUMIF(Data!B:B,A204,Data!D:D)=0,"",SUMIF(Data!B:B,A204,Data!D:D))</f>
        <v/>
      </c>
      <c r="AH204" s="25" t="str">
        <f>IF(C204="","",INDEX(Workouts!C:C,MATCH(C204,Workouts!A:A,0)))</f>
        <v/>
      </c>
      <c r="AI204" s="68" t="str">
        <f>IF(SUMIF(Data!B:B,A204,Data!F:F)=0,"",SUMIF(Data!B:B,A204,Data!F:F))</f>
        <v/>
      </c>
      <c r="AJ204" s="68">
        <f>AJ203+ (IF(AH204="",0,AH204)-AJ203)/Charts!$X$5</f>
        <v>1.8284299631874962E-12</v>
      </c>
      <c r="AK204" s="68">
        <f>AK203+ (IF(AI204="",0,AI204)-AK203)/Charts!$X$5</f>
        <v>1.8284299631874962E-12</v>
      </c>
      <c r="AL204" s="68">
        <f>AL203+ (IF(AH204="",0,AH204)-AL203)/Charts!$X$6</f>
        <v>0.42300459642677313</v>
      </c>
      <c r="AM204" s="68">
        <f>AM203+ (IF(AI204="",0,AI204)-AM203)/Charts!$X$6</f>
        <v>0.42300459642677313</v>
      </c>
      <c r="AN204" s="68" t="str">
        <f t="shared" si="46"/>
        <v>0</v>
      </c>
      <c r="AO204" s="68" t="str">
        <f t="shared" si="47"/>
        <v>0</v>
      </c>
      <c r="AP204" s="69" t="str">
        <f>IF(C204="","",INDEX(Workouts!D:D,MATCH(C204,Workouts!A:A,0)))</f>
        <v/>
      </c>
      <c r="AQ204" s="69" t="str">
        <f>IF(ISNA(MATCH(A204,Data!B:B,0)),"",INDEX(Data!G:G,MATCH(A204,Data!B:B,1)))</f>
        <v/>
      </c>
    </row>
    <row r="205" spans="1:43" s="26" customFormat="1" x14ac:dyDescent="0.2">
      <c r="A205" s="135">
        <f t="shared" si="45"/>
        <v>44400</v>
      </c>
      <c r="B205" s="136" t="str">
        <f t="shared" si="42"/>
        <v>Fri</v>
      </c>
      <c r="C205" s="141"/>
      <c r="D205" s="128" t="str">
        <f t="shared" si="43"/>
        <v/>
      </c>
      <c r="E205" s="129" t="str">
        <f t="shared" si="44"/>
        <v/>
      </c>
      <c r="F205" s="130" t="str">
        <f>IF(SUMIF(Data!B:B,A205,Data!C:C)=0,"",SUMIF(Data!B:B,A205,Data!C:C))</f>
        <v/>
      </c>
      <c r="G205" s="126" t="str">
        <f>IF(OR(S205="T",S205="RUN",SUMIF(Data!B:B,A205,Data!E:E)=0),"",SUMIF(Data!B:B,A205,Data!E:E))</f>
        <v/>
      </c>
      <c r="H205" s="126" t="str">
        <f t="shared" si="36"/>
        <v/>
      </c>
      <c r="I205" s="131" t="str">
        <f t="shared" si="37"/>
        <v>0 (0)</v>
      </c>
      <c r="J205" s="131" t="str">
        <f t="shared" si="38"/>
        <v>0 (0)</v>
      </c>
      <c r="K205" s="131" t="str">
        <f t="shared" si="39"/>
        <v>0 (0)</v>
      </c>
      <c r="L205" s="132" t="str">
        <f t="shared" si="40"/>
        <v/>
      </c>
      <c r="M205" s="131" t="str">
        <f t="shared" si="41"/>
        <v/>
      </c>
      <c r="N205" s="126" t="str">
        <f>IF(ISNA(MATCH(A205,Data!B:B,0)),"",INDEX(Data!H:H,MATCH(A205,Data!B:B,1))) &amp; ""</f>
        <v/>
      </c>
      <c r="O205" s="126" t="str">
        <f>IF(ISNA(MATCH(A205,Data!B:B,0)),"",INDEX(Data!I:I,MATCH(A205,Data!B:B,1))) &amp; ""</f>
        <v/>
      </c>
      <c r="P205" s="133" t="str">
        <f>IF(ISNA(MATCH(A205,Data!B:B,0)),"",INDEX(Data!J:J,MATCH(A205,Data!B:B,1))) &amp; ""</f>
        <v/>
      </c>
      <c r="Q205" s="126" t="str">
        <f>IF(S205="T",Charts!$X$7,IF(ISNA(MATCH(A205,Data!B:B,0)),"",INDEX(Data!K:K,MATCH(A205,Data!B:B,1)))) &amp; ""</f>
        <v/>
      </c>
      <c r="R205" s="134"/>
      <c r="S205" s="134"/>
      <c r="T205" s="127"/>
      <c r="AF205" s="24" t="str">
        <f>IF(C205="","",INDEX(Workouts!B:B,MATCH(C205,Workouts!A:A,0)))</f>
        <v/>
      </c>
      <c r="AG205" s="24" t="str">
        <f>IF(SUMIF(Data!B:B,A205,Data!D:D)=0,"",SUMIF(Data!B:B,A205,Data!D:D))</f>
        <v/>
      </c>
      <c r="AH205" s="25" t="str">
        <f>IF(C205="","",INDEX(Workouts!C:C,MATCH(C205,Workouts!A:A,0)))</f>
        <v/>
      </c>
      <c r="AI205" s="68" t="str">
        <f>IF(SUMIF(Data!B:B,A205,Data!F:F)=0,"",SUMIF(Data!B:B,A205,Data!F:F))</f>
        <v/>
      </c>
      <c r="AJ205" s="68">
        <f>AJ204+ (IF(AH205="",0,AH205)-AJ204)/Charts!$X$5</f>
        <v>1.5672256827321397E-12</v>
      </c>
      <c r="AK205" s="68">
        <f>AK204+ (IF(AI205="",0,AI205)-AK204)/Charts!$X$5</f>
        <v>1.5672256827321397E-12</v>
      </c>
      <c r="AL205" s="68">
        <f>AL204+ (IF(AH205="",0,AH205)-AL204)/Charts!$X$6</f>
        <v>0.41293305841661188</v>
      </c>
      <c r="AM205" s="68">
        <f>AM204+ (IF(AI205="",0,AI205)-AM204)/Charts!$X$6</f>
        <v>0.41293305841661188</v>
      </c>
      <c r="AN205" s="68" t="str">
        <f t="shared" si="46"/>
        <v>0</v>
      </c>
      <c r="AO205" s="68" t="str">
        <f t="shared" si="47"/>
        <v>0</v>
      </c>
      <c r="AP205" s="69" t="str">
        <f>IF(C205="","",INDEX(Workouts!D:D,MATCH(C205,Workouts!A:A,0)))</f>
        <v/>
      </c>
      <c r="AQ205" s="69" t="str">
        <f>IF(ISNA(MATCH(A205,Data!B:B,0)),"",INDEX(Data!G:G,MATCH(A205,Data!B:B,1)))</f>
        <v/>
      </c>
    </row>
    <row r="206" spans="1:43" s="1" customFormat="1" x14ac:dyDescent="0.2">
      <c r="A206" s="125">
        <f t="shared" si="45"/>
        <v>44401</v>
      </c>
      <c r="B206" s="126" t="str">
        <f t="shared" si="42"/>
        <v>Sat</v>
      </c>
      <c r="C206" s="140"/>
      <c r="D206" s="128" t="str">
        <f t="shared" si="43"/>
        <v/>
      </c>
      <c r="E206" s="129" t="str">
        <f t="shared" si="44"/>
        <v/>
      </c>
      <c r="F206" s="130" t="str">
        <f>IF(SUMIF(Data!B:B,A206,Data!C:C)=0,"",SUMIF(Data!B:B,A206,Data!C:C))</f>
        <v/>
      </c>
      <c r="G206" s="126" t="str">
        <f>IF(OR(S206="T",S206="RUN",SUMIF(Data!B:B,A206,Data!E:E)=0),"",SUMIF(Data!B:B,A206,Data!E:E))</f>
        <v/>
      </c>
      <c r="H206" s="126" t="str">
        <f t="shared" si="36"/>
        <v/>
      </c>
      <c r="I206" s="131" t="str">
        <f t="shared" si="37"/>
        <v>0 (0)</v>
      </c>
      <c r="J206" s="131" t="str">
        <f t="shared" si="38"/>
        <v>0 (0)</v>
      </c>
      <c r="K206" s="131" t="str">
        <f t="shared" si="39"/>
        <v>0 (0)</v>
      </c>
      <c r="L206" s="132" t="str">
        <f t="shared" si="40"/>
        <v/>
      </c>
      <c r="M206" s="131" t="str">
        <f t="shared" si="41"/>
        <v/>
      </c>
      <c r="N206" s="126" t="str">
        <f>IF(ISNA(MATCH(A206,Data!B:B,0)),"",INDEX(Data!H:H,MATCH(A206,Data!B:B,1))) &amp; ""</f>
        <v/>
      </c>
      <c r="O206" s="126" t="str">
        <f>IF(ISNA(MATCH(A206,Data!B:B,0)),"",INDEX(Data!I:I,MATCH(A206,Data!B:B,1))) &amp; ""</f>
        <v/>
      </c>
      <c r="P206" s="133" t="str">
        <f>IF(ISNA(MATCH(A206,Data!B:B,0)),"",INDEX(Data!J:J,MATCH(A206,Data!B:B,1))) &amp; ""</f>
        <v/>
      </c>
      <c r="Q206" s="126" t="str">
        <f>IF(S206="T",Charts!$X$7,IF(ISNA(MATCH(A206,Data!B:B,0)),"",INDEX(Data!K:K,MATCH(A206,Data!B:B,1)))) &amp; ""</f>
        <v/>
      </c>
      <c r="R206" s="134"/>
      <c r="S206" s="134"/>
      <c r="T206" s="127"/>
      <c r="AF206" s="24" t="str">
        <f>IF(C206="","",INDEX(Workouts!B:B,MATCH(C206,Workouts!A:A,0)))</f>
        <v/>
      </c>
      <c r="AG206" s="24" t="str">
        <f>IF(SUMIF(Data!B:B,A206,Data!D:D)=0,"",SUMIF(Data!B:B,A206,Data!D:D))</f>
        <v/>
      </c>
      <c r="AH206" s="25" t="str">
        <f>IF(C206="","",INDEX(Workouts!C:C,MATCH(C206,Workouts!A:A,0)))</f>
        <v/>
      </c>
      <c r="AI206" s="68" t="str">
        <f>IF(SUMIF(Data!B:B,A206,Data!F:F)=0,"",SUMIF(Data!B:B,A206,Data!F:F))</f>
        <v/>
      </c>
      <c r="AJ206" s="68">
        <f>AJ205+ (IF(AH206="",0,AH206)-AJ205)/Charts!$X$5</f>
        <v>1.3433362994846912E-12</v>
      </c>
      <c r="AK206" s="68">
        <f>AK205+ (IF(AI206="",0,AI206)-AK205)/Charts!$X$5</f>
        <v>1.3433362994846912E-12</v>
      </c>
      <c r="AL206" s="68">
        <f>AL205+ (IF(AH206="",0,AH206)-AL205)/Charts!$X$6</f>
        <v>0.40310131893050205</v>
      </c>
      <c r="AM206" s="68">
        <f>AM205+ (IF(AI206="",0,AI206)-AM205)/Charts!$X$6</f>
        <v>0.40310131893050205</v>
      </c>
      <c r="AN206" s="68" t="str">
        <f t="shared" si="46"/>
        <v>0</v>
      </c>
      <c r="AO206" s="68" t="str">
        <f t="shared" si="47"/>
        <v>0</v>
      </c>
      <c r="AP206" s="69" t="str">
        <f>IF(C206="","",INDEX(Workouts!D:D,MATCH(C206,Workouts!A:A,0)))</f>
        <v/>
      </c>
      <c r="AQ206" s="69" t="str">
        <f>IF(ISNA(MATCH(A206,Data!B:B,0)),"",INDEX(Data!G:G,MATCH(A206,Data!B:B,1)))</f>
        <v/>
      </c>
    </row>
    <row r="207" spans="1:43" s="1" customFormat="1" x14ac:dyDescent="0.2">
      <c r="A207" s="125">
        <f t="shared" si="45"/>
        <v>44402</v>
      </c>
      <c r="B207" s="126" t="str">
        <f t="shared" si="42"/>
        <v>Sun</v>
      </c>
      <c r="C207" s="140"/>
      <c r="D207" s="128" t="str">
        <f t="shared" si="43"/>
        <v/>
      </c>
      <c r="E207" s="129" t="str">
        <f t="shared" si="44"/>
        <v/>
      </c>
      <c r="F207" s="130" t="str">
        <f>IF(SUMIF(Data!B:B,A207,Data!C:C)=0,"",SUMIF(Data!B:B,A207,Data!C:C))</f>
        <v/>
      </c>
      <c r="G207" s="126" t="str">
        <f>IF(OR(S207="T",S207="RUN",SUMIF(Data!B:B,A207,Data!E:E)=0),"",SUMIF(Data!B:B,A207,Data!E:E))</f>
        <v/>
      </c>
      <c r="H207" s="126" t="str">
        <f t="shared" si="36"/>
        <v/>
      </c>
      <c r="I207" s="131" t="str">
        <f t="shared" si="37"/>
        <v>0 (0)</v>
      </c>
      <c r="J207" s="131" t="str">
        <f t="shared" si="38"/>
        <v>0 (0)</v>
      </c>
      <c r="K207" s="131" t="str">
        <f t="shared" si="39"/>
        <v>0 (0)</v>
      </c>
      <c r="L207" s="132" t="str">
        <f t="shared" si="40"/>
        <v/>
      </c>
      <c r="M207" s="131" t="str">
        <f t="shared" si="41"/>
        <v/>
      </c>
      <c r="N207" s="126" t="str">
        <f>IF(ISNA(MATCH(A207,Data!B:B,0)),"",INDEX(Data!H:H,MATCH(A207,Data!B:B,1))) &amp; ""</f>
        <v/>
      </c>
      <c r="O207" s="126" t="str">
        <f>IF(ISNA(MATCH(A207,Data!B:B,0)),"",INDEX(Data!I:I,MATCH(A207,Data!B:B,1))) &amp; ""</f>
        <v/>
      </c>
      <c r="P207" s="133" t="str">
        <f>IF(ISNA(MATCH(A207,Data!B:B,0)),"",INDEX(Data!J:J,MATCH(A207,Data!B:B,1))) &amp; ""</f>
        <v/>
      </c>
      <c r="Q207" s="126" t="str">
        <f>IF(S207="T",Charts!$X$7,IF(ISNA(MATCH(A207,Data!B:B,0)),"",INDEX(Data!K:K,MATCH(A207,Data!B:B,1)))) &amp; ""</f>
        <v/>
      </c>
      <c r="R207" s="134"/>
      <c r="S207" s="134"/>
      <c r="T207" s="127"/>
      <c r="AF207" s="24" t="str">
        <f>IF(C207="","",INDEX(Workouts!B:B,MATCH(C207,Workouts!A:A,0)))</f>
        <v/>
      </c>
      <c r="AG207" s="24" t="str">
        <f>IF(SUMIF(Data!B:B,A207,Data!D:D)=0,"",SUMIF(Data!B:B,A207,Data!D:D))</f>
        <v/>
      </c>
      <c r="AH207" s="25" t="str">
        <f>IF(C207="","",INDEX(Workouts!C:C,MATCH(C207,Workouts!A:A,0)))</f>
        <v/>
      </c>
      <c r="AI207" s="68" t="str">
        <f>IF(SUMIF(Data!B:B,A207,Data!F:F)=0,"",SUMIF(Data!B:B,A207,Data!F:F))</f>
        <v/>
      </c>
      <c r="AJ207" s="68">
        <f>AJ206+ (IF(AH207="",0,AH207)-AJ206)/Charts!$X$5</f>
        <v>1.151431113844021E-12</v>
      </c>
      <c r="AK207" s="68">
        <f>AK206+ (IF(AI207="",0,AI207)-AK206)/Charts!$X$5</f>
        <v>1.151431113844021E-12</v>
      </c>
      <c r="AL207" s="68">
        <f>AL206+ (IF(AH207="",0,AH207)-AL206)/Charts!$X$6</f>
        <v>0.3935036684797758</v>
      </c>
      <c r="AM207" s="68">
        <f>AM206+ (IF(AI207="",0,AI207)-AM206)/Charts!$X$6</f>
        <v>0.3935036684797758</v>
      </c>
      <c r="AN207" s="68" t="str">
        <f t="shared" si="46"/>
        <v>0</v>
      </c>
      <c r="AO207" s="68" t="str">
        <f t="shared" si="47"/>
        <v>0</v>
      </c>
      <c r="AP207" s="69" t="str">
        <f>IF(C207="","",INDEX(Workouts!D:D,MATCH(C207,Workouts!A:A,0)))</f>
        <v/>
      </c>
      <c r="AQ207" s="69" t="str">
        <f>IF(ISNA(MATCH(A207,Data!B:B,0)),"",INDEX(Data!G:G,MATCH(A207,Data!B:B,1)))</f>
        <v/>
      </c>
    </row>
    <row r="208" spans="1:43" s="1" customFormat="1" x14ac:dyDescent="0.2">
      <c r="A208" s="125">
        <f t="shared" si="45"/>
        <v>44403</v>
      </c>
      <c r="B208" s="126" t="str">
        <f t="shared" si="42"/>
        <v>Mon</v>
      </c>
      <c r="C208" s="140"/>
      <c r="D208" s="128" t="str">
        <f t="shared" si="43"/>
        <v/>
      </c>
      <c r="E208" s="129" t="str">
        <f t="shared" si="44"/>
        <v/>
      </c>
      <c r="F208" s="130" t="str">
        <f>IF(SUMIF(Data!B:B,A208,Data!C:C)=0,"",SUMIF(Data!B:B,A208,Data!C:C))</f>
        <v/>
      </c>
      <c r="G208" s="126" t="str">
        <f>IF(OR(S208="T",S208="RUN",SUMIF(Data!B:B,A208,Data!E:E)=0),"",SUMIF(Data!B:B,A208,Data!E:E))</f>
        <v/>
      </c>
      <c r="H208" s="126" t="str">
        <f t="shared" si="36"/>
        <v/>
      </c>
      <c r="I208" s="131" t="str">
        <f t="shared" si="37"/>
        <v>0 (0)</v>
      </c>
      <c r="J208" s="131" t="str">
        <f t="shared" si="38"/>
        <v>0 (0)</v>
      </c>
      <c r="K208" s="131" t="str">
        <f t="shared" si="39"/>
        <v>0 (0)</v>
      </c>
      <c r="L208" s="132" t="str">
        <f t="shared" si="40"/>
        <v/>
      </c>
      <c r="M208" s="131" t="str">
        <f t="shared" si="41"/>
        <v/>
      </c>
      <c r="N208" s="126" t="str">
        <f>IF(ISNA(MATCH(A208,Data!B:B,0)),"",INDEX(Data!H:H,MATCH(A208,Data!B:B,1))) &amp; ""</f>
        <v/>
      </c>
      <c r="O208" s="126" t="str">
        <f>IF(ISNA(MATCH(A208,Data!B:B,0)),"",INDEX(Data!I:I,MATCH(A208,Data!B:B,1))) &amp; ""</f>
        <v/>
      </c>
      <c r="P208" s="133" t="str">
        <f>IF(ISNA(MATCH(A208,Data!B:B,0)),"",INDEX(Data!J:J,MATCH(A208,Data!B:B,1))) &amp; ""</f>
        <v/>
      </c>
      <c r="Q208" s="126" t="str">
        <f>IF(S208="T",Charts!$X$7,IF(ISNA(MATCH(A208,Data!B:B,0)),"",INDEX(Data!K:K,MATCH(A208,Data!B:B,1)))) &amp; ""</f>
        <v/>
      </c>
      <c r="R208" s="134"/>
      <c r="S208" s="134"/>
      <c r="T208" s="127"/>
      <c r="AF208" s="24" t="str">
        <f>IF(C208="","",INDEX(Workouts!B:B,MATCH(C208,Workouts!A:A,0)))</f>
        <v/>
      </c>
      <c r="AG208" s="24" t="str">
        <f>IF(SUMIF(Data!B:B,A208,Data!D:D)=0,"",SUMIF(Data!B:B,A208,Data!D:D))</f>
        <v/>
      </c>
      <c r="AH208" s="25" t="str">
        <f>IF(C208="","",INDEX(Workouts!C:C,MATCH(C208,Workouts!A:A,0)))</f>
        <v/>
      </c>
      <c r="AI208" s="68" t="str">
        <f>IF(SUMIF(Data!B:B,A208,Data!F:F)=0,"",SUMIF(Data!B:B,A208,Data!F:F))</f>
        <v/>
      </c>
      <c r="AJ208" s="68">
        <f>AJ207+ (IF(AH208="",0,AH208)-AJ207)/Charts!$X$5</f>
        <v>9.8694095472344664E-13</v>
      </c>
      <c r="AK208" s="68">
        <f>AK207+ (IF(AI208="",0,AI208)-AK207)/Charts!$X$5</f>
        <v>9.8694095472344664E-13</v>
      </c>
      <c r="AL208" s="68">
        <f>AL207+ (IF(AH208="",0,AH208)-AL207)/Charts!$X$6</f>
        <v>0.3841345335159716</v>
      </c>
      <c r="AM208" s="68">
        <f>AM207+ (IF(AI208="",0,AI208)-AM207)/Charts!$X$6</f>
        <v>0.3841345335159716</v>
      </c>
      <c r="AN208" s="68" t="str">
        <f t="shared" si="46"/>
        <v>0</v>
      </c>
      <c r="AO208" s="68" t="str">
        <f t="shared" si="47"/>
        <v>0</v>
      </c>
      <c r="AP208" s="69" t="str">
        <f>IF(C208="","",INDEX(Workouts!D:D,MATCH(C208,Workouts!A:A,0)))</f>
        <v/>
      </c>
      <c r="AQ208" s="69" t="str">
        <f>IF(ISNA(MATCH(A208,Data!B:B,0)),"",INDEX(Data!G:G,MATCH(A208,Data!B:B,1)))</f>
        <v/>
      </c>
    </row>
    <row r="209" spans="1:43" s="1" customFormat="1" x14ac:dyDescent="0.2">
      <c r="A209" s="125">
        <f t="shared" si="45"/>
        <v>44404</v>
      </c>
      <c r="B209" s="126" t="str">
        <f t="shared" si="42"/>
        <v>Tue</v>
      </c>
      <c r="C209" s="141"/>
      <c r="D209" s="128" t="str">
        <f t="shared" si="43"/>
        <v/>
      </c>
      <c r="E209" s="129" t="str">
        <f t="shared" si="44"/>
        <v/>
      </c>
      <c r="F209" s="130" t="str">
        <f>IF(SUMIF(Data!B:B,A209,Data!C:C)=0,"",SUMIF(Data!B:B,A209,Data!C:C))</f>
        <v/>
      </c>
      <c r="G209" s="126" t="str">
        <f>IF(OR(S209="T",S209="RUN",SUMIF(Data!B:B,A209,Data!E:E)=0),"",SUMIF(Data!B:B,A209,Data!E:E))</f>
        <v/>
      </c>
      <c r="H209" s="126" t="str">
        <f t="shared" si="36"/>
        <v/>
      </c>
      <c r="I209" s="131" t="str">
        <f t="shared" si="37"/>
        <v>0 (0)</v>
      </c>
      <c r="J209" s="131" t="str">
        <f t="shared" si="38"/>
        <v>0 (0)</v>
      </c>
      <c r="K209" s="131" t="str">
        <f t="shared" si="39"/>
        <v>0 (0)</v>
      </c>
      <c r="L209" s="132" t="str">
        <f t="shared" si="40"/>
        <v/>
      </c>
      <c r="M209" s="131" t="str">
        <f t="shared" si="41"/>
        <v/>
      </c>
      <c r="N209" s="126" t="str">
        <f>IF(ISNA(MATCH(A209,Data!B:B,0)),"",INDEX(Data!H:H,MATCH(A209,Data!B:B,1))) &amp; ""</f>
        <v/>
      </c>
      <c r="O209" s="126" t="str">
        <f>IF(ISNA(MATCH(A209,Data!B:B,0)),"",INDEX(Data!I:I,MATCH(A209,Data!B:B,1))) &amp; ""</f>
        <v/>
      </c>
      <c r="P209" s="133" t="str">
        <f>IF(ISNA(MATCH(A209,Data!B:B,0)),"",INDEX(Data!J:J,MATCH(A209,Data!B:B,1))) &amp; ""</f>
        <v/>
      </c>
      <c r="Q209" s="126" t="str">
        <f>IF(S209="T",Charts!$X$7,IF(ISNA(MATCH(A209,Data!B:B,0)),"",INDEX(Data!K:K,MATCH(A209,Data!B:B,1)))) &amp; ""</f>
        <v/>
      </c>
      <c r="R209" s="134"/>
      <c r="S209" s="134"/>
      <c r="T209" s="127"/>
      <c r="AF209" s="24" t="str">
        <f>IF(C209="","",INDEX(Workouts!B:B,MATCH(C209,Workouts!A:A,0)))</f>
        <v/>
      </c>
      <c r="AG209" s="24" t="str">
        <f>IF(SUMIF(Data!B:B,A209,Data!D:D)=0,"",SUMIF(Data!B:B,A209,Data!D:D))</f>
        <v/>
      </c>
      <c r="AH209" s="25" t="str">
        <f>IF(C209="","",INDEX(Workouts!C:C,MATCH(C209,Workouts!A:A,0)))</f>
        <v/>
      </c>
      <c r="AI209" s="68" t="str">
        <f>IF(SUMIF(Data!B:B,A209,Data!F:F)=0,"",SUMIF(Data!B:B,A209,Data!F:F))</f>
        <v/>
      </c>
      <c r="AJ209" s="68">
        <f>AJ208+ (IF(AH209="",0,AH209)-AJ208)/Charts!$X$5</f>
        <v>8.4594938976295421E-13</v>
      </c>
      <c r="AK209" s="68">
        <f>AK208+ (IF(AI209="",0,AI209)-AK208)/Charts!$X$5</f>
        <v>8.4594938976295421E-13</v>
      </c>
      <c r="AL209" s="68">
        <f>AL208+ (IF(AH209="",0,AH209)-AL208)/Charts!$X$6</f>
        <v>0.37498847319416273</v>
      </c>
      <c r="AM209" s="68">
        <f>AM208+ (IF(AI209="",0,AI209)-AM208)/Charts!$X$6</f>
        <v>0.37498847319416273</v>
      </c>
      <c r="AN209" s="68" t="str">
        <f t="shared" si="46"/>
        <v>0</v>
      </c>
      <c r="AO209" s="68" t="str">
        <f t="shared" si="47"/>
        <v>0</v>
      </c>
      <c r="AP209" s="69" t="str">
        <f>IF(C209="","",INDEX(Workouts!D:D,MATCH(C209,Workouts!A:A,0)))</f>
        <v/>
      </c>
      <c r="AQ209" s="69" t="str">
        <f>IF(ISNA(MATCH(A209,Data!B:B,0)),"",INDEX(Data!G:G,MATCH(A209,Data!B:B,1)))</f>
        <v/>
      </c>
    </row>
    <row r="210" spans="1:43" s="1" customFormat="1" x14ac:dyDescent="0.2">
      <c r="A210" s="125">
        <f t="shared" si="45"/>
        <v>44405</v>
      </c>
      <c r="B210" s="126" t="str">
        <f t="shared" si="42"/>
        <v>Wed</v>
      </c>
      <c r="C210" s="140"/>
      <c r="D210" s="128" t="str">
        <f t="shared" si="43"/>
        <v/>
      </c>
      <c r="E210" s="129" t="str">
        <f t="shared" si="44"/>
        <v/>
      </c>
      <c r="F210" s="130" t="str">
        <f>IF(SUMIF(Data!B:B,A210,Data!C:C)=0,"",SUMIF(Data!B:B,A210,Data!C:C))</f>
        <v/>
      </c>
      <c r="G210" s="126" t="str">
        <f>IF(OR(S210="T",S210="RUN",SUMIF(Data!B:B,A210,Data!E:E)=0),"",SUMIF(Data!B:B,A210,Data!E:E))</f>
        <v/>
      </c>
      <c r="H210" s="126" t="str">
        <f t="shared" si="36"/>
        <v/>
      </c>
      <c r="I210" s="131" t="str">
        <f t="shared" si="37"/>
        <v>0 (0)</v>
      </c>
      <c r="J210" s="131" t="str">
        <f t="shared" si="38"/>
        <v>0 (0)</v>
      </c>
      <c r="K210" s="131" t="str">
        <f t="shared" si="39"/>
        <v>0 (0)</v>
      </c>
      <c r="L210" s="132" t="str">
        <f t="shared" si="40"/>
        <v/>
      </c>
      <c r="M210" s="131" t="str">
        <f t="shared" si="41"/>
        <v/>
      </c>
      <c r="N210" s="126" t="str">
        <f>IF(ISNA(MATCH(A210,Data!B:B,0)),"",INDEX(Data!H:H,MATCH(A210,Data!B:B,1))) &amp; ""</f>
        <v/>
      </c>
      <c r="O210" s="126" t="str">
        <f>IF(ISNA(MATCH(A210,Data!B:B,0)),"",INDEX(Data!I:I,MATCH(A210,Data!B:B,1))) &amp; ""</f>
        <v/>
      </c>
      <c r="P210" s="133" t="str">
        <f>IF(ISNA(MATCH(A210,Data!B:B,0)),"",INDEX(Data!J:J,MATCH(A210,Data!B:B,1))) &amp; ""</f>
        <v/>
      </c>
      <c r="Q210" s="126" t="str">
        <f>IF(S210="T",Charts!$X$7,IF(ISNA(MATCH(A210,Data!B:B,0)),"",INDEX(Data!K:K,MATCH(A210,Data!B:B,1)))) &amp; ""</f>
        <v/>
      </c>
      <c r="R210" s="134"/>
      <c r="S210" s="134"/>
      <c r="T210" s="127"/>
      <c r="AF210" s="24" t="str">
        <f>IF(C210="","",INDEX(Workouts!B:B,MATCH(C210,Workouts!A:A,0)))</f>
        <v/>
      </c>
      <c r="AG210" s="24" t="str">
        <f>IF(SUMIF(Data!B:B,A210,Data!D:D)=0,"",SUMIF(Data!B:B,A210,Data!D:D))</f>
        <v/>
      </c>
      <c r="AH210" s="25" t="str">
        <f>IF(C210="","",INDEX(Workouts!C:C,MATCH(C210,Workouts!A:A,0)))</f>
        <v/>
      </c>
      <c r="AI210" s="68" t="str">
        <f>IF(SUMIF(Data!B:B,A210,Data!F:F)=0,"",SUMIF(Data!B:B,A210,Data!F:F))</f>
        <v/>
      </c>
      <c r="AJ210" s="68">
        <f>AJ209+ (IF(AH210="",0,AH210)-AJ209)/Charts!$X$5</f>
        <v>7.2509947693967503E-13</v>
      </c>
      <c r="AK210" s="68">
        <f>AK209+ (IF(AI210="",0,AI210)-AK209)/Charts!$X$5</f>
        <v>7.2509947693967503E-13</v>
      </c>
      <c r="AL210" s="68">
        <f>AL209+ (IF(AH210="",0,AH210)-AL209)/Charts!$X$6</f>
        <v>0.36606017621334935</v>
      </c>
      <c r="AM210" s="68">
        <f>AM209+ (IF(AI210="",0,AI210)-AM209)/Charts!$X$6</f>
        <v>0.36606017621334935</v>
      </c>
      <c r="AN210" s="68" t="str">
        <f t="shared" si="46"/>
        <v>0</v>
      </c>
      <c r="AO210" s="68" t="str">
        <f t="shared" si="47"/>
        <v>0</v>
      </c>
      <c r="AP210" s="69" t="str">
        <f>IF(C210="","",INDEX(Workouts!D:D,MATCH(C210,Workouts!A:A,0)))</f>
        <v/>
      </c>
      <c r="AQ210" s="69" t="str">
        <f>IF(ISNA(MATCH(A210,Data!B:B,0)),"",INDEX(Data!G:G,MATCH(A210,Data!B:B,1)))</f>
        <v/>
      </c>
    </row>
    <row r="211" spans="1:43" s="1" customFormat="1" x14ac:dyDescent="0.2">
      <c r="A211" s="125">
        <f t="shared" si="45"/>
        <v>44406</v>
      </c>
      <c r="B211" s="126" t="str">
        <f t="shared" si="42"/>
        <v>Thu</v>
      </c>
      <c r="C211" s="140"/>
      <c r="D211" s="128" t="str">
        <f t="shared" si="43"/>
        <v/>
      </c>
      <c r="E211" s="129" t="str">
        <f t="shared" si="44"/>
        <v/>
      </c>
      <c r="F211" s="130" t="str">
        <f>IF(SUMIF(Data!B:B,A211,Data!C:C)=0,"",SUMIF(Data!B:B,A211,Data!C:C))</f>
        <v/>
      </c>
      <c r="G211" s="126" t="str">
        <f>IF(OR(S211="T",S211="RUN",SUMIF(Data!B:B,A211,Data!E:E)=0),"",SUMIF(Data!B:B,A211,Data!E:E))</f>
        <v/>
      </c>
      <c r="H211" s="126" t="str">
        <f t="shared" si="36"/>
        <v/>
      </c>
      <c r="I211" s="131" t="str">
        <f t="shared" si="37"/>
        <v>0 (0)</v>
      </c>
      <c r="J211" s="131" t="str">
        <f t="shared" si="38"/>
        <v>0 (0)</v>
      </c>
      <c r="K211" s="131" t="str">
        <f t="shared" si="39"/>
        <v>0 (0)</v>
      </c>
      <c r="L211" s="132" t="str">
        <f t="shared" si="40"/>
        <v/>
      </c>
      <c r="M211" s="131" t="str">
        <f t="shared" si="41"/>
        <v/>
      </c>
      <c r="N211" s="126" t="str">
        <f>IF(ISNA(MATCH(A211,Data!B:B,0)),"",INDEX(Data!H:H,MATCH(A211,Data!B:B,1))) &amp; ""</f>
        <v/>
      </c>
      <c r="O211" s="126" t="str">
        <f>IF(ISNA(MATCH(A211,Data!B:B,0)),"",INDEX(Data!I:I,MATCH(A211,Data!B:B,1))) &amp; ""</f>
        <v/>
      </c>
      <c r="P211" s="133" t="str">
        <f>IF(ISNA(MATCH(A211,Data!B:B,0)),"",INDEX(Data!J:J,MATCH(A211,Data!B:B,1))) &amp; ""</f>
        <v/>
      </c>
      <c r="Q211" s="126" t="str">
        <f>IF(S211="T",Charts!$X$7,IF(ISNA(MATCH(A211,Data!B:B,0)),"",INDEX(Data!K:K,MATCH(A211,Data!B:B,1)))) &amp; ""</f>
        <v/>
      </c>
      <c r="R211" s="134"/>
      <c r="S211" s="134"/>
      <c r="T211" s="127"/>
      <c r="AF211" s="24" t="str">
        <f>IF(C211="","",INDEX(Workouts!B:B,MATCH(C211,Workouts!A:A,0)))</f>
        <v/>
      </c>
      <c r="AG211" s="24" t="str">
        <f>IF(SUMIF(Data!B:B,A211,Data!D:D)=0,"",SUMIF(Data!B:B,A211,Data!D:D))</f>
        <v/>
      </c>
      <c r="AH211" s="25" t="str">
        <f>IF(C211="","",INDEX(Workouts!C:C,MATCH(C211,Workouts!A:A,0)))</f>
        <v/>
      </c>
      <c r="AI211" s="68" t="str">
        <f>IF(SUMIF(Data!B:B,A211,Data!F:F)=0,"",SUMIF(Data!B:B,A211,Data!F:F))</f>
        <v/>
      </c>
      <c r="AJ211" s="68">
        <f>AJ210+ (IF(AH211="",0,AH211)-AJ210)/Charts!$X$5</f>
        <v>6.2151383737686433E-13</v>
      </c>
      <c r="AK211" s="68">
        <f>AK210+ (IF(AI211="",0,AI211)-AK210)/Charts!$X$5</f>
        <v>6.2151383737686433E-13</v>
      </c>
      <c r="AL211" s="68">
        <f>AL210+ (IF(AH211="",0,AH211)-AL210)/Charts!$X$6</f>
        <v>0.35734445773207912</v>
      </c>
      <c r="AM211" s="68">
        <f>AM210+ (IF(AI211="",0,AI211)-AM210)/Charts!$X$6</f>
        <v>0.35734445773207912</v>
      </c>
      <c r="AN211" s="68" t="str">
        <f t="shared" si="46"/>
        <v>0</v>
      </c>
      <c r="AO211" s="68" t="str">
        <f t="shared" si="47"/>
        <v>0</v>
      </c>
      <c r="AP211" s="69" t="str">
        <f>IF(C211="","",INDEX(Workouts!D:D,MATCH(C211,Workouts!A:A,0)))</f>
        <v/>
      </c>
      <c r="AQ211" s="69" t="str">
        <f>IF(ISNA(MATCH(A211,Data!B:B,0)),"",INDEX(Data!G:G,MATCH(A211,Data!B:B,1)))</f>
        <v/>
      </c>
    </row>
    <row r="212" spans="1:43" s="1" customFormat="1" x14ac:dyDescent="0.2">
      <c r="A212" s="125">
        <f t="shared" si="45"/>
        <v>44407</v>
      </c>
      <c r="B212" s="126" t="str">
        <f t="shared" si="42"/>
        <v>Fri</v>
      </c>
      <c r="C212" s="140"/>
      <c r="D212" s="128" t="str">
        <f t="shared" si="43"/>
        <v/>
      </c>
      <c r="E212" s="129" t="str">
        <f t="shared" si="44"/>
        <v/>
      </c>
      <c r="F212" s="130" t="str">
        <f>IF(SUMIF(Data!B:B,A212,Data!C:C)=0,"",SUMIF(Data!B:B,A212,Data!C:C))</f>
        <v/>
      </c>
      <c r="G212" s="126" t="str">
        <f>IF(OR(S212="T",S212="RUN",SUMIF(Data!B:B,A212,Data!E:E)=0),"",SUMIF(Data!B:B,A212,Data!E:E))</f>
        <v/>
      </c>
      <c r="H212" s="126" t="str">
        <f t="shared" si="36"/>
        <v/>
      </c>
      <c r="I212" s="131" t="str">
        <f t="shared" si="37"/>
        <v>0 (0)</v>
      </c>
      <c r="J212" s="131" t="str">
        <f t="shared" si="38"/>
        <v>0 (0)</v>
      </c>
      <c r="K212" s="131" t="str">
        <f t="shared" si="39"/>
        <v>0 (0)</v>
      </c>
      <c r="L212" s="132" t="str">
        <f t="shared" si="40"/>
        <v/>
      </c>
      <c r="M212" s="131" t="str">
        <f t="shared" si="41"/>
        <v/>
      </c>
      <c r="N212" s="126" t="str">
        <f>IF(ISNA(MATCH(A212,Data!B:B,0)),"",INDEX(Data!H:H,MATCH(A212,Data!B:B,1))) &amp; ""</f>
        <v/>
      </c>
      <c r="O212" s="126" t="str">
        <f>IF(ISNA(MATCH(A212,Data!B:B,0)),"",INDEX(Data!I:I,MATCH(A212,Data!B:B,1))) &amp; ""</f>
        <v/>
      </c>
      <c r="P212" s="133" t="str">
        <f>IF(ISNA(MATCH(A212,Data!B:B,0)),"",INDEX(Data!J:J,MATCH(A212,Data!B:B,1))) &amp; ""</f>
        <v/>
      </c>
      <c r="Q212" s="126" t="str">
        <f>IF(S212="T",Charts!$X$7,IF(ISNA(MATCH(A212,Data!B:B,0)),"",INDEX(Data!K:K,MATCH(A212,Data!B:B,1)))) &amp; ""</f>
        <v/>
      </c>
      <c r="R212" s="134"/>
      <c r="S212" s="134"/>
      <c r="T212" s="127"/>
      <c r="AF212" s="24" t="str">
        <f>IF(C212="","",INDEX(Workouts!B:B,MATCH(C212,Workouts!A:A,0)))</f>
        <v/>
      </c>
      <c r="AG212" s="24" t="str">
        <f>IF(SUMIF(Data!B:B,A212,Data!D:D)=0,"",SUMIF(Data!B:B,A212,Data!D:D))</f>
        <v/>
      </c>
      <c r="AH212" s="25" t="str">
        <f>IF(C212="","",INDEX(Workouts!C:C,MATCH(C212,Workouts!A:A,0)))</f>
        <v/>
      </c>
      <c r="AI212" s="68" t="str">
        <f>IF(SUMIF(Data!B:B,A212,Data!F:F)=0,"",SUMIF(Data!B:B,A212,Data!F:F))</f>
        <v/>
      </c>
      <c r="AJ212" s="68">
        <f>AJ211+ (IF(AH212="",0,AH212)-AJ211)/Charts!$X$5</f>
        <v>5.3272614632302657E-13</v>
      </c>
      <c r="AK212" s="68">
        <f>AK211+ (IF(AI212="",0,AI212)-AK211)/Charts!$X$5</f>
        <v>5.3272614632302657E-13</v>
      </c>
      <c r="AL212" s="68">
        <f>AL211+ (IF(AH212="",0,AH212)-AL211)/Charts!$X$6</f>
        <v>0.34883625635750581</v>
      </c>
      <c r="AM212" s="68">
        <f>AM211+ (IF(AI212="",0,AI212)-AM211)/Charts!$X$6</f>
        <v>0.34883625635750581</v>
      </c>
      <c r="AN212" s="68" t="str">
        <f t="shared" si="46"/>
        <v>0</v>
      </c>
      <c r="AO212" s="68" t="str">
        <f t="shared" si="47"/>
        <v>0</v>
      </c>
      <c r="AP212" s="69" t="str">
        <f>IF(C212="","",INDEX(Workouts!D:D,MATCH(C212,Workouts!A:A,0)))</f>
        <v/>
      </c>
      <c r="AQ212" s="69" t="str">
        <f>IF(ISNA(MATCH(A212,Data!B:B,0)),"",INDEX(Data!G:G,MATCH(A212,Data!B:B,1)))</f>
        <v/>
      </c>
    </row>
    <row r="213" spans="1:43" s="1" customFormat="1" x14ac:dyDescent="0.2">
      <c r="A213" s="125">
        <f t="shared" si="45"/>
        <v>44408</v>
      </c>
      <c r="B213" s="126" t="str">
        <f t="shared" si="42"/>
        <v>Sat</v>
      </c>
      <c r="C213" s="140"/>
      <c r="D213" s="128" t="str">
        <f t="shared" si="43"/>
        <v/>
      </c>
      <c r="E213" s="129" t="str">
        <f t="shared" si="44"/>
        <v/>
      </c>
      <c r="F213" s="130" t="str">
        <f>IF(SUMIF(Data!B:B,A213,Data!C:C)=0,"",SUMIF(Data!B:B,A213,Data!C:C))</f>
        <v/>
      </c>
      <c r="G213" s="126" t="str">
        <f>IF(OR(S213="T",S213="RUN",SUMIF(Data!B:B,A213,Data!E:E)=0),"",SUMIF(Data!B:B,A213,Data!E:E))</f>
        <v/>
      </c>
      <c r="H213" s="126" t="str">
        <f t="shared" si="36"/>
        <v/>
      </c>
      <c r="I213" s="131" t="str">
        <f t="shared" si="37"/>
        <v>0 (0)</v>
      </c>
      <c r="J213" s="131" t="str">
        <f t="shared" si="38"/>
        <v>0 (0)</v>
      </c>
      <c r="K213" s="131" t="str">
        <f t="shared" si="39"/>
        <v>0 (0)</v>
      </c>
      <c r="L213" s="132" t="str">
        <f t="shared" si="40"/>
        <v/>
      </c>
      <c r="M213" s="131" t="str">
        <f t="shared" si="41"/>
        <v/>
      </c>
      <c r="N213" s="126" t="str">
        <f>IF(ISNA(MATCH(A213,Data!B:B,0)),"",INDEX(Data!H:H,MATCH(A213,Data!B:B,1))) &amp; ""</f>
        <v/>
      </c>
      <c r="O213" s="126" t="str">
        <f>IF(ISNA(MATCH(A213,Data!B:B,0)),"",INDEX(Data!I:I,MATCH(A213,Data!B:B,1))) &amp; ""</f>
        <v/>
      </c>
      <c r="P213" s="133" t="str">
        <f>IF(ISNA(MATCH(A213,Data!B:B,0)),"",INDEX(Data!J:J,MATCH(A213,Data!B:B,1))) &amp; ""</f>
        <v/>
      </c>
      <c r="Q213" s="126" t="str">
        <f>IF(S213="T",Charts!$X$7,IF(ISNA(MATCH(A213,Data!B:B,0)),"",INDEX(Data!K:K,MATCH(A213,Data!B:B,1)))) &amp; ""</f>
        <v/>
      </c>
      <c r="R213" s="134"/>
      <c r="S213" s="134"/>
      <c r="T213" s="127"/>
      <c r="AF213" s="24" t="str">
        <f>IF(C213="","",INDEX(Workouts!B:B,MATCH(C213,Workouts!A:A,0)))</f>
        <v/>
      </c>
      <c r="AG213" s="24" t="str">
        <f>IF(SUMIF(Data!B:B,A213,Data!D:D)=0,"",SUMIF(Data!B:B,A213,Data!D:D))</f>
        <v/>
      </c>
      <c r="AH213" s="25" t="str">
        <f>IF(C213="","",INDEX(Workouts!C:C,MATCH(C213,Workouts!A:A,0)))</f>
        <v/>
      </c>
      <c r="AI213" s="68" t="str">
        <f>IF(SUMIF(Data!B:B,A213,Data!F:F)=0,"",SUMIF(Data!B:B,A213,Data!F:F))</f>
        <v/>
      </c>
      <c r="AJ213" s="68">
        <f>AJ212+ (IF(AH213="",0,AH213)-AJ212)/Charts!$X$5</f>
        <v>4.566224111340228E-13</v>
      </c>
      <c r="AK213" s="68">
        <f>AK212+ (IF(AI213="",0,AI213)-AK212)/Charts!$X$5</f>
        <v>4.566224111340228E-13</v>
      </c>
      <c r="AL213" s="68">
        <f>AL212+ (IF(AH213="",0,AH213)-AL212)/Charts!$X$6</f>
        <v>0.34053063120613664</v>
      </c>
      <c r="AM213" s="68">
        <f>AM212+ (IF(AI213="",0,AI213)-AM212)/Charts!$X$6</f>
        <v>0.34053063120613664</v>
      </c>
      <c r="AN213" s="68" t="str">
        <f t="shared" si="46"/>
        <v>0</v>
      </c>
      <c r="AO213" s="68" t="str">
        <f t="shared" si="47"/>
        <v>0</v>
      </c>
      <c r="AP213" s="69" t="str">
        <f>IF(C213="","",INDEX(Workouts!D:D,MATCH(C213,Workouts!A:A,0)))</f>
        <v/>
      </c>
      <c r="AQ213" s="69" t="str">
        <f>IF(ISNA(MATCH(A213,Data!B:B,0)),"",INDEX(Data!G:G,MATCH(A213,Data!B:B,1)))</f>
        <v/>
      </c>
    </row>
    <row r="214" spans="1:43" s="1" customFormat="1" x14ac:dyDescent="0.2">
      <c r="A214" s="125">
        <f t="shared" si="45"/>
        <v>44409</v>
      </c>
      <c r="B214" s="126" t="str">
        <f t="shared" si="42"/>
        <v>Sun</v>
      </c>
      <c r="C214" s="140"/>
      <c r="D214" s="128" t="str">
        <f t="shared" si="43"/>
        <v/>
      </c>
      <c r="E214" s="129" t="str">
        <f t="shared" si="44"/>
        <v/>
      </c>
      <c r="F214" s="130" t="str">
        <f>IF(SUMIF(Data!B:B,A214,Data!C:C)=0,"",SUMIF(Data!B:B,A214,Data!C:C))</f>
        <v/>
      </c>
      <c r="G214" s="126" t="str">
        <f>IF(OR(S214="T",S214="RUN",SUMIF(Data!B:B,A214,Data!E:E)=0),"",SUMIF(Data!B:B,A214,Data!E:E))</f>
        <v/>
      </c>
      <c r="H214" s="126" t="str">
        <f t="shared" si="36"/>
        <v/>
      </c>
      <c r="I214" s="131" t="str">
        <f t="shared" si="37"/>
        <v>0 (0)</v>
      </c>
      <c r="J214" s="131" t="str">
        <f t="shared" si="38"/>
        <v>0 (0)</v>
      </c>
      <c r="K214" s="131" t="str">
        <f t="shared" si="39"/>
        <v>0 (0)</v>
      </c>
      <c r="L214" s="132" t="str">
        <f t="shared" si="40"/>
        <v/>
      </c>
      <c r="M214" s="131" t="str">
        <f t="shared" si="41"/>
        <v/>
      </c>
      <c r="N214" s="126" t="str">
        <f>IF(ISNA(MATCH(A214,Data!B:B,0)),"",INDEX(Data!H:H,MATCH(A214,Data!B:B,1))) &amp; ""</f>
        <v/>
      </c>
      <c r="O214" s="126" t="str">
        <f>IF(ISNA(MATCH(A214,Data!B:B,0)),"",INDEX(Data!I:I,MATCH(A214,Data!B:B,1))) &amp; ""</f>
        <v/>
      </c>
      <c r="P214" s="133" t="str">
        <f>IF(ISNA(MATCH(A214,Data!B:B,0)),"",INDEX(Data!J:J,MATCH(A214,Data!B:B,1))) &amp; ""</f>
        <v/>
      </c>
      <c r="Q214" s="126" t="str">
        <f>IF(S214="T",Charts!$X$7,IF(ISNA(MATCH(A214,Data!B:B,0)),"",INDEX(Data!K:K,MATCH(A214,Data!B:B,1)))) &amp; ""</f>
        <v/>
      </c>
      <c r="R214" s="134"/>
      <c r="S214" s="134"/>
      <c r="T214" s="127"/>
      <c r="AF214" s="24" t="str">
        <f>IF(C214="","",INDEX(Workouts!B:B,MATCH(C214,Workouts!A:A,0)))</f>
        <v/>
      </c>
      <c r="AG214" s="24" t="str">
        <f>IF(SUMIF(Data!B:B,A214,Data!D:D)=0,"",SUMIF(Data!B:B,A214,Data!D:D))</f>
        <v/>
      </c>
      <c r="AH214" s="25" t="str">
        <f>IF(C214="","",INDEX(Workouts!C:C,MATCH(C214,Workouts!A:A,0)))</f>
        <v/>
      </c>
      <c r="AI214" s="68" t="str">
        <f>IF(SUMIF(Data!B:B,A214,Data!F:F)=0,"",SUMIF(Data!B:B,A214,Data!F:F))</f>
        <v/>
      </c>
      <c r="AJ214" s="68">
        <f>AJ213+ (IF(AH214="",0,AH214)-AJ213)/Charts!$X$5</f>
        <v>3.9139063811487669E-13</v>
      </c>
      <c r="AK214" s="68">
        <f>AK213+ (IF(AI214="",0,AI214)-AK213)/Charts!$X$5</f>
        <v>3.9139063811487669E-13</v>
      </c>
      <c r="AL214" s="68">
        <f>AL213+ (IF(AH214="",0,AH214)-AL213)/Charts!$X$6</f>
        <v>0.33242275903456198</v>
      </c>
      <c r="AM214" s="68">
        <f>AM213+ (IF(AI214="",0,AI214)-AM213)/Charts!$X$6</f>
        <v>0.33242275903456198</v>
      </c>
      <c r="AN214" s="68" t="str">
        <f t="shared" si="46"/>
        <v>0</v>
      </c>
      <c r="AO214" s="68" t="str">
        <f t="shared" si="47"/>
        <v>0</v>
      </c>
      <c r="AP214" s="69" t="str">
        <f>IF(C214="","",INDEX(Workouts!D:D,MATCH(C214,Workouts!A:A,0)))</f>
        <v/>
      </c>
      <c r="AQ214" s="69" t="str">
        <f>IF(ISNA(MATCH(A214,Data!B:B,0)),"",INDEX(Data!G:G,MATCH(A214,Data!B:B,1)))</f>
        <v/>
      </c>
    </row>
    <row r="215" spans="1:43" s="1" customFormat="1" x14ac:dyDescent="0.2">
      <c r="A215" s="125">
        <f t="shared" si="45"/>
        <v>44410</v>
      </c>
      <c r="B215" s="126" t="str">
        <f t="shared" si="42"/>
        <v>Mon</v>
      </c>
      <c r="C215" s="140"/>
      <c r="D215" s="128" t="str">
        <f t="shared" si="43"/>
        <v/>
      </c>
      <c r="E215" s="129" t="str">
        <f t="shared" si="44"/>
        <v/>
      </c>
      <c r="F215" s="130" t="str">
        <f>IF(SUMIF(Data!B:B,A215,Data!C:C)=0,"",SUMIF(Data!B:B,A215,Data!C:C))</f>
        <v/>
      </c>
      <c r="G215" s="126" t="str">
        <f>IF(OR(S215="T",S215="RUN",SUMIF(Data!B:B,A215,Data!E:E)=0),"",SUMIF(Data!B:B,A215,Data!E:E))</f>
        <v/>
      </c>
      <c r="H215" s="126" t="str">
        <f t="shared" si="36"/>
        <v/>
      </c>
      <c r="I215" s="131" t="str">
        <f t="shared" si="37"/>
        <v>0 (0)</v>
      </c>
      <c r="J215" s="131" t="str">
        <f t="shared" si="38"/>
        <v>0 (0)</v>
      </c>
      <c r="K215" s="131" t="str">
        <f t="shared" si="39"/>
        <v>0 (0)</v>
      </c>
      <c r="L215" s="132" t="str">
        <f t="shared" si="40"/>
        <v/>
      </c>
      <c r="M215" s="131" t="str">
        <f t="shared" si="41"/>
        <v/>
      </c>
      <c r="N215" s="126" t="str">
        <f>IF(ISNA(MATCH(A215,Data!B:B,0)),"",INDEX(Data!H:H,MATCH(A215,Data!B:B,1))) &amp; ""</f>
        <v/>
      </c>
      <c r="O215" s="126" t="str">
        <f>IF(ISNA(MATCH(A215,Data!B:B,0)),"",INDEX(Data!I:I,MATCH(A215,Data!B:B,1))) &amp; ""</f>
        <v/>
      </c>
      <c r="P215" s="133" t="str">
        <f>IF(ISNA(MATCH(A215,Data!B:B,0)),"",INDEX(Data!J:J,MATCH(A215,Data!B:B,1))) &amp; ""</f>
        <v/>
      </c>
      <c r="Q215" s="126" t="str">
        <f>IF(S215="T",Charts!$X$7,IF(ISNA(MATCH(A215,Data!B:B,0)),"",INDEX(Data!K:K,MATCH(A215,Data!B:B,1)))) &amp; ""</f>
        <v/>
      </c>
      <c r="R215" s="134"/>
      <c r="S215" s="134"/>
      <c r="T215" s="127"/>
      <c r="AF215" s="24" t="str">
        <f>IF(C215="","",INDEX(Workouts!B:B,MATCH(C215,Workouts!A:A,0)))</f>
        <v/>
      </c>
      <c r="AG215" s="24" t="str">
        <f>IF(SUMIF(Data!B:B,A215,Data!D:D)=0,"",SUMIF(Data!B:B,A215,Data!D:D))</f>
        <v/>
      </c>
      <c r="AH215" s="25" t="str">
        <f>IF(C215="","",INDEX(Workouts!C:C,MATCH(C215,Workouts!A:A,0)))</f>
        <v/>
      </c>
      <c r="AI215" s="68" t="str">
        <f>IF(SUMIF(Data!B:B,A215,Data!F:F)=0,"",SUMIF(Data!B:B,A215,Data!F:F))</f>
        <v/>
      </c>
      <c r="AJ215" s="68">
        <f>AJ214+ (IF(AH215="",0,AH215)-AJ214)/Charts!$X$5</f>
        <v>3.3547768981275143E-13</v>
      </c>
      <c r="AK215" s="68">
        <f>AK214+ (IF(AI215="",0,AI215)-AK214)/Charts!$X$5</f>
        <v>3.3547768981275143E-13</v>
      </c>
      <c r="AL215" s="68">
        <f>AL214+ (IF(AH215="",0,AH215)-AL214)/Charts!$X$6</f>
        <v>0.32450793143850098</v>
      </c>
      <c r="AM215" s="68">
        <f>AM214+ (IF(AI215="",0,AI215)-AM214)/Charts!$X$6</f>
        <v>0.32450793143850098</v>
      </c>
      <c r="AN215" s="68" t="str">
        <f t="shared" si="46"/>
        <v>0</v>
      </c>
      <c r="AO215" s="68" t="str">
        <f t="shared" si="47"/>
        <v>0</v>
      </c>
      <c r="AP215" s="69" t="str">
        <f>IF(C215="","",INDEX(Workouts!D:D,MATCH(C215,Workouts!A:A,0)))</f>
        <v/>
      </c>
      <c r="AQ215" s="69" t="str">
        <f>IF(ISNA(MATCH(A215,Data!B:B,0)),"",INDEX(Data!G:G,MATCH(A215,Data!B:B,1)))</f>
        <v/>
      </c>
    </row>
    <row r="216" spans="1:43" s="1" customFormat="1" x14ac:dyDescent="0.2">
      <c r="A216" s="125">
        <f t="shared" si="45"/>
        <v>44411</v>
      </c>
      <c r="B216" s="126" t="str">
        <f t="shared" si="42"/>
        <v>Tue</v>
      </c>
      <c r="C216" s="140"/>
      <c r="D216" s="128" t="str">
        <f t="shared" si="43"/>
        <v/>
      </c>
      <c r="E216" s="129" t="str">
        <f t="shared" si="44"/>
        <v/>
      </c>
      <c r="F216" s="130" t="str">
        <f>IF(SUMIF(Data!B:B,A216,Data!C:C)=0,"",SUMIF(Data!B:B,A216,Data!C:C))</f>
        <v/>
      </c>
      <c r="G216" s="126" t="str">
        <f>IF(OR(S216="T",S216="RUN",SUMIF(Data!B:B,A216,Data!E:E)=0),"",SUMIF(Data!B:B,A216,Data!E:E))</f>
        <v/>
      </c>
      <c r="H216" s="126" t="str">
        <f t="shared" si="36"/>
        <v/>
      </c>
      <c r="I216" s="131" t="str">
        <f t="shared" si="37"/>
        <v>0 (0)</v>
      </c>
      <c r="J216" s="131" t="str">
        <f t="shared" si="38"/>
        <v>0 (0)</v>
      </c>
      <c r="K216" s="131" t="str">
        <f t="shared" si="39"/>
        <v>0 (0)</v>
      </c>
      <c r="L216" s="132" t="str">
        <f t="shared" si="40"/>
        <v/>
      </c>
      <c r="M216" s="131" t="str">
        <f t="shared" si="41"/>
        <v/>
      </c>
      <c r="N216" s="126" t="str">
        <f>IF(ISNA(MATCH(A216,Data!B:B,0)),"",INDEX(Data!H:H,MATCH(A216,Data!B:B,1))) &amp; ""</f>
        <v/>
      </c>
      <c r="O216" s="126" t="str">
        <f>IF(ISNA(MATCH(A216,Data!B:B,0)),"",INDEX(Data!I:I,MATCH(A216,Data!B:B,1))) &amp; ""</f>
        <v/>
      </c>
      <c r="P216" s="133" t="str">
        <f>IF(ISNA(MATCH(A216,Data!B:B,0)),"",INDEX(Data!J:J,MATCH(A216,Data!B:B,1))) &amp; ""</f>
        <v/>
      </c>
      <c r="Q216" s="126" t="str">
        <f>IF(S216="T",Charts!$X$7,IF(ISNA(MATCH(A216,Data!B:B,0)),"",INDEX(Data!K:K,MATCH(A216,Data!B:B,1)))) &amp; ""</f>
        <v/>
      </c>
      <c r="R216" s="134"/>
      <c r="S216" s="134"/>
      <c r="T216" s="127"/>
      <c r="AF216" s="24" t="str">
        <f>IF(C216="","",INDEX(Workouts!B:B,MATCH(C216,Workouts!A:A,0)))</f>
        <v/>
      </c>
      <c r="AG216" s="24" t="str">
        <f>IF(SUMIF(Data!B:B,A216,Data!D:D)=0,"",SUMIF(Data!B:B,A216,Data!D:D))</f>
        <v/>
      </c>
      <c r="AH216" s="25" t="str">
        <f>IF(C216="","",INDEX(Workouts!C:C,MATCH(C216,Workouts!A:A,0)))</f>
        <v/>
      </c>
      <c r="AI216" s="68" t="str">
        <f>IF(SUMIF(Data!B:B,A216,Data!F:F)=0,"",SUMIF(Data!B:B,A216,Data!F:F))</f>
        <v/>
      </c>
      <c r="AJ216" s="68">
        <f>AJ215+ (IF(AH216="",0,AH216)-AJ215)/Charts!$X$5</f>
        <v>2.8755230555378695E-13</v>
      </c>
      <c r="AK216" s="68">
        <f>AK215+ (IF(AI216="",0,AI216)-AK215)/Charts!$X$5</f>
        <v>2.8755230555378695E-13</v>
      </c>
      <c r="AL216" s="68">
        <f>AL215+ (IF(AH216="",0,AH216)-AL215)/Charts!$X$6</f>
        <v>0.3167815521185367</v>
      </c>
      <c r="AM216" s="68">
        <f>AM215+ (IF(AI216="",0,AI216)-AM215)/Charts!$X$6</f>
        <v>0.3167815521185367</v>
      </c>
      <c r="AN216" s="68" t="str">
        <f t="shared" si="46"/>
        <v>0</v>
      </c>
      <c r="AO216" s="68" t="str">
        <f t="shared" si="47"/>
        <v>0</v>
      </c>
      <c r="AP216" s="69" t="str">
        <f>IF(C216="","",INDEX(Workouts!D:D,MATCH(C216,Workouts!A:A,0)))</f>
        <v/>
      </c>
      <c r="AQ216" s="69" t="str">
        <f>IF(ISNA(MATCH(A216,Data!B:B,0)),"",INDEX(Data!G:G,MATCH(A216,Data!B:B,1)))</f>
        <v/>
      </c>
    </row>
    <row r="217" spans="1:43" s="1" customFormat="1" x14ac:dyDescent="0.2">
      <c r="A217" s="125">
        <f t="shared" si="45"/>
        <v>44412</v>
      </c>
      <c r="B217" s="126" t="str">
        <f t="shared" si="42"/>
        <v>Wed</v>
      </c>
      <c r="C217" s="140"/>
      <c r="D217" s="128" t="str">
        <f t="shared" si="43"/>
        <v/>
      </c>
      <c r="E217" s="129" t="str">
        <f t="shared" si="44"/>
        <v/>
      </c>
      <c r="F217" s="130" t="str">
        <f>IF(SUMIF(Data!B:B,A217,Data!C:C)=0,"",SUMIF(Data!B:B,A217,Data!C:C))</f>
        <v/>
      </c>
      <c r="G217" s="126" t="str">
        <f>IF(OR(S217="T",S217="RUN",SUMIF(Data!B:B,A217,Data!E:E)=0),"",SUMIF(Data!B:B,A217,Data!E:E))</f>
        <v/>
      </c>
      <c r="H217" s="126" t="str">
        <f t="shared" si="36"/>
        <v/>
      </c>
      <c r="I217" s="131" t="str">
        <f t="shared" si="37"/>
        <v>0 (0)</v>
      </c>
      <c r="J217" s="131" t="str">
        <f t="shared" si="38"/>
        <v>0 (0)</v>
      </c>
      <c r="K217" s="131" t="str">
        <f t="shared" si="39"/>
        <v>0 (0)</v>
      </c>
      <c r="L217" s="132" t="str">
        <f t="shared" si="40"/>
        <v/>
      </c>
      <c r="M217" s="131" t="str">
        <f t="shared" si="41"/>
        <v/>
      </c>
      <c r="N217" s="126" t="str">
        <f>IF(ISNA(MATCH(A217,Data!B:B,0)),"",INDEX(Data!H:H,MATCH(A217,Data!B:B,1))) &amp; ""</f>
        <v/>
      </c>
      <c r="O217" s="126" t="str">
        <f>IF(ISNA(MATCH(A217,Data!B:B,0)),"",INDEX(Data!I:I,MATCH(A217,Data!B:B,1))) &amp; ""</f>
        <v/>
      </c>
      <c r="P217" s="133" t="str">
        <f>IF(ISNA(MATCH(A217,Data!B:B,0)),"",INDEX(Data!J:J,MATCH(A217,Data!B:B,1))) &amp; ""</f>
        <v/>
      </c>
      <c r="Q217" s="126" t="str">
        <f>IF(S217="T",Charts!$X$7,IF(ISNA(MATCH(A217,Data!B:B,0)),"",INDEX(Data!K:K,MATCH(A217,Data!B:B,1)))) &amp; ""</f>
        <v/>
      </c>
      <c r="R217" s="134"/>
      <c r="S217" s="134"/>
      <c r="T217" s="127"/>
      <c r="AF217" s="24" t="str">
        <f>IF(C217="","",INDEX(Workouts!B:B,MATCH(C217,Workouts!A:A,0)))</f>
        <v/>
      </c>
      <c r="AG217" s="24" t="str">
        <f>IF(SUMIF(Data!B:B,A217,Data!D:D)=0,"",SUMIF(Data!B:B,A217,Data!D:D))</f>
        <v/>
      </c>
      <c r="AH217" s="25" t="str">
        <f>IF(C217="","",INDEX(Workouts!C:C,MATCH(C217,Workouts!A:A,0)))</f>
        <v/>
      </c>
      <c r="AI217" s="68" t="str">
        <f>IF(SUMIF(Data!B:B,A217,Data!F:F)=0,"",SUMIF(Data!B:B,A217,Data!F:F))</f>
        <v/>
      </c>
      <c r="AJ217" s="68">
        <f>AJ216+ (IF(AH217="",0,AH217)-AJ216)/Charts!$X$5</f>
        <v>2.4647340476038883E-13</v>
      </c>
      <c r="AK217" s="68">
        <f>AK216+ (IF(AI217="",0,AI217)-AK216)/Charts!$X$5</f>
        <v>2.4647340476038883E-13</v>
      </c>
      <c r="AL217" s="68">
        <f>AL216+ (IF(AH217="",0,AH217)-AL216)/Charts!$X$6</f>
        <v>0.3092391342109525</v>
      </c>
      <c r="AM217" s="68">
        <f>AM216+ (IF(AI217="",0,AI217)-AM216)/Charts!$X$6</f>
        <v>0.3092391342109525</v>
      </c>
      <c r="AN217" s="68" t="str">
        <f t="shared" si="46"/>
        <v>0</v>
      </c>
      <c r="AO217" s="68" t="str">
        <f t="shared" si="47"/>
        <v>0</v>
      </c>
      <c r="AP217" s="69" t="str">
        <f>IF(C217="","",INDEX(Workouts!D:D,MATCH(C217,Workouts!A:A,0)))</f>
        <v/>
      </c>
      <c r="AQ217" s="69" t="str">
        <f>IF(ISNA(MATCH(A217,Data!B:B,0)),"",INDEX(Data!G:G,MATCH(A217,Data!B:B,1)))</f>
        <v/>
      </c>
    </row>
    <row r="218" spans="1:43" s="1" customFormat="1" x14ac:dyDescent="0.2">
      <c r="A218" s="125">
        <f t="shared" si="45"/>
        <v>44413</v>
      </c>
      <c r="B218" s="126" t="str">
        <f t="shared" si="42"/>
        <v>Thu</v>
      </c>
      <c r="C218" s="140"/>
      <c r="D218" s="128" t="str">
        <f t="shared" si="43"/>
        <v/>
      </c>
      <c r="E218" s="129" t="str">
        <f t="shared" si="44"/>
        <v/>
      </c>
      <c r="F218" s="130" t="str">
        <f>IF(SUMIF(Data!B:B,A218,Data!C:C)=0,"",SUMIF(Data!B:B,A218,Data!C:C))</f>
        <v/>
      </c>
      <c r="G218" s="126" t="str">
        <f>IF(OR(S218="T",S218="RUN",SUMIF(Data!B:B,A218,Data!E:E)=0),"",SUMIF(Data!B:B,A218,Data!E:E))</f>
        <v/>
      </c>
      <c r="H218" s="126" t="str">
        <f t="shared" si="36"/>
        <v/>
      </c>
      <c r="I218" s="131" t="str">
        <f t="shared" si="37"/>
        <v>0 (0)</v>
      </c>
      <c r="J218" s="131" t="str">
        <f t="shared" si="38"/>
        <v>0 (0)</v>
      </c>
      <c r="K218" s="131" t="str">
        <f t="shared" si="39"/>
        <v>0 (0)</v>
      </c>
      <c r="L218" s="132" t="str">
        <f t="shared" si="40"/>
        <v/>
      </c>
      <c r="M218" s="131" t="str">
        <f t="shared" si="41"/>
        <v/>
      </c>
      <c r="N218" s="126" t="str">
        <f>IF(ISNA(MATCH(A218,Data!B:B,0)),"",INDEX(Data!H:H,MATCH(A218,Data!B:B,1))) &amp; ""</f>
        <v/>
      </c>
      <c r="O218" s="126" t="str">
        <f>IF(ISNA(MATCH(A218,Data!B:B,0)),"",INDEX(Data!I:I,MATCH(A218,Data!B:B,1))) &amp; ""</f>
        <v/>
      </c>
      <c r="P218" s="133" t="str">
        <f>IF(ISNA(MATCH(A218,Data!B:B,0)),"",INDEX(Data!J:J,MATCH(A218,Data!B:B,1))) &amp; ""</f>
        <v/>
      </c>
      <c r="Q218" s="126" t="str">
        <f>IF(S218="T",Charts!$X$7,IF(ISNA(MATCH(A218,Data!B:B,0)),"",INDEX(Data!K:K,MATCH(A218,Data!B:B,1)))) &amp; ""</f>
        <v/>
      </c>
      <c r="R218" s="134"/>
      <c r="S218" s="134"/>
      <c r="T218" s="127"/>
      <c r="AF218" s="24" t="str">
        <f>IF(C218="","",INDEX(Workouts!B:B,MATCH(C218,Workouts!A:A,0)))</f>
        <v/>
      </c>
      <c r="AG218" s="24" t="str">
        <f>IF(SUMIF(Data!B:B,A218,Data!D:D)=0,"",SUMIF(Data!B:B,A218,Data!D:D))</f>
        <v/>
      </c>
      <c r="AH218" s="25" t="str">
        <f>IF(C218="","",INDEX(Workouts!C:C,MATCH(C218,Workouts!A:A,0)))</f>
        <v/>
      </c>
      <c r="AI218" s="68" t="str">
        <f>IF(SUMIF(Data!B:B,A218,Data!F:F)=0,"",SUMIF(Data!B:B,A218,Data!F:F))</f>
        <v/>
      </c>
      <c r="AJ218" s="68">
        <f>AJ217+ (IF(AH218="",0,AH218)-AJ217)/Charts!$X$5</f>
        <v>2.1126291836604756E-13</v>
      </c>
      <c r="AK218" s="68">
        <f>AK217+ (IF(AI218="",0,AI218)-AK217)/Charts!$X$5</f>
        <v>2.1126291836604756E-13</v>
      </c>
      <c r="AL218" s="68">
        <f>AL217+ (IF(AH218="",0,AH218)-AL217)/Charts!$X$6</f>
        <v>0.30187629768212032</v>
      </c>
      <c r="AM218" s="68">
        <f>AM217+ (IF(AI218="",0,AI218)-AM217)/Charts!$X$6</f>
        <v>0.30187629768212032</v>
      </c>
      <c r="AN218" s="68" t="str">
        <f t="shared" si="46"/>
        <v>0</v>
      </c>
      <c r="AO218" s="68" t="str">
        <f t="shared" si="47"/>
        <v>0</v>
      </c>
      <c r="AP218" s="69" t="str">
        <f>IF(C218="","",INDEX(Workouts!D:D,MATCH(C218,Workouts!A:A,0)))</f>
        <v/>
      </c>
      <c r="AQ218" s="69" t="str">
        <f>IF(ISNA(MATCH(A218,Data!B:B,0)),"",INDEX(Data!G:G,MATCH(A218,Data!B:B,1)))</f>
        <v/>
      </c>
    </row>
    <row r="219" spans="1:43" s="1" customFormat="1" x14ac:dyDescent="0.2">
      <c r="A219" s="125">
        <f t="shared" si="45"/>
        <v>44414</v>
      </c>
      <c r="B219" s="126" t="str">
        <f t="shared" si="42"/>
        <v>Fri</v>
      </c>
      <c r="C219" s="140"/>
      <c r="D219" s="128" t="str">
        <f t="shared" si="43"/>
        <v/>
      </c>
      <c r="E219" s="129" t="str">
        <f t="shared" si="44"/>
        <v/>
      </c>
      <c r="F219" s="130" t="str">
        <f>IF(SUMIF(Data!B:B,A219,Data!C:C)=0,"",SUMIF(Data!B:B,A219,Data!C:C))</f>
        <v/>
      </c>
      <c r="G219" s="126" t="str">
        <f>IF(OR(S219="T",S219="RUN",SUMIF(Data!B:B,A219,Data!E:E)=0),"",SUMIF(Data!B:B,A219,Data!E:E))</f>
        <v/>
      </c>
      <c r="H219" s="126" t="str">
        <f t="shared" si="36"/>
        <v/>
      </c>
      <c r="I219" s="131" t="str">
        <f t="shared" si="37"/>
        <v>0 (0)</v>
      </c>
      <c r="J219" s="131" t="str">
        <f t="shared" si="38"/>
        <v>0 (0)</v>
      </c>
      <c r="K219" s="131" t="str">
        <f t="shared" si="39"/>
        <v>0 (0)</v>
      </c>
      <c r="L219" s="132" t="str">
        <f t="shared" si="40"/>
        <v/>
      </c>
      <c r="M219" s="131" t="str">
        <f t="shared" si="41"/>
        <v/>
      </c>
      <c r="N219" s="126" t="str">
        <f>IF(ISNA(MATCH(A219,Data!B:B,0)),"",INDEX(Data!H:H,MATCH(A219,Data!B:B,1))) &amp; ""</f>
        <v/>
      </c>
      <c r="O219" s="126" t="str">
        <f>IF(ISNA(MATCH(A219,Data!B:B,0)),"",INDEX(Data!I:I,MATCH(A219,Data!B:B,1))) &amp; ""</f>
        <v/>
      </c>
      <c r="P219" s="133" t="str">
        <f>IF(ISNA(MATCH(A219,Data!B:B,0)),"",INDEX(Data!J:J,MATCH(A219,Data!B:B,1))) &amp; ""</f>
        <v/>
      </c>
      <c r="Q219" s="126" t="str">
        <f>IF(S219="T",Charts!$X$7,IF(ISNA(MATCH(A219,Data!B:B,0)),"",INDEX(Data!K:K,MATCH(A219,Data!B:B,1)))) &amp; ""</f>
        <v/>
      </c>
      <c r="R219" s="134"/>
      <c r="S219" s="134"/>
      <c r="T219" s="127"/>
      <c r="AF219" s="24" t="str">
        <f>IF(C219="","",INDEX(Workouts!B:B,MATCH(C219,Workouts!A:A,0)))</f>
        <v/>
      </c>
      <c r="AG219" s="24" t="str">
        <f>IF(SUMIF(Data!B:B,A219,Data!D:D)=0,"",SUMIF(Data!B:B,A219,Data!D:D))</f>
        <v/>
      </c>
      <c r="AH219" s="25" t="str">
        <f>IF(C219="","",INDEX(Workouts!C:C,MATCH(C219,Workouts!A:A,0)))</f>
        <v/>
      </c>
      <c r="AI219" s="68" t="str">
        <f>IF(SUMIF(Data!B:B,A219,Data!F:F)=0,"",SUMIF(Data!B:B,A219,Data!F:F))</f>
        <v/>
      </c>
      <c r="AJ219" s="68">
        <f>AJ218+ (IF(AH219="",0,AH219)-AJ218)/Charts!$X$5</f>
        <v>1.810825014566122E-13</v>
      </c>
      <c r="AK219" s="68">
        <f>AK218+ (IF(AI219="",0,AI219)-AK218)/Charts!$X$5</f>
        <v>1.810825014566122E-13</v>
      </c>
      <c r="AL219" s="68">
        <f>AL218+ (IF(AH219="",0,AH219)-AL218)/Charts!$X$6</f>
        <v>0.294688766784927</v>
      </c>
      <c r="AM219" s="68">
        <f>AM218+ (IF(AI219="",0,AI219)-AM218)/Charts!$X$6</f>
        <v>0.294688766784927</v>
      </c>
      <c r="AN219" s="68" t="str">
        <f t="shared" si="46"/>
        <v>0</v>
      </c>
      <c r="AO219" s="68" t="str">
        <f t="shared" si="47"/>
        <v>0</v>
      </c>
      <c r="AP219" s="69" t="str">
        <f>IF(C219="","",INDEX(Workouts!D:D,MATCH(C219,Workouts!A:A,0)))</f>
        <v/>
      </c>
      <c r="AQ219" s="69" t="str">
        <f>IF(ISNA(MATCH(A219,Data!B:B,0)),"",INDEX(Data!G:G,MATCH(A219,Data!B:B,1)))</f>
        <v/>
      </c>
    </row>
    <row r="220" spans="1:43" s="1" customFormat="1" x14ac:dyDescent="0.2">
      <c r="A220" s="125">
        <f t="shared" si="45"/>
        <v>44415</v>
      </c>
      <c r="B220" s="126" t="str">
        <f t="shared" si="42"/>
        <v>Sat</v>
      </c>
      <c r="C220" s="140"/>
      <c r="D220" s="128" t="str">
        <f t="shared" si="43"/>
        <v/>
      </c>
      <c r="E220" s="129" t="str">
        <f t="shared" si="44"/>
        <v/>
      </c>
      <c r="F220" s="130" t="str">
        <f>IF(SUMIF(Data!B:B,A220,Data!C:C)=0,"",SUMIF(Data!B:B,A220,Data!C:C))</f>
        <v/>
      </c>
      <c r="G220" s="126" t="str">
        <f>IF(OR(S220="T",S220="RUN",SUMIF(Data!B:B,A220,Data!E:E)=0),"",SUMIF(Data!B:B,A220,Data!E:E))</f>
        <v/>
      </c>
      <c r="H220" s="126" t="str">
        <f t="shared" si="36"/>
        <v/>
      </c>
      <c r="I220" s="131" t="str">
        <f t="shared" si="37"/>
        <v>0 (0)</v>
      </c>
      <c r="J220" s="131" t="str">
        <f t="shared" si="38"/>
        <v>0 (0)</v>
      </c>
      <c r="K220" s="131" t="str">
        <f t="shared" si="39"/>
        <v>0 (0)</v>
      </c>
      <c r="L220" s="132" t="str">
        <f t="shared" si="40"/>
        <v/>
      </c>
      <c r="M220" s="131" t="str">
        <f t="shared" si="41"/>
        <v/>
      </c>
      <c r="N220" s="126" t="str">
        <f>IF(ISNA(MATCH(A220,Data!B:B,0)),"",INDEX(Data!H:H,MATCH(A220,Data!B:B,1))) &amp; ""</f>
        <v/>
      </c>
      <c r="O220" s="126" t="str">
        <f>IF(ISNA(MATCH(A220,Data!B:B,0)),"",INDEX(Data!I:I,MATCH(A220,Data!B:B,1))) &amp; ""</f>
        <v/>
      </c>
      <c r="P220" s="133" t="str">
        <f>IF(ISNA(MATCH(A220,Data!B:B,0)),"",INDEX(Data!J:J,MATCH(A220,Data!B:B,1))) &amp; ""</f>
        <v/>
      </c>
      <c r="Q220" s="126" t="str">
        <f>IF(S220="T",Charts!$X$7,IF(ISNA(MATCH(A220,Data!B:B,0)),"",INDEX(Data!K:K,MATCH(A220,Data!B:B,1)))) &amp; ""</f>
        <v/>
      </c>
      <c r="R220" s="134"/>
      <c r="S220" s="134"/>
      <c r="T220" s="127"/>
      <c r="AF220" s="24" t="str">
        <f>IF(C220="","",INDEX(Workouts!B:B,MATCH(C220,Workouts!A:A,0)))</f>
        <v/>
      </c>
      <c r="AG220" s="24" t="str">
        <f>IF(SUMIF(Data!B:B,A220,Data!D:D)=0,"",SUMIF(Data!B:B,A220,Data!D:D))</f>
        <v/>
      </c>
      <c r="AH220" s="25" t="str">
        <f>IF(C220="","",INDEX(Workouts!C:C,MATCH(C220,Workouts!A:A,0)))</f>
        <v/>
      </c>
      <c r="AI220" s="68" t="str">
        <f>IF(SUMIF(Data!B:B,A220,Data!F:F)=0,"",SUMIF(Data!B:B,A220,Data!F:F))</f>
        <v/>
      </c>
      <c r="AJ220" s="68">
        <f>AJ219+ (IF(AH220="",0,AH220)-AJ219)/Charts!$X$5</f>
        <v>1.5521357267709617E-13</v>
      </c>
      <c r="AK220" s="68">
        <f>AK219+ (IF(AI220="",0,AI220)-AK219)/Charts!$X$5</f>
        <v>1.5521357267709617E-13</v>
      </c>
      <c r="AL220" s="68">
        <f>AL219+ (IF(AH220="",0,AH220)-AL219)/Charts!$X$6</f>
        <v>0.28767236757576209</v>
      </c>
      <c r="AM220" s="68">
        <f>AM219+ (IF(AI220="",0,AI220)-AM219)/Charts!$X$6</f>
        <v>0.28767236757576209</v>
      </c>
      <c r="AN220" s="68" t="str">
        <f t="shared" si="46"/>
        <v>0</v>
      </c>
      <c r="AO220" s="68" t="str">
        <f t="shared" si="47"/>
        <v>0</v>
      </c>
      <c r="AP220" s="69" t="str">
        <f>IF(C220="","",INDEX(Workouts!D:D,MATCH(C220,Workouts!A:A,0)))</f>
        <v/>
      </c>
      <c r="AQ220" s="69" t="str">
        <f>IF(ISNA(MATCH(A220,Data!B:B,0)),"",INDEX(Data!G:G,MATCH(A220,Data!B:B,1)))</f>
        <v/>
      </c>
    </row>
    <row r="221" spans="1:43" s="1" customFormat="1" x14ac:dyDescent="0.2">
      <c r="A221" s="125">
        <f t="shared" si="45"/>
        <v>44416</v>
      </c>
      <c r="B221" s="126" t="str">
        <f t="shared" si="42"/>
        <v>Sun</v>
      </c>
      <c r="C221" s="140"/>
      <c r="D221" s="128" t="str">
        <f t="shared" si="43"/>
        <v/>
      </c>
      <c r="E221" s="129" t="str">
        <f t="shared" si="44"/>
        <v/>
      </c>
      <c r="F221" s="130" t="str">
        <f>IF(SUMIF(Data!B:B,A221,Data!C:C)=0,"",SUMIF(Data!B:B,A221,Data!C:C))</f>
        <v/>
      </c>
      <c r="G221" s="126" t="str">
        <f>IF(OR(S221="T",S221="RUN",SUMIF(Data!B:B,A221,Data!E:E)=0),"",SUMIF(Data!B:B,A221,Data!E:E))</f>
        <v/>
      </c>
      <c r="H221" s="126" t="str">
        <f t="shared" si="36"/>
        <v/>
      </c>
      <c r="I221" s="131" t="str">
        <f t="shared" si="37"/>
        <v>0 (0)</v>
      </c>
      <c r="J221" s="131" t="str">
        <f t="shared" si="38"/>
        <v>0 (0)</v>
      </c>
      <c r="K221" s="131" t="str">
        <f t="shared" si="39"/>
        <v>0 (0)</v>
      </c>
      <c r="L221" s="132" t="str">
        <f t="shared" si="40"/>
        <v/>
      </c>
      <c r="M221" s="131" t="str">
        <f t="shared" si="41"/>
        <v/>
      </c>
      <c r="N221" s="126" t="str">
        <f>IF(ISNA(MATCH(A221,Data!B:B,0)),"",INDEX(Data!H:H,MATCH(A221,Data!B:B,1))) &amp; ""</f>
        <v/>
      </c>
      <c r="O221" s="126" t="str">
        <f>IF(ISNA(MATCH(A221,Data!B:B,0)),"",INDEX(Data!I:I,MATCH(A221,Data!B:B,1))) &amp; ""</f>
        <v/>
      </c>
      <c r="P221" s="133" t="str">
        <f>IF(ISNA(MATCH(A221,Data!B:B,0)),"",INDEX(Data!J:J,MATCH(A221,Data!B:B,1))) &amp; ""</f>
        <v/>
      </c>
      <c r="Q221" s="126" t="str">
        <f>IF(S221="T",Charts!$X$7,IF(ISNA(MATCH(A221,Data!B:B,0)),"",INDEX(Data!K:K,MATCH(A221,Data!B:B,1)))) &amp; ""</f>
        <v/>
      </c>
      <c r="R221" s="134"/>
      <c r="S221" s="134"/>
      <c r="T221" s="127"/>
      <c r="AF221" s="24" t="str">
        <f>IF(C221="","",INDEX(Workouts!B:B,MATCH(C221,Workouts!A:A,0)))</f>
        <v/>
      </c>
      <c r="AG221" s="24" t="str">
        <f>IF(SUMIF(Data!B:B,A221,Data!D:D)=0,"",SUMIF(Data!B:B,A221,Data!D:D))</f>
        <v/>
      </c>
      <c r="AH221" s="25" t="str">
        <f>IF(C221="","",INDEX(Workouts!C:C,MATCH(C221,Workouts!A:A,0)))</f>
        <v/>
      </c>
      <c r="AI221" s="68" t="str">
        <f>IF(SUMIF(Data!B:B,A221,Data!F:F)=0,"",SUMIF(Data!B:B,A221,Data!F:F))</f>
        <v/>
      </c>
      <c r="AJ221" s="68">
        <f>AJ220+ (IF(AH221="",0,AH221)-AJ220)/Charts!$X$5</f>
        <v>1.3304020515179672E-13</v>
      </c>
      <c r="AK221" s="68">
        <f>AK220+ (IF(AI221="",0,AI221)-AK220)/Charts!$X$5</f>
        <v>1.3304020515179672E-13</v>
      </c>
      <c r="AL221" s="68">
        <f>AL220+ (IF(AH221="",0,AH221)-AL220)/Charts!$X$6</f>
        <v>0.28082302549062488</v>
      </c>
      <c r="AM221" s="68">
        <f>AM220+ (IF(AI221="",0,AI221)-AM220)/Charts!$X$6</f>
        <v>0.28082302549062488</v>
      </c>
      <c r="AN221" s="68" t="str">
        <f t="shared" si="46"/>
        <v>0</v>
      </c>
      <c r="AO221" s="68" t="str">
        <f t="shared" si="47"/>
        <v>0</v>
      </c>
      <c r="AP221" s="69" t="str">
        <f>IF(C221="","",INDEX(Workouts!D:D,MATCH(C221,Workouts!A:A,0)))</f>
        <v/>
      </c>
      <c r="AQ221" s="69" t="str">
        <f>IF(ISNA(MATCH(A221,Data!B:B,0)),"",INDEX(Data!G:G,MATCH(A221,Data!B:B,1)))</f>
        <v/>
      </c>
    </row>
    <row r="222" spans="1:43" s="1" customFormat="1" x14ac:dyDescent="0.2">
      <c r="A222" s="125">
        <f t="shared" si="45"/>
        <v>44417</v>
      </c>
      <c r="B222" s="126" t="str">
        <f t="shared" si="42"/>
        <v>Mon</v>
      </c>
      <c r="C222" s="140"/>
      <c r="D222" s="128" t="str">
        <f t="shared" si="43"/>
        <v/>
      </c>
      <c r="E222" s="129" t="str">
        <f t="shared" si="44"/>
        <v/>
      </c>
      <c r="F222" s="130" t="str">
        <f>IF(SUMIF(Data!B:B,A222,Data!C:C)=0,"",SUMIF(Data!B:B,A222,Data!C:C))</f>
        <v/>
      </c>
      <c r="G222" s="126" t="str">
        <f>IF(OR(S222="T",S222="RUN",SUMIF(Data!B:B,A222,Data!E:E)=0),"",SUMIF(Data!B:B,A222,Data!E:E))</f>
        <v/>
      </c>
      <c r="H222" s="126" t="str">
        <f t="shared" si="36"/>
        <v/>
      </c>
      <c r="I222" s="131" t="str">
        <f t="shared" si="37"/>
        <v>0 (0)</v>
      </c>
      <c r="J222" s="131" t="str">
        <f t="shared" si="38"/>
        <v>0 (0)</v>
      </c>
      <c r="K222" s="131" t="str">
        <f t="shared" si="39"/>
        <v>0 (0)</v>
      </c>
      <c r="L222" s="132" t="str">
        <f t="shared" si="40"/>
        <v/>
      </c>
      <c r="M222" s="131" t="str">
        <f t="shared" si="41"/>
        <v/>
      </c>
      <c r="N222" s="126" t="str">
        <f>IF(ISNA(MATCH(A222,Data!B:B,0)),"",INDEX(Data!H:H,MATCH(A222,Data!B:B,1))) &amp; ""</f>
        <v/>
      </c>
      <c r="O222" s="126" t="str">
        <f>IF(ISNA(MATCH(A222,Data!B:B,0)),"",INDEX(Data!I:I,MATCH(A222,Data!B:B,1))) &amp; ""</f>
        <v/>
      </c>
      <c r="P222" s="133" t="str">
        <f>IF(ISNA(MATCH(A222,Data!B:B,0)),"",INDEX(Data!J:J,MATCH(A222,Data!B:B,1))) &amp; ""</f>
        <v/>
      </c>
      <c r="Q222" s="126" t="str">
        <f>IF(S222="T",Charts!$X$7,IF(ISNA(MATCH(A222,Data!B:B,0)),"",INDEX(Data!K:K,MATCH(A222,Data!B:B,1)))) &amp; ""</f>
        <v/>
      </c>
      <c r="R222" s="134"/>
      <c r="S222" s="134"/>
      <c r="T222" s="127"/>
      <c r="AF222" s="24" t="str">
        <f>IF(C222="","",INDEX(Workouts!B:B,MATCH(C222,Workouts!A:A,0)))</f>
        <v/>
      </c>
      <c r="AG222" s="24" t="str">
        <f>IF(SUMIF(Data!B:B,A222,Data!D:D)=0,"",SUMIF(Data!B:B,A222,Data!D:D))</f>
        <v/>
      </c>
      <c r="AH222" s="25" t="str">
        <f>IF(C222="","",INDEX(Workouts!C:C,MATCH(C222,Workouts!A:A,0)))</f>
        <v/>
      </c>
      <c r="AI222" s="68" t="str">
        <f>IF(SUMIF(Data!B:B,A222,Data!F:F)=0,"",SUMIF(Data!B:B,A222,Data!F:F))</f>
        <v/>
      </c>
      <c r="AJ222" s="68">
        <f>AJ221+ (IF(AH222="",0,AH222)-AJ221)/Charts!$X$5</f>
        <v>1.140344615586829E-13</v>
      </c>
      <c r="AK222" s="68">
        <f>AK221+ (IF(AI222="",0,AI222)-AK221)/Charts!$X$5</f>
        <v>1.140344615586829E-13</v>
      </c>
      <c r="AL222" s="68">
        <f>AL221+ (IF(AH222="",0,AH222)-AL221)/Charts!$X$6</f>
        <v>0.27413676297894335</v>
      </c>
      <c r="AM222" s="68">
        <f>AM221+ (IF(AI222="",0,AI222)-AM221)/Charts!$X$6</f>
        <v>0.27413676297894335</v>
      </c>
      <c r="AN222" s="68" t="str">
        <f t="shared" si="46"/>
        <v>0</v>
      </c>
      <c r="AO222" s="68" t="str">
        <f t="shared" si="47"/>
        <v>0</v>
      </c>
      <c r="AP222" s="69" t="str">
        <f>IF(C222="","",INDEX(Workouts!D:D,MATCH(C222,Workouts!A:A,0)))</f>
        <v/>
      </c>
      <c r="AQ222" s="69" t="str">
        <f>IF(ISNA(MATCH(A222,Data!B:B,0)),"",INDEX(Data!G:G,MATCH(A222,Data!B:B,1)))</f>
        <v/>
      </c>
    </row>
    <row r="223" spans="1:43" s="1" customFormat="1" x14ac:dyDescent="0.2">
      <c r="A223" s="125">
        <f t="shared" si="45"/>
        <v>44418</v>
      </c>
      <c r="B223" s="126" t="str">
        <f t="shared" si="42"/>
        <v>Tue</v>
      </c>
      <c r="C223" s="140"/>
      <c r="D223" s="128" t="str">
        <f t="shared" si="43"/>
        <v/>
      </c>
      <c r="E223" s="129" t="str">
        <f t="shared" si="44"/>
        <v/>
      </c>
      <c r="F223" s="130" t="str">
        <f>IF(SUMIF(Data!B:B,A223,Data!C:C)=0,"",SUMIF(Data!B:B,A223,Data!C:C))</f>
        <v/>
      </c>
      <c r="G223" s="126" t="str">
        <f>IF(OR(S223="T",S223="RUN",SUMIF(Data!B:B,A223,Data!E:E)=0),"",SUMIF(Data!B:B,A223,Data!E:E))</f>
        <v/>
      </c>
      <c r="H223" s="126" t="str">
        <f t="shared" si="36"/>
        <v/>
      </c>
      <c r="I223" s="131" t="str">
        <f t="shared" si="37"/>
        <v>0 (0)</v>
      </c>
      <c r="J223" s="131" t="str">
        <f t="shared" si="38"/>
        <v>0 (0)</v>
      </c>
      <c r="K223" s="131" t="str">
        <f t="shared" si="39"/>
        <v>0 (0)</v>
      </c>
      <c r="L223" s="132" t="str">
        <f t="shared" si="40"/>
        <v/>
      </c>
      <c r="M223" s="131" t="str">
        <f t="shared" si="41"/>
        <v/>
      </c>
      <c r="N223" s="126" t="str">
        <f>IF(ISNA(MATCH(A223,Data!B:B,0)),"",INDEX(Data!H:H,MATCH(A223,Data!B:B,1))) &amp; ""</f>
        <v/>
      </c>
      <c r="O223" s="126" t="str">
        <f>IF(ISNA(MATCH(A223,Data!B:B,0)),"",INDEX(Data!I:I,MATCH(A223,Data!B:B,1))) &amp; ""</f>
        <v/>
      </c>
      <c r="P223" s="133" t="str">
        <f>IF(ISNA(MATCH(A223,Data!B:B,0)),"",INDEX(Data!J:J,MATCH(A223,Data!B:B,1))) &amp; ""</f>
        <v/>
      </c>
      <c r="Q223" s="126" t="str">
        <f>IF(S223="T",Charts!$X$7,IF(ISNA(MATCH(A223,Data!B:B,0)),"",INDEX(Data!K:K,MATCH(A223,Data!B:B,1)))) &amp; ""</f>
        <v/>
      </c>
      <c r="R223" s="134"/>
      <c r="S223" s="134"/>
      <c r="T223" s="127"/>
      <c r="AF223" s="24" t="str">
        <f>IF(C223="","",INDEX(Workouts!B:B,MATCH(C223,Workouts!A:A,0)))</f>
        <v/>
      </c>
      <c r="AG223" s="24" t="str">
        <f>IF(SUMIF(Data!B:B,A223,Data!D:D)=0,"",SUMIF(Data!B:B,A223,Data!D:D))</f>
        <v/>
      </c>
      <c r="AH223" s="25" t="str">
        <f>IF(C223="","",INDEX(Workouts!C:C,MATCH(C223,Workouts!A:A,0)))</f>
        <v/>
      </c>
      <c r="AI223" s="68" t="str">
        <f>IF(SUMIF(Data!B:B,A223,Data!F:F)=0,"",SUMIF(Data!B:B,A223,Data!F:F))</f>
        <v/>
      </c>
      <c r="AJ223" s="68">
        <f>AJ222+ (IF(AH223="",0,AH223)-AJ222)/Charts!$X$5</f>
        <v>9.7743824193156772E-14</v>
      </c>
      <c r="AK223" s="68">
        <f>AK222+ (IF(AI223="",0,AI223)-AK222)/Charts!$X$5</f>
        <v>9.7743824193156772E-14</v>
      </c>
      <c r="AL223" s="68">
        <f>AL222+ (IF(AH223="",0,AH223)-AL222)/Charts!$X$6</f>
        <v>0.2676096971937304</v>
      </c>
      <c r="AM223" s="68">
        <f>AM222+ (IF(AI223="",0,AI223)-AM222)/Charts!$X$6</f>
        <v>0.2676096971937304</v>
      </c>
      <c r="AN223" s="68" t="str">
        <f t="shared" si="46"/>
        <v>0</v>
      </c>
      <c r="AO223" s="68" t="str">
        <f t="shared" si="47"/>
        <v>0</v>
      </c>
      <c r="AP223" s="69" t="str">
        <f>IF(C223="","",INDEX(Workouts!D:D,MATCH(C223,Workouts!A:A,0)))</f>
        <v/>
      </c>
      <c r="AQ223" s="69" t="str">
        <f>IF(ISNA(MATCH(A223,Data!B:B,0)),"",INDEX(Data!G:G,MATCH(A223,Data!B:B,1)))</f>
        <v/>
      </c>
    </row>
    <row r="224" spans="1:43" s="1" customFormat="1" x14ac:dyDescent="0.2">
      <c r="A224" s="125">
        <f t="shared" si="45"/>
        <v>44419</v>
      </c>
      <c r="B224" s="126" t="str">
        <f t="shared" si="42"/>
        <v>Wed</v>
      </c>
      <c r="C224" s="140"/>
      <c r="D224" s="128" t="str">
        <f t="shared" si="43"/>
        <v/>
      </c>
      <c r="E224" s="129" t="str">
        <f t="shared" si="44"/>
        <v/>
      </c>
      <c r="F224" s="130" t="str">
        <f>IF(SUMIF(Data!B:B,A224,Data!C:C)=0,"",SUMIF(Data!B:B,A224,Data!C:C))</f>
        <v/>
      </c>
      <c r="G224" s="126" t="str">
        <f>IF(OR(S224="T",S224="RUN",SUMIF(Data!B:B,A224,Data!E:E)=0),"",SUMIF(Data!B:B,A224,Data!E:E))</f>
        <v/>
      </c>
      <c r="H224" s="126" t="str">
        <f t="shared" si="36"/>
        <v/>
      </c>
      <c r="I224" s="131" t="str">
        <f t="shared" si="37"/>
        <v>0 (0)</v>
      </c>
      <c r="J224" s="131" t="str">
        <f t="shared" si="38"/>
        <v>0 (0)</v>
      </c>
      <c r="K224" s="131" t="str">
        <f t="shared" si="39"/>
        <v>0 (0)</v>
      </c>
      <c r="L224" s="132" t="str">
        <f t="shared" si="40"/>
        <v/>
      </c>
      <c r="M224" s="131" t="str">
        <f t="shared" si="41"/>
        <v/>
      </c>
      <c r="N224" s="126" t="str">
        <f>IF(ISNA(MATCH(A224,Data!B:B,0)),"",INDEX(Data!H:H,MATCH(A224,Data!B:B,1))) &amp; ""</f>
        <v/>
      </c>
      <c r="O224" s="126" t="str">
        <f>IF(ISNA(MATCH(A224,Data!B:B,0)),"",INDEX(Data!I:I,MATCH(A224,Data!B:B,1))) &amp; ""</f>
        <v/>
      </c>
      <c r="P224" s="133" t="str">
        <f>IF(ISNA(MATCH(A224,Data!B:B,0)),"",INDEX(Data!J:J,MATCH(A224,Data!B:B,1))) &amp; ""</f>
        <v/>
      </c>
      <c r="Q224" s="126" t="str">
        <f>IF(S224="T",Charts!$X$7,IF(ISNA(MATCH(A224,Data!B:B,0)),"",INDEX(Data!K:K,MATCH(A224,Data!B:B,1)))) &amp; ""</f>
        <v/>
      </c>
      <c r="R224" s="134"/>
      <c r="S224" s="134"/>
      <c r="T224" s="127"/>
      <c r="AF224" s="24" t="str">
        <f>IF(C224="","",INDEX(Workouts!B:B,MATCH(C224,Workouts!A:A,0)))</f>
        <v/>
      </c>
      <c r="AG224" s="24" t="str">
        <f>IF(SUMIF(Data!B:B,A224,Data!D:D)=0,"",SUMIF(Data!B:B,A224,Data!D:D))</f>
        <v/>
      </c>
      <c r="AH224" s="25" t="str">
        <f>IF(C224="","",INDEX(Workouts!C:C,MATCH(C224,Workouts!A:A,0)))</f>
        <v/>
      </c>
      <c r="AI224" s="68" t="str">
        <f>IF(SUMIF(Data!B:B,A224,Data!F:F)=0,"",SUMIF(Data!B:B,A224,Data!F:F))</f>
        <v/>
      </c>
      <c r="AJ224" s="68">
        <f>AJ223+ (IF(AH224="",0,AH224)-AJ223)/Charts!$X$5</f>
        <v>8.3780420736991519E-14</v>
      </c>
      <c r="AK224" s="68">
        <f>AK223+ (IF(AI224="",0,AI224)-AK223)/Charts!$X$5</f>
        <v>8.3780420736991519E-14</v>
      </c>
      <c r="AL224" s="68">
        <f>AL223+ (IF(AH224="",0,AH224)-AL223)/Charts!$X$6</f>
        <v>0.26123803773673682</v>
      </c>
      <c r="AM224" s="68">
        <f>AM223+ (IF(AI224="",0,AI224)-AM223)/Charts!$X$6</f>
        <v>0.26123803773673682</v>
      </c>
      <c r="AN224" s="68" t="str">
        <f t="shared" si="46"/>
        <v>0</v>
      </c>
      <c r="AO224" s="68" t="str">
        <f t="shared" si="47"/>
        <v>0</v>
      </c>
      <c r="AP224" s="69" t="str">
        <f>IF(C224="","",INDEX(Workouts!D:D,MATCH(C224,Workouts!A:A,0)))</f>
        <v/>
      </c>
      <c r="AQ224" s="69" t="str">
        <f>IF(ISNA(MATCH(A224,Data!B:B,0)),"",INDEX(Data!G:G,MATCH(A224,Data!B:B,1)))</f>
        <v/>
      </c>
    </row>
    <row r="225" spans="1:43" s="1" customFormat="1" x14ac:dyDescent="0.2">
      <c r="A225" s="125">
        <f t="shared" si="45"/>
        <v>44420</v>
      </c>
      <c r="B225" s="126" t="str">
        <f t="shared" si="42"/>
        <v>Thu</v>
      </c>
      <c r="C225" s="140"/>
      <c r="D225" s="128" t="str">
        <f t="shared" si="43"/>
        <v/>
      </c>
      <c r="E225" s="129" t="str">
        <f t="shared" si="44"/>
        <v/>
      </c>
      <c r="F225" s="130" t="str">
        <f>IF(SUMIF(Data!B:B,A225,Data!C:C)=0,"",SUMIF(Data!B:B,A225,Data!C:C))</f>
        <v/>
      </c>
      <c r="G225" s="126" t="str">
        <f>IF(OR(S225="T",S225="RUN",SUMIF(Data!B:B,A225,Data!E:E)=0),"",SUMIF(Data!B:B,A225,Data!E:E))</f>
        <v/>
      </c>
      <c r="H225" s="126" t="str">
        <f t="shared" si="36"/>
        <v/>
      </c>
      <c r="I225" s="131" t="str">
        <f t="shared" si="37"/>
        <v>0 (0)</v>
      </c>
      <c r="J225" s="131" t="str">
        <f t="shared" si="38"/>
        <v>0 (0)</v>
      </c>
      <c r="K225" s="131" t="str">
        <f t="shared" si="39"/>
        <v>0 (0)</v>
      </c>
      <c r="L225" s="132" t="str">
        <f t="shared" si="40"/>
        <v/>
      </c>
      <c r="M225" s="131" t="str">
        <f t="shared" si="41"/>
        <v/>
      </c>
      <c r="N225" s="126" t="str">
        <f>IF(ISNA(MATCH(A225,Data!B:B,0)),"",INDEX(Data!H:H,MATCH(A225,Data!B:B,1))) &amp; ""</f>
        <v/>
      </c>
      <c r="O225" s="126" t="str">
        <f>IF(ISNA(MATCH(A225,Data!B:B,0)),"",INDEX(Data!I:I,MATCH(A225,Data!B:B,1))) &amp; ""</f>
        <v/>
      </c>
      <c r="P225" s="133" t="str">
        <f>IF(ISNA(MATCH(A225,Data!B:B,0)),"",INDEX(Data!J:J,MATCH(A225,Data!B:B,1))) &amp; ""</f>
        <v/>
      </c>
      <c r="Q225" s="126" t="str">
        <f>IF(S225="T",Charts!$X$7,IF(ISNA(MATCH(A225,Data!B:B,0)),"",INDEX(Data!K:K,MATCH(A225,Data!B:B,1)))) &amp; ""</f>
        <v/>
      </c>
      <c r="R225" s="134"/>
      <c r="S225" s="134"/>
      <c r="T225" s="127"/>
      <c r="AF225" s="24" t="str">
        <f>IF(C225="","",INDEX(Workouts!B:B,MATCH(C225,Workouts!A:A,0)))</f>
        <v/>
      </c>
      <c r="AG225" s="24" t="str">
        <f>IF(SUMIF(Data!B:B,A225,Data!D:D)=0,"",SUMIF(Data!B:B,A225,Data!D:D))</f>
        <v/>
      </c>
      <c r="AH225" s="25" t="str">
        <f>IF(C225="","",INDEX(Workouts!C:C,MATCH(C225,Workouts!A:A,0)))</f>
        <v/>
      </c>
      <c r="AI225" s="68" t="str">
        <f>IF(SUMIF(Data!B:B,A225,Data!F:F)=0,"",SUMIF(Data!B:B,A225,Data!F:F))</f>
        <v/>
      </c>
      <c r="AJ225" s="68">
        <f>AJ224+ (IF(AH225="",0,AH225)-AJ224)/Charts!$X$5</f>
        <v>7.1811789203135582E-14</v>
      </c>
      <c r="AK225" s="68">
        <f>AK224+ (IF(AI225="",0,AI225)-AK224)/Charts!$X$5</f>
        <v>7.1811789203135582E-14</v>
      </c>
      <c r="AL225" s="68">
        <f>AL224+ (IF(AH225="",0,AH225)-AL224)/Charts!$X$6</f>
        <v>0.25501808445729068</v>
      </c>
      <c r="AM225" s="68">
        <f>AM224+ (IF(AI225="",0,AI225)-AM224)/Charts!$X$6</f>
        <v>0.25501808445729068</v>
      </c>
      <c r="AN225" s="68" t="str">
        <f t="shared" si="46"/>
        <v>0</v>
      </c>
      <c r="AO225" s="68" t="str">
        <f t="shared" si="47"/>
        <v>0</v>
      </c>
      <c r="AP225" s="69" t="str">
        <f>IF(C225="","",INDEX(Workouts!D:D,MATCH(C225,Workouts!A:A,0)))</f>
        <v/>
      </c>
      <c r="AQ225" s="69" t="str">
        <f>IF(ISNA(MATCH(A225,Data!B:B,0)),"",INDEX(Data!G:G,MATCH(A225,Data!B:B,1)))</f>
        <v/>
      </c>
    </row>
    <row r="226" spans="1:43" s="1" customFormat="1" x14ac:dyDescent="0.2">
      <c r="A226" s="125">
        <f t="shared" si="45"/>
        <v>44421</v>
      </c>
      <c r="B226" s="126" t="str">
        <f t="shared" si="42"/>
        <v>Fri</v>
      </c>
      <c r="C226" s="140"/>
      <c r="D226" s="128" t="str">
        <f t="shared" si="43"/>
        <v/>
      </c>
      <c r="E226" s="129" t="str">
        <f t="shared" si="44"/>
        <v/>
      </c>
      <c r="F226" s="130" t="str">
        <f>IF(SUMIF(Data!B:B,A226,Data!C:C)=0,"",SUMIF(Data!B:B,A226,Data!C:C))</f>
        <v/>
      </c>
      <c r="G226" s="126" t="str">
        <f>IF(OR(S226="T",S226="RUN",SUMIF(Data!B:B,A226,Data!E:E)=0),"",SUMIF(Data!B:B,A226,Data!E:E))</f>
        <v/>
      </c>
      <c r="H226" s="126" t="str">
        <f t="shared" si="36"/>
        <v/>
      </c>
      <c r="I226" s="131" t="str">
        <f t="shared" si="37"/>
        <v>0 (0)</v>
      </c>
      <c r="J226" s="131" t="str">
        <f t="shared" si="38"/>
        <v>0 (0)</v>
      </c>
      <c r="K226" s="131" t="str">
        <f t="shared" si="39"/>
        <v>0 (0)</v>
      </c>
      <c r="L226" s="132" t="str">
        <f t="shared" si="40"/>
        <v/>
      </c>
      <c r="M226" s="131" t="str">
        <f t="shared" si="41"/>
        <v/>
      </c>
      <c r="N226" s="126" t="str">
        <f>IF(ISNA(MATCH(A226,Data!B:B,0)),"",INDEX(Data!H:H,MATCH(A226,Data!B:B,1))) &amp; ""</f>
        <v/>
      </c>
      <c r="O226" s="126" t="str">
        <f>IF(ISNA(MATCH(A226,Data!B:B,0)),"",INDEX(Data!I:I,MATCH(A226,Data!B:B,1))) &amp; ""</f>
        <v/>
      </c>
      <c r="P226" s="133" t="str">
        <f>IF(ISNA(MATCH(A226,Data!B:B,0)),"",INDEX(Data!J:J,MATCH(A226,Data!B:B,1))) &amp; ""</f>
        <v/>
      </c>
      <c r="Q226" s="126" t="str">
        <f>IF(S226="T",Charts!$X$7,IF(ISNA(MATCH(A226,Data!B:B,0)),"",INDEX(Data!K:K,MATCH(A226,Data!B:B,1)))) &amp; ""</f>
        <v/>
      </c>
      <c r="R226" s="134"/>
      <c r="S226" s="134"/>
      <c r="T226" s="127"/>
      <c r="AF226" s="24" t="str">
        <f>IF(C226="","",INDEX(Workouts!B:B,MATCH(C226,Workouts!A:A,0)))</f>
        <v/>
      </c>
      <c r="AG226" s="24" t="str">
        <f>IF(SUMIF(Data!B:B,A226,Data!D:D)=0,"",SUMIF(Data!B:B,A226,Data!D:D))</f>
        <v/>
      </c>
      <c r="AH226" s="25" t="str">
        <f>IF(C226="","",INDEX(Workouts!C:C,MATCH(C226,Workouts!A:A,0)))</f>
        <v/>
      </c>
      <c r="AI226" s="68" t="str">
        <f>IF(SUMIF(Data!B:B,A226,Data!F:F)=0,"",SUMIF(Data!B:B,A226,Data!F:F))</f>
        <v/>
      </c>
      <c r="AJ226" s="68">
        <f>AJ225+ (IF(AH226="",0,AH226)-AJ225)/Charts!$X$5</f>
        <v>6.1552962174116215E-14</v>
      </c>
      <c r="AK226" s="68">
        <f>AK225+ (IF(AI226="",0,AI226)-AK225)/Charts!$X$5</f>
        <v>6.1552962174116215E-14</v>
      </c>
      <c r="AL226" s="68">
        <f>AL225+ (IF(AH226="",0,AH226)-AL225)/Charts!$X$6</f>
        <v>0.24894622530354565</v>
      </c>
      <c r="AM226" s="68">
        <f>AM225+ (IF(AI226="",0,AI226)-AM225)/Charts!$X$6</f>
        <v>0.24894622530354565</v>
      </c>
      <c r="AN226" s="68" t="str">
        <f t="shared" si="46"/>
        <v>0</v>
      </c>
      <c r="AO226" s="68" t="str">
        <f t="shared" si="47"/>
        <v>0</v>
      </c>
      <c r="AP226" s="69" t="str">
        <f>IF(C226="","",INDEX(Workouts!D:D,MATCH(C226,Workouts!A:A,0)))</f>
        <v/>
      </c>
      <c r="AQ226" s="69" t="str">
        <f>IF(ISNA(MATCH(A226,Data!B:B,0)),"",INDEX(Data!G:G,MATCH(A226,Data!B:B,1)))</f>
        <v/>
      </c>
    </row>
    <row r="227" spans="1:43" s="1" customFormat="1" x14ac:dyDescent="0.2">
      <c r="A227" s="125">
        <f t="shared" si="45"/>
        <v>44422</v>
      </c>
      <c r="B227" s="126" t="str">
        <f t="shared" si="42"/>
        <v>Sat</v>
      </c>
      <c r="C227" s="140"/>
      <c r="D227" s="128" t="str">
        <f t="shared" si="43"/>
        <v/>
      </c>
      <c r="E227" s="129" t="str">
        <f t="shared" si="44"/>
        <v/>
      </c>
      <c r="F227" s="130" t="str">
        <f>IF(SUMIF(Data!B:B,A227,Data!C:C)=0,"",SUMIF(Data!B:B,A227,Data!C:C))</f>
        <v/>
      </c>
      <c r="G227" s="126" t="str">
        <f>IF(OR(S227="T",S227="RUN",SUMIF(Data!B:B,A227,Data!E:E)=0),"",SUMIF(Data!B:B,A227,Data!E:E))</f>
        <v/>
      </c>
      <c r="H227" s="126" t="str">
        <f t="shared" si="36"/>
        <v/>
      </c>
      <c r="I227" s="131" t="str">
        <f t="shared" si="37"/>
        <v>0 (0)</v>
      </c>
      <c r="J227" s="131" t="str">
        <f t="shared" si="38"/>
        <v>0 (0)</v>
      </c>
      <c r="K227" s="131" t="str">
        <f t="shared" si="39"/>
        <v>0 (0)</v>
      </c>
      <c r="L227" s="132" t="str">
        <f t="shared" si="40"/>
        <v/>
      </c>
      <c r="M227" s="131" t="str">
        <f t="shared" si="41"/>
        <v/>
      </c>
      <c r="N227" s="126" t="str">
        <f>IF(ISNA(MATCH(A227,Data!B:B,0)),"",INDEX(Data!H:H,MATCH(A227,Data!B:B,1))) &amp; ""</f>
        <v/>
      </c>
      <c r="O227" s="126" t="str">
        <f>IF(ISNA(MATCH(A227,Data!B:B,0)),"",INDEX(Data!I:I,MATCH(A227,Data!B:B,1))) &amp; ""</f>
        <v/>
      </c>
      <c r="P227" s="133" t="str">
        <f>IF(ISNA(MATCH(A227,Data!B:B,0)),"",INDEX(Data!J:J,MATCH(A227,Data!B:B,1))) &amp; ""</f>
        <v/>
      </c>
      <c r="Q227" s="126" t="str">
        <f>IF(S227="T",Charts!$X$7,IF(ISNA(MATCH(A227,Data!B:B,0)),"",INDEX(Data!K:K,MATCH(A227,Data!B:B,1)))) &amp; ""</f>
        <v/>
      </c>
      <c r="R227" s="134"/>
      <c r="S227" s="134"/>
      <c r="T227" s="127"/>
      <c r="AF227" s="24" t="str">
        <f>IF(C227="","",INDEX(Workouts!B:B,MATCH(C227,Workouts!A:A,0)))</f>
        <v/>
      </c>
      <c r="AG227" s="24" t="str">
        <f>IF(SUMIF(Data!B:B,A227,Data!D:D)=0,"",SUMIF(Data!B:B,A227,Data!D:D))</f>
        <v/>
      </c>
      <c r="AH227" s="25" t="str">
        <f>IF(C227="","",INDEX(Workouts!C:C,MATCH(C227,Workouts!A:A,0)))</f>
        <v/>
      </c>
      <c r="AI227" s="68" t="str">
        <f>IF(SUMIF(Data!B:B,A227,Data!F:F)=0,"",SUMIF(Data!B:B,A227,Data!F:F))</f>
        <v/>
      </c>
      <c r="AJ227" s="68">
        <f>AJ226+ (IF(AH227="",0,AH227)-AJ226)/Charts!$X$5</f>
        <v>5.2759681863528188E-14</v>
      </c>
      <c r="AK227" s="68">
        <f>AK226+ (IF(AI227="",0,AI227)-AK226)/Charts!$X$5</f>
        <v>5.2759681863528188E-14</v>
      </c>
      <c r="AL227" s="68">
        <f>AL226+ (IF(AH227="",0,AH227)-AL226)/Charts!$X$6</f>
        <v>0.24301893422488979</v>
      </c>
      <c r="AM227" s="68">
        <f>AM226+ (IF(AI227="",0,AI227)-AM226)/Charts!$X$6</f>
        <v>0.24301893422488979</v>
      </c>
      <c r="AN227" s="68" t="str">
        <f t="shared" si="46"/>
        <v>0</v>
      </c>
      <c r="AO227" s="68" t="str">
        <f t="shared" si="47"/>
        <v>0</v>
      </c>
      <c r="AP227" s="69" t="str">
        <f>IF(C227="","",INDEX(Workouts!D:D,MATCH(C227,Workouts!A:A,0)))</f>
        <v/>
      </c>
      <c r="AQ227" s="69" t="str">
        <f>IF(ISNA(MATCH(A227,Data!B:B,0)),"",INDEX(Data!G:G,MATCH(A227,Data!B:B,1)))</f>
        <v/>
      </c>
    </row>
    <row r="228" spans="1:43" s="1" customFormat="1" x14ac:dyDescent="0.2">
      <c r="A228" s="125">
        <f t="shared" si="45"/>
        <v>44423</v>
      </c>
      <c r="B228" s="126" t="str">
        <f t="shared" si="42"/>
        <v>Sun</v>
      </c>
      <c r="C228" s="140"/>
      <c r="D228" s="128" t="str">
        <f t="shared" si="43"/>
        <v/>
      </c>
      <c r="E228" s="129" t="str">
        <f t="shared" si="44"/>
        <v/>
      </c>
      <c r="F228" s="130" t="str">
        <f>IF(SUMIF(Data!B:B,A228,Data!C:C)=0,"",SUMIF(Data!B:B,A228,Data!C:C))</f>
        <v/>
      </c>
      <c r="G228" s="126" t="str">
        <f>IF(OR(S228="T",S228="RUN",SUMIF(Data!B:B,A228,Data!E:E)=0),"",SUMIF(Data!B:B,A228,Data!E:E))</f>
        <v/>
      </c>
      <c r="H228" s="126" t="str">
        <f t="shared" si="36"/>
        <v/>
      </c>
      <c r="I228" s="131" t="str">
        <f t="shared" si="37"/>
        <v>0 (0)</v>
      </c>
      <c r="J228" s="131" t="str">
        <f t="shared" si="38"/>
        <v>0 (0)</v>
      </c>
      <c r="K228" s="131" t="str">
        <f t="shared" si="39"/>
        <v>0 (0)</v>
      </c>
      <c r="L228" s="132" t="str">
        <f t="shared" si="40"/>
        <v/>
      </c>
      <c r="M228" s="131" t="str">
        <f t="shared" si="41"/>
        <v/>
      </c>
      <c r="N228" s="126" t="str">
        <f>IF(ISNA(MATCH(A228,Data!B:B,0)),"",INDEX(Data!H:H,MATCH(A228,Data!B:B,1))) &amp; ""</f>
        <v/>
      </c>
      <c r="O228" s="126" t="str">
        <f>IF(ISNA(MATCH(A228,Data!B:B,0)),"",INDEX(Data!I:I,MATCH(A228,Data!B:B,1))) &amp; ""</f>
        <v/>
      </c>
      <c r="P228" s="133" t="str">
        <f>IF(ISNA(MATCH(A228,Data!B:B,0)),"",INDEX(Data!J:J,MATCH(A228,Data!B:B,1))) &amp; ""</f>
        <v/>
      </c>
      <c r="Q228" s="126" t="str">
        <f>IF(S228="T",Charts!$X$7,IF(ISNA(MATCH(A228,Data!B:B,0)),"",INDEX(Data!K:K,MATCH(A228,Data!B:B,1)))) &amp; ""</f>
        <v/>
      </c>
      <c r="R228" s="134"/>
      <c r="S228" s="134"/>
      <c r="T228" s="127"/>
      <c r="AF228" s="24" t="str">
        <f>IF(C228="","",INDEX(Workouts!B:B,MATCH(C228,Workouts!A:A,0)))</f>
        <v/>
      </c>
      <c r="AG228" s="24" t="str">
        <f>IF(SUMIF(Data!B:B,A228,Data!D:D)=0,"",SUMIF(Data!B:B,A228,Data!D:D))</f>
        <v/>
      </c>
      <c r="AH228" s="25" t="str">
        <f>IF(C228="","",INDEX(Workouts!C:C,MATCH(C228,Workouts!A:A,0)))</f>
        <v/>
      </c>
      <c r="AI228" s="68" t="str">
        <f>IF(SUMIF(Data!B:B,A228,Data!F:F)=0,"",SUMIF(Data!B:B,A228,Data!F:F))</f>
        <v/>
      </c>
      <c r="AJ228" s="68">
        <f>AJ227+ (IF(AH228="",0,AH228)-AJ227)/Charts!$X$5</f>
        <v>4.5222584454452731E-14</v>
      </c>
      <c r="AK228" s="68">
        <f>AK227+ (IF(AI228="",0,AI228)-AK227)/Charts!$X$5</f>
        <v>4.5222584454452731E-14</v>
      </c>
      <c r="AL228" s="68">
        <f>AL227+ (IF(AH228="",0,AH228)-AL227)/Charts!$X$6</f>
        <v>0.23723276912429717</v>
      </c>
      <c r="AM228" s="68">
        <f>AM227+ (IF(AI228="",0,AI228)-AM227)/Charts!$X$6</f>
        <v>0.23723276912429717</v>
      </c>
      <c r="AN228" s="68" t="str">
        <f t="shared" si="46"/>
        <v>0</v>
      </c>
      <c r="AO228" s="68" t="str">
        <f t="shared" si="47"/>
        <v>0</v>
      </c>
      <c r="AP228" s="69" t="str">
        <f>IF(C228="","",INDEX(Workouts!D:D,MATCH(C228,Workouts!A:A,0)))</f>
        <v/>
      </c>
      <c r="AQ228" s="69" t="str">
        <f>IF(ISNA(MATCH(A228,Data!B:B,0)),"",INDEX(Data!G:G,MATCH(A228,Data!B:B,1)))</f>
        <v/>
      </c>
    </row>
    <row r="229" spans="1:43" s="1" customFormat="1" x14ac:dyDescent="0.2">
      <c r="A229" s="125">
        <f t="shared" si="45"/>
        <v>44424</v>
      </c>
      <c r="B229" s="126" t="str">
        <f t="shared" si="42"/>
        <v>Mon</v>
      </c>
      <c r="C229" s="140"/>
      <c r="D229" s="128" t="str">
        <f t="shared" si="43"/>
        <v/>
      </c>
      <c r="E229" s="129" t="str">
        <f t="shared" si="44"/>
        <v/>
      </c>
      <c r="F229" s="130" t="str">
        <f>IF(SUMIF(Data!B:B,A229,Data!C:C)=0,"",SUMIF(Data!B:B,A229,Data!C:C))</f>
        <v/>
      </c>
      <c r="G229" s="126" t="str">
        <f>IF(OR(S229="T",S229="RUN",SUMIF(Data!B:B,A229,Data!E:E)=0),"",SUMIF(Data!B:B,A229,Data!E:E))</f>
        <v/>
      </c>
      <c r="H229" s="126" t="str">
        <f t="shared" si="36"/>
        <v/>
      </c>
      <c r="I229" s="131" t="str">
        <f t="shared" si="37"/>
        <v>0 (0)</v>
      </c>
      <c r="J229" s="131" t="str">
        <f t="shared" si="38"/>
        <v>0 (0)</v>
      </c>
      <c r="K229" s="131" t="str">
        <f t="shared" si="39"/>
        <v>0 (0)</v>
      </c>
      <c r="L229" s="132" t="str">
        <f t="shared" si="40"/>
        <v/>
      </c>
      <c r="M229" s="131" t="str">
        <f t="shared" si="41"/>
        <v/>
      </c>
      <c r="N229" s="126" t="str">
        <f>IF(ISNA(MATCH(A229,Data!B:B,0)),"",INDEX(Data!H:H,MATCH(A229,Data!B:B,1))) &amp; ""</f>
        <v/>
      </c>
      <c r="O229" s="126" t="str">
        <f>IF(ISNA(MATCH(A229,Data!B:B,0)),"",INDEX(Data!I:I,MATCH(A229,Data!B:B,1))) &amp; ""</f>
        <v/>
      </c>
      <c r="P229" s="133" t="str">
        <f>IF(ISNA(MATCH(A229,Data!B:B,0)),"",INDEX(Data!J:J,MATCH(A229,Data!B:B,1))) &amp; ""</f>
        <v/>
      </c>
      <c r="Q229" s="126" t="str">
        <f>IF(S229="T",Charts!$X$7,IF(ISNA(MATCH(A229,Data!B:B,0)),"",INDEX(Data!K:K,MATCH(A229,Data!B:B,1)))) &amp; ""</f>
        <v/>
      </c>
      <c r="R229" s="134"/>
      <c r="S229" s="134"/>
      <c r="T229" s="127"/>
      <c r="AF229" s="24" t="str">
        <f>IF(C229="","",INDEX(Workouts!B:B,MATCH(C229,Workouts!A:A,0)))</f>
        <v/>
      </c>
      <c r="AG229" s="24" t="str">
        <f>IF(SUMIF(Data!B:B,A229,Data!D:D)=0,"",SUMIF(Data!B:B,A229,Data!D:D))</f>
        <v/>
      </c>
      <c r="AH229" s="25" t="str">
        <f>IF(C229="","",INDEX(Workouts!C:C,MATCH(C229,Workouts!A:A,0)))</f>
        <v/>
      </c>
      <c r="AI229" s="68" t="str">
        <f>IF(SUMIF(Data!B:B,A229,Data!F:F)=0,"",SUMIF(Data!B:B,A229,Data!F:F))</f>
        <v/>
      </c>
      <c r="AJ229" s="68">
        <f>AJ228+ (IF(AH229="",0,AH229)-AJ228)/Charts!$X$5</f>
        <v>3.8762215246673772E-14</v>
      </c>
      <c r="AK229" s="68">
        <f>AK228+ (IF(AI229="",0,AI229)-AK228)/Charts!$X$5</f>
        <v>3.8762215246673772E-14</v>
      </c>
      <c r="AL229" s="68">
        <f>AL228+ (IF(AH229="",0,AH229)-AL228)/Charts!$X$6</f>
        <v>0.23158436985943295</v>
      </c>
      <c r="AM229" s="68">
        <f>AM228+ (IF(AI229="",0,AI229)-AM228)/Charts!$X$6</f>
        <v>0.23158436985943295</v>
      </c>
      <c r="AN229" s="68" t="str">
        <f t="shared" si="46"/>
        <v>0</v>
      </c>
      <c r="AO229" s="68" t="str">
        <f t="shared" si="47"/>
        <v>0</v>
      </c>
      <c r="AP229" s="69" t="str">
        <f>IF(C229="","",INDEX(Workouts!D:D,MATCH(C229,Workouts!A:A,0)))</f>
        <v/>
      </c>
      <c r="AQ229" s="69" t="str">
        <f>IF(ISNA(MATCH(A229,Data!B:B,0)),"",INDEX(Data!G:G,MATCH(A229,Data!B:B,1)))</f>
        <v/>
      </c>
    </row>
    <row r="230" spans="1:43" s="1" customFormat="1" x14ac:dyDescent="0.2">
      <c r="A230" s="125">
        <f t="shared" si="45"/>
        <v>44425</v>
      </c>
      <c r="B230" s="126" t="str">
        <f t="shared" si="42"/>
        <v>Tue</v>
      </c>
      <c r="C230" s="140"/>
      <c r="D230" s="128" t="str">
        <f t="shared" si="43"/>
        <v/>
      </c>
      <c r="E230" s="129" t="str">
        <f t="shared" si="44"/>
        <v/>
      </c>
      <c r="F230" s="130" t="str">
        <f>IF(SUMIF(Data!B:B,A230,Data!C:C)=0,"",SUMIF(Data!B:B,A230,Data!C:C))</f>
        <v/>
      </c>
      <c r="G230" s="126" t="str">
        <f>IF(OR(S230="T",S230="RUN",SUMIF(Data!B:B,A230,Data!E:E)=0),"",SUMIF(Data!B:B,A230,Data!E:E))</f>
        <v/>
      </c>
      <c r="H230" s="126" t="str">
        <f t="shared" si="36"/>
        <v/>
      </c>
      <c r="I230" s="131" t="str">
        <f t="shared" si="37"/>
        <v>0 (0)</v>
      </c>
      <c r="J230" s="131" t="str">
        <f t="shared" si="38"/>
        <v>0 (0)</v>
      </c>
      <c r="K230" s="131" t="str">
        <f t="shared" si="39"/>
        <v>0 (0)</v>
      </c>
      <c r="L230" s="132" t="str">
        <f t="shared" si="40"/>
        <v/>
      </c>
      <c r="M230" s="131" t="str">
        <f t="shared" si="41"/>
        <v/>
      </c>
      <c r="N230" s="126" t="str">
        <f>IF(ISNA(MATCH(A230,Data!B:B,0)),"",INDEX(Data!H:H,MATCH(A230,Data!B:B,1))) &amp; ""</f>
        <v/>
      </c>
      <c r="O230" s="126" t="str">
        <f>IF(ISNA(MATCH(A230,Data!B:B,0)),"",INDEX(Data!I:I,MATCH(A230,Data!B:B,1))) &amp; ""</f>
        <v/>
      </c>
      <c r="P230" s="133" t="str">
        <f>IF(ISNA(MATCH(A230,Data!B:B,0)),"",INDEX(Data!J:J,MATCH(A230,Data!B:B,1))) &amp; ""</f>
        <v/>
      </c>
      <c r="Q230" s="126" t="str">
        <f>IF(S230="T",Charts!$X$7,IF(ISNA(MATCH(A230,Data!B:B,0)),"",INDEX(Data!K:K,MATCH(A230,Data!B:B,1)))) &amp; ""</f>
        <v/>
      </c>
      <c r="R230" s="134"/>
      <c r="S230" s="134"/>
      <c r="T230" s="127"/>
      <c r="AF230" s="24" t="str">
        <f>IF(C230="","",INDEX(Workouts!B:B,MATCH(C230,Workouts!A:A,0)))</f>
        <v/>
      </c>
      <c r="AG230" s="24" t="str">
        <f>IF(SUMIF(Data!B:B,A230,Data!D:D)=0,"",SUMIF(Data!B:B,A230,Data!D:D))</f>
        <v/>
      </c>
      <c r="AH230" s="25" t="str">
        <f>IF(C230="","",INDEX(Workouts!C:C,MATCH(C230,Workouts!A:A,0)))</f>
        <v/>
      </c>
      <c r="AI230" s="68" t="str">
        <f>IF(SUMIF(Data!B:B,A230,Data!F:F)=0,"",SUMIF(Data!B:B,A230,Data!F:F))</f>
        <v/>
      </c>
      <c r="AJ230" s="68">
        <f>AJ229+ (IF(AH230="",0,AH230)-AJ229)/Charts!$X$5</f>
        <v>3.3224755925720376E-14</v>
      </c>
      <c r="AK230" s="68">
        <f>AK229+ (IF(AI230="",0,AI230)-AK229)/Charts!$X$5</f>
        <v>3.3224755925720376E-14</v>
      </c>
      <c r="AL230" s="68">
        <f>AL229+ (IF(AH230="",0,AH230)-AL229)/Charts!$X$6</f>
        <v>0.22607045629135122</v>
      </c>
      <c r="AM230" s="68">
        <f>AM229+ (IF(AI230="",0,AI230)-AM229)/Charts!$X$6</f>
        <v>0.22607045629135122</v>
      </c>
      <c r="AN230" s="68" t="str">
        <f t="shared" si="46"/>
        <v>0</v>
      </c>
      <c r="AO230" s="68" t="str">
        <f t="shared" si="47"/>
        <v>0</v>
      </c>
      <c r="AP230" s="69" t="str">
        <f>IF(C230="","",INDEX(Workouts!D:D,MATCH(C230,Workouts!A:A,0)))</f>
        <v/>
      </c>
      <c r="AQ230" s="69" t="str">
        <f>IF(ISNA(MATCH(A230,Data!B:B,0)),"",INDEX(Data!G:G,MATCH(A230,Data!B:B,1)))</f>
        <v/>
      </c>
    </row>
    <row r="231" spans="1:43" s="1" customFormat="1" x14ac:dyDescent="0.2">
      <c r="A231" s="125">
        <f t="shared" si="45"/>
        <v>44426</v>
      </c>
      <c r="B231" s="126" t="str">
        <f t="shared" si="42"/>
        <v>Wed</v>
      </c>
      <c r="C231" s="140"/>
      <c r="D231" s="128" t="str">
        <f t="shared" si="43"/>
        <v/>
      </c>
      <c r="E231" s="129" t="str">
        <f t="shared" si="44"/>
        <v/>
      </c>
      <c r="F231" s="130" t="str">
        <f>IF(SUMIF(Data!B:B,A231,Data!C:C)=0,"",SUMIF(Data!B:B,A231,Data!C:C))</f>
        <v/>
      </c>
      <c r="G231" s="126" t="str">
        <f>IF(OR(S231="T",S231="RUN",SUMIF(Data!B:B,A231,Data!E:E)=0),"",SUMIF(Data!B:B,A231,Data!E:E))</f>
        <v/>
      </c>
      <c r="H231" s="126" t="str">
        <f t="shared" si="36"/>
        <v/>
      </c>
      <c r="I231" s="131" t="str">
        <f t="shared" si="37"/>
        <v>0 (0)</v>
      </c>
      <c r="J231" s="131" t="str">
        <f t="shared" si="38"/>
        <v>0 (0)</v>
      </c>
      <c r="K231" s="131" t="str">
        <f t="shared" si="39"/>
        <v>0 (0)</v>
      </c>
      <c r="L231" s="132" t="str">
        <f t="shared" si="40"/>
        <v/>
      </c>
      <c r="M231" s="131" t="str">
        <f t="shared" si="41"/>
        <v/>
      </c>
      <c r="N231" s="126" t="str">
        <f>IF(ISNA(MATCH(A231,Data!B:B,0)),"",INDEX(Data!H:H,MATCH(A231,Data!B:B,1))) &amp; ""</f>
        <v/>
      </c>
      <c r="O231" s="126" t="str">
        <f>IF(ISNA(MATCH(A231,Data!B:B,0)),"",INDEX(Data!I:I,MATCH(A231,Data!B:B,1))) &amp; ""</f>
        <v/>
      </c>
      <c r="P231" s="133" t="str">
        <f>IF(ISNA(MATCH(A231,Data!B:B,0)),"",INDEX(Data!J:J,MATCH(A231,Data!B:B,1))) &amp; ""</f>
        <v/>
      </c>
      <c r="Q231" s="126" t="str">
        <f>IF(S231="T",Charts!$X$7,IF(ISNA(MATCH(A231,Data!B:B,0)),"",INDEX(Data!K:K,MATCH(A231,Data!B:B,1)))) &amp; ""</f>
        <v/>
      </c>
      <c r="R231" s="134"/>
      <c r="S231" s="134"/>
      <c r="T231" s="127"/>
      <c r="AF231" s="24" t="str">
        <f>IF(C231="","",INDEX(Workouts!B:B,MATCH(C231,Workouts!A:A,0)))</f>
        <v/>
      </c>
      <c r="AG231" s="24" t="str">
        <f>IF(SUMIF(Data!B:B,A231,Data!D:D)=0,"",SUMIF(Data!B:B,A231,Data!D:D))</f>
        <v/>
      </c>
      <c r="AH231" s="25" t="str">
        <f>IF(C231="","",INDEX(Workouts!C:C,MATCH(C231,Workouts!A:A,0)))</f>
        <v/>
      </c>
      <c r="AI231" s="68" t="str">
        <f>IF(SUMIF(Data!B:B,A231,Data!F:F)=0,"",SUMIF(Data!B:B,A231,Data!F:F))</f>
        <v/>
      </c>
      <c r="AJ231" s="68">
        <f>AJ230+ (IF(AH231="",0,AH231)-AJ230)/Charts!$X$5</f>
        <v>2.8478362222046037E-14</v>
      </c>
      <c r="AK231" s="68">
        <f>AK230+ (IF(AI231="",0,AI231)-AK230)/Charts!$X$5</f>
        <v>2.8478362222046037E-14</v>
      </c>
      <c r="AL231" s="68">
        <f>AL230+ (IF(AH231="",0,AH231)-AL230)/Charts!$X$6</f>
        <v>0.2206878263796524</v>
      </c>
      <c r="AM231" s="68">
        <f>AM230+ (IF(AI231="",0,AI231)-AM230)/Charts!$X$6</f>
        <v>0.2206878263796524</v>
      </c>
      <c r="AN231" s="68" t="str">
        <f t="shared" si="46"/>
        <v>0</v>
      </c>
      <c r="AO231" s="68" t="str">
        <f t="shared" si="47"/>
        <v>0</v>
      </c>
      <c r="AP231" s="69" t="str">
        <f>IF(C231="","",INDEX(Workouts!D:D,MATCH(C231,Workouts!A:A,0)))</f>
        <v/>
      </c>
      <c r="AQ231" s="69" t="str">
        <f>IF(ISNA(MATCH(A231,Data!B:B,0)),"",INDEX(Data!G:G,MATCH(A231,Data!B:B,1)))</f>
        <v/>
      </c>
    </row>
    <row r="232" spans="1:43" s="1" customFormat="1" x14ac:dyDescent="0.2">
      <c r="A232" s="125">
        <f t="shared" si="45"/>
        <v>44427</v>
      </c>
      <c r="B232" s="126" t="str">
        <f t="shared" si="42"/>
        <v>Thu</v>
      </c>
      <c r="C232" s="140"/>
      <c r="D232" s="128" t="str">
        <f t="shared" si="43"/>
        <v/>
      </c>
      <c r="E232" s="129" t="str">
        <f t="shared" si="44"/>
        <v/>
      </c>
      <c r="F232" s="130" t="str">
        <f>IF(SUMIF(Data!B:B,A232,Data!C:C)=0,"",SUMIF(Data!B:B,A232,Data!C:C))</f>
        <v/>
      </c>
      <c r="G232" s="126" t="str">
        <f>IF(OR(S232="T",S232="RUN",SUMIF(Data!B:B,A232,Data!E:E)=0),"",SUMIF(Data!B:B,A232,Data!E:E))</f>
        <v/>
      </c>
      <c r="H232" s="126" t="str">
        <f t="shared" si="36"/>
        <v/>
      </c>
      <c r="I232" s="131" t="str">
        <f t="shared" si="37"/>
        <v>0 (0)</v>
      </c>
      <c r="J232" s="131" t="str">
        <f t="shared" si="38"/>
        <v>0 (0)</v>
      </c>
      <c r="K232" s="131" t="str">
        <f t="shared" si="39"/>
        <v>0 (0)</v>
      </c>
      <c r="L232" s="132" t="str">
        <f t="shared" si="40"/>
        <v/>
      </c>
      <c r="M232" s="131" t="str">
        <f t="shared" si="41"/>
        <v/>
      </c>
      <c r="N232" s="126" t="str">
        <f>IF(ISNA(MATCH(A232,Data!B:B,0)),"",INDEX(Data!H:H,MATCH(A232,Data!B:B,1))) &amp; ""</f>
        <v/>
      </c>
      <c r="O232" s="126" t="str">
        <f>IF(ISNA(MATCH(A232,Data!B:B,0)),"",INDEX(Data!I:I,MATCH(A232,Data!B:B,1))) &amp; ""</f>
        <v/>
      </c>
      <c r="P232" s="133" t="str">
        <f>IF(ISNA(MATCH(A232,Data!B:B,0)),"",INDEX(Data!J:J,MATCH(A232,Data!B:B,1))) &amp; ""</f>
        <v/>
      </c>
      <c r="Q232" s="126" t="str">
        <f>IF(S232="T",Charts!$X$7,IF(ISNA(MATCH(A232,Data!B:B,0)),"",INDEX(Data!K:K,MATCH(A232,Data!B:B,1)))) &amp; ""</f>
        <v/>
      </c>
      <c r="R232" s="134"/>
      <c r="S232" s="134"/>
      <c r="T232" s="127"/>
      <c r="AF232" s="24" t="str">
        <f>IF(C232="","",INDEX(Workouts!B:B,MATCH(C232,Workouts!A:A,0)))</f>
        <v/>
      </c>
      <c r="AG232" s="24" t="str">
        <f>IF(SUMIF(Data!B:B,A232,Data!D:D)=0,"",SUMIF(Data!B:B,A232,Data!D:D))</f>
        <v/>
      </c>
      <c r="AH232" s="25" t="str">
        <f>IF(C232="","",INDEX(Workouts!C:C,MATCH(C232,Workouts!A:A,0)))</f>
        <v/>
      </c>
      <c r="AI232" s="68" t="str">
        <f>IF(SUMIF(Data!B:B,A232,Data!F:F)=0,"",SUMIF(Data!B:B,A232,Data!F:F))</f>
        <v/>
      </c>
      <c r="AJ232" s="68">
        <f>AJ231+ (IF(AH232="",0,AH232)-AJ231)/Charts!$X$5</f>
        <v>2.4410024761753747E-14</v>
      </c>
      <c r="AK232" s="68">
        <f>AK231+ (IF(AI232="",0,AI232)-AK231)/Charts!$X$5</f>
        <v>2.4410024761753747E-14</v>
      </c>
      <c r="AL232" s="68">
        <f>AL231+ (IF(AH232="",0,AH232)-AL231)/Charts!$X$6</f>
        <v>0.21543335432299401</v>
      </c>
      <c r="AM232" s="68">
        <f>AM231+ (IF(AI232="",0,AI232)-AM231)/Charts!$X$6</f>
        <v>0.21543335432299401</v>
      </c>
      <c r="AN232" s="68" t="str">
        <f t="shared" si="46"/>
        <v>0</v>
      </c>
      <c r="AO232" s="68" t="str">
        <f t="shared" si="47"/>
        <v>0</v>
      </c>
      <c r="AP232" s="69" t="str">
        <f>IF(C232="","",INDEX(Workouts!D:D,MATCH(C232,Workouts!A:A,0)))</f>
        <v/>
      </c>
      <c r="AQ232" s="69" t="str">
        <f>IF(ISNA(MATCH(A232,Data!B:B,0)),"",INDEX(Data!G:G,MATCH(A232,Data!B:B,1)))</f>
        <v/>
      </c>
    </row>
    <row r="233" spans="1:43" s="1" customFormat="1" x14ac:dyDescent="0.2">
      <c r="A233" s="125">
        <f t="shared" si="45"/>
        <v>44428</v>
      </c>
      <c r="B233" s="126" t="str">
        <f t="shared" si="42"/>
        <v>Fri</v>
      </c>
      <c r="C233" s="140"/>
      <c r="D233" s="128" t="str">
        <f t="shared" si="43"/>
        <v/>
      </c>
      <c r="E233" s="129" t="str">
        <f t="shared" si="44"/>
        <v/>
      </c>
      <c r="F233" s="130" t="str">
        <f>IF(SUMIF(Data!B:B,A233,Data!C:C)=0,"",SUMIF(Data!B:B,A233,Data!C:C))</f>
        <v/>
      </c>
      <c r="G233" s="126" t="str">
        <f>IF(OR(S233="T",S233="RUN",SUMIF(Data!B:B,A233,Data!E:E)=0),"",SUMIF(Data!B:B,A233,Data!E:E))</f>
        <v/>
      </c>
      <c r="H233" s="126" t="str">
        <f t="shared" si="36"/>
        <v/>
      </c>
      <c r="I233" s="131" t="str">
        <f t="shared" si="37"/>
        <v>0 (0)</v>
      </c>
      <c r="J233" s="131" t="str">
        <f t="shared" si="38"/>
        <v>0 (0)</v>
      </c>
      <c r="K233" s="131" t="str">
        <f t="shared" si="39"/>
        <v>0 (0)</v>
      </c>
      <c r="L233" s="132" t="str">
        <f t="shared" si="40"/>
        <v/>
      </c>
      <c r="M233" s="131" t="str">
        <f t="shared" si="41"/>
        <v/>
      </c>
      <c r="N233" s="126" t="str">
        <f>IF(ISNA(MATCH(A233,Data!B:B,0)),"",INDEX(Data!H:H,MATCH(A233,Data!B:B,1))) &amp; ""</f>
        <v/>
      </c>
      <c r="O233" s="126" t="str">
        <f>IF(ISNA(MATCH(A233,Data!B:B,0)),"",INDEX(Data!I:I,MATCH(A233,Data!B:B,1))) &amp; ""</f>
        <v/>
      </c>
      <c r="P233" s="133" t="str">
        <f>IF(ISNA(MATCH(A233,Data!B:B,0)),"",INDEX(Data!J:J,MATCH(A233,Data!B:B,1))) &amp; ""</f>
        <v/>
      </c>
      <c r="Q233" s="126" t="str">
        <f>IF(S233="T",Charts!$X$7,IF(ISNA(MATCH(A233,Data!B:B,0)),"",INDEX(Data!K:K,MATCH(A233,Data!B:B,1)))) &amp; ""</f>
        <v/>
      </c>
      <c r="R233" s="134"/>
      <c r="S233" s="134"/>
      <c r="T233" s="127"/>
      <c r="AF233" s="24" t="str">
        <f>IF(C233="","",INDEX(Workouts!B:B,MATCH(C233,Workouts!A:A,0)))</f>
        <v/>
      </c>
      <c r="AG233" s="24" t="str">
        <f>IF(SUMIF(Data!B:B,A233,Data!D:D)=0,"",SUMIF(Data!B:B,A233,Data!D:D))</f>
        <v/>
      </c>
      <c r="AH233" s="25" t="str">
        <f>IF(C233="","",INDEX(Workouts!C:C,MATCH(C233,Workouts!A:A,0)))</f>
        <v/>
      </c>
      <c r="AI233" s="68" t="str">
        <f>IF(SUMIF(Data!B:B,A233,Data!F:F)=0,"",SUMIF(Data!B:B,A233,Data!F:F))</f>
        <v/>
      </c>
      <c r="AJ233" s="68">
        <f>AJ232+ (IF(AH233="",0,AH233)-AJ232)/Charts!$X$5</f>
        <v>2.0922878367217497E-14</v>
      </c>
      <c r="AK233" s="68">
        <f>AK232+ (IF(AI233="",0,AI233)-AK232)/Charts!$X$5</f>
        <v>2.0922878367217497E-14</v>
      </c>
      <c r="AL233" s="68">
        <f>AL232+ (IF(AH233="",0,AH233)-AL232)/Charts!$X$6</f>
        <v>0.2103039887438751</v>
      </c>
      <c r="AM233" s="68">
        <f>AM232+ (IF(AI233="",0,AI233)-AM232)/Charts!$X$6</f>
        <v>0.2103039887438751</v>
      </c>
      <c r="AN233" s="68" t="str">
        <f t="shared" si="46"/>
        <v>0</v>
      </c>
      <c r="AO233" s="68" t="str">
        <f t="shared" si="47"/>
        <v>0</v>
      </c>
      <c r="AP233" s="69" t="str">
        <f>IF(C233="","",INDEX(Workouts!D:D,MATCH(C233,Workouts!A:A,0)))</f>
        <v/>
      </c>
      <c r="AQ233" s="69" t="str">
        <f>IF(ISNA(MATCH(A233,Data!B:B,0)),"",INDEX(Data!G:G,MATCH(A233,Data!B:B,1)))</f>
        <v/>
      </c>
    </row>
    <row r="234" spans="1:43" s="1" customFormat="1" x14ac:dyDescent="0.2">
      <c r="A234" s="125">
        <f t="shared" si="45"/>
        <v>44429</v>
      </c>
      <c r="B234" s="126" t="str">
        <f t="shared" si="42"/>
        <v>Sat</v>
      </c>
      <c r="C234" s="140"/>
      <c r="D234" s="128" t="str">
        <f t="shared" si="43"/>
        <v/>
      </c>
      <c r="E234" s="129" t="str">
        <f t="shared" si="44"/>
        <v/>
      </c>
      <c r="F234" s="130" t="str">
        <f>IF(SUMIF(Data!B:B,A234,Data!C:C)=0,"",SUMIF(Data!B:B,A234,Data!C:C))</f>
        <v/>
      </c>
      <c r="G234" s="126" t="str">
        <f>IF(OR(S234="T",S234="RUN",SUMIF(Data!B:B,A234,Data!E:E)=0),"",SUMIF(Data!B:B,A234,Data!E:E))</f>
        <v/>
      </c>
      <c r="H234" s="126" t="str">
        <f t="shared" si="36"/>
        <v/>
      </c>
      <c r="I234" s="131" t="str">
        <f t="shared" si="37"/>
        <v>0 (0)</v>
      </c>
      <c r="J234" s="131" t="str">
        <f t="shared" si="38"/>
        <v>0 (0)</v>
      </c>
      <c r="K234" s="131" t="str">
        <f t="shared" si="39"/>
        <v>0 (0)</v>
      </c>
      <c r="L234" s="132" t="str">
        <f t="shared" si="40"/>
        <v/>
      </c>
      <c r="M234" s="131" t="str">
        <f t="shared" si="41"/>
        <v/>
      </c>
      <c r="N234" s="126" t="str">
        <f>IF(ISNA(MATCH(A234,Data!B:B,0)),"",INDEX(Data!H:H,MATCH(A234,Data!B:B,1))) &amp; ""</f>
        <v/>
      </c>
      <c r="O234" s="126" t="str">
        <f>IF(ISNA(MATCH(A234,Data!B:B,0)),"",INDEX(Data!I:I,MATCH(A234,Data!B:B,1))) &amp; ""</f>
        <v/>
      </c>
      <c r="P234" s="133" t="str">
        <f>IF(ISNA(MATCH(A234,Data!B:B,0)),"",INDEX(Data!J:J,MATCH(A234,Data!B:B,1))) &amp; ""</f>
        <v/>
      </c>
      <c r="Q234" s="126" t="str">
        <f>IF(S234="T",Charts!$X$7,IF(ISNA(MATCH(A234,Data!B:B,0)),"",INDEX(Data!K:K,MATCH(A234,Data!B:B,1)))) &amp; ""</f>
        <v/>
      </c>
      <c r="R234" s="134"/>
      <c r="S234" s="134"/>
      <c r="T234" s="127"/>
      <c r="AF234" s="24" t="str">
        <f>IF(C234="","",INDEX(Workouts!B:B,MATCH(C234,Workouts!A:A,0)))</f>
        <v/>
      </c>
      <c r="AG234" s="24" t="str">
        <f>IF(SUMIF(Data!B:B,A234,Data!D:D)=0,"",SUMIF(Data!B:B,A234,Data!D:D))</f>
        <v/>
      </c>
      <c r="AH234" s="25" t="str">
        <f>IF(C234="","",INDEX(Workouts!C:C,MATCH(C234,Workouts!A:A,0)))</f>
        <v/>
      </c>
      <c r="AI234" s="68" t="str">
        <f>IF(SUMIF(Data!B:B,A234,Data!F:F)=0,"",SUMIF(Data!B:B,A234,Data!F:F))</f>
        <v/>
      </c>
      <c r="AJ234" s="68">
        <f>AJ233+ (IF(AH234="",0,AH234)-AJ233)/Charts!$X$5</f>
        <v>1.7933895743329282E-14</v>
      </c>
      <c r="AK234" s="68">
        <f>AK233+ (IF(AI234="",0,AI234)-AK233)/Charts!$X$5</f>
        <v>1.7933895743329282E-14</v>
      </c>
      <c r="AL234" s="68">
        <f>AL233+ (IF(AH234="",0,AH234)-AL233)/Charts!$X$6</f>
        <v>0.20529675091663999</v>
      </c>
      <c r="AM234" s="68">
        <f>AM233+ (IF(AI234="",0,AI234)-AM233)/Charts!$X$6</f>
        <v>0.20529675091663999</v>
      </c>
      <c r="AN234" s="68" t="str">
        <f t="shared" si="46"/>
        <v>0</v>
      </c>
      <c r="AO234" s="68" t="str">
        <f t="shared" si="47"/>
        <v>0</v>
      </c>
      <c r="AP234" s="69" t="str">
        <f>IF(C234="","",INDEX(Workouts!D:D,MATCH(C234,Workouts!A:A,0)))</f>
        <v/>
      </c>
      <c r="AQ234" s="69" t="str">
        <f>IF(ISNA(MATCH(A234,Data!B:B,0)),"",INDEX(Data!G:G,MATCH(A234,Data!B:B,1)))</f>
        <v/>
      </c>
    </row>
    <row r="235" spans="1:43" s="1" customFormat="1" x14ac:dyDescent="0.2">
      <c r="A235" s="125">
        <f t="shared" si="45"/>
        <v>44430</v>
      </c>
      <c r="B235" s="126" t="str">
        <f t="shared" si="42"/>
        <v>Sun</v>
      </c>
      <c r="C235" s="140"/>
      <c r="D235" s="128" t="str">
        <f t="shared" si="43"/>
        <v/>
      </c>
      <c r="E235" s="129" t="str">
        <f t="shared" si="44"/>
        <v/>
      </c>
      <c r="F235" s="130" t="str">
        <f>IF(SUMIF(Data!B:B,A235,Data!C:C)=0,"",SUMIF(Data!B:B,A235,Data!C:C))</f>
        <v/>
      </c>
      <c r="G235" s="126" t="str">
        <f>IF(OR(S235="T",S235="RUN",SUMIF(Data!B:B,A235,Data!E:E)=0),"",SUMIF(Data!B:B,A235,Data!E:E))</f>
        <v/>
      </c>
      <c r="H235" s="126" t="str">
        <f t="shared" si="36"/>
        <v/>
      </c>
      <c r="I235" s="131" t="str">
        <f t="shared" si="37"/>
        <v>0 (0)</v>
      </c>
      <c r="J235" s="131" t="str">
        <f t="shared" si="38"/>
        <v>0 (0)</v>
      </c>
      <c r="K235" s="131" t="str">
        <f t="shared" si="39"/>
        <v>0 (0)</v>
      </c>
      <c r="L235" s="132" t="str">
        <f t="shared" si="40"/>
        <v/>
      </c>
      <c r="M235" s="131" t="str">
        <f t="shared" si="41"/>
        <v/>
      </c>
      <c r="N235" s="126" t="str">
        <f>IF(ISNA(MATCH(A235,Data!B:B,0)),"",INDEX(Data!H:H,MATCH(A235,Data!B:B,1))) &amp; ""</f>
        <v/>
      </c>
      <c r="O235" s="126" t="str">
        <f>IF(ISNA(MATCH(A235,Data!B:B,0)),"",INDEX(Data!I:I,MATCH(A235,Data!B:B,1))) &amp; ""</f>
        <v/>
      </c>
      <c r="P235" s="133" t="str">
        <f>IF(ISNA(MATCH(A235,Data!B:B,0)),"",INDEX(Data!J:J,MATCH(A235,Data!B:B,1))) &amp; ""</f>
        <v/>
      </c>
      <c r="Q235" s="126" t="str">
        <f>IF(S235="T",Charts!$X$7,IF(ISNA(MATCH(A235,Data!B:B,0)),"",INDEX(Data!K:K,MATCH(A235,Data!B:B,1)))) &amp; ""</f>
        <v/>
      </c>
      <c r="R235" s="134"/>
      <c r="S235" s="134"/>
      <c r="T235" s="127"/>
      <c r="AF235" s="24" t="str">
        <f>IF(C235="","",INDEX(Workouts!B:B,MATCH(C235,Workouts!A:A,0)))</f>
        <v/>
      </c>
      <c r="AG235" s="24" t="str">
        <f>IF(SUMIF(Data!B:B,A235,Data!D:D)=0,"",SUMIF(Data!B:B,A235,Data!D:D))</f>
        <v/>
      </c>
      <c r="AH235" s="25" t="str">
        <f>IF(C235="","",INDEX(Workouts!C:C,MATCH(C235,Workouts!A:A,0)))</f>
        <v/>
      </c>
      <c r="AI235" s="68" t="str">
        <f>IF(SUMIF(Data!B:B,A235,Data!F:F)=0,"",SUMIF(Data!B:B,A235,Data!F:F))</f>
        <v/>
      </c>
      <c r="AJ235" s="68">
        <f>AJ234+ (IF(AH235="",0,AH235)-AJ234)/Charts!$X$5</f>
        <v>1.5371910637139384E-14</v>
      </c>
      <c r="AK235" s="68">
        <f>AK234+ (IF(AI235="",0,AI235)-AK234)/Charts!$X$5</f>
        <v>1.5371910637139384E-14</v>
      </c>
      <c r="AL235" s="68">
        <f>AL234+ (IF(AH235="",0,AH235)-AL234)/Charts!$X$6</f>
        <v>0.20040873303767237</v>
      </c>
      <c r="AM235" s="68">
        <f>AM234+ (IF(AI235="",0,AI235)-AM234)/Charts!$X$6</f>
        <v>0.20040873303767237</v>
      </c>
      <c r="AN235" s="68" t="str">
        <f t="shared" si="46"/>
        <v>0</v>
      </c>
      <c r="AO235" s="68" t="str">
        <f t="shared" si="47"/>
        <v>0</v>
      </c>
      <c r="AP235" s="69" t="str">
        <f>IF(C235="","",INDEX(Workouts!D:D,MATCH(C235,Workouts!A:A,0)))</f>
        <v/>
      </c>
      <c r="AQ235" s="69" t="str">
        <f>IF(ISNA(MATCH(A235,Data!B:B,0)),"",INDEX(Data!G:G,MATCH(A235,Data!B:B,1)))</f>
        <v/>
      </c>
    </row>
    <row r="236" spans="1:43" s="1" customFormat="1" x14ac:dyDescent="0.2">
      <c r="A236" s="125">
        <f t="shared" si="45"/>
        <v>44431</v>
      </c>
      <c r="B236" s="126" t="str">
        <f t="shared" si="42"/>
        <v>Mon</v>
      </c>
      <c r="C236" s="140"/>
      <c r="D236" s="128" t="str">
        <f t="shared" si="43"/>
        <v/>
      </c>
      <c r="E236" s="129" t="str">
        <f t="shared" si="44"/>
        <v/>
      </c>
      <c r="F236" s="130" t="str">
        <f>IF(SUMIF(Data!B:B,A236,Data!C:C)=0,"",SUMIF(Data!B:B,A236,Data!C:C))</f>
        <v/>
      </c>
      <c r="G236" s="126" t="str">
        <f>IF(OR(S236="T",S236="RUN",SUMIF(Data!B:B,A236,Data!E:E)=0),"",SUMIF(Data!B:B,A236,Data!E:E))</f>
        <v/>
      </c>
      <c r="H236" s="126" t="str">
        <f t="shared" si="36"/>
        <v/>
      </c>
      <c r="I236" s="131" t="str">
        <f t="shared" si="37"/>
        <v>0 (0)</v>
      </c>
      <c r="J236" s="131" t="str">
        <f t="shared" si="38"/>
        <v>0 (0)</v>
      </c>
      <c r="K236" s="131" t="str">
        <f t="shared" si="39"/>
        <v>0 (0)</v>
      </c>
      <c r="L236" s="132" t="str">
        <f t="shared" si="40"/>
        <v/>
      </c>
      <c r="M236" s="131" t="str">
        <f t="shared" si="41"/>
        <v/>
      </c>
      <c r="N236" s="126" t="str">
        <f>IF(ISNA(MATCH(A236,Data!B:B,0)),"",INDEX(Data!H:H,MATCH(A236,Data!B:B,1))) &amp; ""</f>
        <v/>
      </c>
      <c r="O236" s="126" t="str">
        <f>IF(ISNA(MATCH(A236,Data!B:B,0)),"",INDEX(Data!I:I,MATCH(A236,Data!B:B,1))) &amp; ""</f>
        <v/>
      </c>
      <c r="P236" s="133" t="str">
        <f>IF(ISNA(MATCH(A236,Data!B:B,0)),"",INDEX(Data!J:J,MATCH(A236,Data!B:B,1))) &amp; ""</f>
        <v/>
      </c>
      <c r="Q236" s="126" t="str">
        <f>IF(S236="T",Charts!$X$7,IF(ISNA(MATCH(A236,Data!B:B,0)),"",INDEX(Data!K:K,MATCH(A236,Data!B:B,1)))) &amp; ""</f>
        <v/>
      </c>
      <c r="R236" s="134"/>
      <c r="S236" s="134"/>
      <c r="T236" s="127"/>
      <c r="AF236" s="24" t="str">
        <f>IF(C236="","",INDEX(Workouts!B:B,MATCH(C236,Workouts!A:A,0)))</f>
        <v/>
      </c>
      <c r="AG236" s="24" t="str">
        <f>IF(SUMIF(Data!B:B,A236,Data!D:D)=0,"",SUMIF(Data!B:B,A236,Data!D:D))</f>
        <v/>
      </c>
      <c r="AH236" s="25" t="str">
        <f>IF(C236="","",INDEX(Workouts!C:C,MATCH(C236,Workouts!A:A,0)))</f>
        <v/>
      </c>
      <c r="AI236" s="68" t="str">
        <f>IF(SUMIF(Data!B:B,A236,Data!F:F)=0,"",SUMIF(Data!B:B,A236,Data!F:F))</f>
        <v/>
      </c>
      <c r="AJ236" s="68">
        <f>AJ235+ (IF(AH236="",0,AH236)-AJ235)/Charts!$X$5</f>
        <v>1.3175923403262329E-14</v>
      </c>
      <c r="AK236" s="68">
        <f>AK235+ (IF(AI236="",0,AI236)-AK235)/Charts!$X$5</f>
        <v>1.3175923403262329E-14</v>
      </c>
      <c r="AL236" s="68">
        <f>AL235+ (IF(AH236="",0,AH236)-AL235)/Charts!$X$6</f>
        <v>0.19563709653677541</v>
      </c>
      <c r="AM236" s="68">
        <f>AM235+ (IF(AI236="",0,AI236)-AM235)/Charts!$X$6</f>
        <v>0.19563709653677541</v>
      </c>
      <c r="AN236" s="68" t="str">
        <f t="shared" si="46"/>
        <v>0</v>
      </c>
      <c r="AO236" s="68" t="str">
        <f t="shared" si="47"/>
        <v>0</v>
      </c>
      <c r="AP236" s="69" t="str">
        <f>IF(C236="","",INDEX(Workouts!D:D,MATCH(C236,Workouts!A:A,0)))</f>
        <v/>
      </c>
      <c r="AQ236" s="69" t="str">
        <f>IF(ISNA(MATCH(A236,Data!B:B,0)),"",INDEX(Data!G:G,MATCH(A236,Data!B:B,1)))</f>
        <v/>
      </c>
    </row>
    <row r="237" spans="1:43" s="1" customFormat="1" x14ac:dyDescent="0.2">
      <c r="A237" s="125">
        <f t="shared" si="45"/>
        <v>44432</v>
      </c>
      <c r="B237" s="126" t="str">
        <f t="shared" si="42"/>
        <v>Tue</v>
      </c>
      <c r="C237" s="140"/>
      <c r="D237" s="128" t="str">
        <f t="shared" si="43"/>
        <v/>
      </c>
      <c r="E237" s="129" t="str">
        <f t="shared" si="44"/>
        <v/>
      </c>
      <c r="F237" s="130" t="str">
        <f>IF(SUMIF(Data!B:B,A237,Data!C:C)=0,"",SUMIF(Data!B:B,A237,Data!C:C))</f>
        <v/>
      </c>
      <c r="G237" s="126" t="str">
        <f>IF(OR(S237="T",S237="RUN",SUMIF(Data!B:B,A237,Data!E:E)=0),"",SUMIF(Data!B:B,A237,Data!E:E))</f>
        <v/>
      </c>
      <c r="H237" s="126" t="str">
        <f t="shared" si="36"/>
        <v/>
      </c>
      <c r="I237" s="131" t="str">
        <f t="shared" si="37"/>
        <v>0 (0)</v>
      </c>
      <c r="J237" s="131" t="str">
        <f t="shared" si="38"/>
        <v>0 (0)</v>
      </c>
      <c r="K237" s="131" t="str">
        <f t="shared" si="39"/>
        <v>0 (0)</v>
      </c>
      <c r="L237" s="132" t="str">
        <f t="shared" si="40"/>
        <v/>
      </c>
      <c r="M237" s="131" t="str">
        <f t="shared" si="41"/>
        <v/>
      </c>
      <c r="N237" s="126" t="str">
        <f>IF(ISNA(MATCH(A237,Data!B:B,0)),"",INDEX(Data!H:H,MATCH(A237,Data!B:B,1))) &amp; ""</f>
        <v/>
      </c>
      <c r="O237" s="126" t="str">
        <f>IF(ISNA(MATCH(A237,Data!B:B,0)),"",INDEX(Data!I:I,MATCH(A237,Data!B:B,1))) &amp; ""</f>
        <v/>
      </c>
      <c r="P237" s="133" t="str">
        <f>IF(ISNA(MATCH(A237,Data!B:B,0)),"",INDEX(Data!J:J,MATCH(A237,Data!B:B,1))) &amp; ""</f>
        <v/>
      </c>
      <c r="Q237" s="126" t="str">
        <f>IF(S237="T",Charts!$X$7,IF(ISNA(MATCH(A237,Data!B:B,0)),"",INDEX(Data!K:K,MATCH(A237,Data!B:B,1)))) &amp; ""</f>
        <v/>
      </c>
      <c r="R237" s="134"/>
      <c r="S237" s="134"/>
      <c r="T237" s="127"/>
      <c r="AF237" s="24" t="str">
        <f>IF(C237="","",INDEX(Workouts!B:B,MATCH(C237,Workouts!A:A,0)))</f>
        <v/>
      </c>
      <c r="AG237" s="24" t="str">
        <f>IF(SUMIF(Data!B:B,A237,Data!D:D)=0,"",SUMIF(Data!B:B,A237,Data!D:D))</f>
        <v/>
      </c>
      <c r="AH237" s="25" t="str">
        <f>IF(C237="","",INDEX(Workouts!C:C,MATCH(C237,Workouts!A:A,0)))</f>
        <v/>
      </c>
      <c r="AI237" s="68" t="str">
        <f>IF(SUMIF(Data!B:B,A237,Data!F:F)=0,"",SUMIF(Data!B:B,A237,Data!F:F))</f>
        <v/>
      </c>
      <c r="AJ237" s="68">
        <f>AJ236+ (IF(AH237="",0,AH237)-AJ236)/Charts!$X$5</f>
        <v>1.1293648631367711E-14</v>
      </c>
      <c r="AK237" s="68">
        <f>AK236+ (IF(AI237="",0,AI237)-AK236)/Charts!$X$5</f>
        <v>1.1293648631367711E-14</v>
      </c>
      <c r="AL237" s="68">
        <f>AL236+ (IF(AH237="",0,AH237)-AL236)/Charts!$X$6</f>
        <v>0.19097907042875695</v>
      </c>
      <c r="AM237" s="68">
        <f>AM236+ (IF(AI237="",0,AI237)-AM236)/Charts!$X$6</f>
        <v>0.19097907042875695</v>
      </c>
      <c r="AN237" s="68" t="str">
        <f t="shared" si="46"/>
        <v>0</v>
      </c>
      <c r="AO237" s="68" t="str">
        <f t="shared" si="47"/>
        <v>0</v>
      </c>
      <c r="AP237" s="69" t="str">
        <f>IF(C237="","",INDEX(Workouts!D:D,MATCH(C237,Workouts!A:A,0)))</f>
        <v/>
      </c>
      <c r="AQ237" s="69" t="str">
        <f>IF(ISNA(MATCH(A237,Data!B:B,0)),"",INDEX(Data!G:G,MATCH(A237,Data!B:B,1)))</f>
        <v/>
      </c>
    </row>
    <row r="238" spans="1:43" s="1" customFormat="1" x14ac:dyDescent="0.2">
      <c r="A238" s="125">
        <f t="shared" si="45"/>
        <v>44433</v>
      </c>
      <c r="B238" s="126" t="str">
        <f t="shared" si="42"/>
        <v>Wed</v>
      </c>
      <c r="C238" s="140"/>
      <c r="D238" s="128" t="str">
        <f t="shared" si="43"/>
        <v/>
      </c>
      <c r="E238" s="129" t="str">
        <f t="shared" si="44"/>
        <v/>
      </c>
      <c r="F238" s="130" t="str">
        <f>IF(SUMIF(Data!B:B,A238,Data!C:C)=0,"",SUMIF(Data!B:B,A238,Data!C:C))</f>
        <v/>
      </c>
      <c r="G238" s="126" t="str">
        <f>IF(OR(S238="T",S238="RUN",SUMIF(Data!B:B,A238,Data!E:E)=0),"",SUMIF(Data!B:B,A238,Data!E:E))</f>
        <v/>
      </c>
      <c r="H238" s="126" t="str">
        <f t="shared" si="36"/>
        <v/>
      </c>
      <c r="I238" s="131" t="str">
        <f t="shared" si="37"/>
        <v>0 (0)</v>
      </c>
      <c r="J238" s="131" t="str">
        <f t="shared" si="38"/>
        <v>0 (0)</v>
      </c>
      <c r="K238" s="131" t="str">
        <f t="shared" si="39"/>
        <v>0 (0)</v>
      </c>
      <c r="L238" s="132" t="str">
        <f t="shared" si="40"/>
        <v/>
      </c>
      <c r="M238" s="131" t="str">
        <f t="shared" si="41"/>
        <v/>
      </c>
      <c r="N238" s="126" t="str">
        <f>IF(ISNA(MATCH(A238,Data!B:B,0)),"",INDEX(Data!H:H,MATCH(A238,Data!B:B,1))) &amp; ""</f>
        <v/>
      </c>
      <c r="O238" s="126" t="str">
        <f>IF(ISNA(MATCH(A238,Data!B:B,0)),"",INDEX(Data!I:I,MATCH(A238,Data!B:B,1))) &amp; ""</f>
        <v/>
      </c>
      <c r="P238" s="133" t="str">
        <f>IF(ISNA(MATCH(A238,Data!B:B,0)),"",INDEX(Data!J:J,MATCH(A238,Data!B:B,1))) &amp; ""</f>
        <v/>
      </c>
      <c r="Q238" s="126" t="str">
        <f>IF(S238="T",Charts!$X$7,IF(ISNA(MATCH(A238,Data!B:B,0)),"",INDEX(Data!K:K,MATCH(A238,Data!B:B,1)))) &amp; ""</f>
        <v/>
      </c>
      <c r="R238" s="134"/>
      <c r="S238" s="134"/>
      <c r="T238" s="127"/>
      <c r="AF238" s="24" t="str">
        <f>IF(C238="","",INDEX(Workouts!B:B,MATCH(C238,Workouts!A:A,0)))</f>
        <v/>
      </c>
      <c r="AG238" s="24" t="str">
        <f>IF(SUMIF(Data!B:B,A238,Data!D:D)=0,"",SUMIF(Data!B:B,A238,Data!D:D))</f>
        <v/>
      </c>
      <c r="AH238" s="25" t="str">
        <f>IF(C238="","",INDEX(Workouts!C:C,MATCH(C238,Workouts!A:A,0)))</f>
        <v/>
      </c>
      <c r="AI238" s="68" t="str">
        <f>IF(SUMIF(Data!B:B,A238,Data!F:F)=0,"",SUMIF(Data!B:B,A238,Data!F:F))</f>
        <v/>
      </c>
      <c r="AJ238" s="68">
        <f>AJ237+ (IF(AH238="",0,AH238)-AJ237)/Charts!$X$5</f>
        <v>9.6802702554580384E-15</v>
      </c>
      <c r="AK238" s="68">
        <f>AK237+ (IF(AI238="",0,AI238)-AK237)/Charts!$X$5</f>
        <v>9.6802702554580384E-15</v>
      </c>
      <c r="AL238" s="68">
        <f>AL237+ (IF(AH238="",0,AH238)-AL237)/Charts!$X$6</f>
        <v>0.18643194970426274</v>
      </c>
      <c r="AM238" s="68">
        <f>AM237+ (IF(AI238="",0,AI238)-AM237)/Charts!$X$6</f>
        <v>0.18643194970426274</v>
      </c>
      <c r="AN238" s="68" t="str">
        <f t="shared" si="46"/>
        <v>0</v>
      </c>
      <c r="AO238" s="68" t="str">
        <f t="shared" si="47"/>
        <v>0</v>
      </c>
      <c r="AP238" s="69" t="str">
        <f>IF(C238="","",INDEX(Workouts!D:D,MATCH(C238,Workouts!A:A,0)))</f>
        <v/>
      </c>
      <c r="AQ238" s="69" t="str">
        <f>IF(ISNA(MATCH(A238,Data!B:B,0)),"",INDEX(Data!G:G,MATCH(A238,Data!B:B,1)))</f>
        <v/>
      </c>
    </row>
    <row r="239" spans="1:43" s="1" customFormat="1" x14ac:dyDescent="0.2">
      <c r="A239" s="125">
        <f t="shared" si="45"/>
        <v>44434</v>
      </c>
      <c r="B239" s="126" t="str">
        <f t="shared" si="42"/>
        <v>Thu</v>
      </c>
      <c r="C239" s="140"/>
      <c r="D239" s="128" t="str">
        <f t="shared" si="43"/>
        <v/>
      </c>
      <c r="E239" s="129" t="str">
        <f t="shared" si="44"/>
        <v/>
      </c>
      <c r="F239" s="130" t="str">
        <f>IF(SUMIF(Data!B:B,A239,Data!C:C)=0,"",SUMIF(Data!B:B,A239,Data!C:C))</f>
        <v/>
      </c>
      <c r="G239" s="126" t="str">
        <f>IF(OR(S239="T",S239="RUN",SUMIF(Data!B:B,A239,Data!E:E)=0),"",SUMIF(Data!B:B,A239,Data!E:E))</f>
        <v/>
      </c>
      <c r="H239" s="126" t="str">
        <f t="shared" si="36"/>
        <v/>
      </c>
      <c r="I239" s="131" t="str">
        <f t="shared" si="37"/>
        <v>0 (0)</v>
      </c>
      <c r="J239" s="131" t="str">
        <f t="shared" si="38"/>
        <v>0 (0)</v>
      </c>
      <c r="K239" s="131" t="str">
        <f t="shared" si="39"/>
        <v>0 (0)</v>
      </c>
      <c r="L239" s="132" t="str">
        <f t="shared" si="40"/>
        <v/>
      </c>
      <c r="M239" s="131" t="str">
        <f t="shared" si="41"/>
        <v/>
      </c>
      <c r="N239" s="126" t="str">
        <f>IF(ISNA(MATCH(A239,Data!B:B,0)),"",INDEX(Data!H:H,MATCH(A239,Data!B:B,1))) &amp; ""</f>
        <v/>
      </c>
      <c r="O239" s="126" t="str">
        <f>IF(ISNA(MATCH(A239,Data!B:B,0)),"",INDEX(Data!I:I,MATCH(A239,Data!B:B,1))) &amp; ""</f>
        <v/>
      </c>
      <c r="P239" s="133" t="str">
        <f>IF(ISNA(MATCH(A239,Data!B:B,0)),"",INDEX(Data!J:J,MATCH(A239,Data!B:B,1))) &amp; ""</f>
        <v/>
      </c>
      <c r="Q239" s="126" t="str">
        <f>IF(S239="T",Charts!$X$7,IF(ISNA(MATCH(A239,Data!B:B,0)),"",INDEX(Data!K:K,MATCH(A239,Data!B:B,1)))) &amp; ""</f>
        <v/>
      </c>
      <c r="R239" s="134"/>
      <c r="S239" s="134"/>
      <c r="T239" s="127"/>
      <c r="AF239" s="24" t="str">
        <f>IF(C239="","",INDEX(Workouts!B:B,MATCH(C239,Workouts!A:A,0)))</f>
        <v/>
      </c>
      <c r="AG239" s="24" t="str">
        <f>IF(SUMIF(Data!B:B,A239,Data!D:D)=0,"",SUMIF(Data!B:B,A239,Data!D:D))</f>
        <v/>
      </c>
      <c r="AH239" s="25" t="str">
        <f>IF(C239="","",INDEX(Workouts!C:C,MATCH(C239,Workouts!A:A,0)))</f>
        <v/>
      </c>
      <c r="AI239" s="68" t="str">
        <f>IF(SUMIF(Data!B:B,A239,Data!F:F)=0,"",SUMIF(Data!B:B,A239,Data!F:F))</f>
        <v/>
      </c>
      <c r="AJ239" s="68">
        <f>AJ238+ (IF(AH239="",0,AH239)-AJ238)/Charts!$X$5</f>
        <v>8.2973745046783184E-15</v>
      </c>
      <c r="AK239" s="68">
        <f>AK238+ (IF(AI239="",0,AI239)-AK238)/Charts!$X$5</f>
        <v>8.2973745046783184E-15</v>
      </c>
      <c r="AL239" s="68">
        <f>AL238+ (IF(AH239="",0,AH239)-AL238)/Charts!$X$6</f>
        <v>0.18199309375892317</v>
      </c>
      <c r="AM239" s="68">
        <f>AM238+ (IF(AI239="",0,AI239)-AM238)/Charts!$X$6</f>
        <v>0.18199309375892317</v>
      </c>
      <c r="AN239" s="68" t="str">
        <f t="shared" si="46"/>
        <v>0</v>
      </c>
      <c r="AO239" s="68" t="str">
        <f t="shared" si="47"/>
        <v>0</v>
      </c>
      <c r="AP239" s="69" t="str">
        <f>IF(C239="","",INDEX(Workouts!D:D,MATCH(C239,Workouts!A:A,0)))</f>
        <v/>
      </c>
      <c r="AQ239" s="69" t="str">
        <f>IF(ISNA(MATCH(A239,Data!B:B,0)),"",INDEX(Data!G:G,MATCH(A239,Data!B:B,1)))</f>
        <v/>
      </c>
    </row>
    <row r="240" spans="1:43" s="1" customFormat="1" x14ac:dyDescent="0.2">
      <c r="A240" s="125">
        <f t="shared" si="45"/>
        <v>44435</v>
      </c>
      <c r="B240" s="126" t="str">
        <f t="shared" si="42"/>
        <v>Fri</v>
      </c>
      <c r="C240" s="140"/>
      <c r="D240" s="128" t="str">
        <f t="shared" si="43"/>
        <v/>
      </c>
      <c r="E240" s="129" t="str">
        <f t="shared" si="44"/>
        <v/>
      </c>
      <c r="F240" s="130" t="str">
        <f>IF(SUMIF(Data!B:B,A240,Data!C:C)=0,"",SUMIF(Data!B:B,A240,Data!C:C))</f>
        <v/>
      </c>
      <c r="G240" s="126" t="str">
        <f>IF(OR(S240="T",S240="RUN",SUMIF(Data!B:B,A240,Data!E:E)=0),"",SUMIF(Data!B:B,A240,Data!E:E))</f>
        <v/>
      </c>
      <c r="H240" s="126" t="str">
        <f t="shared" si="36"/>
        <v/>
      </c>
      <c r="I240" s="131" t="str">
        <f t="shared" si="37"/>
        <v>0 (0)</v>
      </c>
      <c r="J240" s="131" t="str">
        <f t="shared" si="38"/>
        <v>0 (0)</v>
      </c>
      <c r="K240" s="131" t="str">
        <f t="shared" si="39"/>
        <v>0 (0)</v>
      </c>
      <c r="L240" s="132" t="str">
        <f t="shared" si="40"/>
        <v/>
      </c>
      <c r="M240" s="131" t="str">
        <f t="shared" si="41"/>
        <v/>
      </c>
      <c r="N240" s="126" t="str">
        <f>IF(ISNA(MATCH(A240,Data!B:B,0)),"",INDEX(Data!H:H,MATCH(A240,Data!B:B,1))) &amp; ""</f>
        <v/>
      </c>
      <c r="O240" s="126" t="str">
        <f>IF(ISNA(MATCH(A240,Data!B:B,0)),"",INDEX(Data!I:I,MATCH(A240,Data!B:B,1))) &amp; ""</f>
        <v/>
      </c>
      <c r="P240" s="133" t="str">
        <f>IF(ISNA(MATCH(A240,Data!B:B,0)),"",INDEX(Data!J:J,MATCH(A240,Data!B:B,1))) &amp; ""</f>
        <v/>
      </c>
      <c r="Q240" s="126" t="str">
        <f>IF(S240="T",Charts!$X$7,IF(ISNA(MATCH(A240,Data!B:B,0)),"",INDEX(Data!K:K,MATCH(A240,Data!B:B,1)))) &amp; ""</f>
        <v/>
      </c>
      <c r="R240" s="134"/>
      <c r="S240" s="134"/>
      <c r="T240" s="127"/>
      <c r="AF240" s="24" t="str">
        <f>IF(C240="","",INDEX(Workouts!B:B,MATCH(C240,Workouts!A:A,0)))</f>
        <v/>
      </c>
      <c r="AG240" s="24" t="str">
        <f>IF(SUMIF(Data!B:B,A240,Data!D:D)=0,"",SUMIF(Data!B:B,A240,Data!D:D))</f>
        <v/>
      </c>
      <c r="AH240" s="25" t="str">
        <f>IF(C240="","",INDEX(Workouts!C:C,MATCH(C240,Workouts!A:A,0)))</f>
        <v/>
      </c>
      <c r="AI240" s="68" t="str">
        <f>IF(SUMIF(Data!B:B,A240,Data!F:F)=0,"",SUMIF(Data!B:B,A240,Data!F:F))</f>
        <v/>
      </c>
      <c r="AJ240" s="68">
        <f>AJ239+ (IF(AH240="",0,AH240)-AJ239)/Charts!$X$5</f>
        <v>7.112035289724273E-15</v>
      </c>
      <c r="AK240" s="68">
        <f>AK239+ (IF(AI240="",0,AI240)-AK239)/Charts!$X$5</f>
        <v>7.112035289724273E-15</v>
      </c>
      <c r="AL240" s="68">
        <f>AL239+ (IF(AH240="",0,AH240)-AL239)/Charts!$X$6</f>
        <v>0.17765992485990117</v>
      </c>
      <c r="AM240" s="68">
        <f>AM239+ (IF(AI240="",0,AI240)-AM239)/Charts!$X$6</f>
        <v>0.17765992485990117</v>
      </c>
      <c r="AN240" s="68" t="str">
        <f t="shared" si="46"/>
        <v>0</v>
      </c>
      <c r="AO240" s="68" t="str">
        <f t="shared" si="47"/>
        <v>0</v>
      </c>
      <c r="AP240" s="69" t="str">
        <f>IF(C240="","",INDEX(Workouts!D:D,MATCH(C240,Workouts!A:A,0)))</f>
        <v/>
      </c>
      <c r="AQ240" s="69" t="str">
        <f>IF(ISNA(MATCH(A240,Data!B:B,0)),"",INDEX(Data!G:G,MATCH(A240,Data!B:B,1)))</f>
        <v/>
      </c>
    </row>
    <row r="241" spans="1:43" s="1" customFormat="1" x14ac:dyDescent="0.2">
      <c r="A241" s="125">
        <f t="shared" si="45"/>
        <v>44436</v>
      </c>
      <c r="B241" s="126" t="str">
        <f t="shared" si="42"/>
        <v>Sat</v>
      </c>
      <c r="C241" s="140"/>
      <c r="D241" s="128" t="str">
        <f t="shared" si="43"/>
        <v/>
      </c>
      <c r="E241" s="129" t="str">
        <f t="shared" si="44"/>
        <v/>
      </c>
      <c r="F241" s="130" t="str">
        <f>IF(SUMIF(Data!B:B,A241,Data!C:C)=0,"",SUMIF(Data!B:B,A241,Data!C:C))</f>
        <v/>
      </c>
      <c r="G241" s="126" t="str">
        <f>IF(OR(S241="T",S241="RUN",SUMIF(Data!B:B,A241,Data!E:E)=0),"",SUMIF(Data!B:B,A241,Data!E:E))</f>
        <v/>
      </c>
      <c r="H241" s="126" t="str">
        <f t="shared" si="36"/>
        <v/>
      </c>
      <c r="I241" s="131" t="str">
        <f t="shared" si="37"/>
        <v>0 (0)</v>
      </c>
      <c r="J241" s="131" t="str">
        <f t="shared" si="38"/>
        <v>0 (0)</v>
      </c>
      <c r="K241" s="131" t="str">
        <f t="shared" si="39"/>
        <v>0 (0)</v>
      </c>
      <c r="L241" s="132" t="str">
        <f t="shared" si="40"/>
        <v/>
      </c>
      <c r="M241" s="131" t="str">
        <f t="shared" si="41"/>
        <v/>
      </c>
      <c r="N241" s="126" t="str">
        <f>IF(ISNA(MATCH(A241,Data!B:B,0)),"",INDEX(Data!H:H,MATCH(A241,Data!B:B,1))) &amp; ""</f>
        <v/>
      </c>
      <c r="O241" s="126" t="str">
        <f>IF(ISNA(MATCH(A241,Data!B:B,0)),"",INDEX(Data!I:I,MATCH(A241,Data!B:B,1))) &amp; ""</f>
        <v/>
      </c>
      <c r="P241" s="133" t="str">
        <f>IF(ISNA(MATCH(A241,Data!B:B,0)),"",INDEX(Data!J:J,MATCH(A241,Data!B:B,1))) &amp; ""</f>
        <v/>
      </c>
      <c r="Q241" s="126" t="str">
        <f>IF(S241="T",Charts!$X$7,IF(ISNA(MATCH(A241,Data!B:B,0)),"",INDEX(Data!K:K,MATCH(A241,Data!B:B,1)))) &amp; ""</f>
        <v/>
      </c>
      <c r="R241" s="134"/>
      <c r="S241" s="134"/>
      <c r="T241" s="127"/>
      <c r="AF241" s="24" t="str">
        <f>IF(C241="","",INDEX(Workouts!B:B,MATCH(C241,Workouts!A:A,0)))</f>
        <v/>
      </c>
      <c r="AG241" s="24" t="str">
        <f>IF(SUMIF(Data!B:B,A241,Data!D:D)=0,"",SUMIF(Data!B:B,A241,Data!D:D))</f>
        <v/>
      </c>
      <c r="AH241" s="25" t="str">
        <f>IF(C241="","",INDEX(Workouts!C:C,MATCH(C241,Workouts!A:A,0)))</f>
        <v/>
      </c>
      <c r="AI241" s="68" t="str">
        <f>IF(SUMIF(Data!B:B,A241,Data!F:F)=0,"",SUMIF(Data!B:B,A241,Data!F:F))</f>
        <v/>
      </c>
      <c r="AJ241" s="68">
        <f>AJ240+ (IF(AH241="",0,AH241)-AJ240)/Charts!$X$5</f>
        <v>6.0960302483350907E-15</v>
      </c>
      <c r="AK241" s="68">
        <f>AK240+ (IF(AI241="",0,AI241)-AK240)/Charts!$X$5</f>
        <v>6.0960302483350907E-15</v>
      </c>
      <c r="AL241" s="68">
        <f>AL240+ (IF(AH241="",0,AH241)-AL240)/Charts!$X$6</f>
        <v>0.17342992664895115</v>
      </c>
      <c r="AM241" s="68">
        <f>AM240+ (IF(AI241="",0,AI241)-AM240)/Charts!$X$6</f>
        <v>0.17342992664895115</v>
      </c>
      <c r="AN241" s="68" t="str">
        <f t="shared" si="46"/>
        <v>0</v>
      </c>
      <c r="AO241" s="68" t="str">
        <f t="shared" si="47"/>
        <v>0</v>
      </c>
      <c r="AP241" s="69" t="str">
        <f>IF(C241="","",INDEX(Workouts!D:D,MATCH(C241,Workouts!A:A,0)))</f>
        <v/>
      </c>
      <c r="AQ241" s="69" t="str">
        <f>IF(ISNA(MATCH(A241,Data!B:B,0)),"",INDEX(Data!G:G,MATCH(A241,Data!B:B,1)))</f>
        <v/>
      </c>
    </row>
    <row r="242" spans="1:43" s="1" customFormat="1" x14ac:dyDescent="0.2">
      <c r="A242" s="125">
        <f t="shared" si="45"/>
        <v>44437</v>
      </c>
      <c r="B242" s="126" t="str">
        <f t="shared" si="42"/>
        <v>Sun</v>
      </c>
      <c r="C242" s="140"/>
      <c r="D242" s="128" t="str">
        <f t="shared" si="43"/>
        <v/>
      </c>
      <c r="E242" s="129" t="str">
        <f t="shared" si="44"/>
        <v/>
      </c>
      <c r="F242" s="130" t="str">
        <f>IF(SUMIF(Data!B:B,A242,Data!C:C)=0,"",SUMIF(Data!B:B,A242,Data!C:C))</f>
        <v/>
      </c>
      <c r="G242" s="126" t="str">
        <f>IF(OR(S242="T",S242="RUN",SUMIF(Data!B:B,A242,Data!E:E)=0),"",SUMIF(Data!B:B,A242,Data!E:E))</f>
        <v/>
      </c>
      <c r="H242" s="126" t="str">
        <f t="shared" si="36"/>
        <v/>
      </c>
      <c r="I242" s="131" t="str">
        <f t="shared" si="37"/>
        <v>0 (0)</v>
      </c>
      <c r="J242" s="131" t="str">
        <f t="shared" si="38"/>
        <v>0 (0)</v>
      </c>
      <c r="K242" s="131" t="str">
        <f t="shared" si="39"/>
        <v>0 (0)</v>
      </c>
      <c r="L242" s="132" t="str">
        <f t="shared" si="40"/>
        <v/>
      </c>
      <c r="M242" s="131" t="str">
        <f t="shared" si="41"/>
        <v/>
      </c>
      <c r="N242" s="126" t="str">
        <f>IF(ISNA(MATCH(A242,Data!B:B,0)),"",INDEX(Data!H:H,MATCH(A242,Data!B:B,1))) &amp; ""</f>
        <v/>
      </c>
      <c r="O242" s="126" t="str">
        <f>IF(ISNA(MATCH(A242,Data!B:B,0)),"",INDEX(Data!I:I,MATCH(A242,Data!B:B,1))) &amp; ""</f>
        <v/>
      </c>
      <c r="P242" s="133" t="str">
        <f>IF(ISNA(MATCH(A242,Data!B:B,0)),"",INDEX(Data!J:J,MATCH(A242,Data!B:B,1))) &amp; ""</f>
        <v/>
      </c>
      <c r="Q242" s="126" t="str">
        <f>IF(S242="T",Charts!$X$7,IF(ISNA(MATCH(A242,Data!B:B,0)),"",INDEX(Data!K:K,MATCH(A242,Data!B:B,1)))) &amp; ""</f>
        <v/>
      </c>
      <c r="R242" s="134"/>
      <c r="S242" s="134"/>
      <c r="T242" s="127"/>
      <c r="AF242" s="24" t="str">
        <f>IF(C242="","",INDEX(Workouts!B:B,MATCH(C242,Workouts!A:A,0)))</f>
        <v/>
      </c>
      <c r="AG242" s="24" t="str">
        <f>IF(SUMIF(Data!B:B,A242,Data!D:D)=0,"",SUMIF(Data!B:B,A242,Data!D:D))</f>
        <v/>
      </c>
      <c r="AH242" s="25" t="str">
        <f>IF(C242="","",INDEX(Workouts!C:C,MATCH(C242,Workouts!A:A,0)))</f>
        <v/>
      </c>
      <c r="AI242" s="68" t="str">
        <f>IF(SUMIF(Data!B:B,A242,Data!F:F)=0,"",SUMIF(Data!B:B,A242,Data!F:F))</f>
        <v/>
      </c>
      <c r="AJ242" s="68">
        <f>AJ241+ (IF(AH242="",0,AH242)-AJ241)/Charts!$X$5</f>
        <v>5.2251687842872207E-15</v>
      </c>
      <c r="AK242" s="68">
        <f>AK241+ (IF(AI242="",0,AI242)-AK241)/Charts!$X$5</f>
        <v>5.2251687842872207E-15</v>
      </c>
      <c r="AL242" s="68">
        <f>AL241+ (IF(AH242="",0,AH242)-AL241)/Charts!$X$6</f>
        <v>0.169300642681119</v>
      </c>
      <c r="AM242" s="68">
        <f>AM241+ (IF(AI242="",0,AI242)-AM241)/Charts!$X$6</f>
        <v>0.169300642681119</v>
      </c>
      <c r="AN242" s="68" t="str">
        <f t="shared" si="46"/>
        <v>0</v>
      </c>
      <c r="AO242" s="68" t="str">
        <f t="shared" si="47"/>
        <v>0</v>
      </c>
      <c r="AP242" s="69" t="str">
        <f>IF(C242="","",INDEX(Workouts!D:D,MATCH(C242,Workouts!A:A,0)))</f>
        <v/>
      </c>
      <c r="AQ242" s="69" t="str">
        <f>IF(ISNA(MATCH(A242,Data!B:B,0)),"",INDEX(Data!G:G,MATCH(A242,Data!B:B,1)))</f>
        <v/>
      </c>
    </row>
    <row r="243" spans="1:43" s="1" customFormat="1" x14ac:dyDescent="0.2">
      <c r="A243" s="125">
        <f t="shared" si="45"/>
        <v>44438</v>
      </c>
      <c r="B243" s="126" t="str">
        <f t="shared" si="42"/>
        <v>Mon</v>
      </c>
      <c r="C243" s="140"/>
      <c r="D243" s="128" t="str">
        <f t="shared" si="43"/>
        <v/>
      </c>
      <c r="E243" s="129" t="str">
        <f t="shared" si="44"/>
        <v/>
      </c>
      <c r="F243" s="130" t="str">
        <f>IF(SUMIF(Data!B:B,A243,Data!C:C)=0,"",SUMIF(Data!B:B,A243,Data!C:C))</f>
        <v/>
      </c>
      <c r="G243" s="126" t="str">
        <f>IF(OR(S243="T",S243="RUN",SUMIF(Data!B:B,A243,Data!E:E)=0),"",SUMIF(Data!B:B,A243,Data!E:E))</f>
        <v/>
      </c>
      <c r="H243" s="126" t="str">
        <f t="shared" si="36"/>
        <v/>
      </c>
      <c r="I243" s="131" t="str">
        <f t="shared" si="37"/>
        <v>0 (0)</v>
      </c>
      <c r="J243" s="131" t="str">
        <f t="shared" si="38"/>
        <v>0 (0)</v>
      </c>
      <c r="K243" s="131" t="str">
        <f t="shared" si="39"/>
        <v>0 (0)</v>
      </c>
      <c r="L243" s="132" t="str">
        <f t="shared" si="40"/>
        <v/>
      </c>
      <c r="M243" s="131" t="str">
        <f t="shared" si="41"/>
        <v/>
      </c>
      <c r="N243" s="126" t="str">
        <f>IF(ISNA(MATCH(A243,Data!B:B,0)),"",INDEX(Data!H:H,MATCH(A243,Data!B:B,1))) &amp; ""</f>
        <v/>
      </c>
      <c r="O243" s="126" t="str">
        <f>IF(ISNA(MATCH(A243,Data!B:B,0)),"",INDEX(Data!I:I,MATCH(A243,Data!B:B,1))) &amp; ""</f>
        <v/>
      </c>
      <c r="P243" s="133" t="str">
        <f>IF(ISNA(MATCH(A243,Data!B:B,0)),"",INDEX(Data!J:J,MATCH(A243,Data!B:B,1))) &amp; ""</f>
        <v/>
      </c>
      <c r="Q243" s="126" t="str">
        <f>IF(S243="T",Charts!$X$7,IF(ISNA(MATCH(A243,Data!B:B,0)),"",INDEX(Data!K:K,MATCH(A243,Data!B:B,1)))) &amp; ""</f>
        <v/>
      </c>
      <c r="R243" s="134"/>
      <c r="S243" s="134"/>
      <c r="T243" s="127"/>
      <c r="AF243" s="24" t="str">
        <f>IF(C243="","",INDEX(Workouts!B:B,MATCH(C243,Workouts!A:A,0)))</f>
        <v/>
      </c>
      <c r="AG243" s="24" t="str">
        <f>IF(SUMIF(Data!B:B,A243,Data!D:D)=0,"",SUMIF(Data!B:B,A243,Data!D:D))</f>
        <v/>
      </c>
      <c r="AH243" s="25" t="str">
        <f>IF(C243="","",INDEX(Workouts!C:C,MATCH(C243,Workouts!A:A,0)))</f>
        <v/>
      </c>
      <c r="AI243" s="68" t="str">
        <f>IF(SUMIF(Data!B:B,A243,Data!F:F)=0,"",SUMIF(Data!B:B,A243,Data!F:F))</f>
        <v/>
      </c>
      <c r="AJ243" s="68">
        <f>AJ242+ (IF(AH243="",0,AH243)-AJ242)/Charts!$X$5</f>
        <v>4.4787161008176175E-15</v>
      </c>
      <c r="AK243" s="68">
        <f>AK242+ (IF(AI243="",0,AI243)-AK242)/Charts!$X$5</f>
        <v>4.4787161008176175E-15</v>
      </c>
      <c r="AL243" s="68">
        <f>AL242+ (IF(AH243="",0,AH243)-AL242)/Charts!$X$6</f>
        <v>0.16526967499823522</v>
      </c>
      <c r="AM243" s="68">
        <f>AM242+ (IF(AI243="",0,AI243)-AM242)/Charts!$X$6</f>
        <v>0.16526967499823522</v>
      </c>
      <c r="AN243" s="68" t="str">
        <f t="shared" si="46"/>
        <v>0</v>
      </c>
      <c r="AO243" s="68" t="str">
        <f t="shared" si="47"/>
        <v>0</v>
      </c>
      <c r="AP243" s="69" t="str">
        <f>IF(C243="","",INDEX(Workouts!D:D,MATCH(C243,Workouts!A:A,0)))</f>
        <v/>
      </c>
      <c r="AQ243" s="69" t="str">
        <f>IF(ISNA(MATCH(A243,Data!B:B,0)),"",INDEX(Data!G:G,MATCH(A243,Data!B:B,1)))</f>
        <v/>
      </c>
    </row>
    <row r="244" spans="1:43" s="1" customFormat="1" x14ac:dyDescent="0.2">
      <c r="A244" s="125">
        <f t="shared" si="45"/>
        <v>44439</v>
      </c>
      <c r="B244" s="126" t="str">
        <f t="shared" si="42"/>
        <v>Tue</v>
      </c>
      <c r="C244" s="140"/>
      <c r="D244" s="128" t="str">
        <f t="shared" si="43"/>
        <v/>
      </c>
      <c r="E244" s="129" t="str">
        <f t="shared" si="44"/>
        <v/>
      </c>
      <c r="F244" s="130" t="str">
        <f>IF(SUMIF(Data!B:B,A244,Data!C:C)=0,"",SUMIF(Data!B:B,A244,Data!C:C))</f>
        <v/>
      </c>
      <c r="G244" s="126" t="str">
        <f>IF(OR(S244="T",S244="RUN",SUMIF(Data!B:B,A244,Data!E:E)=0),"",SUMIF(Data!B:B,A244,Data!E:E))</f>
        <v/>
      </c>
      <c r="H244" s="126" t="str">
        <f t="shared" si="36"/>
        <v/>
      </c>
      <c r="I244" s="131" t="str">
        <f t="shared" si="37"/>
        <v>0 (0)</v>
      </c>
      <c r="J244" s="131" t="str">
        <f t="shared" si="38"/>
        <v>0 (0)</v>
      </c>
      <c r="K244" s="131" t="str">
        <f t="shared" si="39"/>
        <v>0 (0)</v>
      </c>
      <c r="L244" s="132" t="str">
        <f t="shared" si="40"/>
        <v/>
      </c>
      <c r="M244" s="131" t="str">
        <f t="shared" si="41"/>
        <v/>
      </c>
      <c r="N244" s="126" t="str">
        <f>IF(ISNA(MATCH(A244,Data!B:B,0)),"",INDEX(Data!H:H,MATCH(A244,Data!B:B,1))) &amp; ""</f>
        <v/>
      </c>
      <c r="O244" s="126" t="str">
        <f>IF(ISNA(MATCH(A244,Data!B:B,0)),"",INDEX(Data!I:I,MATCH(A244,Data!B:B,1))) &amp; ""</f>
        <v/>
      </c>
      <c r="P244" s="133" t="str">
        <f>IF(ISNA(MATCH(A244,Data!B:B,0)),"",INDEX(Data!J:J,MATCH(A244,Data!B:B,1))) &amp; ""</f>
        <v/>
      </c>
      <c r="Q244" s="126" t="str">
        <f>IF(S244="T",Charts!$X$7,IF(ISNA(MATCH(A244,Data!B:B,0)),"",INDEX(Data!K:K,MATCH(A244,Data!B:B,1)))) &amp; ""</f>
        <v/>
      </c>
      <c r="R244" s="134"/>
      <c r="S244" s="134"/>
      <c r="T244" s="127"/>
      <c r="AF244" s="24" t="str">
        <f>IF(C244="","",INDEX(Workouts!B:B,MATCH(C244,Workouts!A:A,0)))</f>
        <v/>
      </c>
      <c r="AG244" s="24" t="str">
        <f>IF(SUMIF(Data!B:B,A244,Data!D:D)=0,"",SUMIF(Data!B:B,A244,Data!D:D))</f>
        <v/>
      </c>
      <c r="AH244" s="25" t="str">
        <f>IF(C244="","",INDEX(Workouts!C:C,MATCH(C244,Workouts!A:A,0)))</f>
        <v/>
      </c>
      <c r="AI244" s="68" t="str">
        <f>IF(SUMIF(Data!B:B,A244,Data!F:F)=0,"",SUMIF(Data!B:B,A244,Data!F:F))</f>
        <v/>
      </c>
      <c r="AJ244" s="68">
        <f>AJ243+ (IF(AH244="",0,AH244)-AJ243)/Charts!$X$5</f>
        <v>3.8388995149865296E-15</v>
      </c>
      <c r="AK244" s="68">
        <f>AK243+ (IF(AI244="",0,AI244)-AK243)/Charts!$X$5</f>
        <v>3.8388995149865296E-15</v>
      </c>
      <c r="AL244" s="68">
        <f>AL243+ (IF(AH244="",0,AH244)-AL243)/Charts!$X$6</f>
        <v>0.16133468273637247</v>
      </c>
      <c r="AM244" s="68">
        <f>AM243+ (IF(AI244="",0,AI244)-AM243)/Charts!$X$6</f>
        <v>0.16133468273637247</v>
      </c>
      <c r="AN244" s="68" t="str">
        <f t="shared" si="46"/>
        <v>0</v>
      </c>
      <c r="AO244" s="68" t="str">
        <f t="shared" si="47"/>
        <v>0</v>
      </c>
      <c r="AP244" s="69" t="str">
        <f>IF(C244="","",INDEX(Workouts!D:D,MATCH(C244,Workouts!A:A,0)))</f>
        <v/>
      </c>
      <c r="AQ244" s="69" t="str">
        <f>IF(ISNA(MATCH(A244,Data!B:B,0)),"",INDEX(Data!G:G,MATCH(A244,Data!B:B,1)))</f>
        <v/>
      </c>
    </row>
    <row r="245" spans="1:43" s="1" customFormat="1" x14ac:dyDescent="0.2">
      <c r="A245" s="125">
        <f t="shared" si="45"/>
        <v>44440</v>
      </c>
      <c r="B245" s="126" t="str">
        <f t="shared" si="42"/>
        <v>Wed</v>
      </c>
      <c r="C245" s="140"/>
      <c r="D245" s="128" t="str">
        <f t="shared" si="43"/>
        <v/>
      </c>
      <c r="E245" s="129" t="str">
        <f t="shared" si="44"/>
        <v/>
      </c>
      <c r="F245" s="130" t="str">
        <f>IF(SUMIF(Data!B:B,A245,Data!C:C)=0,"",SUMIF(Data!B:B,A245,Data!C:C))</f>
        <v/>
      </c>
      <c r="G245" s="126" t="str">
        <f>IF(OR(S245="T",S245="RUN",SUMIF(Data!B:B,A245,Data!E:E)=0),"",SUMIF(Data!B:B,A245,Data!E:E))</f>
        <v/>
      </c>
      <c r="H245" s="126" t="str">
        <f t="shared" si="36"/>
        <v/>
      </c>
      <c r="I245" s="131" t="str">
        <f t="shared" si="37"/>
        <v>0 (0)</v>
      </c>
      <c r="J245" s="131" t="str">
        <f t="shared" si="38"/>
        <v>0 (0)</v>
      </c>
      <c r="K245" s="131" t="str">
        <f t="shared" si="39"/>
        <v>0 (0)</v>
      </c>
      <c r="L245" s="132" t="str">
        <f t="shared" si="40"/>
        <v/>
      </c>
      <c r="M245" s="131" t="str">
        <f t="shared" si="41"/>
        <v/>
      </c>
      <c r="N245" s="126" t="str">
        <f>IF(ISNA(MATCH(A245,Data!B:B,0)),"",INDEX(Data!H:H,MATCH(A245,Data!B:B,1))) &amp; ""</f>
        <v/>
      </c>
      <c r="O245" s="126" t="str">
        <f>IF(ISNA(MATCH(A245,Data!B:B,0)),"",INDEX(Data!I:I,MATCH(A245,Data!B:B,1))) &amp; ""</f>
        <v/>
      </c>
      <c r="P245" s="133" t="str">
        <f>IF(ISNA(MATCH(A245,Data!B:B,0)),"",INDEX(Data!J:J,MATCH(A245,Data!B:B,1))) &amp; ""</f>
        <v/>
      </c>
      <c r="Q245" s="126" t="str">
        <f>IF(S245="T",Charts!$X$7,IF(ISNA(MATCH(A245,Data!B:B,0)),"",INDEX(Data!K:K,MATCH(A245,Data!B:B,1)))) &amp; ""</f>
        <v/>
      </c>
      <c r="R245" s="134"/>
      <c r="S245" s="134"/>
      <c r="T245" s="127"/>
      <c r="AF245" s="24" t="str">
        <f>IF(C245="","",INDEX(Workouts!B:B,MATCH(C245,Workouts!A:A,0)))</f>
        <v/>
      </c>
      <c r="AG245" s="24" t="str">
        <f>IF(SUMIF(Data!B:B,A245,Data!D:D)=0,"",SUMIF(Data!B:B,A245,Data!D:D))</f>
        <v/>
      </c>
      <c r="AH245" s="25" t="str">
        <f>IF(C245="","",INDEX(Workouts!C:C,MATCH(C245,Workouts!A:A,0)))</f>
        <v/>
      </c>
      <c r="AI245" s="68" t="str">
        <f>IF(SUMIF(Data!B:B,A245,Data!F:F)=0,"",SUMIF(Data!B:B,A245,Data!F:F))</f>
        <v/>
      </c>
      <c r="AJ245" s="68">
        <f>AJ244+ (IF(AH245="",0,AH245)-AJ244)/Charts!$X$5</f>
        <v>3.2904852985598828E-15</v>
      </c>
      <c r="AK245" s="68">
        <f>AK244+ (IF(AI245="",0,AI245)-AK244)/Charts!$X$5</f>
        <v>3.2904852985598828E-15</v>
      </c>
      <c r="AL245" s="68">
        <f>AL244+ (IF(AH245="",0,AH245)-AL244)/Charts!$X$6</f>
        <v>0.15749338076645883</v>
      </c>
      <c r="AM245" s="68">
        <f>AM244+ (IF(AI245="",0,AI245)-AM244)/Charts!$X$6</f>
        <v>0.15749338076645883</v>
      </c>
      <c r="AN245" s="68" t="str">
        <f t="shared" si="46"/>
        <v>0</v>
      </c>
      <c r="AO245" s="68" t="str">
        <f t="shared" si="47"/>
        <v>0</v>
      </c>
      <c r="AP245" s="69" t="str">
        <f>IF(C245="","",INDEX(Workouts!D:D,MATCH(C245,Workouts!A:A,0)))</f>
        <v/>
      </c>
      <c r="AQ245" s="69" t="str">
        <f>IF(ISNA(MATCH(A245,Data!B:B,0)),"",INDEX(Data!G:G,MATCH(A245,Data!B:B,1)))</f>
        <v/>
      </c>
    </row>
    <row r="246" spans="1:43" s="1" customFormat="1" x14ac:dyDescent="0.2">
      <c r="A246" s="125">
        <f t="shared" si="45"/>
        <v>44441</v>
      </c>
      <c r="B246" s="126" t="str">
        <f t="shared" si="42"/>
        <v>Thu</v>
      </c>
      <c r="C246" s="140"/>
      <c r="D246" s="128" t="str">
        <f t="shared" si="43"/>
        <v/>
      </c>
      <c r="E246" s="129" t="str">
        <f t="shared" si="44"/>
        <v/>
      </c>
      <c r="F246" s="130" t="str">
        <f>IF(SUMIF(Data!B:B,A246,Data!C:C)=0,"",SUMIF(Data!B:B,A246,Data!C:C))</f>
        <v/>
      </c>
      <c r="G246" s="126" t="str">
        <f>IF(OR(S246="T",S246="RUN",SUMIF(Data!B:B,A246,Data!E:E)=0),"",SUMIF(Data!B:B,A246,Data!E:E))</f>
        <v/>
      </c>
      <c r="H246" s="126" t="str">
        <f t="shared" si="36"/>
        <v/>
      </c>
      <c r="I246" s="131" t="str">
        <f t="shared" si="37"/>
        <v>0 (0)</v>
      </c>
      <c r="J246" s="131" t="str">
        <f t="shared" si="38"/>
        <v>0 (0)</v>
      </c>
      <c r="K246" s="131" t="str">
        <f t="shared" si="39"/>
        <v>0 (0)</v>
      </c>
      <c r="L246" s="132" t="str">
        <f t="shared" si="40"/>
        <v/>
      </c>
      <c r="M246" s="131" t="str">
        <f t="shared" si="41"/>
        <v/>
      </c>
      <c r="N246" s="126" t="str">
        <f>IF(ISNA(MATCH(A246,Data!B:B,0)),"",INDEX(Data!H:H,MATCH(A246,Data!B:B,1))) &amp; ""</f>
        <v/>
      </c>
      <c r="O246" s="126" t="str">
        <f>IF(ISNA(MATCH(A246,Data!B:B,0)),"",INDEX(Data!I:I,MATCH(A246,Data!B:B,1))) &amp; ""</f>
        <v/>
      </c>
      <c r="P246" s="133" t="str">
        <f>IF(ISNA(MATCH(A246,Data!B:B,0)),"",INDEX(Data!J:J,MATCH(A246,Data!B:B,1))) &amp; ""</f>
        <v/>
      </c>
      <c r="Q246" s="126" t="str">
        <f>IF(S246="T",Charts!$X$7,IF(ISNA(MATCH(A246,Data!B:B,0)),"",INDEX(Data!K:K,MATCH(A246,Data!B:B,1)))) &amp; ""</f>
        <v/>
      </c>
      <c r="R246" s="134"/>
      <c r="S246" s="134"/>
      <c r="T246" s="127"/>
      <c r="AF246" s="24" t="str">
        <f>IF(C246="","",INDEX(Workouts!B:B,MATCH(C246,Workouts!A:A,0)))</f>
        <v/>
      </c>
      <c r="AG246" s="24" t="str">
        <f>IF(SUMIF(Data!B:B,A246,Data!D:D)=0,"",SUMIF(Data!B:B,A246,Data!D:D))</f>
        <v/>
      </c>
      <c r="AH246" s="25" t="str">
        <f>IF(C246="","",INDEX(Workouts!C:C,MATCH(C246,Workouts!A:A,0)))</f>
        <v/>
      </c>
      <c r="AI246" s="68" t="str">
        <f>IF(SUMIF(Data!B:B,A246,Data!F:F)=0,"",SUMIF(Data!B:B,A246,Data!F:F))</f>
        <v/>
      </c>
      <c r="AJ246" s="68">
        <f>AJ245+ (IF(AH246="",0,AH246)-AJ245)/Charts!$X$5</f>
        <v>2.8204159701941853E-15</v>
      </c>
      <c r="AK246" s="68">
        <f>AK245+ (IF(AI246="",0,AI246)-AK245)/Charts!$X$5</f>
        <v>2.8204159701941853E-15</v>
      </c>
      <c r="AL246" s="68">
        <f>AL245+ (IF(AH246="",0,AH246)-AL245)/Charts!$X$6</f>
        <v>0.15374353836725743</v>
      </c>
      <c r="AM246" s="68">
        <f>AM245+ (IF(AI246="",0,AI246)-AM245)/Charts!$X$6</f>
        <v>0.15374353836725743</v>
      </c>
      <c r="AN246" s="68" t="str">
        <f t="shared" si="46"/>
        <v>0</v>
      </c>
      <c r="AO246" s="68" t="str">
        <f t="shared" si="47"/>
        <v>0</v>
      </c>
      <c r="AP246" s="69" t="str">
        <f>IF(C246="","",INDEX(Workouts!D:D,MATCH(C246,Workouts!A:A,0)))</f>
        <v/>
      </c>
      <c r="AQ246" s="69" t="str">
        <f>IF(ISNA(MATCH(A246,Data!B:B,0)),"",INDEX(Data!G:G,MATCH(A246,Data!B:B,1)))</f>
        <v/>
      </c>
    </row>
    <row r="247" spans="1:43" s="1" customFormat="1" x14ac:dyDescent="0.2">
      <c r="A247" s="125">
        <f t="shared" si="45"/>
        <v>44442</v>
      </c>
      <c r="B247" s="126" t="str">
        <f t="shared" si="42"/>
        <v>Fri</v>
      </c>
      <c r="C247" s="140"/>
      <c r="D247" s="128" t="str">
        <f t="shared" si="43"/>
        <v/>
      </c>
      <c r="E247" s="129" t="str">
        <f t="shared" si="44"/>
        <v/>
      </c>
      <c r="F247" s="130" t="str">
        <f>IF(SUMIF(Data!B:B,A247,Data!C:C)=0,"",SUMIF(Data!B:B,A247,Data!C:C))</f>
        <v/>
      </c>
      <c r="G247" s="126" t="str">
        <f>IF(OR(S247="T",S247="RUN",SUMIF(Data!B:B,A247,Data!E:E)=0),"",SUMIF(Data!B:B,A247,Data!E:E))</f>
        <v/>
      </c>
      <c r="H247" s="126" t="str">
        <f t="shared" si="36"/>
        <v/>
      </c>
      <c r="I247" s="131" t="str">
        <f t="shared" si="37"/>
        <v>0 (0)</v>
      </c>
      <c r="J247" s="131" t="str">
        <f t="shared" si="38"/>
        <v>0 (0)</v>
      </c>
      <c r="K247" s="131" t="str">
        <f t="shared" si="39"/>
        <v>0 (0)</v>
      </c>
      <c r="L247" s="132" t="str">
        <f t="shared" si="40"/>
        <v/>
      </c>
      <c r="M247" s="131" t="str">
        <f t="shared" si="41"/>
        <v/>
      </c>
      <c r="N247" s="126" t="str">
        <f>IF(ISNA(MATCH(A247,Data!B:B,0)),"",INDEX(Data!H:H,MATCH(A247,Data!B:B,1))) &amp; ""</f>
        <v/>
      </c>
      <c r="O247" s="126" t="str">
        <f>IF(ISNA(MATCH(A247,Data!B:B,0)),"",INDEX(Data!I:I,MATCH(A247,Data!B:B,1))) &amp; ""</f>
        <v/>
      </c>
      <c r="P247" s="133" t="str">
        <f>IF(ISNA(MATCH(A247,Data!B:B,0)),"",INDEX(Data!J:J,MATCH(A247,Data!B:B,1))) &amp; ""</f>
        <v/>
      </c>
      <c r="Q247" s="126" t="str">
        <f>IF(S247="T",Charts!$X$7,IF(ISNA(MATCH(A247,Data!B:B,0)),"",INDEX(Data!K:K,MATCH(A247,Data!B:B,1)))) &amp; ""</f>
        <v/>
      </c>
      <c r="R247" s="134"/>
      <c r="S247" s="134"/>
      <c r="T247" s="127"/>
      <c r="AF247" s="24" t="str">
        <f>IF(C247="","",INDEX(Workouts!B:B,MATCH(C247,Workouts!A:A,0)))</f>
        <v/>
      </c>
      <c r="AG247" s="24" t="str">
        <f>IF(SUMIF(Data!B:B,A247,Data!D:D)=0,"",SUMIF(Data!B:B,A247,Data!D:D))</f>
        <v/>
      </c>
      <c r="AH247" s="25" t="str">
        <f>IF(C247="","",INDEX(Workouts!C:C,MATCH(C247,Workouts!A:A,0)))</f>
        <v/>
      </c>
      <c r="AI247" s="68" t="str">
        <f>IF(SUMIF(Data!B:B,A247,Data!F:F)=0,"",SUMIF(Data!B:B,A247,Data!F:F))</f>
        <v/>
      </c>
      <c r="AJ247" s="68">
        <f>AJ246+ (IF(AH247="",0,AH247)-AJ246)/Charts!$X$5</f>
        <v>2.4174994030235875E-15</v>
      </c>
      <c r="AK247" s="68">
        <f>AK246+ (IF(AI247="",0,AI247)-AK246)/Charts!$X$5</f>
        <v>2.4174994030235875E-15</v>
      </c>
      <c r="AL247" s="68">
        <f>AL246+ (IF(AH247="",0,AH247)-AL246)/Charts!$X$6</f>
        <v>0.15008297792994177</v>
      </c>
      <c r="AM247" s="68">
        <f>AM246+ (IF(AI247="",0,AI247)-AM246)/Charts!$X$6</f>
        <v>0.15008297792994177</v>
      </c>
      <c r="AN247" s="68" t="str">
        <f t="shared" si="46"/>
        <v>0</v>
      </c>
      <c r="AO247" s="68" t="str">
        <f t="shared" si="47"/>
        <v>0</v>
      </c>
      <c r="AP247" s="69" t="str">
        <f>IF(C247="","",INDEX(Workouts!D:D,MATCH(C247,Workouts!A:A,0)))</f>
        <v/>
      </c>
      <c r="AQ247" s="69" t="str">
        <f>IF(ISNA(MATCH(A247,Data!B:B,0)),"",INDEX(Data!G:G,MATCH(A247,Data!B:B,1)))</f>
        <v/>
      </c>
    </row>
    <row r="248" spans="1:43" s="1" customFormat="1" x14ac:dyDescent="0.2">
      <c r="A248" s="125">
        <f t="shared" si="45"/>
        <v>44443</v>
      </c>
      <c r="B248" s="126" t="str">
        <f t="shared" si="42"/>
        <v>Sat</v>
      </c>
      <c r="C248" s="140"/>
      <c r="D248" s="128" t="str">
        <f t="shared" si="43"/>
        <v/>
      </c>
      <c r="E248" s="129" t="str">
        <f t="shared" si="44"/>
        <v/>
      </c>
      <c r="F248" s="130" t="str">
        <f>IF(SUMIF(Data!B:B,A248,Data!C:C)=0,"",SUMIF(Data!B:B,A248,Data!C:C))</f>
        <v/>
      </c>
      <c r="G248" s="126" t="str">
        <f>IF(OR(S248="T",S248="RUN",SUMIF(Data!B:B,A248,Data!E:E)=0),"",SUMIF(Data!B:B,A248,Data!E:E))</f>
        <v/>
      </c>
      <c r="H248" s="126" t="str">
        <f t="shared" si="36"/>
        <v/>
      </c>
      <c r="I248" s="131" t="str">
        <f t="shared" si="37"/>
        <v>0 (0)</v>
      </c>
      <c r="J248" s="131" t="str">
        <f t="shared" si="38"/>
        <v>0 (0)</v>
      </c>
      <c r="K248" s="131" t="str">
        <f t="shared" si="39"/>
        <v>0 (0)</v>
      </c>
      <c r="L248" s="132" t="str">
        <f t="shared" si="40"/>
        <v/>
      </c>
      <c r="M248" s="131" t="str">
        <f t="shared" si="41"/>
        <v/>
      </c>
      <c r="N248" s="126" t="str">
        <f>IF(ISNA(MATCH(A248,Data!B:B,0)),"",INDEX(Data!H:H,MATCH(A248,Data!B:B,1))) &amp; ""</f>
        <v/>
      </c>
      <c r="O248" s="126" t="str">
        <f>IF(ISNA(MATCH(A248,Data!B:B,0)),"",INDEX(Data!I:I,MATCH(A248,Data!B:B,1))) &amp; ""</f>
        <v/>
      </c>
      <c r="P248" s="133" t="str">
        <f>IF(ISNA(MATCH(A248,Data!B:B,0)),"",INDEX(Data!J:J,MATCH(A248,Data!B:B,1))) &amp; ""</f>
        <v/>
      </c>
      <c r="Q248" s="126" t="str">
        <f>IF(S248="T",Charts!$X$7,IF(ISNA(MATCH(A248,Data!B:B,0)),"",INDEX(Data!K:K,MATCH(A248,Data!B:B,1)))) &amp; ""</f>
        <v/>
      </c>
      <c r="R248" s="134"/>
      <c r="S248" s="134"/>
      <c r="T248" s="127"/>
      <c r="AF248" s="24" t="str">
        <f>IF(C248="","",INDEX(Workouts!B:B,MATCH(C248,Workouts!A:A,0)))</f>
        <v/>
      </c>
      <c r="AG248" s="24" t="str">
        <f>IF(SUMIF(Data!B:B,A248,Data!D:D)=0,"",SUMIF(Data!B:B,A248,Data!D:D))</f>
        <v/>
      </c>
      <c r="AH248" s="25" t="str">
        <f>IF(C248="","",INDEX(Workouts!C:C,MATCH(C248,Workouts!A:A,0)))</f>
        <v/>
      </c>
      <c r="AI248" s="68" t="str">
        <f>IF(SUMIF(Data!B:B,A248,Data!F:F)=0,"",SUMIF(Data!B:B,A248,Data!F:F))</f>
        <v/>
      </c>
      <c r="AJ248" s="68">
        <f>AJ247+ (IF(AH248="",0,AH248)-AJ247)/Charts!$X$5</f>
        <v>2.0721423454487894E-15</v>
      </c>
      <c r="AK248" s="68">
        <f>AK247+ (IF(AI248="",0,AI248)-AK247)/Charts!$X$5</f>
        <v>2.0721423454487894E-15</v>
      </c>
      <c r="AL248" s="68">
        <f>AL247+ (IF(AH248="",0,AH248)-AL247)/Charts!$X$6</f>
        <v>0.14650957369351458</v>
      </c>
      <c r="AM248" s="68">
        <f>AM247+ (IF(AI248="",0,AI248)-AM247)/Charts!$X$6</f>
        <v>0.14650957369351458</v>
      </c>
      <c r="AN248" s="68" t="str">
        <f t="shared" si="46"/>
        <v>0</v>
      </c>
      <c r="AO248" s="68" t="str">
        <f t="shared" si="47"/>
        <v>0</v>
      </c>
      <c r="AP248" s="69" t="str">
        <f>IF(C248="","",INDEX(Workouts!D:D,MATCH(C248,Workouts!A:A,0)))</f>
        <v/>
      </c>
      <c r="AQ248" s="69" t="str">
        <f>IF(ISNA(MATCH(A248,Data!B:B,0)),"",INDEX(Data!G:G,MATCH(A248,Data!B:B,1)))</f>
        <v/>
      </c>
    </row>
    <row r="249" spans="1:43" s="1" customFormat="1" x14ac:dyDescent="0.2">
      <c r="A249" s="125">
        <f t="shared" si="45"/>
        <v>44444</v>
      </c>
      <c r="B249" s="126" t="str">
        <f t="shared" si="42"/>
        <v>Sun</v>
      </c>
      <c r="C249" s="140"/>
      <c r="D249" s="128" t="str">
        <f t="shared" si="43"/>
        <v/>
      </c>
      <c r="E249" s="129" t="str">
        <f t="shared" si="44"/>
        <v/>
      </c>
      <c r="F249" s="130" t="str">
        <f>IF(SUMIF(Data!B:B,A249,Data!C:C)=0,"",SUMIF(Data!B:B,A249,Data!C:C))</f>
        <v/>
      </c>
      <c r="G249" s="126" t="str">
        <f>IF(OR(S249="T",S249="RUN",SUMIF(Data!B:B,A249,Data!E:E)=0),"",SUMIF(Data!B:B,A249,Data!E:E))</f>
        <v/>
      </c>
      <c r="H249" s="126" t="str">
        <f t="shared" si="36"/>
        <v/>
      </c>
      <c r="I249" s="131" t="str">
        <f t="shared" si="37"/>
        <v>0 (0)</v>
      </c>
      <c r="J249" s="131" t="str">
        <f t="shared" si="38"/>
        <v>0 (0)</v>
      </c>
      <c r="K249" s="131" t="str">
        <f t="shared" si="39"/>
        <v>0 (0)</v>
      </c>
      <c r="L249" s="132" t="str">
        <f t="shared" si="40"/>
        <v/>
      </c>
      <c r="M249" s="131" t="str">
        <f t="shared" si="41"/>
        <v/>
      </c>
      <c r="N249" s="126" t="str">
        <f>IF(ISNA(MATCH(A249,Data!B:B,0)),"",INDEX(Data!H:H,MATCH(A249,Data!B:B,1))) &amp; ""</f>
        <v/>
      </c>
      <c r="O249" s="126" t="str">
        <f>IF(ISNA(MATCH(A249,Data!B:B,0)),"",INDEX(Data!I:I,MATCH(A249,Data!B:B,1))) &amp; ""</f>
        <v/>
      </c>
      <c r="P249" s="133" t="str">
        <f>IF(ISNA(MATCH(A249,Data!B:B,0)),"",INDEX(Data!J:J,MATCH(A249,Data!B:B,1))) &amp; ""</f>
        <v/>
      </c>
      <c r="Q249" s="126" t="str">
        <f>IF(S249="T",Charts!$X$7,IF(ISNA(MATCH(A249,Data!B:B,0)),"",INDEX(Data!K:K,MATCH(A249,Data!B:B,1)))) &amp; ""</f>
        <v/>
      </c>
      <c r="R249" s="134"/>
      <c r="S249" s="134"/>
      <c r="T249" s="127"/>
      <c r="AF249" s="24" t="str">
        <f>IF(C249="","",INDEX(Workouts!B:B,MATCH(C249,Workouts!A:A,0)))</f>
        <v/>
      </c>
      <c r="AG249" s="24" t="str">
        <f>IF(SUMIF(Data!B:B,A249,Data!D:D)=0,"",SUMIF(Data!B:B,A249,Data!D:D))</f>
        <v/>
      </c>
      <c r="AH249" s="25" t="str">
        <f>IF(C249="","",INDEX(Workouts!C:C,MATCH(C249,Workouts!A:A,0)))</f>
        <v/>
      </c>
      <c r="AI249" s="68" t="str">
        <f>IF(SUMIF(Data!B:B,A249,Data!F:F)=0,"",SUMIF(Data!B:B,A249,Data!F:F))</f>
        <v/>
      </c>
      <c r="AJ249" s="68">
        <f>AJ248+ (IF(AH249="",0,AH249)-AJ248)/Charts!$X$5</f>
        <v>1.7761220103846768E-15</v>
      </c>
      <c r="AK249" s="68">
        <f>AK248+ (IF(AI249="",0,AI249)-AK248)/Charts!$X$5</f>
        <v>1.7761220103846768E-15</v>
      </c>
      <c r="AL249" s="68">
        <f>AL248+ (IF(AH249="",0,AH249)-AL248)/Charts!$X$6</f>
        <v>0.14302125051033565</v>
      </c>
      <c r="AM249" s="68">
        <f>AM248+ (IF(AI249="",0,AI249)-AM248)/Charts!$X$6</f>
        <v>0.14302125051033565</v>
      </c>
      <c r="AN249" s="68" t="str">
        <f t="shared" si="46"/>
        <v>0</v>
      </c>
      <c r="AO249" s="68" t="str">
        <f t="shared" si="47"/>
        <v>0</v>
      </c>
      <c r="AP249" s="69" t="str">
        <f>IF(C249="","",INDEX(Workouts!D:D,MATCH(C249,Workouts!A:A,0)))</f>
        <v/>
      </c>
      <c r="AQ249" s="69" t="str">
        <f>IF(ISNA(MATCH(A249,Data!B:B,0)),"",INDEX(Data!G:G,MATCH(A249,Data!B:B,1)))</f>
        <v/>
      </c>
    </row>
    <row r="250" spans="1:43" s="1" customFormat="1" x14ac:dyDescent="0.2">
      <c r="A250" s="125">
        <f t="shared" si="45"/>
        <v>44445</v>
      </c>
      <c r="B250" s="126" t="str">
        <f t="shared" si="42"/>
        <v>Mon</v>
      </c>
      <c r="C250" s="140"/>
      <c r="D250" s="128" t="str">
        <f t="shared" si="43"/>
        <v/>
      </c>
      <c r="E250" s="129" t="str">
        <f t="shared" si="44"/>
        <v/>
      </c>
      <c r="F250" s="130" t="str">
        <f>IF(SUMIF(Data!B:B,A250,Data!C:C)=0,"",SUMIF(Data!B:B,A250,Data!C:C))</f>
        <v/>
      </c>
      <c r="G250" s="126" t="str">
        <f>IF(OR(S250="T",S250="RUN",SUMIF(Data!B:B,A250,Data!E:E)=0),"",SUMIF(Data!B:B,A250,Data!E:E))</f>
        <v/>
      </c>
      <c r="H250" s="126" t="str">
        <f t="shared" si="36"/>
        <v/>
      </c>
      <c r="I250" s="131" t="str">
        <f t="shared" si="37"/>
        <v>0 (0)</v>
      </c>
      <c r="J250" s="131" t="str">
        <f t="shared" si="38"/>
        <v>0 (0)</v>
      </c>
      <c r="K250" s="131" t="str">
        <f t="shared" si="39"/>
        <v>0 (0)</v>
      </c>
      <c r="L250" s="132" t="str">
        <f t="shared" si="40"/>
        <v/>
      </c>
      <c r="M250" s="131" t="str">
        <f t="shared" si="41"/>
        <v/>
      </c>
      <c r="N250" s="126" t="str">
        <f>IF(ISNA(MATCH(A250,Data!B:B,0)),"",INDEX(Data!H:H,MATCH(A250,Data!B:B,1))) &amp; ""</f>
        <v/>
      </c>
      <c r="O250" s="126" t="str">
        <f>IF(ISNA(MATCH(A250,Data!B:B,0)),"",INDEX(Data!I:I,MATCH(A250,Data!B:B,1))) &amp; ""</f>
        <v/>
      </c>
      <c r="P250" s="133" t="str">
        <f>IF(ISNA(MATCH(A250,Data!B:B,0)),"",INDEX(Data!J:J,MATCH(A250,Data!B:B,1))) &amp; ""</f>
        <v/>
      </c>
      <c r="Q250" s="126" t="str">
        <f>IF(S250="T",Charts!$X$7,IF(ISNA(MATCH(A250,Data!B:B,0)),"",INDEX(Data!K:K,MATCH(A250,Data!B:B,1)))) &amp; ""</f>
        <v/>
      </c>
      <c r="R250" s="134"/>
      <c r="S250" s="134"/>
      <c r="T250" s="127"/>
      <c r="AF250" s="24" t="str">
        <f>IF(C250="","",INDEX(Workouts!B:B,MATCH(C250,Workouts!A:A,0)))</f>
        <v/>
      </c>
      <c r="AG250" s="24" t="str">
        <f>IF(SUMIF(Data!B:B,A250,Data!D:D)=0,"",SUMIF(Data!B:B,A250,Data!D:D))</f>
        <v/>
      </c>
      <c r="AH250" s="25" t="str">
        <f>IF(C250="","",INDEX(Workouts!C:C,MATCH(C250,Workouts!A:A,0)))</f>
        <v/>
      </c>
      <c r="AI250" s="68" t="str">
        <f>IF(SUMIF(Data!B:B,A250,Data!F:F)=0,"",SUMIF(Data!B:B,A250,Data!F:F))</f>
        <v/>
      </c>
      <c r="AJ250" s="68">
        <f>AJ249+ (IF(AH250="",0,AH250)-AJ249)/Charts!$X$5</f>
        <v>1.5223902946154372E-15</v>
      </c>
      <c r="AK250" s="68">
        <f>AK249+ (IF(AI250="",0,AI250)-AK249)/Charts!$X$5</f>
        <v>1.5223902946154372E-15</v>
      </c>
      <c r="AL250" s="68">
        <f>AL249+ (IF(AH250="",0,AH250)-AL249)/Charts!$X$6</f>
        <v>0.13961598264104194</v>
      </c>
      <c r="AM250" s="68">
        <f>AM249+ (IF(AI250="",0,AI250)-AM249)/Charts!$X$6</f>
        <v>0.13961598264104194</v>
      </c>
      <c r="AN250" s="68" t="str">
        <f t="shared" si="46"/>
        <v>0</v>
      </c>
      <c r="AO250" s="68" t="str">
        <f t="shared" si="47"/>
        <v>0</v>
      </c>
      <c r="AP250" s="69" t="str">
        <f>IF(C250="","",INDEX(Workouts!D:D,MATCH(C250,Workouts!A:A,0)))</f>
        <v/>
      </c>
      <c r="AQ250" s="69" t="str">
        <f>IF(ISNA(MATCH(A250,Data!B:B,0)),"",INDEX(Data!G:G,MATCH(A250,Data!B:B,1)))</f>
        <v/>
      </c>
    </row>
    <row r="251" spans="1:43" s="1" customFormat="1" x14ac:dyDescent="0.2">
      <c r="A251" s="125">
        <f t="shared" si="45"/>
        <v>44446</v>
      </c>
      <c r="B251" s="126" t="str">
        <f t="shared" si="42"/>
        <v>Tue</v>
      </c>
      <c r="C251" s="140"/>
      <c r="D251" s="128" t="str">
        <f t="shared" si="43"/>
        <v/>
      </c>
      <c r="E251" s="129" t="str">
        <f t="shared" si="44"/>
        <v/>
      </c>
      <c r="F251" s="130" t="str">
        <f>IF(SUMIF(Data!B:B,A251,Data!C:C)=0,"",SUMIF(Data!B:B,A251,Data!C:C))</f>
        <v/>
      </c>
      <c r="G251" s="126" t="str">
        <f>IF(OR(S251="T",S251="RUN",SUMIF(Data!B:B,A251,Data!E:E)=0),"",SUMIF(Data!B:B,A251,Data!E:E))</f>
        <v/>
      </c>
      <c r="H251" s="126" t="str">
        <f t="shared" si="36"/>
        <v/>
      </c>
      <c r="I251" s="131" t="str">
        <f t="shared" si="37"/>
        <v>0 (0)</v>
      </c>
      <c r="J251" s="131" t="str">
        <f t="shared" si="38"/>
        <v>0 (0)</v>
      </c>
      <c r="K251" s="131" t="str">
        <f t="shared" si="39"/>
        <v>0 (0)</v>
      </c>
      <c r="L251" s="132" t="str">
        <f t="shared" si="40"/>
        <v/>
      </c>
      <c r="M251" s="131" t="str">
        <f t="shared" si="41"/>
        <v/>
      </c>
      <c r="N251" s="126" t="str">
        <f>IF(ISNA(MATCH(A251,Data!B:B,0)),"",INDEX(Data!H:H,MATCH(A251,Data!B:B,1))) &amp; ""</f>
        <v/>
      </c>
      <c r="O251" s="126" t="str">
        <f>IF(ISNA(MATCH(A251,Data!B:B,0)),"",INDEX(Data!I:I,MATCH(A251,Data!B:B,1))) &amp; ""</f>
        <v/>
      </c>
      <c r="P251" s="133" t="str">
        <f>IF(ISNA(MATCH(A251,Data!B:B,0)),"",INDEX(Data!J:J,MATCH(A251,Data!B:B,1))) &amp; ""</f>
        <v/>
      </c>
      <c r="Q251" s="126" t="str">
        <f>IF(S251="T",Charts!$X$7,IF(ISNA(MATCH(A251,Data!B:B,0)),"",INDEX(Data!K:K,MATCH(A251,Data!B:B,1)))) &amp; ""</f>
        <v/>
      </c>
      <c r="R251" s="134"/>
      <c r="S251" s="134"/>
      <c r="T251" s="127"/>
      <c r="AF251" s="24" t="str">
        <f>IF(C251="","",INDEX(Workouts!B:B,MATCH(C251,Workouts!A:A,0)))</f>
        <v/>
      </c>
      <c r="AG251" s="24" t="str">
        <f>IF(SUMIF(Data!B:B,A251,Data!D:D)=0,"",SUMIF(Data!B:B,A251,Data!D:D))</f>
        <v/>
      </c>
      <c r="AH251" s="25" t="str">
        <f>IF(C251="","",INDEX(Workouts!C:C,MATCH(C251,Workouts!A:A,0)))</f>
        <v/>
      </c>
      <c r="AI251" s="68" t="str">
        <f>IF(SUMIF(Data!B:B,A251,Data!F:F)=0,"",SUMIF(Data!B:B,A251,Data!F:F))</f>
        <v/>
      </c>
      <c r="AJ251" s="68">
        <f>AJ250+ (IF(AH251="",0,AH251)-AJ250)/Charts!$X$5</f>
        <v>1.304905966813232E-15</v>
      </c>
      <c r="AK251" s="68">
        <f>AK250+ (IF(AI251="",0,AI251)-AK250)/Charts!$X$5</f>
        <v>1.304905966813232E-15</v>
      </c>
      <c r="AL251" s="68">
        <f>AL250+ (IF(AH251="",0,AH251)-AL250)/Charts!$X$6</f>
        <v>0.13629179257815999</v>
      </c>
      <c r="AM251" s="68">
        <f>AM250+ (IF(AI251="",0,AI251)-AM250)/Charts!$X$6</f>
        <v>0.13629179257815999</v>
      </c>
      <c r="AN251" s="68" t="str">
        <f t="shared" si="46"/>
        <v>0</v>
      </c>
      <c r="AO251" s="68" t="str">
        <f t="shared" si="47"/>
        <v>0</v>
      </c>
      <c r="AP251" s="69" t="str">
        <f>IF(C251="","",INDEX(Workouts!D:D,MATCH(C251,Workouts!A:A,0)))</f>
        <v/>
      </c>
      <c r="AQ251" s="69" t="str">
        <f>IF(ISNA(MATCH(A251,Data!B:B,0)),"",INDEX(Data!G:G,MATCH(A251,Data!B:B,1)))</f>
        <v/>
      </c>
    </row>
    <row r="252" spans="1:43" s="1" customFormat="1" x14ac:dyDescent="0.2">
      <c r="A252" s="125">
        <f t="shared" si="45"/>
        <v>44447</v>
      </c>
      <c r="B252" s="126" t="str">
        <f t="shared" si="42"/>
        <v>Wed</v>
      </c>
      <c r="C252" s="140"/>
      <c r="D252" s="128" t="str">
        <f t="shared" si="43"/>
        <v/>
      </c>
      <c r="E252" s="129" t="str">
        <f t="shared" si="44"/>
        <v/>
      </c>
      <c r="F252" s="130" t="str">
        <f>IF(SUMIF(Data!B:B,A252,Data!C:C)=0,"",SUMIF(Data!B:B,A252,Data!C:C))</f>
        <v/>
      </c>
      <c r="G252" s="126" t="str">
        <f>IF(OR(S252="T",S252="RUN",SUMIF(Data!B:B,A252,Data!E:E)=0),"",SUMIF(Data!B:B,A252,Data!E:E))</f>
        <v/>
      </c>
      <c r="H252" s="126" t="str">
        <f t="shared" si="36"/>
        <v/>
      </c>
      <c r="I252" s="131" t="str">
        <f t="shared" si="37"/>
        <v>0 (0)</v>
      </c>
      <c r="J252" s="131" t="str">
        <f t="shared" si="38"/>
        <v>0 (0)</v>
      </c>
      <c r="K252" s="131" t="str">
        <f t="shared" si="39"/>
        <v>0 (0)</v>
      </c>
      <c r="L252" s="132" t="str">
        <f t="shared" si="40"/>
        <v/>
      </c>
      <c r="M252" s="131" t="str">
        <f t="shared" si="41"/>
        <v/>
      </c>
      <c r="N252" s="126" t="str">
        <f>IF(ISNA(MATCH(A252,Data!B:B,0)),"",INDEX(Data!H:H,MATCH(A252,Data!B:B,1))) &amp; ""</f>
        <v/>
      </c>
      <c r="O252" s="126" t="str">
        <f>IF(ISNA(MATCH(A252,Data!B:B,0)),"",INDEX(Data!I:I,MATCH(A252,Data!B:B,1))) &amp; ""</f>
        <v/>
      </c>
      <c r="P252" s="133" t="str">
        <f>IF(ISNA(MATCH(A252,Data!B:B,0)),"",INDEX(Data!J:J,MATCH(A252,Data!B:B,1))) &amp; ""</f>
        <v/>
      </c>
      <c r="Q252" s="126" t="str">
        <f>IF(S252="T",Charts!$X$7,IF(ISNA(MATCH(A252,Data!B:B,0)),"",INDEX(Data!K:K,MATCH(A252,Data!B:B,1)))) &amp; ""</f>
        <v/>
      </c>
      <c r="R252" s="134"/>
      <c r="S252" s="134"/>
      <c r="T252" s="127"/>
      <c r="AF252" s="24" t="str">
        <f>IF(C252="","",INDEX(Workouts!B:B,MATCH(C252,Workouts!A:A,0)))</f>
        <v/>
      </c>
      <c r="AG252" s="24" t="str">
        <f>IF(SUMIF(Data!B:B,A252,Data!D:D)=0,"",SUMIF(Data!B:B,A252,Data!D:D))</f>
        <v/>
      </c>
      <c r="AH252" s="25" t="str">
        <f>IF(C252="","",INDEX(Workouts!C:C,MATCH(C252,Workouts!A:A,0)))</f>
        <v/>
      </c>
      <c r="AI252" s="68" t="str">
        <f>IF(SUMIF(Data!B:B,A252,Data!F:F)=0,"",SUMIF(Data!B:B,A252,Data!F:F))</f>
        <v/>
      </c>
      <c r="AJ252" s="68">
        <f>AJ251+ (IF(AH252="",0,AH252)-AJ251)/Charts!$X$5</f>
        <v>1.118490828697056E-15</v>
      </c>
      <c r="AK252" s="68">
        <f>AK251+ (IF(AI252="",0,AI252)-AK251)/Charts!$X$5</f>
        <v>1.118490828697056E-15</v>
      </c>
      <c r="AL252" s="68">
        <f>AL251+ (IF(AH252="",0,AH252)-AL251)/Charts!$X$6</f>
        <v>0.13304674989772761</v>
      </c>
      <c r="AM252" s="68">
        <f>AM251+ (IF(AI252="",0,AI252)-AM251)/Charts!$X$6</f>
        <v>0.13304674989772761</v>
      </c>
      <c r="AN252" s="68" t="str">
        <f t="shared" si="46"/>
        <v>0</v>
      </c>
      <c r="AO252" s="68" t="str">
        <f t="shared" si="47"/>
        <v>0</v>
      </c>
      <c r="AP252" s="69" t="str">
        <f>IF(C252="","",INDEX(Workouts!D:D,MATCH(C252,Workouts!A:A,0)))</f>
        <v/>
      </c>
      <c r="AQ252" s="69" t="str">
        <f>IF(ISNA(MATCH(A252,Data!B:B,0)),"",INDEX(Data!G:G,MATCH(A252,Data!B:B,1)))</f>
        <v/>
      </c>
    </row>
    <row r="253" spans="1:43" s="1" customFormat="1" x14ac:dyDescent="0.2">
      <c r="A253" s="125">
        <f t="shared" si="45"/>
        <v>44448</v>
      </c>
      <c r="B253" s="126" t="str">
        <f t="shared" si="42"/>
        <v>Thu</v>
      </c>
      <c r="C253" s="140"/>
      <c r="D253" s="128" t="str">
        <f t="shared" si="43"/>
        <v/>
      </c>
      <c r="E253" s="129" t="str">
        <f t="shared" si="44"/>
        <v/>
      </c>
      <c r="F253" s="130" t="str">
        <f>IF(SUMIF(Data!B:B,A253,Data!C:C)=0,"",SUMIF(Data!B:B,A253,Data!C:C))</f>
        <v/>
      </c>
      <c r="G253" s="126" t="str">
        <f>IF(OR(S253="T",S253="RUN",SUMIF(Data!B:B,A253,Data!E:E)=0),"",SUMIF(Data!B:B,A253,Data!E:E))</f>
        <v/>
      </c>
      <c r="H253" s="126" t="str">
        <f t="shared" si="36"/>
        <v/>
      </c>
      <c r="I253" s="131" t="str">
        <f t="shared" si="37"/>
        <v>0 (0)</v>
      </c>
      <c r="J253" s="131" t="str">
        <f t="shared" si="38"/>
        <v>0 (0)</v>
      </c>
      <c r="K253" s="131" t="str">
        <f t="shared" si="39"/>
        <v>0 (0)</v>
      </c>
      <c r="L253" s="132" t="str">
        <f t="shared" si="40"/>
        <v/>
      </c>
      <c r="M253" s="131" t="str">
        <f t="shared" si="41"/>
        <v/>
      </c>
      <c r="N253" s="126" t="str">
        <f>IF(ISNA(MATCH(A253,Data!B:B,0)),"",INDEX(Data!H:H,MATCH(A253,Data!B:B,1))) &amp; ""</f>
        <v/>
      </c>
      <c r="O253" s="126" t="str">
        <f>IF(ISNA(MATCH(A253,Data!B:B,0)),"",INDEX(Data!I:I,MATCH(A253,Data!B:B,1))) &amp; ""</f>
        <v/>
      </c>
      <c r="P253" s="133" t="str">
        <f>IF(ISNA(MATCH(A253,Data!B:B,0)),"",INDEX(Data!J:J,MATCH(A253,Data!B:B,1))) &amp; ""</f>
        <v/>
      </c>
      <c r="Q253" s="126" t="str">
        <f>IF(S253="T",Charts!$X$7,IF(ISNA(MATCH(A253,Data!B:B,0)),"",INDEX(Data!K:K,MATCH(A253,Data!B:B,1)))) &amp; ""</f>
        <v/>
      </c>
      <c r="R253" s="134"/>
      <c r="S253" s="134"/>
      <c r="T253" s="127"/>
      <c r="AF253" s="24" t="str">
        <f>IF(C253="","",INDEX(Workouts!B:B,MATCH(C253,Workouts!A:A,0)))</f>
        <v/>
      </c>
      <c r="AG253" s="24" t="str">
        <f>IF(SUMIF(Data!B:B,A253,Data!D:D)=0,"",SUMIF(Data!B:B,A253,Data!D:D))</f>
        <v/>
      </c>
      <c r="AH253" s="25" t="str">
        <f>IF(C253="","",INDEX(Workouts!C:C,MATCH(C253,Workouts!A:A,0)))</f>
        <v/>
      </c>
      <c r="AI253" s="68" t="str">
        <f>IF(SUMIF(Data!B:B,A253,Data!F:F)=0,"",SUMIF(Data!B:B,A253,Data!F:F))</f>
        <v/>
      </c>
      <c r="AJ253" s="68">
        <f>AJ252+ (IF(AH253="",0,AH253)-AJ252)/Charts!$X$5</f>
        <v>9.5870642459747663E-16</v>
      </c>
      <c r="AK253" s="68">
        <f>AK252+ (IF(AI253="",0,AI253)-AK252)/Charts!$X$5</f>
        <v>9.5870642459747663E-16</v>
      </c>
      <c r="AL253" s="68">
        <f>AL252+ (IF(AH253="",0,AH253)-AL252)/Charts!$X$6</f>
        <v>0.12987897013825789</v>
      </c>
      <c r="AM253" s="68">
        <f>AM252+ (IF(AI253="",0,AI253)-AM252)/Charts!$X$6</f>
        <v>0.12987897013825789</v>
      </c>
      <c r="AN253" s="68" t="str">
        <f t="shared" si="46"/>
        <v>0</v>
      </c>
      <c r="AO253" s="68" t="str">
        <f t="shared" si="47"/>
        <v>0</v>
      </c>
      <c r="AP253" s="69" t="str">
        <f>IF(C253="","",INDEX(Workouts!D:D,MATCH(C253,Workouts!A:A,0)))</f>
        <v/>
      </c>
      <c r="AQ253" s="69" t="str">
        <f>IF(ISNA(MATCH(A253,Data!B:B,0)),"",INDEX(Data!G:G,MATCH(A253,Data!B:B,1)))</f>
        <v/>
      </c>
    </row>
    <row r="254" spans="1:43" s="1" customFormat="1" x14ac:dyDescent="0.2">
      <c r="A254" s="125">
        <f t="shared" si="45"/>
        <v>44449</v>
      </c>
      <c r="B254" s="126" t="str">
        <f t="shared" si="42"/>
        <v>Fri</v>
      </c>
      <c r="C254" s="140"/>
      <c r="D254" s="128" t="str">
        <f t="shared" si="43"/>
        <v/>
      </c>
      <c r="E254" s="129" t="str">
        <f t="shared" si="44"/>
        <v/>
      </c>
      <c r="F254" s="130" t="str">
        <f>IF(SUMIF(Data!B:B,A254,Data!C:C)=0,"",SUMIF(Data!B:B,A254,Data!C:C))</f>
        <v/>
      </c>
      <c r="G254" s="126" t="str">
        <f>IF(OR(S254="T",S254="RUN",SUMIF(Data!B:B,A254,Data!E:E)=0),"",SUMIF(Data!B:B,A254,Data!E:E))</f>
        <v/>
      </c>
      <c r="H254" s="126" t="str">
        <f t="shared" si="36"/>
        <v/>
      </c>
      <c r="I254" s="131" t="str">
        <f t="shared" si="37"/>
        <v>0 (0)</v>
      </c>
      <c r="J254" s="131" t="str">
        <f t="shared" si="38"/>
        <v>0 (0)</v>
      </c>
      <c r="K254" s="131" t="str">
        <f t="shared" si="39"/>
        <v>0 (0)</v>
      </c>
      <c r="L254" s="132" t="str">
        <f t="shared" si="40"/>
        <v/>
      </c>
      <c r="M254" s="131" t="str">
        <f t="shared" si="41"/>
        <v/>
      </c>
      <c r="N254" s="126" t="str">
        <f>IF(ISNA(MATCH(A254,Data!B:B,0)),"",INDEX(Data!H:H,MATCH(A254,Data!B:B,1))) &amp; ""</f>
        <v/>
      </c>
      <c r="O254" s="126" t="str">
        <f>IF(ISNA(MATCH(A254,Data!B:B,0)),"",INDEX(Data!I:I,MATCH(A254,Data!B:B,1))) &amp; ""</f>
        <v/>
      </c>
      <c r="P254" s="133" t="str">
        <f>IF(ISNA(MATCH(A254,Data!B:B,0)),"",INDEX(Data!J:J,MATCH(A254,Data!B:B,1))) &amp; ""</f>
        <v/>
      </c>
      <c r="Q254" s="126" t="str">
        <f>IF(S254="T",Charts!$X$7,IF(ISNA(MATCH(A254,Data!B:B,0)),"",INDEX(Data!K:K,MATCH(A254,Data!B:B,1)))) &amp; ""</f>
        <v/>
      </c>
      <c r="R254" s="134"/>
      <c r="S254" s="134"/>
      <c r="T254" s="127"/>
      <c r="AF254" s="24" t="str">
        <f>IF(C254="","",INDEX(Workouts!B:B,MATCH(C254,Workouts!A:A,0)))</f>
        <v/>
      </c>
      <c r="AG254" s="24" t="str">
        <f>IF(SUMIF(Data!B:B,A254,Data!D:D)=0,"",SUMIF(Data!B:B,A254,Data!D:D))</f>
        <v/>
      </c>
      <c r="AH254" s="25" t="str">
        <f>IF(C254="","",INDEX(Workouts!C:C,MATCH(C254,Workouts!A:A,0)))</f>
        <v/>
      </c>
      <c r="AI254" s="68" t="str">
        <f>IF(SUMIF(Data!B:B,A254,Data!F:F)=0,"",SUMIF(Data!B:B,A254,Data!F:F))</f>
        <v/>
      </c>
      <c r="AJ254" s="68">
        <f>AJ253+ (IF(AH254="",0,AH254)-AJ253)/Charts!$X$5</f>
        <v>8.217483639406942E-16</v>
      </c>
      <c r="AK254" s="68">
        <f>AK253+ (IF(AI254="",0,AI254)-AK253)/Charts!$X$5</f>
        <v>8.217483639406942E-16</v>
      </c>
      <c r="AL254" s="68">
        <f>AL253+ (IF(AH254="",0,AH254)-AL253)/Charts!$X$6</f>
        <v>0.1267866137063946</v>
      </c>
      <c r="AM254" s="68">
        <f>AM253+ (IF(AI254="",0,AI254)-AM253)/Charts!$X$6</f>
        <v>0.1267866137063946</v>
      </c>
      <c r="AN254" s="68" t="str">
        <f t="shared" si="46"/>
        <v>0</v>
      </c>
      <c r="AO254" s="68" t="str">
        <f t="shared" si="47"/>
        <v>0</v>
      </c>
      <c r="AP254" s="69" t="str">
        <f>IF(C254="","",INDEX(Workouts!D:D,MATCH(C254,Workouts!A:A,0)))</f>
        <v/>
      </c>
      <c r="AQ254" s="69" t="str">
        <f>IF(ISNA(MATCH(A254,Data!B:B,0)),"",INDEX(Data!G:G,MATCH(A254,Data!B:B,1)))</f>
        <v/>
      </c>
    </row>
    <row r="255" spans="1:43" s="1" customFormat="1" x14ac:dyDescent="0.2">
      <c r="A255" s="125">
        <f t="shared" si="45"/>
        <v>44450</v>
      </c>
      <c r="B255" s="126" t="str">
        <f t="shared" si="42"/>
        <v>Sat</v>
      </c>
      <c r="C255" s="140"/>
      <c r="D255" s="128" t="str">
        <f t="shared" si="43"/>
        <v/>
      </c>
      <c r="E255" s="129" t="str">
        <f t="shared" si="44"/>
        <v/>
      </c>
      <c r="F255" s="130" t="str">
        <f>IF(SUMIF(Data!B:B,A255,Data!C:C)=0,"",SUMIF(Data!B:B,A255,Data!C:C))</f>
        <v/>
      </c>
      <c r="G255" s="126" t="str">
        <f>IF(OR(S255="T",S255="RUN",SUMIF(Data!B:B,A255,Data!E:E)=0),"",SUMIF(Data!B:B,A255,Data!E:E))</f>
        <v/>
      </c>
      <c r="H255" s="126" t="str">
        <f t="shared" si="36"/>
        <v/>
      </c>
      <c r="I255" s="131" t="str">
        <f t="shared" si="37"/>
        <v>0 (0)</v>
      </c>
      <c r="J255" s="131" t="str">
        <f t="shared" si="38"/>
        <v>0 (0)</v>
      </c>
      <c r="K255" s="131" t="str">
        <f t="shared" si="39"/>
        <v>0 (0)</v>
      </c>
      <c r="L255" s="132" t="str">
        <f t="shared" si="40"/>
        <v/>
      </c>
      <c r="M255" s="131" t="str">
        <f t="shared" si="41"/>
        <v/>
      </c>
      <c r="N255" s="126" t="str">
        <f>IF(ISNA(MATCH(A255,Data!B:B,0)),"",INDEX(Data!H:H,MATCH(A255,Data!B:B,1))) &amp; ""</f>
        <v/>
      </c>
      <c r="O255" s="126" t="str">
        <f>IF(ISNA(MATCH(A255,Data!B:B,0)),"",INDEX(Data!I:I,MATCH(A255,Data!B:B,1))) &amp; ""</f>
        <v/>
      </c>
      <c r="P255" s="133" t="str">
        <f>IF(ISNA(MATCH(A255,Data!B:B,0)),"",INDEX(Data!J:J,MATCH(A255,Data!B:B,1))) &amp; ""</f>
        <v/>
      </c>
      <c r="Q255" s="126" t="str">
        <f>IF(S255="T",Charts!$X$7,IF(ISNA(MATCH(A255,Data!B:B,0)),"",INDEX(Data!K:K,MATCH(A255,Data!B:B,1)))) &amp; ""</f>
        <v/>
      </c>
      <c r="R255" s="134"/>
      <c r="S255" s="134"/>
      <c r="T255" s="127"/>
      <c r="AF255" s="24" t="str">
        <f>IF(C255="","",INDEX(Workouts!B:B,MATCH(C255,Workouts!A:A,0)))</f>
        <v/>
      </c>
      <c r="AG255" s="24" t="str">
        <f>IF(SUMIF(Data!B:B,A255,Data!D:D)=0,"",SUMIF(Data!B:B,A255,Data!D:D))</f>
        <v/>
      </c>
      <c r="AH255" s="25" t="str">
        <f>IF(C255="","",INDEX(Workouts!C:C,MATCH(C255,Workouts!A:A,0)))</f>
        <v/>
      </c>
      <c r="AI255" s="68" t="str">
        <f>IF(SUMIF(Data!B:B,A255,Data!F:F)=0,"",SUMIF(Data!B:B,A255,Data!F:F))</f>
        <v/>
      </c>
      <c r="AJ255" s="68">
        <f>AJ254+ (IF(AH255="",0,AH255)-AJ254)/Charts!$X$5</f>
        <v>7.04355740520595E-16</v>
      </c>
      <c r="AK255" s="68">
        <f>AK254+ (IF(AI255="",0,AI255)-AK254)/Charts!$X$5</f>
        <v>7.04355740520595E-16</v>
      </c>
      <c r="AL255" s="68">
        <f>AL254+ (IF(AH255="",0,AH255)-AL254)/Charts!$X$6</f>
        <v>0.1237678848086233</v>
      </c>
      <c r="AM255" s="68">
        <f>AM254+ (IF(AI255="",0,AI255)-AM254)/Charts!$X$6</f>
        <v>0.1237678848086233</v>
      </c>
      <c r="AN255" s="68" t="str">
        <f t="shared" si="46"/>
        <v>0</v>
      </c>
      <c r="AO255" s="68" t="str">
        <f t="shared" si="47"/>
        <v>0</v>
      </c>
      <c r="AP255" s="69" t="str">
        <f>IF(C255="","",INDEX(Workouts!D:D,MATCH(C255,Workouts!A:A,0)))</f>
        <v/>
      </c>
      <c r="AQ255" s="69" t="str">
        <f>IF(ISNA(MATCH(A255,Data!B:B,0)),"",INDEX(Data!G:G,MATCH(A255,Data!B:B,1)))</f>
        <v/>
      </c>
    </row>
    <row r="256" spans="1:43" s="1" customFormat="1" x14ac:dyDescent="0.2">
      <c r="A256" s="125">
        <f t="shared" si="45"/>
        <v>44451</v>
      </c>
      <c r="B256" s="126" t="str">
        <f t="shared" si="42"/>
        <v>Sun</v>
      </c>
      <c r="C256" s="140"/>
      <c r="D256" s="128" t="str">
        <f t="shared" si="43"/>
        <v/>
      </c>
      <c r="E256" s="129" t="str">
        <f t="shared" si="44"/>
        <v/>
      </c>
      <c r="F256" s="130" t="str">
        <f>IF(SUMIF(Data!B:B,A256,Data!C:C)=0,"",SUMIF(Data!B:B,A256,Data!C:C))</f>
        <v/>
      </c>
      <c r="G256" s="126" t="str">
        <f>IF(OR(S256="T",S256="RUN",SUMIF(Data!B:B,A256,Data!E:E)=0),"",SUMIF(Data!B:B,A256,Data!E:E))</f>
        <v/>
      </c>
      <c r="H256" s="126" t="str">
        <f t="shared" si="36"/>
        <v/>
      </c>
      <c r="I256" s="131" t="str">
        <f t="shared" si="37"/>
        <v>0 (0)</v>
      </c>
      <c r="J256" s="131" t="str">
        <f t="shared" si="38"/>
        <v>0 (0)</v>
      </c>
      <c r="K256" s="131" t="str">
        <f t="shared" si="39"/>
        <v>0 (0)</v>
      </c>
      <c r="L256" s="132" t="str">
        <f t="shared" si="40"/>
        <v/>
      </c>
      <c r="M256" s="131" t="str">
        <f t="shared" si="41"/>
        <v/>
      </c>
      <c r="N256" s="126" t="str">
        <f>IF(ISNA(MATCH(A256,Data!B:B,0)),"",INDEX(Data!H:H,MATCH(A256,Data!B:B,1))) &amp; ""</f>
        <v/>
      </c>
      <c r="O256" s="126" t="str">
        <f>IF(ISNA(MATCH(A256,Data!B:B,0)),"",INDEX(Data!I:I,MATCH(A256,Data!B:B,1))) &amp; ""</f>
        <v/>
      </c>
      <c r="P256" s="133" t="str">
        <f>IF(ISNA(MATCH(A256,Data!B:B,0)),"",INDEX(Data!J:J,MATCH(A256,Data!B:B,1))) &amp; ""</f>
        <v/>
      </c>
      <c r="Q256" s="126" t="str">
        <f>IF(S256="T",Charts!$X$7,IF(ISNA(MATCH(A256,Data!B:B,0)),"",INDEX(Data!K:K,MATCH(A256,Data!B:B,1)))) &amp; ""</f>
        <v/>
      </c>
      <c r="R256" s="134"/>
      <c r="S256" s="134"/>
      <c r="T256" s="127"/>
      <c r="AF256" s="24" t="str">
        <f>IF(C256="","",INDEX(Workouts!B:B,MATCH(C256,Workouts!A:A,0)))</f>
        <v/>
      </c>
      <c r="AG256" s="24" t="str">
        <f>IF(SUMIF(Data!B:B,A256,Data!D:D)=0,"",SUMIF(Data!B:B,A256,Data!D:D))</f>
        <v/>
      </c>
      <c r="AH256" s="25" t="str">
        <f>IF(C256="","",INDEX(Workouts!C:C,MATCH(C256,Workouts!A:A,0)))</f>
        <v/>
      </c>
      <c r="AI256" s="68" t="str">
        <f>IF(SUMIF(Data!B:B,A256,Data!F:F)=0,"",SUMIF(Data!B:B,A256,Data!F:F))</f>
        <v/>
      </c>
      <c r="AJ256" s="68">
        <f>AJ255+ (IF(AH256="",0,AH256)-AJ255)/Charts!$X$5</f>
        <v>6.037334918747957E-16</v>
      </c>
      <c r="AK256" s="68">
        <f>AK255+ (IF(AI256="",0,AI256)-AK255)/Charts!$X$5</f>
        <v>6.037334918747957E-16</v>
      </c>
      <c r="AL256" s="68">
        <f>AL255+ (IF(AH256="",0,AH256)-AL255)/Charts!$X$6</f>
        <v>0.12082103040841799</v>
      </c>
      <c r="AM256" s="68">
        <f>AM255+ (IF(AI256="",0,AI256)-AM255)/Charts!$X$6</f>
        <v>0.12082103040841799</v>
      </c>
      <c r="AN256" s="68" t="str">
        <f t="shared" si="46"/>
        <v>0</v>
      </c>
      <c r="AO256" s="68" t="str">
        <f t="shared" si="47"/>
        <v>0</v>
      </c>
      <c r="AP256" s="69" t="str">
        <f>IF(C256="","",INDEX(Workouts!D:D,MATCH(C256,Workouts!A:A,0)))</f>
        <v/>
      </c>
      <c r="AQ256" s="69" t="str">
        <f>IF(ISNA(MATCH(A256,Data!B:B,0)),"",INDEX(Data!G:G,MATCH(A256,Data!B:B,1)))</f>
        <v/>
      </c>
    </row>
    <row r="257" spans="1:43" s="1" customFormat="1" x14ac:dyDescent="0.2">
      <c r="A257" s="125">
        <f t="shared" si="45"/>
        <v>44452</v>
      </c>
      <c r="B257" s="126" t="str">
        <f t="shared" si="42"/>
        <v>Mon</v>
      </c>
      <c r="C257" s="140"/>
      <c r="D257" s="128" t="str">
        <f t="shared" si="43"/>
        <v/>
      </c>
      <c r="E257" s="129" t="str">
        <f t="shared" si="44"/>
        <v/>
      </c>
      <c r="F257" s="130" t="str">
        <f>IF(SUMIF(Data!B:B,A257,Data!C:C)=0,"",SUMIF(Data!B:B,A257,Data!C:C))</f>
        <v/>
      </c>
      <c r="G257" s="126" t="str">
        <f>IF(OR(S257="T",S257="RUN",SUMIF(Data!B:B,A257,Data!E:E)=0),"",SUMIF(Data!B:B,A257,Data!E:E))</f>
        <v/>
      </c>
      <c r="H257" s="126" t="str">
        <f t="shared" si="36"/>
        <v/>
      </c>
      <c r="I257" s="131" t="str">
        <f t="shared" si="37"/>
        <v>0 (0)</v>
      </c>
      <c r="J257" s="131" t="str">
        <f t="shared" si="38"/>
        <v>0 (0)</v>
      </c>
      <c r="K257" s="131" t="str">
        <f t="shared" si="39"/>
        <v>0 (0)</v>
      </c>
      <c r="L257" s="132" t="str">
        <f t="shared" si="40"/>
        <v/>
      </c>
      <c r="M257" s="131" t="str">
        <f t="shared" si="41"/>
        <v/>
      </c>
      <c r="N257" s="126" t="str">
        <f>IF(ISNA(MATCH(A257,Data!B:B,0)),"",INDEX(Data!H:H,MATCH(A257,Data!B:B,1))) &amp; ""</f>
        <v/>
      </c>
      <c r="O257" s="126" t="str">
        <f>IF(ISNA(MATCH(A257,Data!B:B,0)),"",INDEX(Data!I:I,MATCH(A257,Data!B:B,1))) &amp; ""</f>
        <v/>
      </c>
      <c r="P257" s="133" t="str">
        <f>IF(ISNA(MATCH(A257,Data!B:B,0)),"",INDEX(Data!J:J,MATCH(A257,Data!B:B,1))) &amp; ""</f>
        <v/>
      </c>
      <c r="Q257" s="126" t="str">
        <f>IF(S257="T",Charts!$X$7,IF(ISNA(MATCH(A257,Data!B:B,0)),"",INDEX(Data!K:K,MATCH(A257,Data!B:B,1)))) &amp; ""</f>
        <v/>
      </c>
      <c r="R257" s="134"/>
      <c r="S257" s="134"/>
      <c r="T257" s="127"/>
      <c r="AF257" s="24" t="str">
        <f>IF(C257="","",INDEX(Workouts!B:B,MATCH(C257,Workouts!A:A,0)))</f>
        <v/>
      </c>
      <c r="AG257" s="24" t="str">
        <f>IF(SUMIF(Data!B:B,A257,Data!D:D)=0,"",SUMIF(Data!B:B,A257,Data!D:D))</f>
        <v/>
      </c>
      <c r="AH257" s="25" t="str">
        <f>IF(C257="","",INDEX(Workouts!C:C,MATCH(C257,Workouts!A:A,0)))</f>
        <v/>
      </c>
      <c r="AI257" s="68" t="str">
        <f>IF(SUMIF(Data!B:B,A257,Data!F:F)=0,"",SUMIF(Data!B:B,A257,Data!F:F))</f>
        <v/>
      </c>
      <c r="AJ257" s="68">
        <f>AJ256+ (IF(AH257="",0,AH257)-AJ256)/Charts!$X$5</f>
        <v>5.1748585017839627E-16</v>
      </c>
      <c r="AK257" s="68">
        <f>AK256+ (IF(AI257="",0,AI257)-AK256)/Charts!$X$5</f>
        <v>5.1748585017839627E-16</v>
      </c>
      <c r="AL257" s="68">
        <f>AL256+ (IF(AH257="",0,AH257)-AL256)/Charts!$X$6</f>
        <v>0.11794433920821756</v>
      </c>
      <c r="AM257" s="68">
        <f>AM256+ (IF(AI257="",0,AI257)-AM256)/Charts!$X$6</f>
        <v>0.11794433920821756</v>
      </c>
      <c r="AN257" s="68" t="str">
        <f t="shared" si="46"/>
        <v>0</v>
      </c>
      <c r="AO257" s="68" t="str">
        <f t="shared" si="47"/>
        <v>0</v>
      </c>
      <c r="AP257" s="69" t="str">
        <f>IF(C257="","",INDEX(Workouts!D:D,MATCH(C257,Workouts!A:A,0)))</f>
        <v/>
      </c>
      <c r="AQ257" s="69" t="str">
        <f>IF(ISNA(MATCH(A257,Data!B:B,0)),"",INDEX(Data!G:G,MATCH(A257,Data!B:B,1)))</f>
        <v/>
      </c>
    </row>
    <row r="258" spans="1:43" s="1" customFormat="1" x14ac:dyDescent="0.2">
      <c r="A258" s="125">
        <f t="shared" si="45"/>
        <v>44453</v>
      </c>
      <c r="B258" s="126" t="str">
        <f t="shared" si="42"/>
        <v>Tue</v>
      </c>
      <c r="C258" s="140"/>
      <c r="D258" s="128" t="str">
        <f t="shared" si="43"/>
        <v/>
      </c>
      <c r="E258" s="129" t="str">
        <f t="shared" si="44"/>
        <v/>
      </c>
      <c r="F258" s="130" t="str">
        <f>IF(SUMIF(Data!B:B,A258,Data!C:C)=0,"",SUMIF(Data!B:B,A258,Data!C:C))</f>
        <v/>
      </c>
      <c r="G258" s="126" t="str">
        <f>IF(OR(S258="T",S258="RUN",SUMIF(Data!B:B,A258,Data!E:E)=0),"",SUMIF(Data!B:B,A258,Data!E:E))</f>
        <v/>
      </c>
      <c r="H258" s="126" t="str">
        <f t="shared" ref="H258:H317" si="48">IF(G258&lt;&gt;"",INT(G258/F258),"")</f>
        <v/>
      </c>
      <c r="I258" s="131" t="str">
        <f t="shared" ref="I258:I317" si="49">ROUND(AK258,0)&amp;IF(AJ258="",""," ("&amp;ROUND(AJ258,0)&amp;")")</f>
        <v>0 (0)</v>
      </c>
      <c r="J258" s="131" t="str">
        <f t="shared" ref="J258:J317" si="50">ROUND(AM258,0)&amp;IF(AL258="",""," ("&amp;ROUND(AL258,0)&amp;")")</f>
        <v>0 (0)</v>
      </c>
      <c r="K258" s="131" t="str">
        <f t="shared" ref="K258:K317" si="51">AO258&amp;IF(AN258="",""," ("&amp;AN258&amp;")")</f>
        <v>0 (0)</v>
      </c>
      <c r="L258" s="132" t="str">
        <f t="shared" ref="L258:L317" si="52">AI258&amp;IF(AH258="",""," ("&amp;AH258&amp;")")</f>
        <v/>
      </c>
      <c r="M258" s="131" t="str">
        <f t="shared" ref="M258:M317" si="53">TEXT(AQ258,"0.00")&amp;IF(AP258="",""," ("&amp;TEXT(AP258,"0.00")&amp;")")</f>
        <v/>
      </c>
      <c r="N258" s="126" t="str">
        <f>IF(ISNA(MATCH(A258,Data!B:B,0)),"",INDEX(Data!H:H,MATCH(A258,Data!B:B,1))) &amp; ""</f>
        <v/>
      </c>
      <c r="O258" s="126" t="str">
        <f>IF(ISNA(MATCH(A258,Data!B:B,0)),"",INDEX(Data!I:I,MATCH(A258,Data!B:B,1))) &amp; ""</f>
        <v/>
      </c>
      <c r="P258" s="133" t="str">
        <f>IF(ISNA(MATCH(A258,Data!B:B,0)),"",INDEX(Data!J:J,MATCH(A258,Data!B:B,1))) &amp; ""</f>
        <v/>
      </c>
      <c r="Q258" s="126" t="str">
        <f>IF(S258="T",Charts!$X$7,IF(ISNA(MATCH(A258,Data!B:B,0)),"",INDEX(Data!K:K,MATCH(A258,Data!B:B,1)))) &amp; ""</f>
        <v/>
      </c>
      <c r="R258" s="134"/>
      <c r="S258" s="134"/>
      <c r="T258" s="127"/>
      <c r="AF258" s="24" t="str">
        <f>IF(C258="","",INDEX(Workouts!B:B,MATCH(C258,Workouts!A:A,0)))</f>
        <v/>
      </c>
      <c r="AG258" s="24" t="str">
        <f>IF(SUMIF(Data!B:B,A258,Data!D:D)=0,"",SUMIF(Data!B:B,A258,Data!D:D))</f>
        <v/>
      </c>
      <c r="AH258" s="25" t="str">
        <f>IF(C258="","",INDEX(Workouts!C:C,MATCH(C258,Workouts!A:A,0)))</f>
        <v/>
      </c>
      <c r="AI258" s="68" t="str">
        <f>IF(SUMIF(Data!B:B,A258,Data!F:F)=0,"",SUMIF(Data!B:B,A258,Data!F:F))</f>
        <v/>
      </c>
      <c r="AJ258" s="68">
        <f>AJ257+ (IF(AH258="",0,AH258)-AJ257)/Charts!$X$5</f>
        <v>4.435593001529111E-16</v>
      </c>
      <c r="AK258" s="68">
        <f>AK257+ (IF(AI258="",0,AI258)-AK257)/Charts!$X$5</f>
        <v>4.435593001529111E-16</v>
      </c>
      <c r="AL258" s="68">
        <f>AL257+ (IF(AH258="",0,AH258)-AL257)/Charts!$X$6</f>
        <v>0.11513614065564096</v>
      </c>
      <c r="AM258" s="68">
        <f>AM257+ (IF(AI258="",0,AI258)-AM257)/Charts!$X$6</f>
        <v>0.11513614065564096</v>
      </c>
      <c r="AN258" s="68" t="str">
        <f t="shared" si="46"/>
        <v>0</v>
      </c>
      <c r="AO258" s="68" t="str">
        <f t="shared" si="47"/>
        <v>0</v>
      </c>
      <c r="AP258" s="69" t="str">
        <f>IF(C258="","",INDEX(Workouts!D:D,MATCH(C258,Workouts!A:A,0)))</f>
        <v/>
      </c>
      <c r="AQ258" s="69" t="str">
        <f>IF(ISNA(MATCH(A258,Data!B:B,0)),"",INDEX(Data!G:G,MATCH(A258,Data!B:B,1)))</f>
        <v/>
      </c>
    </row>
    <row r="259" spans="1:43" s="1" customFormat="1" x14ac:dyDescent="0.2">
      <c r="A259" s="125">
        <f t="shared" si="45"/>
        <v>44454</v>
      </c>
      <c r="B259" s="126" t="str">
        <f t="shared" ref="B259:B322" si="54">TEXT(A259,"ddd")</f>
        <v>Wed</v>
      </c>
      <c r="C259" s="140"/>
      <c r="D259" s="128" t="str">
        <f t="shared" ref="D259:D317" si="55">IF(AG259="","",INT(AG259/60)&amp;":"&amp;RIGHT("00"&amp;MOD(AG259,60),2)&amp;" ")
&amp;IF(OR(AF259="",AF259=0),"","("&amp;INT(AF259/60)&amp;":"&amp;RIGHT("00"&amp;MOD(AF259,60),2)&amp;")")</f>
        <v/>
      </c>
      <c r="E259" s="129" t="str">
        <f t="shared" ref="E259:E317" si="56">IF(AG259&lt;&gt;"",F259/AG259*60,"")</f>
        <v/>
      </c>
      <c r="F259" s="130" t="str">
        <f>IF(SUMIF(Data!B:B,A259,Data!C:C)=0,"",SUMIF(Data!B:B,A259,Data!C:C))</f>
        <v/>
      </c>
      <c r="G259" s="126" t="str">
        <f>IF(OR(S259="T",S259="RUN",SUMIF(Data!B:B,A259,Data!E:E)=0),"",SUMIF(Data!B:B,A259,Data!E:E))</f>
        <v/>
      </c>
      <c r="H259" s="126" t="str">
        <f t="shared" si="48"/>
        <v/>
      </c>
      <c r="I259" s="131" t="str">
        <f t="shared" si="49"/>
        <v>0 (0)</v>
      </c>
      <c r="J259" s="131" t="str">
        <f t="shared" si="50"/>
        <v>0 (0)</v>
      </c>
      <c r="K259" s="131" t="str">
        <f t="shared" si="51"/>
        <v>0 (0)</v>
      </c>
      <c r="L259" s="132" t="str">
        <f t="shared" si="52"/>
        <v/>
      </c>
      <c r="M259" s="131" t="str">
        <f t="shared" si="53"/>
        <v/>
      </c>
      <c r="N259" s="126" t="str">
        <f>IF(ISNA(MATCH(A259,Data!B:B,0)),"",INDEX(Data!H:H,MATCH(A259,Data!B:B,1))) &amp; ""</f>
        <v/>
      </c>
      <c r="O259" s="126" t="str">
        <f>IF(ISNA(MATCH(A259,Data!B:B,0)),"",INDEX(Data!I:I,MATCH(A259,Data!B:B,1))) &amp; ""</f>
        <v/>
      </c>
      <c r="P259" s="133" t="str">
        <f>IF(ISNA(MATCH(A259,Data!B:B,0)),"",INDEX(Data!J:J,MATCH(A259,Data!B:B,1))) &amp; ""</f>
        <v/>
      </c>
      <c r="Q259" s="126" t="str">
        <f>IF(S259="T",Charts!$X$7,IF(ISNA(MATCH(A259,Data!B:B,0)),"",INDEX(Data!K:K,MATCH(A259,Data!B:B,1)))) &amp; ""</f>
        <v/>
      </c>
      <c r="R259" s="134"/>
      <c r="S259" s="134"/>
      <c r="T259" s="127"/>
      <c r="AF259" s="24" t="str">
        <f>IF(C259="","",INDEX(Workouts!B:B,MATCH(C259,Workouts!A:A,0)))</f>
        <v/>
      </c>
      <c r="AG259" s="24" t="str">
        <f>IF(SUMIF(Data!B:B,A259,Data!D:D)=0,"",SUMIF(Data!B:B,A259,Data!D:D))</f>
        <v/>
      </c>
      <c r="AH259" s="25" t="str">
        <f>IF(C259="","",INDEX(Workouts!C:C,MATCH(C259,Workouts!A:A,0)))</f>
        <v/>
      </c>
      <c r="AI259" s="68" t="str">
        <f>IF(SUMIF(Data!B:B,A259,Data!F:F)=0,"",SUMIF(Data!B:B,A259,Data!F:F))</f>
        <v/>
      </c>
      <c r="AJ259" s="68">
        <f>AJ258+ (IF(AH259="",0,AH259)-AJ258)/Charts!$X$5</f>
        <v>3.8019368584535237E-16</v>
      </c>
      <c r="AK259" s="68">
        <f>AK258+ (IF(AI259="",0,AI259)-AK258)/Charts!$X$5</f>
        <v>3.8019368584535237E-16</v>
      </c>
      <c r="AL259" s="68">
        <f>AL258+ (IF(AH259="",0,AH259)-AL258)/Charts!$X$6</f>
        <v>0.11239480397336379</v>
      </c>
      <c r="AM259" s="68">
        <f>AM258+ (IF(AI259="",0,AI259)-AM258)/Charts!$X$6</f>
        <v>0.11239480397336379</v>
      </c>
      <c r="AN259" s="68" t="str">
        <f t="shared" si="46"/>
        <v>0</v>
      </c>
      <c r="AO259" s="68" t="str">
        <f t="shared" si="47"/>
        <v>0</v>
      </c>
      <c r="AP259" s="69" t="str">
        <f>IF(C259="","",INDEX(Workouts!D:D,MATCH(C259,Workouts!A:A,0)))</f>
        <v/>
      </c>
      <c r="AQ259" s="69" t="str">
        <f>IF(ISNA(MATCH(A259,Data!B:B,0)),"",INDEX(Data!G:G,MATCH(A259,Data!B:B,1)))</f>
        <v/>
      </c>
    </row>
    <row r="260" spans="1:43" s="1" customFormat="1" x14ac:dyDescent="0.2">
      <c r="A260" s="125">
        <f t="shared" ref="A260:A323" si="57">A259+1</f>
        <v>44455</v>
      </c>
      <c r="B260" s="126" t="str">
        <f t="shared" si="54"/>
        <v>Thu</v>
      </c>
      <c r="C260" s="140"/>
      <c r="D260" s="128" t="str">
        <f t="shared" si="55"/>
        <v/>
      </c>
      <c r="E260" s="129" t="str">
        <f t="shared" si="56"/>
        <v/>
      </c>
      <c r="F260" s="130" t="str">
        <f>IF(SUMIF(Data!B:B,A260,Data!C:C)=0,"",SUMIF(Data!B:B,A260,Data!C:C))</f>
        <v/>
      </c>
      <c r="G260" s="126" t="str">
        <f>IF(OR(S260="T",S260="RUN",SUMIF(Data!B:B,A260,Data!E:E)=0),"",SUMIF(Data!B:B,A260,Data!E:E))</f>
        <v/>
      </c>
      <c r="H260" s="126" t="str">
        <f t="shared" si="48"/>
        <v/>
      </c>
      <c r="I260" s="131" t="str">
        <f t="shared" si="49"/>
        <v>0 (0)</v>
      </c>
      <c r="J260" s="131" t="str">
        <f t="shared" si="50"/>
        <v>0 (0)</v>
      </c>
      <c r="K260" s="131" t="str">
        <f t="shared" si="51"/>
        <v>0 (0)</v>
      </c>
      <c r="L260" s="132" t="str">
        <f t="shared" si="52"/>
        <v/>
      </c>
      <c r="M260" s="131" t="str">
        <f t="shared" si="53"/>
        <v/>
      </c>
      <c r="N260" s="126" t="str">
        <f>IF(ISNA(MATCH(A260,Data!B:B,0)),"",INDEX(Data!H:H,MATCH(A260,Data!B:B,1))) &amp; ""</f>
        <v/>
      </c>
      <c r="O260" s="126" t="str">
        <f>IF(ISNA(MATCH(A260,Data!B:B,0)),"",INDEX(Data!I:I,MATCH(A260,Data!B:B,1))) &amp; ""</f>
        <v/>
      </c>
      <c r="P260" s="133" t="str">
        <f>IF(ISNA(MATCH(A260,Data!B:B,0)),"",INDEX(Data!J:J,MATCH(A260,Data!B:B,1))) &amp; ""</f>
        <v/>
      </c>
      <c r="Q260" s="126" t="str">
        <f>IF(S260="T",Charts!$X$7,IF(ISNA(MATCH(A260,Data!B:B,0)),"",INDEX(Data!K:K,MATCH(A260,Data!B:B,1)))) &amp; ""</f>
        <v/>
      </c>
      <c r="R260" s="134"/>
      <c r="S260" s="134"/>
      <c r="T260" s="127"/>
      <c r="AF260" s="24" t="str">
        <f>IF(C260="","",INDEX(Workouts!B:B,MATCH(C260,Workouts!A:A,0)))</f>
        <v/>
      </c>
      <c r="AG260" s="24" t="str">
        <f>IF(SUMIF(Data!B:B,A260,Data!D:D)=0,"",SUMIF(Data!B:B,A260,Data!D:D))</f>
        <v/>
      </c>
      <c r="AH260" s="25" t="str">
        <f>IF(C260="","",INDEX(Workouts!C:C,MATCH(C260,Workouts!A:A,0)))</f>
        <v/>
      </c>
      <c r="AI260" s="68" t="str">
        <f>IF(SUMIF(Data!B:B,A260,Data!F:F)=0,"",SUMIF(Data!B:B,A260,Data!F:F))</f>
        <v/>
      </c>
      <c r="AJ260" s="68">
        <f>AJ259+ (IF(AH260="",0,AH260)-AJ259)/Charts!$X$5</f>
        <v>3.2588030215315919E-16</v>
      </c>
      <c r="AK260" s="68">
        <f>AK259+ (IF(AI260="",0,AI260)-AK259)/Charts!$X$5</f>
        <v>3.2588030215315919E-16</v>
      </c>
      <c r="AL260" s="68">
        <f>AL259+ (IF(AH260="",0,AH260)-AL259)/Charts!$X$6</f>
        <v>0.10971873721209323</v>
      </c>
      <c r="AM260" s="68">
        <f>AM259+ (IF(AI260="",0,AI260)-AM259)/Charts!$X$6</f>
        <v>0.10971873721209323</v>
      </c>
      <c r="AN260" s="68" t="str">
        <f t="shared" ref="AN260:AN323" si="58">TEXT(ROUND(AL259,0)-ROUND(AJ259,0),"0")</f>
        <v>0</v>
      </c>
      <c r="AO260" s="68" t="str">
        <f t="shared" ref="AO260:AO323" si="59">TEXT(ROUND(AM259,0)-ROUND(AK259,0),"0")</f>
        <v>0</v>
      </c>
      <c r="AP260" s="69" t="str">
        <f>IF(C260="","",INDEX(Workouts!D:D,MATCH(C260,Workouts!A:A,0)))</f>
        <v/>
      </c>
      <c r="AQ260" s="69" t="str">
        <f>IF(ISNA(MATCH(A260,Data!B:B,0)),"",INDEX(Data!G:G,MATCH(A260,Data!B:B,1)))</f>
        <v/>
      </c>
    </row>
    <row r="261" spans="1:43" s="1" customFormat="1" x14ac:dyDescent="0.2">
      <c r="A261" s="125">
        <f t="shared" si="57"/>
        <v>44456</v>
      </c>
      <c r="B261" s="126" t="str">
        <f t="shared" si="54"/>
        <v>Fri</v>
      </c>
      <c r="C261" s="140"/>
      <c r="D261" s="128" t="str">
        <f t="shared" si="55"/>
        <v/>
      </c>
      <c r="E261" s="129" t="str">
        <f t="shared" si="56"/>
        <v/>
      </c>
      <c r="F261" s="130" t="str">
        <f>IF(SUMIF(Data!B:B,A261,Data!C:C)=0,"",SUMIF(Data!B:B,A261,Data!C:C))</f>
        <v/>
      </c>
      <c r="G261" s="126" t="str">
        <f>IF(OR(S261="T",S261="RUN",SUMIF(Data!B:B,A261,Data!E:E)=0),"",SUMIF(Data!B:B,A261,Data!E:E))</f>
        <v/>
      </c>
      <c r="H261" s="126" t="str">
        <f t="shared" si="48"/>
        <v/>
      </c>
      <c r="I261" s="131" t="str">
        <f t="shared" si="49"/>
        <v>0 (0)</v>
      </c>
      <c r="J261" s="131" t="str">
        <f t="shared" si="50"/>
        <v>0 (0)</v>
      </c>
      <c r="K261" s="131" t="str">
        <f t="shared" si="51"/>
        <v>0 (0)</v>
      </c>
      <c r="L261" s="132" t="str">
        <f t="shared" si="52"/>
        <v/>
      </c>
      <c r="M261" s="131" t="str">
        <f t="shared" si="53"/>
        <v/>
      </c>
      <c r="N261" s="126" t="str">
        <f>IF(ISNA(MATCH(A261,Data!B:B,0)),"",INDEX(Data!H:H,MATCH(A261,Data!B:B,1))) &amp; ""</f>
        <v/>
      </c>
      <c r="O261" s="126" t="str">
        <f>IF(ISNA(MATCH(A261,Data!B:B,0)),"",INDEX(Data!I:I,MATCH(A261,Data!B:B,1))) &amp; ""</f>
        <v/>
      </c>
      <c r="P261" s="133" t="str">
        <f>IF(ISNA(MATCH(A261,Data!B:B,0)),"",INDEX(Data!J:J,MATCH(A261,Data!B:B,1))) &amp; ""</f>
        <v/>
      </c>
      <c r="Q261" s="126" t="str">
        <f>IF(S261="T",Charts!$X$7,IF(ISNA(MATCH(A261,Data!B:B,0)),"",INDEX(Data!K:K,MATCH(A261,Data!B:B,1)))) &amp; ""</f>
        <v/>
      </c>
      <c r="R261" s="134"/>
      <c r="S261" s="134"/>
      <c r="T261" s="127"/>
      <c r="AF261" s="24" t="str">
        <f>IF(C261="","",INDEX(Workouts!B:B,MATCH(C261,Workouts!A:A,0)))</f>
        <v/>
      </c>
      <c r="AG261" s="24" t="str">
        <f>IF(SUMIF(Data!B:B,A261,Data!D:D)=0,"",SUMIF(Data!B:B,A261,Data!D:D))</f>
        <v/>
      </c>
      <c r="AH261" s="25" t="str">
        <f>IF(C261="","",INDEX(Workouts!C:C,MATCH(C261,Workouts!A:A,0)))</f>
        <v/>
      </c>
      <c r="AI261" s="68" t="str">
        <f>IF(SUMIF(Data!B:B,A261,Data!F:F)=0,"",SUMIF(Data!B:B,A261,Data!F:F))</f>
        <v/>
      </c>
      <c r="AJ261" s="68">
        <f>AJ260+ (IF(AH261="",0,AH261)-AJ260)/Charts!$X$5</f>
        <v>2.7932597327413645E-16</v>
      </c>
      <c r="AK261" s="68">
        <f>AK260+ (IF(AI261="",0,AI261)-AK260)/Charts!$X$5</f>
        <v>2.7932597327413645E-16</v>
      </c>
      <c r="AL261" s="68">
        <f>AL260+ (IF(AH261="",0,AH261)-AL260)/Charts!$X$6</f>
        <v>0.10710638632609101</v>
      </c>
      <c r="AM261" s="68">
        <f>AM260+ (IF(AI261="",0,AI261)-AM260)/Charts!$X$6</f>
        <v>0.10710638632609101</v>
      </c>
      <c r="AN261" s="68" t="str">
        <f t="shared" si="58"/>
        <v>0</v>
      </c>
      <c r="AO261" s="68" t="str">
        <f t="shared" si="59"/>
        <v>0</v>
      </c>
      <c r="AP261" s="69" t="str">
        <f>IF(C261="","",INDEX(Workouts!D:D,MATCH(C261,Workouts!A:A,0)))</f>
        <v/>
      </c>
      <c r="AQ261" s="69" t="str">
        <f>IF(ISNA(MATCH(A261,Data!B:B,0)),"",INDEX(Data!G:G,MATCH(A261,Data!B:B,1)))</f>
        <v/>
      </c>
    </row>
    <row r="262" spans="1:43" s="1" customFormat="1" x14ac:dyDescent="0.2">
      <c r="A262" s="125">
        <f t="shared" si="57"/>
        <v>44457</v>
      </c>
      <c r="B262" s="126" t="str">
        <f t="shared" si="54"/>
        <v>Sat</v>
      </c>
      <c r="C262" s="140"/>
      <c r="D262" s="128" t="str">
        <f t="shared" si="55"/>
        <v/>
      </c>
      <c r="E262" s="129" t="str">
        <f t="shared" si="56"/>
        <v/>
      </c>
      <c r="F262" s="130" t="str">
        <f>IF(SUMIF(Data!B:B,A262,Data!C:C)=0,"",SUMIF(Data!B:B,A262,Data!C:C))</f>
        <v/>
      </c>
      <c r="G262" s="126" t="str">
        <f>IF(OR(S262="T",S262="RUN",SUMIF(Data!B:B,A262,Data!E:E)=0),"",SUMIF(Data!B:B,A262,Data!E:E))</f>
        <v/>
      </c>
      <c r="H262" s="126" t="str">
        <f t="shared" si="48"/>
        <v/>
      </c>
      <c r="I262" s="131" t="str">
        <f t="shared" si="49"/>
        <v>0 (0)</v>
      </c>
      <c r="J262" s="131" t="str">
        <f t="shared" si="50"/>
        <v>0 (0)</v>
      </c>
      <c r="K262" s="131" t="str">
        <f t="shared" si="51"/>
        <v>0 (0)</v>
      </c>
      <c r="L262" s="132" t="str">
        <f t="shared" si="52"/>
        <v/>
      </c>
      <c r="M262" s="131" t="str">
        <f t="shared" si="53"/>
        <v/>
      </c>
      <c r="N262" s="126" t="str">
        <f>IF(ISNA(MATCH(A262,Data!B:B,0)),"",INDEX(Data!H:H,MATCH(A262,Data!B:B,1))) &amp; ""</f>
        <v/>
      </c>
      <c r="O262" s="126" t="str">
        <f>IF(ISNA(MATCH(A262,Data!B:B,0)),"",INDEX(Data!I:I,MATCH(A262,Data!B:B,1))) &amp; ""</f>
        <v/>
      </c>
      <c r="P262" s="133" t="str">
        <f>IF(ISNA(MATCH(A262,Data!B:B,0)),"",INDEX(Data!J:J,MATCH(A262,Data!B:B,1))) &amp; ""</f>
        <v/>
      </c>
      <c r="Q262" s="126" t="str">
        <f>IF(S262="T",Charts!$X$7,IF(ISNA(MATCH(A262,Data!B:B,0)),"",INDEX(Data!K:K,MATCH(A262,Data!B:B,1)))) &amp; ""</f>
        <v/>
      </c>
      <c r="R262" s="134"/>
      <c r="S262" s="134"/>
      <c r="T262" s="127"/>
      <c r="AF262" s="24" t="str">
        <f>IF(C262="","",INDEX(Workouts!B:B,MATCH(C262,Workouts!A:A,0)))</f>
        <v/>
      </c>
      <c r="AG262" s="24" t="str">
        <f>IF(SUMIF(Data!B:B,A262,Data!D:D)=0,"",SUMIF(Data!B:B,A262,Data!D:D))</f>
        <v/>
      </c>
      <c r="AH262" s="25" t="str">
        <f>IF(C262="","",INDEX(Workouts!C:C,MATCH(C262,Workouts!A:A,0)))</f>
        <v/>
      </c>
      <c r="AI262" s="68" t="str">
        <f>IF(SUMIF(Data!B:B,A262,Data!F:F)=0,"",SUMIF(Data!B:B,A262,Data!F:F))</f>
        <v/>
      </c>
      <c r="AJ262" s="68">
        <f>AJ261+ (IF(AH262="",0,AH262)-AJ261)/Charts!$X$5</f>
        <v>2.3942226280640269E-16</v>
      </c>
      <c r="AK262" s="68">
        <f>AK261+ (IF(AI262="",0,AI262)-AK261)/Charts!$X$5</f>
        <v>2.3942226280640269E-16</v>
      </c>
      <c r="AL262" s="68">
        <f>AL261+ (IF(AH262="",0,AH262)-AL261)/Charts!$X$6</f>
        <v>0.1045562342707079</v>
      </c>
      <c r="AM262" s="68">
        <f>AM261+ (IF(AI262="",0,AI262)-AM261)/Charts!$X$6</f>
        <v>0.1045562342707079</v>
      </c>
      <c r="AN262" s="68" t="str">
        <f t="shared" si="58"/>
        <v>0</v>
      </c>
      <c r="AO262" s="68" t="str">
        <f t="shared" si="59"/>
        <v>0</v>
      </c>
      <c r="AP262" s="69" t="str">
        <f>IF(C262="","",INDEX(Workouts!D:D,MATCH(C262,Workouts!A:A,0)))</f>
        <v/>
      </c>
      <c r="AQ262" s="69" t="str">
        <f>IF(ISNA(MATCH(A262,Data!B:B,0)),"",INDEX(Data!G:G,MATCH(A262,Data!B:B,1)))</f>
        <v/>
      </c>
    </row>
    <row r="263" spans="1:43" s="1" customFormat="1" x14ac:dyDescent="0.2">
      <c r="A263" s="125">
        <f t="shared" si="57"/>
        <v>44458</v>
      </c>
      <c r="B263" s="126" t="str">
        <f t="shared" si="54"/>
        <v>Sun</v>
      </c>
      <c r="C263" s="140"/>
      <c r="D263" s="128" t="str">
        <f t="shared" si="55"/>
        <v/>
      </c>
      <c r="E263" s="129" t="str">
        <f t="shared" si="56"/>
        <v/>
      </c>
      <c r="F263" s="130" t="str">
        <f>IF(SUMIF(Data!B:B,A263,Data!C:C)=0,"",SUMIF(Data!B:B,A263,Data!C:C))</f>
        <v/>
      </c>
      <c r="G263" s="126" t="str">
        <f>IF(OR(S263="T",S263="RUN",SUMIF(Data!B:B,A263,Data!E:E)=0),"",SUMIF(Data!B:B,A263,Data!E:E))</f>
        <v/>
      </c>
      <c r="H263" s="126" t="str">
        <f t="shared" si="48"/>
        <v/>
      </c>
      <c r="I263" s="131" t="str">
        <f t="shared" si="49"/>
        <v>0 (0)</v>
      </c>
      <c r="J263" s="131" t="str">
        <f t="shared" si="50"/>
        <v>0 (0)</v>
      </c>
      <c r="K263" s="131" t="str">
        <f t="shared" si="51"/>
        <v>0 (0)</v>
      </c>
      <c r="L263" s="132" t="str">
        <f t="shared" si="52"/>
        <v/>
      </c>
      <c r="M263" s="131" t="str">
        <f t="shared" si="53"/>
        <v/>
      </c>
      <c r="N263" s="126" t="str">
        <f>IF(ISNA(MATCH(A263,Data!B:B,0)),"",INDEX(Data!H:H,MATCH(A263,Data!B:B,1))) &amp; ""</f>
        <v/>
      </c>
      <c r="O263" s="126" t="str">
        <f>IF(ISNA(MATCH(A263,Data!B:B,0)),"",INDEX(Data!I:I,MATCH(A263,Data!B:B,1))) &amp; ""</f>
        <v/>
      </c>
      <c r="P263" s="133" t="str">
        <f>IF(ISNA(MATCH(A263,Data!B:B,0)),"",INDEX(Data!J:J,MATCH(A263,Data!B:B,1))) &amp; ""</f>
        <v/>
      </c>
      <c r="Q263" s="126" t="str">
        <f>IF(S263="T",Charts!$X$7,IF(ISNA(MATCH(A263,Data!B:B,0)),"",INDEX(Data!K:K,MATCH(A263,Data!B:B,1)))) &amp; ""</f>
        <v/>
      </c>
      <c r="R263" s="134"/>
      <c r="S263" s="134"/>
      <c r="T263" s="127"/>
      <c r="AF263" s="24" t="str">
        <f>IF(C263="","",INDEX(Workouts!B:B,MATCH(C263,Workouts!A:A,0)))</f>
        <v/>
      </c>
      <c r="AG263" s="24" t="str">
        <f>IF(SUMIF(Data!B:B,A263,Data!D:D)=0,"",SUMIF(Data!B:B,A263,Data!D:D))</f>
        <v/>
      </c>
      <c r="AH263" s="25" t="str">
        <f>IF(C263="","",INDEX(Workouts!C:C,MATCH(C263,Workouts!A:A,0)))</f>
        <v/>
      </c>
      <c r="AI263" s="68" t="str">
        <f>IF(SUMIF(Data!B:B,A263,Data!F:F)=0,"",SUMIF(Data!B:B,A263,Data!F:F))</f>
        <v/>
      </c>
      <c r="AJ263" s="68">
        <f>AJ262+ (IF(AH263="",0,AH263)-AJ262)/Charts!$X$5</f>
        <v>2.0521908240548803E-16</v>
      </c>
      <c r="AK263" s="68">
        <f>AK262+ (IF(AI263="",0,AI263)-AK262)/Charts!$X$5</f>
        <v>2.0521908240548803E-16</v>
      </c>
      <c r="AL263" s="68">
        <f>AL262+ (IF(AH263="",0,AH263)-AL262)/Charts!$X$6</f>
        <v>0.10206680012140533</v>
      </c>
      <c r="AM263" s="68">
        <f>AM262+ (IF(AI263="",0,AI263)-AM262)/Charts!$X$6</f>
        <v>0.10206680012140533</v>
      </c>
      <c r="AN263" s="68" t="str">
        <f t="shared" si="58"/>
        <v>0</v>
      </c>
      <c r="AO263" s="68" t="str">
        <f t="shared" si="59"/>
        <v>0</v>
      </c>
      <c r="AP263" s="69" t="str">
        <f>IF(C263="","",INDEX(Workouts!D:D,MATCH(C263,Workouts!A:A,0)))</f>
        <v/>
      </c>
      <c r="AQ263" s="69" t="str">
        <f>IF(ISNA(MATCH(A263,Data!B:B,0)),"",INDEX(Data!G:G,MATCH(A263,Data!B:B,1)))</f>
        <v/>
      </c>
    </row>
    <row r="264" spans="1:43" s="1" customFormat="1" x14ac:dyDescent="0.2">
      <c r="A264" s="125">
        <f t="shared" si="57"/>
        <v>44459</v>
      </c>
      <c r="B264" s="126" t="str">
        <f t="shared" si="54"/>
        <v>Mon</v>
      </c>
      <c r="C264" s="140"/>
      <c r="D264" s="128" t="str">
        <f t="shared" si="55"/>
        <v/>
      </c>
      <c r="E264" s="129" t="str">
        <f t="shared" si="56"/>
        <v/>
      </c>
      <c r="F264" s="130" t="str">
        <f>IF(SUMIF(Data!B:B,A264,Data!C:C)=0,"",SUMIF(Data!B:B,A264,Data!C:C))</f>
        <v/>
      </c>
      <c r="G264" s="126" t="str">
        <f>IF(OR(S264="T",S264="RUN",SUMIF(Data!B:B,A264,Data!E:E)=0),"",SUMIF(Data!B:B,A264,Data!E:E))</f>
        <v/>
      </c>
      <c r="H264" s="126" t="str">
        <f t="shared" si="48"/>
        <v/>
      </c>
      <c r="I264" s="131" t="str">
        <f t="shared" si="49"/>
        <v>0 (0)</v>
      </c>
      <c r="J264" s="131" t="str">
        <f t="shared" si="50"/>
        <v>0 (0)</v>
      </c>
      <c r="K264" s="131" t="str">
        <f t="shared" si="51"/>
        <v>0 (0)</v>
      </c>
      <c r="L264" s="132" t="str">
        <f t="shared" si="52"/>
        <v/>
      </c>
      <c r="M264" s="131" t="str">
        <f t="shared" si="53"/>
        <v/>
      </c>
      <c r="N264" s="126" t="str">
        <f>IF(ISNA(MATCH(A264,Data!B:B,0)),"",INDEX(Data!H:H,MATCH(A264,Data!B:B,1))) &amp; ""</f>
        <v/>
      </c>
      <c r="O264" s="126" t="str">
        <f>IF(ISNA(MATCH(A264,Data!B:B,0)),"",INDEX(Data!I:I,MATCH(A264,Data!B:B,1))) &amp; ""</f>
        <v/>
      </c>
      <c r="P264" s="133" t="str">
        <f>IF(ISNA(MATCH(A264,Data!B:B,0)),"",INDEX(Data!J:J,MATCH(A264,Data!B:B,1))) &amp; ""</f>
        <v/>
      </c>
      <c r="Q264" s="126" t="str">
        <f>IF(S264="T",Charts!$X$7,IF(ISNA(MATCH(A264,Data!B:B,0)),"",INDEX(Data!K:K,MATCH(A264,Data!B:B,1)))) &amp; ""</f>
        <v/>
      </c>
      <c r="R264" s="134"/>
      <c r="S264" s="134"/>
      <c r="T264" s="127"/>
      <c r="AF264" s="24" t="str">
        <f>IF(C264="","",INDEX(Workouts!B:B,MATCH(C264,Workouts!A:A,0)))</f>
        <v/>
      </c>
      <c r="AG264" s="24" t="str">
        <f>IF(SUMIF(Data!B:B,A264,Data!D:D)=0,"",SUMIF(Data!B:B,A264,Data!D:D))</f>
        <v/>
      </c>
      <c r="AH264" s="25" t="str">
        <f>IF(C264="","",INDEX(Workouts!C:C,MATCH(C264,Workouts!A:A,0)))</f>
        <v/>
      </c>
      <c r="AI264" s="68" t="str">
        <f>IF(SUMIF(Data!B:B,A264,Data!F:F)=0,"",SUMIF(Data!B:B,A264,Data!F:F))</f>
        <v/>
      </c>
      <c r="AJ264" s="68">
        <f>AJ263+ (IF(AH264="",0,AH264)-AJ263)/Charts!$X$5</f>
        <v>1.7590207063327545E-16</v>
      </c>
      <c r="AK264" s="68">
        <f>AK263+ (IF(AI264="",0,AI264)-AK263)/Charts!$X$5</f>
        <v>1.7590207063327545E-16</v>
      </c>
      <c r="AL264" s="68">
        <f>AL263+ (IF(AH264="",0,AH264)-AL263)/Charts!$X$6</f>
        <v>9.9636638213752821E-2</v>
      </c>
      <c r="AM264" s="68">
        <f>AM263+ (IF(AI264="",0,AI264)-AM263)/Charts!$X$6</f>
        <v>9.9636638213752821E-2</v>
      </c>
      <c r="AN264" s="68" t="str">
        <f t="shared" si="58"/>
        <v>0</v>
      </c>
      <c r="AO264" s="68" t="str">
        <f t="shared" si="59"/>
        <v>0</v>
      </c>
      <c r="AP264" s="69" t="str">
        <f>IF(C264="","",INDEX(Workouts!D:D,MATCH(C264,Workouts!A:A,0)))</f>
        <v/>
      </c>
      <c r="AQ264" s="69" t="str">
        <f>IF(ISNA(MATCH(A264,Data!B:B,0)),"",INDEX(Data!G:G,MATCH(A264,Data!B:B,1)))</f>
        <v/>
      </c>
    </row>
    <row r="265" spans="1:43" s="1" customFormat="1" x14ac:dyDescent="0.2">
      <c r="A265" s="125">
        <f t="shared" si="57"/>
        <v>44460</v>
      </c>
      <c r="B265" s="126" t="str">
        <f t="shared" si="54"/>
        <v>Tue</v>
      </c>
      <c r="C265" s="140"/>
      <c r="D265" s="128" t="str">
        <f t="shared" si="55"/>
        <v/>
      </c>
      <c r="E265" s="129" t="str">
        <f t="shared" si="56"/>
        <v/>
      </c>
      <c r="F265" s="130" t="str">
        <f>IF(SUMIF(Data!B:B,A265,Data!C:C)=0,"",SUMIF(Data!B:B,A265,Data!C:C))</f>
        <v/>
      </c>
      <c r="G265" s="126" t="str">
        <f>IF(OR(S265="T",S265="RUN",SUMIF(Data!B:B,A265,Data!E:E)=0),"",SUMIF(Data!B:B,A265,Data!E:E))</f>
        <v/>
      </c>
      <c r="H265" s="126" t="str">
        <f t="shared" si="48"/>
        <v/>
      </c>
      <c r="I265" s="131" t="str">
        <f t="shared" si="49"/>
        <v>0 (0)</v>
      </c>
      <c r="J265" s="131" t="str">
        <f t="shared" si="50"/>
        <v>0 (0)</v>
      </c>
      <c r="K265" s="131" t="str">
        <f t="shared" si="51"/>
        <v>0 (0)</v>
      </c>
      <c r="L265" s="132" t="str">
        <f t="shared" si="52"/>
        <v/>
      </c>
      <c r="M265" s="131" t="str">
        <f t="shared" si="53"/>
        <v/>
      </c>
      <c r="N265" s="126" t="str">
        <f>IF(ISNA(MATCH(A265,Data!B:B,0)),"",INDEX(Data!H:H,MATCH(A265,Data!B:B,1))) &amp; ""</f>
        <v/>
      </c>
      <c r="O265" s="126" t="str">
        <f>IF(ISNA(MATCH(A265,Data!B:B,0)),"",INDEX(Data!I:I,MATCH(A265,Data!B:B,1))) &amp; ""</f>
        <v/>
      </c>
      <c r="P265" s="133" t="str">
        <f>IF(ISNA(MATCH(A265,Data!B:B,0)),"",INDEX(Data!J:J,MATCH(A265,Data!B:B,1))) &amp; ""</f>
        <v/>
      </c>
      <c r="Q265" s="126" t="str">
        <f>IF(S265="T",Charts!$X$7,IF(ISNA(MATCH(A265,Data!B:B,0)),"",INDEX(Data!K:K,MATCH(A265,Data!B:B,1)))) &amp; ""</f>
        <v/>
      </c>
      <c r="R265" s="134"/>
      <c r="S265" s="134"/>
      <c r="T265" s="127"/>
      <c r="AF265" s="24" t="str">
        <f>IF(C265="","",INDEX(Workouts!B:B,MATCH(C265,Workouts!A:A,0)))</f>
        <v/>
      </c>
      <c r="AG265" s="24" t="str">
        <f>IF(SUMIF(Data!B:B,A265,Data!D:D)=0,"",SUMIF(Data!B:B,A265,Data!D:D))</f>
        <v/>
      </c>
      <c r="AH265" s="25" t="str">
        <f>IF(C265="","",INDEX(Workouts!C:C,MATCH(C265,Workouts!A:A,0)))</f>
        <v/>
      </c>
      <c r="AI265" s="68" t="str">
        <f>IF(SUMIF(Data!B:B,A265,Data!F:F)=0,"",SUMIF(Data!B:B,A265,Data!F:F))</f>
        <v/>
      </c>
      <c r="AJ265" s="68">
        <f>AJ264+ (IF(AH265="",0,AH265)-AJ264)/Charts!$X$5</f>
        <v>1.5077320339995039E-16</v>
      </c>
      <c r="AK265" s="68">
        <f>AK264+ (IF(AI265="",0,AI265)-AK264)/Charts!$X$5</f>
        <v>1.5077320339995039E-16</v>
      </c>
      <c r="AL265" s="68">
        <f>AL264+ (IF(AH265="",0,AH265)-AL264)/Charts!$X$6</f>
        <v>9.7264337303901563E-2</v>
      </c>
      <c r="AM265" s="68">
        <f>AM264+ (IF(AI265="",0,AI265)-AM264)/Charts!$X$6</f>
        <v>9.7264337303901563E-2</v>
      </c>
      <c r="AN265" s="68" t="str">
        <f t="shared" si="58"/>
        <v>0</v>
      </c>
      <c r="AO265" s="68" t="str">
        <f t="shared" si="59"/>
        <v>0</v>
      </c>
      <c r="AP265" s="69" t="str">
        <f>IF(C265="","",INDEX(Workouts!D:D,MATCH(C265,Workouts!A:A,0)))</f>
        <v/>
      </c>
      <c r="AQ265" s="69" t="str">
        <f>IF(ISNA(MATCH(A265,Data!B:B,0)),"",INDEX(Data!G:G,MATCH(A265,Data!B:B,1)))</f>
        <v/>
      </c>
    </row>
    <row r="266" spans="1:43" s="1" customFormat="1" x14ac:dyDescent="0.2">
      <c r="A266" s="125">
        <f t="shared" si="57"/>
        <v>44461</v>
      </c>
      <c r="B266" s="126" t="str">
        <f t="shared" si="54"/>
        <v>Wed</v>
      </c>
      <c r="C266" s="140"/>
      <c r="D266" s="128" t="str">
        <f t="shared" si="55"/>
        <v/>
      </c>
      <c r="E266" s="129" t="str">
        <f t="shared" si="56"/>
        <v/>
      </c>
      <c r="F266" s="130" t="str">
        <f>IF(SUMIF(Data!B:B,A266,Data!C:C)=0,"",SUMIF(Data!B:B,A266,Data!C:C))</f>
        <v/>
      </c>
      <c r="G266" s="126" t="str">
        <f>IF(OR(S266="T",S266="RUN",SUMIF(Data!B:B,A266,Data!E:E)=0),"",SUMIF(Data!B:B,A266,Data!E:E))</f>
        <v/>
      </c>
      <c r="H266" s="126" t="str">
        <f t="shared" si="48"/>
        <v/>
      </c>
      <c r="I266" s="131" t="str">
        <f t="shared" si="49"/>
        <v>0 (0)</v>
      </c>
      <c r="J266" s="131" t="str">
        <f t="shared" si="50"/>
        <v>0 (0)</v>
      </c>
      <c r="K266" s="131" t="str">
        <f t="shared" si="51"/>
        <v>0 (0)</v>
      </c>
      <c r="L266" s="132" t="str">
        <f t="shared" si="52"/>
        <v/>
      </c>
      <c r="M266" s="131" t="str">
        <f t="shared" si="53"/>
        <v/>
      </c>
      <c r="N266" s="126" t="str">
        <f>IF(ISNA(MATCH(A266,Data!B:B,0)),"",INDEX(Data!H:H,MATCH(A266,Data!B:B,1))) &amp; ""</f>
        <v/>
      </c>
      <c r="O266" s="126" t="str">
        <f>IF(ISNA(MATCH(A266,Data!B:B,0)),"",INDEX(Data!I:I,MATCH(A266,Data!B:B,1))) &amp; ""</f>
        <v/>
      </c>
      <c r="P266" s="133" t="str">
        <f>IF(ISNA(MATCH(A266,Data!B:B,0)),"",INDEX(Data!J:J,MATCH(A266,Data!B:B,1))) &amp; ""</f>
        <v/>
      </c>
      <c r="Q266" s="126" t="str">
        <f>IF(S266="T",Charts!$X$7,IF(ISNA(MATCH(A266,Data!B:B,0)),"",INDEX(Data!K:K,MATCH(A266,Data!B:B,1)))) &amp; ""</f>
        <v/>
      </c>
      <c r="R266" s="134"/>
      <c r="S266" s="134"/>
      <c r="T266" s="127"/>
      <c r="AF266" s="24" t="str">
        <f>IF(C266="","",INDEX(Workouts!B:B,MATCH(C266,Workouts!A:A,0)))</f>
        <v/>
      </c>
      <c r="AG266" s="24" t="str">
        <f>IF(SUMIF(Data!B:B,A266,Data!D:D)=0,"",SUMIF(Data!B:B,A266,Data!D:D))</f>
        <v/>
      </c>
      <c r="AH266" s="25" t="str">
        <f>IF(C266="","",INDEX(Workouts!C:C,MATCH(C266,Workouts!A:A,0)))</f>
        <v/>
      </c>
      <c r="AI266" s="68" t="str">
        <f>IF(SUMIF(Data!B:B,A266,Data!F:F)=0,"",SUMIF(Data!B:B,A266,Data!F:F))</f>
        <v/>
      </c>
      <c r="AJ266" s="68">
        <f>AJ265+ (IF(AH266="",0,AH266)-AJ265)/Charts!$X$5</f>
        <v>1.2923417434281462E-16</v>
      </c>
      <c r="AK266" s="68">
        <f>AK265+ (IF(AI266="",0,AI266)-AK265)/Charts!$X$5</f>
        <v>1.2923417434281462E-16</v>
      </c>
      <c r="AL266" s="68">
        <f>AL265+ (IF(AH266="",0,AH266)-AL265)/Charts!$X$6</f>
        <v>9.4948519749046764E-2</v>
      </c>
      <c r="AM266" s="68">
        <f>AM265+ (IF(AI266="",0,AI266)-AM265)/Charts!$X$6</f>
        <v>9.4948519749046764E-2</v>
      </c>
      <c r="AN266" s="68" t="str">
        <f t="shared" si="58"/>
        <v>0</v>
      </c>
      <c r="AO266" s="68" t="str">
        <f t="shared" si="59"/>
        <v>0</v>
      </c>
      <c r="AP266" s="69" t="str">
        <f>IF(C266="","",INDEX(Workouts!D:D,MATCH(C266,Workouts!A:A,0)))</f>
        <v/>
      </c>
      <c r="AQ266" s="69" t="str">
        <f>IF(ISNA(MATCH(A266,Data!B:B,0)),"",INDEX(Data!G:G,MATCH(A266,Data!B:B,1)))</f>
        <v/>
      </c>
    </row>
    <row r="267" spans="1:43" s="1" customFormat="1" x14ac:dyDescent="0.2">
      <c r="A267" s="125">
        <f t="shared" si="57"/>
        <v>44462</v>
      </c>
      <c r="B267" s="126" t="str">
        <f t="shared" si="54"/>
        <v>Thu</v>
      </c>
      <c r="C267" s="140"/>
      <c r="D267" s="128" t="str">
        <f t="shared" si="55"/>
        <v/>
      </c>
      <c r="E267" s="129" t="str">
        <f t="shared" si="56"/>
        <v/>
      </c>
      <c r="F267" s="130" t="str">
        <f>IF(SUMIF(Data!B:B,A267,Data!C:C)=0,"",SUMIF(Data!B:B,A267,Data!C:C))</f>
        <v/>
      </c>
      <c r="G267" s="126" t="str">
        <f>IF(OR(S267="T",S267="RUN",SUMIF(Data!B:B,A267,Data!E:E)=0),"",SUMIF(Data!B:B,A267,Data!E:E))</f>
        <v/>
      </c>
      <c r="H267" s="126" t="str">
        <f t="shared" si="48"/>
        <v/>
      </c>
      <c r="I267" s="131" t="str">
        <f t="shared" si="49"/>
        <v>0 (0)</v>
      </c>
      <c r="J267" s="131" t="str">
        <f t="shared" si="50"/>
        <v>0 (0)</v>
      </c>
      <c r="K267" s="131" t="str">
        <f t="shared" si="51"/>
        <v>0 (0)</v>
      </c>
      <c r="L267" s="132" t="str">
        <f t="shared" si="52"/>
        <v/>
      </c>
      <c r="M267" s="131" t="str">
        <f t="shared" si="53"/>
        <v/>
      </c>
      <c r="N267" s="126" t="str">
        <f>IF(ISNA(MATCH(A267,Data!B:B,0)),"",INDEX(Data!H:H,MATCH(A267,Data!B:B,1))) &amp; ""</f>
        <v/>
      </c>
      <c r="O267" s="126" t="str">
        <f>IF(ISNA(MATCH(A267,Data!B:B,0)),"",INDEX(Data!I:I,MATCH(A267,Data!B:B,1))) &amp; ""</f>
        <v/>
      </c>
      <c r="P267" s="133" t="str">
        <f>IF(ISNA(MATCH(A267,Data!B:B,0)),"",INDEX(Data!J:J,MATCH(A267,Data!B:B,1))) &amp; ""</f>
        <v/>
      </c>
      <c r="Q267" s="126" t="str">
        <f>IF(S267="T",Charts!$X$7,IF(ISNA(MATCH(A267,Data!B:B,0)),"",INDEX(Data!K:K,MATCH(A267,Data!B:B,1)))) &amp; ""</f>
        <v/>
      </c>
      <c r="R267" s="134"/>
      <c r="S267" s="134"/>
      <c r="T267" s="127"/>
      <c r="AF267" s="24" t="str">
        <f>IF(C267="","",INDEX(Workouts!B:B,MATCH(C267,Workouts!A:A,0)))</f>
        <v/>
      </c>
      <c r="AG267" s="24" t="str">
        <f>IF(SUMIF(Data!B:B,A267,Data!D:D)=0,"",SUMIF(Data!B:B,A267,Data!D:D))</f>
        <v/>
      </c>
      <c r="AH267" s="25" t="str">
        <f>IF(C267="","",INDEX(Workouts!C:C,MATCH(C267,Workouts!A:A,0)))</f>
        <v/>
      </c>
      <c r="AI267" s="68" t="str">
        <f>IF(SUMIF(Data!B:B,A267,Data!F:F)=0,"",SUMIF(Data!B:B,A267,Data!F:F))</f>
        <v/>
      </c>
      <c r="AJ267" s="68">
        <f>AJ266+ (IF(AH267="",0,AH267)-AJ266)/Charts!$X$5</f>
        <v>1.1077214943669825E-16</v>
      </c>
      <c r="AK267" s="68">
        <f>AK266+ (IF(AI267="",0,AI267)-AK266)/Charts!$X$5</f>
        <v>1.1077214943669825E-16</v>
      </c>
      <c r="AL267" s="68">
        <f>AL266+ (IF(AH267="",0,AH267)-AL266)/Charts!$X$6</f>
        <v>9.2687840707402797E-2</v>
      </c>
      <c r="AM267" s="68">
        <f>AM266+ (IF(AI267="",0,AI267)-AM266)/Charts!$X$6</f>
        <v>9.2687840707402797E-2</v>
      </c>
      <c r="AN267" s="68" t="str">
        <f t="shared" si="58"/>
        <v>0</v>
      </c>
      <c r="AO267" s="68" t="str">
        <f t="shared" si="59"/>
        <v>0</v>
      </c>
      <c r="AP267" s="69" t="str">
        <f>IF(C267="","",INDEX(Workouts!D:D,MATCH(C267,Workouts!A:A,0)))</f>
        <v/>
      </c>
      <c r="AQ267" s="69" t="str">
        <f>IF(ISNA(MATCH(A267,Data!B:B,0)),"",INDEX(Data!G:G,MATCH(A267,Data!B:B,1)))</f>
        <v/>
      </c>
    </row>
    <row r="268" spans="1:43" s="1" customFormat="1" x14ac:dyDescent="0.2">
      <c r="A268" s="125">
        <f t="shared" si="57"/>
        <v>44463</v>
      </c>
      <c r="B268" s="126" t="str">
        <f t="shared" si="54"/>
        <v>Fri</v>
      </c>
      <c r="C268" s="140"/>
      <c r="D268" s="128" t="str">
        <f t="shared" si="55"/>
        <v/>
      </c>
      <c r="E268" s="129" t="str">
        <f t="shared" si="56"/>
        <v/>
      </c>
      <c r="F268" s="130" t="str">
        <f>IF(SUMIF(Data!B:B,A268,Data!C:C)=0,"",SUMIF(Data!B:B,A268,Data!C:C))</f>
        <v/>
      </c>
      <c r="G268" s="126" t="str">
        <f>IF(OR(S268="T",S268="RUN",SUMIF(Data!B:B,A268,Data!E:E)=0),"",SUMIF(Data!B:B,A268,Data!E:E))</f>
        <v/>
      </c>
      <c r="H268" s="126" t="str">
        <f t="shared" si="48"/>
        <v/>
      </c>
      <c r="I268" s="131" t="str">
        <f t="shared" si="49"/>
        <v>0 (0)</v>
      </c>
      <c r="J268" s="131" t="str">
        <f t="shared" si="50"/>
        <v>0 (0)</v>
      </c>
      <c r="K268" s="131" t="str">
        <f t="shared" si="51"/>
        <v>0 (0)</v>
      </c>
      <c r="L268" s="132" t="str">
        <f t="shared" si="52"/>
        <v/>
      </c>
      <c r="M268" s="131" t="str">
        <f t="shared" si="53"/>
        <v/>
      </c>
      <c r="N268" s="126" t="str">
        <f>IF(ISNA(MATCH(A268,Data!B:B,0)),"",INDEX(Data!H:H,MATCH(A268,Data!B:B,1))) &amp; ""</f>
        <v/>
      </c>
      <c r="O268" s="126" t="str">
        <f>IF(ISNA(MATCH(A268,Data!B:B,0)),"",INDEX(Data!I:I,MATCH(A268,Data!B:B,1))) &amp; ""</f>
        <v/>
      </c>
      <c r="P268" s="133" t="str">
        <f>IF(ISNA(MATCH(A268,Data!B:B,0)),"",INDEX(Data!J:J,MATCH(A268,Data!B:B,1))) &amp; ""</f>
        <v/>
      </c>
      <c r="Q268" s="126" t="str">
        <f>IF(S268="T",Charts!$X$7,IF(ISNA(MATCH(A268,Data!B:B,0)),"",INDEX(Data!K:K,MATCH(A268,Data!B:B,1)))) &amp; ""</f>
        <v/>
      </c>
      <c r="R268" s="134"/>
      <c r="S268" s="134"/>
      <c r="T268" s="127"/>
      <c r="AF268" s="24" t="str">
        <f>IF(C268="","",INDEX(Workouts!B:B,MATCH(C268,Workouts!A:A,0)))</f>
        <v/>
      </c>
      <c r="AG268" s="24" t="str">
        <f>IF(SUMIF(Data!B:B,A268,Data!D:D)=0,"",SUMIF(Data!B:B,A268,Data!D:D))</f>
        <v/>
      </c>
      <c r="AH268" s="25" t="str">
        <f>IF(C268="","",INDEX(Workouts!C:C,MATCH(C268,Workouts!A:A,0)))</f>
        <v/>
      </c>
      <c r="AI268" s="68" t="str">
        <f>IF(SUMIF(Data!B:B,A268,Data!F:F)=0,"",SUMIF(Data!B:B,A268,Data!F:F))</f>
        <v/>
      </c>
      <c r="AJ268" s="68">
        <f>AJ267+ (IF(AH268="",0,AH268)-AJ267)/Charts!$X$5</f>
        <v>9.4947556660027062E-17</v>
      </c>
      <c r="AK268" s="68">
        <f>AK267+ (IF(AI268="",0,AI268)-AK267)/Charts!$X$5</f>
        <v>9.4947556660027062E-17</v>
      </c>
      <c r="AL268" s="68">
        <f>AL267+ (IF(AH268="",0,AH268)-AL267)/Charts!$X$6</f>
        <v>9.0480987357226539E-2</v>
      </c>
      <c r="AM268" s="68">
        <f>AM267+ (IF(AI268="",0,AI268)-AM267)/Charts!$X$6</f>
        <v>9.0480987357226539E-2</v>
      </c>
      <c r="AN268" s="68" t="str">
        <f t="shared" si="58"/>
        <v>0</v>
      </c>
      <c r="AO268" s="68" t="str">
        <f t="shared" si="59"/>
        <v>0</v>
      </c>
      <c r="AP268" s="69" t="str">
        <f>IF(C268="","",INDEX(Workouts!D:D,MATCH(C268,Workouts!A:A,0)))</f>
        <v/>
      </c>
      <c r="AQ268" s="69" t="str">
        <f>IF(ISNA(MATCH(A268,Data!B:B,0)),"",INDEX(Data!G:G,MATCH(A268,Data!B:B,1)))</f>
        <v/>
      </c>
    </row>
    <row r="269" spans="1:43" s="1" customFormat="1" x14ac:dyDescent="0.2">
      <c r="A269" s="125">
        <f t="shared" si="57"/>
        <v>44464</v>
      </c>
      <c r="B269" s="126" t="str">
        <f t="shared" si="54"/>
        <v>Sat</v>
      </c>
      <c r="C269" s="140"/>
      <c r="D269" s="128" t="str">
        <f t="shared" si="55"/>
        <v/>
      </c>
      <c r="E269" s="129" t="str">
        <f t="shared" si="56"/>
        <v/>
      </c>
      <c r="F269" s="130" t="str">
        <f>IF(SUMIF(Data!B:B,A269,Data!C:C)=0,"",SUMIF(Data!B:B,A269,Data!C:C))</f>
        <v/>
      </c>
      <c r="G269" s="126" t="str">
        <f>IF(OR(S269="T",S269="RUN",SUMIF(Data!B:B,A269,Data!E:E)=0),"",SUMIF(Data!B:B,A269,Data!E:E))</f>
        <v/>
      </c>
      <c r="H269" s="126" t="str">
        <f t="shared" si="48"/>
        <v/>
      </c>
      <c r="I269" s="131" t="str">
        <f t="shared" si="49"/>
        <v>0 (0)</v>
      </c>
      <c r="J269" s="131" t="str">
        <f t="shared" si="50"/>
        <v>0 (0)</v>
      </c>
      <c r="K269" s="131" t="str">
        <f t="shared" si="51"/>
        <v>0 (0)</v>
      </c>
      <c r="L269" s="132" t="str">
        <f t="shared" si="52"/>
        <v/>
      </c>
      <c r="M269" s="131" t="str">
        <f t="shared" si="53"/>
        <v/>
      </c>
      <c r="N269" s="126" t="str">
        <f>IF(ISNA(MATCH(A269,Data!B:B,0)),"",INDEX(Data!H:H,MATCH(A269,Data!B:B,1))) &amp; ""</f>
        <v/>
      </c>
      <c r="O269" s="126" t="str">
        <f>IF(ISNA(MATCH(A269,Data!B:B,0)),"",INDEX(Data!I:I,MATCH(A269,Data!B:B,1))) &amp; ""</f>
        <v/>
      </c>
      <c r="P269" s="133" t="str">
        <f>IF(ISNA(MATCH(A269,Data!B:B,0)),"",INDEX(Data!J:J,MATCH(A269,Data!B:B,1))) &amp; ""</f>
        <v/>
      </c>
      <c r="Q269" s="126" t="str">
        <f>IF(S269="T",Charts!$X$7,IF(ISNA(MATCH(A269,Data!B:B,0)),"",INDEX(Data!K:K,MATCH(A269,Data!B:B,1)))) &amp; ""</f>
        <v/>
      </c>
      <c r="R269" s="134"/>
      <c r="S269" s="134"/>
      <c r="T269" s="127"/>
      <c r="AF269" s="24" t="str">
        <f>IF(C269="","",INDEX(Workouts!B:B,MATCH(C269,Workouts!A:A,0)))</f>
        <v/>
      </c>
      <c r="AG269" s="24" t="str">
        <f>IF(SUMIF(Data!B:B,A269,Data!D:D)=0,"",SUMIF(Data!B:B,A269,Data!D:D))</f>
        <v/>
      </c>
      <c r="AH269" s="25" t="str">
        <f>IF(C269="","",INDEX(Workouts!C:C,MATCH(C269,Workouts!A:A,0)))</f>
        <v/>
      </c>
      <c r="AI269" s="68" t="str">
        <f>IF(SUMIF(Data!B:B,A269,Data!F:F)=0,"",SUMIF(Data!B:B,A269,Data!F:F))</f>
        <v/>
      </c>
      <c r="AJ269" s="68">
        <f>AJ268+ (IF(AH269="",0,AH269)-AJ268)/Charts!$X$5</f>
        <v>8.1383619994308915E-17</v>
      </c>
      <c r="AK269" s="68">
        <f>AK268+ (IF(AI269="",0,AI269)-AK268)/Charts!$X$5</f>
        <v>8.1383619994308915E-17</v>
      </c>
      <c r="AL269" s="68">
        <f>AL268+ (IF(AH269="",0,AH269)-AL268)/Charts!$X$6</f>
        <v>8.8326678134435427E-2</v>
      </c>
      <c r="AM269" s="68">
        <f>AM268+ (IF(AI269="",0,AI269)-AM268)/Charts!$X$6</f>
        <v>8.8326678134435427E-2</v>
      </c>
      <c r="AN269" s="68" t="str">
        <f t="shared" si="58"/>
        <v>0</v>
      </c>
      <c r="AO269" s="68" t="str">
        <f t="shared" si="59"/>
        <v>0</v>
      </c>
      <c r="AP269" s="69" t="str">
        <f>IF(C269="","",INDEX(Workouts!D:D,MATCH(C269,Workouts!A:A,0)))</f>
        <v/>
      </c>
      <c r="AQ269" s="69" t="str">
        <f>IF(ISNA(MATCH(A269,Data!B:B,0)),"",INDEX(Data!G:G,MATCH(A269,Data!B:B,1)))</f>
        <v/>
      </c>
    </row>
    <row r="270" spans="1:43" s="1" customFormat="1" x14ac:dyDescent="0.2">
      <c r="A270" s="125">
        <f t="shared" si="57"/>
        <v>44465</v>
      </c>
      <c r="B270" s="126" t="str">
        <f t="shared" si="54"/>
        <v>Sun</v>
      </c>
      <c r="C270" s="140"/>
      <c r="D270" s="128" t="str">
        <f t="shared" si="55"/>
        <v/>
      </c>
      <c r="E270" s="129" t="str">
        <f t="shared" si="56"/>
        <v/>
      </c>
      <c r="F270" s="130" t="str">
        <f>IF(SUMIF(Data!B:B,A270,Data!C:C)=0,"",SUMIF(Data!B:B,A270,Data!C:C))</f>
        <v/>
      </c>
      <c r="G270" s="126" t="str">
        <f>IF(OR(S270="T",S270="RUN",SUMIF(Data!B:B,A270,Data!E:E)=0),"",SUMIF(Data!B:B,A270,Data!E:E))</f>
        <v/>
      </c>
      <c r="H270" s="126" t="str">
        <f t="shared" si="48"/>
        <v/>
      </c>
      <c r="I270" s="131" t="str">
        <f t="shared" si="49"/>
        <v>0 (0)</v>
      </c>
      <c r="J270" s="131" t="str">
        <f t="shared" si="50"/>
        <v>0 (0)</v>
      </c>
      <c r="K270" s="131" t="str">
        <f t="shared" si="51"/>
        <v>0 (0)</v>
      </c>
      <c r="L270" s="132" t="str">
        <f t="shared" si="52"/>
        <v/>
      </c>
      <c r="M270" s="131" t="str">
        <f t="shared" si="53"/>
        <v/>
      </c>
      <c r="N270" s="126" t="str">
        <f>IF(ISNA(MATCH(A270,Data!B:B,0)),"",INDEX(Data!H:H,MATCH(A270,Data!B:B,1))) &amp; ""</f>
        <v/>
      </c>
      <c r="O270" s="126" t="str">
        <f>IF(ISNA(MATCH(A270,Data!B:B,0)),"",INDEX(Data!I:I,MATCH(A270,Data!B:B,1))) &amp; ""</f>
        <v/>
      </c>
      <c r="P270" s="133" t="str">
        <f>IF(ISNA(MATCH(A270,Data!B:B,0)),"",INDEX(Data!J:J,MATCH(A270,Data!B:B,1))) &amp; ""</f>
        <v/>
      </c>
      <c r="Q270" s="126" t="str">
        <f>IF(S270="T",Charts!$X$7,IF(ISNA(MATCH(A270,Data!B:B,0)),"",INDEX(Data!K:K,MATCH(A270,Data!B:B,1)))) &amp; ""</f>
        <v/>
      </c>
      <c r="R270" s="134"/>
      <c r="S270" s="134"/>
      <c r="T270" s="127"/>
      <c r="AF270" s="24" t="str">
        <f>IF(C270="","",INDEX(Workouts!B:B,MATCH(C270,Workouts!A:A,0)))</f>
        <v/>
      </c>
      <c r="AG270" s="24" t="str">
        <f>IF(SUMIF(Data!B:B,A270,Data!D:D)=0,"",SUMIF(Data!B:B,A270,Data!D:D))</f>
        <v/>
      </c>
      <c r="AH270" s="25" t="str">
        <f>IF(C270="","",INDEX(Workouts!C:C,MATCH(C270,Workouts!A:A,0)))</f>
        <v/>
      </c>
      <c r="AI270" s="68" t="str">
        <f>IF(SUMIF(Data!B:B,A270,Data!F:F)=0,"",SUMIF(Data!B:B,A270,Data!F:F))</f>
        <v/>
      </c>
      <c r="AJ270" s="68">
        <f>AJ269+ (IF(AH270="",0,AH270)-AJ269)/Charts!$X$5</f>
        <v>6.9757388566550495E-17</v>
      </c>
      <c r="AK270" s="68">
        <f>AK269+ (IF(AI270="",0,AI270)-AK269)/Charts!$X$5</f>
        <v>6.9757388566550495E-17</v>
      </c>
      <c r="AL270" s="68">
        <f>AL269+ (IF(AH270="",0,AH270)-AL269)/Charts!$X$6</f>
        <v>8.6223661988377442E-2</v>
      </c>
      <c r="AM270" s="68">
        <f>AM269+ (IF(AI270="",0,AI270)-AM269)/Charts!$X$6</f>
        <v>8.6223661988377442E-2</v>
      </c>
      <c r="AN270" s="68" t="str">
        <f t="shared" si="58"/>
        <v>0</v>
      </c>
      <c r="AO270" s="68" t="str">
        <f t="shared" si="59"/>
        <v>0</v>
      </c>
      <c r="AP270" s="69" t="str">
        <f>IF(C270="","",INDEX(Workouts!D:D,MATCH(C270,Workouts!A:A,0)))</f>
        <v/>
      </c>
      <c r="AQ270" s="69" t="str">
        <f>IF(ISNA(MATCH(A270,Data!B:B,0)),"",INDEX(Data!G:G,MATCH(A270,Data!B:B,1)))</f>
        <v/>
      </c>
    </row>
    <row r="271" spans="1:43" s="1" customFormat="1" x14ac:dyDescent="0.2">
      <c r="A271" s="125">
        <f t="shared" si="57"/>
        <v>44466</v>
      </c>
      <c r="B271" s="126" t="str">
        <f t="shared" si="54"/>
        <v>Mon</v>
      </c>
      <c r="C271" s="140"/>
      <c r="D271" s="128" t="str">
        <f t="shared" si="55"/>
        <v/>
      </c>
      <c r="E271" s="129" t="str">
        <f t="shared" si="56"/>
        <v/>
      </c>
      <c r="F271" s="130" t="str">
        <f>IF(SUMIF(Data!B:B,A271,Data!C:C)=0,"",SUMIF(Data!B:B,A271,Data!C:C))</f>
        <v/>
      </c>
      <c r="G271" s="126" t="str">
        <f>IF(OR(S271="T",S271="RUN",SUMIF(Data!B:B,A271,Data!E:E)=0),"",SUMIF(Data!B:B,A271,Data!E:E))</f>
        <v/>
      </c>
      <c r="H271" s="126" t="str">
        <f t="shared" si="48"/>
        <v/>
      </c>
      <c r="I271" s="131" t="str">
        <f t="shared" si="49"/>
        <v>0 (0)</v>
      </c>
      <c r="J271" s="131" t="str">
        <f t="shared" si="50"/>
        <v>0 (0)</v>
      </c>
      <c r="K271" s="131" t="str">
        <f t="shared" si="51"/>
        <v>0 (0)</v>
      </c>
      <c r="L271" s="132" t="str">
        <f t="shared" si="52"/>
        <v/>
      </c>
      <c r="M271" s="131" t="str">
        <f t="shared" si="53"/>
        <v/>
      </c>
      <c r="N271" s="126" t="str">
        <f>IF(ISNA(MATCH(A271,Data!B:B,0)),"",INDEX(Data!H:H,MATCH(A271,Data!B:B,1))) &amp; ""</f>
        <v/>
      </c>
      <c r="O271" s="126" t="str">
        <f>IF(ISNA(MATCH(A271,Data!B:B,0)),"",INDEX(Data!I:I,MATCH(A271,Data!B:B,1))) &amp; ""</f>
        <v/>
      </c>
      <c r="P271" s="133" t="str">
        <f>IF(ISNA(MATCH(A271,Data!B:B,0)),"",INDEX(Data!J:J,MATCH(A271,Data!B:B,1))) &amp; ""</f>
        <v/>
      </c>
      <c r="Q271" s="126" t="str">
        <f>IF(S271="T",Charts!$X$7,IF(ISNA(MATCH(A271,Data!B:B,0)),"",INDEX(Data!K:K,MATCH(A271,Data!B:B,1)))) &amp; ""</f>
        <v/>
      </c>
      <c r="R271" s="134"/>
      <c r="S271" s="134"/>
      <c r="T271" s="127"/>
      <c r="AF271" s="24" t="str">
        <f>IF(C271="","",INDEX(Workouts!B:B,MATCH(C271,Workouts!A:A,0)))</f>
        <v/>
      </c>
      <c r="AG271" s="24" t="str">
        <f>IF(SUMIF(Data!B:B,A271,Data!D:D)=0,"",SUMIF(Data!B:B,A271,Data!D:D))</f>
        <v/>
      </c>
      <c r="AH271" s="25" t="str">
        <f>IF(C271="","",INDEX(Workouts!C:C,MATCH(C271,Workouts!A:A,0)))</f>
        <v/>
      </c>
      <c r="AI271" s="68" t="str">
        <f>IF(SUMIF(Data!B:B,A271,Data!F:F)=0,"",SUMIF(Data!B:B,A271,Data!F:F))</f>
        <v/>
      </c>
      <c r="AJ271" s="68">
        <f>AJ270+ (IF(AH271="",0,AH271)-AJ270)/Charts!$X$5</f>
        <v>5.9792047342757571E-17</v>
      </c>
      <c r="AK271" s="68">
        <f>AK270+ (IF(AI271="",0,AI271)-AK270)/Charts!$X$5</f>
        <v>5.9792047342757571E-17</v>
      </c>
      <c r="AL271" s="68">
        <f>AL270+ (IF(AH271="",0,AH271)-AL270)/Charts!$X$6</f>
        <v>8.4170717655320831E-2</v>
      </c>
      <c r="AM271" s="68">
        <f>AM270+ (IF(AI271="",0,AI271)-AM270)/Charts!$X$6</f>
        <v>8.4170717655320831E-2</v>
      </c>
      <c r="AN271" s="68" t="str">
        <f t="shared" si="58"/>
        <v>0</v>
      </c>
      <c r="AO271" s="68" t="str">
        <f t="shared" si="59"/>
        <v>0</v>
      </c>
      <c r="AP271" s="69" t="str">
        <f>IF(C271="","",INDEX(Workouts!D:D,MATCH(C271,Workouts!A:A,0)))</f>
        <v/>
      </c>
      <c r="AQ271" s="69" t="str">
        <f>IF(ISNA(MATCH(A271,Data!B:B,0)),"",INDEX(Data!G:G,MATCH(A271,Data!B:B,1)))</f>
        <v/>
      </c>
    </row>
    <row r="272" spans="1:43" s="1" customFormat="1" x14ac:dyDescent="0.2">
      <c r="A272" s="125">
        <f t="shared" si="57"/>
        <v>44467</v>
      </c>
      <c r="B272" s="126" t="str">
        <f t="shared" si="54"/>
        <v>Tue</v>
      </c>
      <c r="C272" s="140"/>
      <c r="D272" s="128" t="str">
        <f t="shared" si="55"/>
        <v/>
      </c>
      <c r="E272" s="129" t="str">
        <f t="shared" si="56"/>
        <v/>
      </c>
      <c r="F272" s="130" t="str">
        <f>IF(SUMIF(Data!B:B,A272,Data!C:C)=0,"",SUMIF(Data!B:B,A272,Data!C:C))</f>
        <v/>
      </c>
      <c r="G272" s="126" t="str">
        <f>IF(OR(S272="T",S272="RUN",SUMIF(Data!B:B,A272,Data!E:E)=0),"",SUMIF(Data!B:B,A272,Data!E:E))</f>
        <v/>
      </c>
      <c r="H272" s="126" t="str">
        <f t="shared" si="48"/>
        <v/>
      </c>
      <c r="I272" s="131" t="str">
        <f t="shared" si="49"/>
        <v>0 (0)</v>
      </c>
      <c r="J272" s="131" t="str">
        <f t="shared" si="50"/>
        <v>0 (0)</v>
      </c>
      <c r="K272" s="131" t="str">
        <f t="shared" si="51"/>
        <v>0 (0)</v>
      </c>
      <c r="L272" s="132" t="str">
        <f t="shared" si="52"/>
        <v/>
      </c>
      <c r="M272" s="131" t="str">
        <f t="shared" si="53"/>
        <v/>
      </c>
      <c r="N272" s="126" t="str">
        <f>IF(ISNA(MATCH(A272,Data!B:B,0)),"",INDEX(Data!H:H,MATCH(A272,Data!B:B,1))) &amp; ""</f>
        <v/>
      </c>
      <c r="O272" s="126" t="str">
        <f>IF(ISNA(MATCH(A272,Data!B:B,0)),"",INDEX(Data!I:I,MATCH(A272,Data!B:B,1))) &amp; ""</f>
        <v/>
      </c>
      <c r="P272" s="133" t="str">
        <f>IF(ISNA(MATCH(A272,Data!B:B,0)),"",INDEX(Data!J:J,MATCH(A272,Data!B:B,1))) &amp; ""</f>
        <v/>
      </c>
      <c r="Q272" s="126" t="str">
        <f>IF(S272="T",Charts!$X$7,IF(ISNA(MATCH(A272,Data!B:B,0)),"",INDEX(Data!K:K,MATCH(A272,Data!B:B,1)))) &amp; ""</f>
        <v/>
      </c>
      <c r="R272" s="134"/>
      <c r="S272" s="134"/>
      <c r="T272" s="127"/>
      <c r="AF272" s="24" t="str">
        <f>IF(C272="","",INDEX(Workouts!B:B,MATCH(C272,Workouts!A:A,0)))</f>
        <v/>
      </c>
      <c r="AG272" s="24" t="str">
        <f>IF(SUMIF(Data!B:B,A272,Data!D:D)=0,"",SUMIF(Data!B:B,A272,Data!D:D))</f>
        <v/>
      </c>
      <c r="AH272" s="25" t="str">
        <f>IF(C272="","",INDEX(Workouts!C:C,MATCH(C272,Workouts!A:A,0)))</f>
        <v/>
      </c>
      <c r="AI272" s="68" t="str">
        <f>IF(SUMIF(Data!B:B,A272,Data!F:F)=0,"",SUMIF(Data!B:B,A272,Data!F:F))</f>
        <v/>
      </c>
      <c r="AJ272" s="68">
        <f>AJ271+ (IF(AH272="",0,AH272)-AJ271)/Charts!$X$5</f>
        <v>5.1250326293792206E-17</v>
      </c>
      <c r="AK272" s="68">
        <f>AK271+ (IF(AI272="",0,AI272)-AK271)/Charts!$X$5</f>
        <v>5.1250326293792206E-17</v>
      </c>
      <c r="AL272" s="68">
        <f>AL271+ (IF(AH272="",0,AH272)-AL271)/Charts!$X$6</f>
        <v>8.2166652949241761E-2</v>
      </c>
      <c r="AM272" s="68">
        <f>AM271+ (IF(AI272="",0,AI272)-AM271)/Charts!$X$6</f>
        <v>8.2166652949241761E-2</v>
      </c>
      <c r="AN272" s="68" t="str">
        <f t="shared" si="58"/>
        <v>0</v>
      </c>
      <c r="AO272" s="68" t="str">
        <f t="shared" si="59"/>
        <v>0</v>
      </c>
      <c r="AP272" s="69" t="str">
        <f>IF(C272="","",INDEX(Workouts!D:D,MATCH(C272,Workouts!A:A,0)))</f>
        <v/>
      </c>
      <c r="AQ272" s="69" t="str">
        <f>IF(ISNA(MATCH(A272,Data!B:B,0)),"",INDEX(Data!G:G,MATCH(A272,Data!B:B,1)))</f>
        <v/>
      </c>
    </row>
    <row r="273" spans="1:43" s="1" customFormat="1" x14ac:dyDescent="0.2">
      <c r="A273" s="125">
        <f t="shared" si="57"/>
        <v>44468</v>
      </c>
      <c r="B273" s="126" t="str">
        <f t="shared" si="54"/>
        <v>Wed</v>
      </c>
      <c r="C273" s="142"/>
      <c r="D273" s="128" t="str">
        <f t="shared" si="55"/>
        <v/>
      </c>
      <c r="E273" s="129" t="str">
        <f t="shared" si="56"/>
        <v/>
      </c>
      <c r="F273" s="130" t="str">
        <f>IF(SUMIF(Data!B:B,A273,Data!C:C)=0,"",SUMIF(Data!B:B,A273,Data!C:C))</f>
        <v/>
      </c>
      <c r="G273" s="126" t="str">
        <f>IF(OR(S273="T",S273="RUN",SUMIF(Data!B:B,A273,Data!E:E)=0),"",SUMIF(Data!B:B,A273,Data!E:E))</f>
        <v/>
      </c>
      <c r="H273" s="126" t="str">
        <f t="shared" si="48"/>
        <v/>
      </c>
      <c r="I273" s="131" t="str">
        <f t="shared" si="49"/>
        <v>0 (0)</v>
      </c>
      <c r="J273" s="131" t="str">
        <f t="shared" si="50"/>
        <v>0 (0)</v>
      </c>
      <c r="K273" s="131" t="str">
        <f t="shared" si="51"/>
        <v>0 (0)</v>
      </c>
      <c r="L273" s="132" t="str">
        <f t="shared" si="52"/>
        <v/>
      </c>
      <c r="M273" s="131" t="str">
        <f t="shared" si="53"/>
        <v/>
      </c>
      <c r="N273" s="126" t="str">
        <f>IF(ISNA(MATCH(A273,Data!B:B,0)),"",INDEX(Data!H:H,MATCH(A273,Data!B:B,1))) &amp; ""</f>
        <v/>
      </c>
      <c r="O273" s="126" t="str">
        <f>IF(ISNA(MATCH(A273,Data!B:B,0)),"",INDEX(Data!I:I,MATCH(A273,Data!B:B,1))) &amp; ""</f>
        <v/>
      </c>
      <c r="P273" s="133" t="str">
        <f>IF(ISNA(MATCH(A273,Data!B:B,0)),"",INDEX(Data!J:J,MATCH(A273,Data!B:B,1))) &amp; ""</f>
        <v/>
      </c>
      <c r="Q273" s="126" t="str">
        <f>IF(S273="T",Charts!$X$7,IF(ISNA(MATCH(A273,Data!B:B,0)),"",INDEX(Data!K:K,MATCH(A273,Data!B:B,1)))) &amp; ""</f>
        <v/>
      </c>
      <c r="R273" s="134"/>
      <c r="S273" s="134"/>
      <c r="T273" s="127"/>
      <c r="AF273" s="24" t="str">
        <f>IF(C273="","",INDEX(Workouts!B:B,MATCH(C273,Workouts!A:A,0)))</f>
        <v/>
      </c>
      <c r="AG273" s="24" t="str">
        <f>IF(SUMIF(Data!B:B,A273,Data!D:D)=0,"",SUMIF(Data!B:B,A273,Data!D:D))</f>
        <v/>
      </c>
      <c r="AH273" s="25" t="str">
        <f>IF(C273="","",INDEX(Workouts!C:C,MATCH(C273,Workouts!A:A,0)))</f>
        <v/>
      </c>
      <c r="AI273" s="68" t="str">
        <f>IF(SUMIF(Data!B:B,A273,Data!F:F)=0,"",SUMIF(Data!B:B,A273,Data!F:F))</f>
        <v/>
      </c>
      <c r="AJ273" s="68">
        <f>AJ272+ (IF(AH273="",0,AH273)-AJ272)/Charts!$X$5</f>
        <v>4.3928851108964751E-17</v>
      </c>
      <c r="AK273" s="68">
        <f>AK272+ (IF(AI273="",0,AI273)-AK272)/Charts!$X$5</f>
        <v>4.3928851108964751E-17</v>
      </c>
      <c r="AL273" s="68">
        <f>AL272+ (IF(AH273="",0,AH273)-AL272)/Charts!$X$6</f>
        <v>8.0210304069497904E-2</v>
      </c>
      <c r="AM273" s="68">
        <f>AM272+ (IF(AI273="",0,AI273)-AM272)/Charts!$X$6</f>
        <v>8.0210304069497904E-2</v>
      </c>
      <c r="AN273" s="68" t="str">
        <f t="shared" si="58"/>
        <v>0</v>
      </c>
      <c r="AO273" s="68" t="str">
        <f t="shared" si="59"/>
        <v>0</v>
      </c>
      <c r="AP273" s="69" t="str">
        <f>IF(C273="","",INDEX(Workouts!D:D,MATCH(C273,Workouts!A:A,0)))</f>
        <v/>
      </c>
      <c r="AQ273" s="69" t="str">
        <f>IF(ISNA(MATCH(A273,Data!B:B,0)),"",INDEX(Data!G:G,MATCH(A273,Data!B:B,1)))</f>
        <v/>
      </c>
    </row>
    <row r="274" spans="1:43" s="1" customFormat="1" x14ac:dyDescent="0.2">
      <c r="A274" s="125">
        <f t="shared" si="57"/>
        <v>44469</v>
      </c>
      <c r="B274" s="126" t="str">
        <f t="shared" si="54"/>
        <v>Thu</v>
      </c>
      <c r="C274" s="142"/>
      <c r="D274" s="128" t="str">
        <f t="shared" si="55"/>
        <v/>
      </c>
      <c r="E274" s="129" t="str">
        <f t="shared" si="56"/>
        <v/>
      </c>
      <c r="F274" s="130" t="str">
        <f>IF(SUMIF(Data!B:B,A274,Data!C:C)=0,"",SUMIF(Data!B:B,A274,Data!C:C))</f>
        <v/>
      </c>
      <c r="G274" s="126" t="str">
        <f>IF(OR(S274="T",S274="RUN",SUMIF(Data!B:B,A274,Data!E:E)=0),"",SUMIF(Data!B:B,A274,Data!E:E))</f>
        <v/>
      </c>
      <c r="H274" s="126" t="str">
        <f t="shared" si="48"/>
        <v/>
      </c>
      <c r="I274" s="131" t="str">
        <f t="shared" si="49"/>
        <v>0 (0)</v>
      </c>
      <c r="J274" s="131" t="str">
        <f t="shared" si="50"/>
        <v>0 (0)</v>
      </c>
      <c r="K274" s="131" t="str">
        <f t="shared" si="51"/>
        <v>0 (0)</v>
      </c>
      <c r="L274" s="132" t="str">
        <f t="shared" si="52"/>
        <v/>
      </c>
      <c r="M274" s="131" t="str">
        <f t="shared" si="53"/>
        <v/>
      </c>
      <c r="N274" s="126" t="str">
        <f>IF(ISNA(MATCH(A274,Data!B:B,0)),"",INDEX(Data!H:H,MATCH(A274,Data!B:B,1))) &amp; ""</f>
        <v/>
      </c>
      <c r="O274" s="126" t="str">
        <f>IF(ISNA(MATCH(A274,Data!B:B,0)),"",INDEX(Data!I:I,MATCH(A274,Data!B:B,1))) &amp; ""</f>
        <v/>
      </c>
      <c r="P274" s="133" t="str">
        <f>IF(ISNA(MATCH(A274,Data!B:B,0)),"",INDEX(Data!J:J,MATCH(A274,Data!B:B,1))) &amp; ""</f>
        <v/>
      </c>
      <c r="Q274" s="126" t="str">
        <f>IF(S274="T",Charts!$X$7,IF(ISNA(MATCH(A274,Data!B:B,0)),"",INDEX(Data!K:K,MATCH(A274,Data!B:B,1)))) &amp; ""</f>
        <v/>
      </c>
      <c r="R274" s="134"/>
      <c r="S274" s="134"/>
      <c r="T274" s="127"/>
      <c r="AF274" s="24" t="str">
        <f>IF(C274="","",INDEX(Workouts!B:B,MATCH(C274,Workouts!A:A,0)))</f>
        <v/>
      </c>
      <c r="AG274" s="24" t="str">
        <f>IF(SUMIF(Data!B:B,A274,Data!D:D)=0,"",SUMIF(Data!B:B,A274,Data!D:D))</f>
        <v/>
      </c>
      <c r="AH274" s="25" t="str">
        <f>IF(C274="","",INDEX(Workouts!C:C,MATCH(C274,Workouts!A:A,0)))</f>
        <v/>
      </c>
      <c r="AI274" s="68" t="str">
        <f>IF(SUMIF(Data!B:B,A274,Data!F:F)=0,"",SUMIF(Data!B:B,A274,Data!F:F))</f>
        <v/>
      </c>
      <c r="AJ274" s="68">
        <f>AJ273+ (IF(AH274="",0,AH274)-AJ273)/Charts!$X$5</f>
        <v>3.7653300950541217E-17</v>
      </c>
      <c r="AK274" s="68">
        <f>AK273+ (IF(AI274="",0,AI274)-AK273)/Charts!$X$5</f>
        <v>3.7653300950541217E-17</v>
      </c>
      <c r="AL274" s="68">
        <f>AL273+ (IF(AH274="",0,AH274)-AL273)/Charts!$X$6</f>
        <v>7.8300534924986051E-2</v>
      </c>
      <c r="AM274" s="68">
        <f>AM273+ (IF(AI274="",0,AI274)-AM273)/Charts!$X$6</f>
        <v>7.8300534924986051E-2</v>
      </c>
      <c r="AN274" s="68" t="str">
        <f t="shared" si="58"/>
        <v>0</v>
      </c>
      <c r="AO274" s="68" t="str">
        <f t="shared" si="59"/>
        <v>0</v>
      </c>
      <c r="AP274" s="69" t="str">
        <f>IF(C274="","",INDEX(Workouts!D:D,MATCH(C274,Workouts!A:A,0)))</f>
        <v/>
      </c>
      <c r="AQ274" s="69" t="str">
        <f>IF(ISNA(MATCH(A274,Data!B:B,0)),"",INDEX(Data!G:G,MATCH(A274,Data!B:B,1)))</f>
        <v/>
      </c>
    </row>
    <row r="275" spans="1:43" s="1" customFormat="1" x14ac:dyDescent="0.2">
      <c r="A275" s="125">
        <f t="shared" si="57"/>
        <v>44470</v>
      </c>
      <c r="B275" s="126" t="str">
        <f t="shared" si="54"/>
        <v>Fri</v>
      </c>
      <c r="C275" s="142"/>
      <c r="D275" s="128" t="str">
        <f t="shared" si="55"/>
        <v/>
      </c>
      <c r="E275" s="129" t="str">
        <f t="shared" si="56"/>
        <v/>
      </c>
      <c r="F275" s="130" t="str">
        <f>IF(SUMIF(Data!B:B,A275,Data!C:C)=0,"",SUMIF(Data!B:B,A275,Data!C:C))</f>
        <v/>
      </c>
      <c r="G275" s="126" t="str">
        <f>IF(OR(S275="T",S275="RUN",SUMIF(Data!B:B,A275,Data!E:E)=0),"",SUMIF(Data!B:B,A275,Data!E:E))</f>
        <v/>
      </c>
      <c r="H275" s="126" t="str">
        <f t="shared" si="48"/>
        <v/>
      </c>
      <c r="I275" s="131" t="str">
        <f t="shared" si="49"/>
        <v>0 (0)</v>
      </c>
      <c r="J275" s="131" t="str">
        <f t="shared" si="50"/>
        <v>0 (0)</v>
      </c>
      <c r="K275" s="131" t="str">
        <f t="shared" si="51"/>
        <v>0 (0)</v>
      </c>
      <c r="L275" s="132" t="str">
        <f t="shared" si="52"/>
        <v/>
      </c>
      <c r="M275" s="131" t="str">
        <f t="shared" si="53"/>
        <v/>
      </c>
      <c r="N275" s="126" t="str">
        <f>IF(ISNA(MATCH(A275,Data!B:B,0)),"",INDEX(Data!H:H,MATCH(A275,Data!B:B,1))) &amp; ""</f>
        <v/>
      </c>
      <c r="O275" s="126" t="str">
        <f>IF(ISNA(MATCH(A275,Data!B:B,0)),"",INDEX(Data!I:I,MATCH(A275,Data!B:B,1))) &amp; ""</f>
        <v/>
      </c>
      <c r="P275" s="133" t="str">
        <f>IF(ISNA(MATCH(A275,Data!B:B,0)),"",INDEX(Data!J:J,MATCH(A275,Data!B:B,1))) &amp; ""</f>
        <v/>
      </c>
      <c r="Q275" s="126" t="str">
        <f>IF(S275="T",Charts!$X$7,IF(ISNA(MATCH(A275,Data!B:B,0)),"",INDEX(Data!K:K,MATCH(A275,Data!B:B,1)))) &amp; ""</f>
        <v/>
      </c>
      <c r="R275" s="134"/>
      <c r="S275" s="134"/>
      <c r="T275" s="127"/>
      <c r="AF275" s="24" t="str">
        <f>IF(C275="","",INDEX(Workouts!B:B,MATCH(C275,Workouts!A:A,0)))</f>
        <v/>
      </c>
      <c r="AG275" s="24" t="str">
        <f>IF(SUMIF(Data!B:B,A275,Data!D:D)=0,"",SUMIF(Data!B:B,A275,Data!D:D))</f>
        <v/>
      </c>
      <c r="AH275" s="25" t="str">
        <f>IF(C275="","",INDEX(Workouts!C:C,MATCH(C275,Workouts!A:A,0)))</f>
        <v/>
      </c>
      <c r="AI275" s="68" t="str">
        <f>IF(SUMIF(Data!B:B,A275,Data!F:F)=0,"",SUMIF(Data!B:B,A275,Data!F:F))</f>
        <v/>
      </c>
      <c r="AJ275" s="68">
        <f>AJ274+ (IF(AH275="",0,AH275)-AJ274)/Charts!$X$5</f>
        <v>3.2274257957606757E-17</v>
      </c>
      <c r="AK275" s="68">
        <f>AK274+ (IF(AI275="",0,AI275)-AK274)/Charts!$X$5</f>
        <v>3.2274257957606757E-17</v>
      </c>
      <c r="AL275" s="68">
        <f>AL274+ (IF(AH275="",0,AH275)-AL274)/Charts!$X$6</f>
        <v>7.6436236474391142E-2</v>
      </c>
      <c r="AM275" s="68">
        <f>AM274+ (IF(AI275="",0,AI275)-AM274)/Charts!$X$6</f>
        <v>7.6436236474391142E-2</v>
      </c>
      <c r="AN275" s="68" t="str">
        <f t="shared" si="58"/>
        <v>0</v>
      </c>
      <c r="AO275" s="68" t="str">
        <f t="shared" si="59"/>
        <v>0</v>
      </c>
      <c r="AP275" s="69" t="str">
        <f>IF(C275="","",INDEX(Workouts!D:D,MATCH(C275,Workouts!A:A,0)))</f>
        <v/>
      </c>
      <c r="AQ275" s="69" t="str">
        <f>IF(ISNA(MATCH(A275,Data!B:B,0)),"",INDEX(Data!G:G,MATCH(A275,Data!B:B,1)))</f>
        <v/>
      </c>
    </row>
    <row r="276" spans="1:43" s="1" customFormat="1" x14ac:dyDescent="0.2">
      <c r="A276" s="125">
        <f t="shared" si="57"/>
        <v>44471</v>
      </c>
      <c r="B276" s="126" t="str">
        <f t="shared" si="54"/>
        <v>Sat</v>
      </c>
      <c r="C276" s="142"/>
      <c r="D276" s="128" t="str">
        <f t="shared" si="55"/>
        <v/>
      </c>
      <c r="E276" s="129" t="str">
        <f t="shared" si="56"/>
        <v/>
      </c>
      <c r="F276" s="130" t="str">
        <f>IF(SUMIF(Data!B:B,A276,Data!C:C)=0,"",SUMIF(Data!B:B,A276,Data!C:C))</f>
        <v/>
      </c>
      <c r="G276" s="126" t="str">
        <f>IF(OR(S276="T",S276="RUN",SUMIF(Data!B:B,A276,Data!E:E)=0),"",SUMIF(Data!B:B,A276,Data!E:E))</f>
        <v/>
      </c>
      <c r="H276" s="126" t="str">
        <f t="shared" si="48"/>
        <v/>
      </c>
      <c r="I276" s="131" t="str">
        <f t="shared" si="49"/>
        <v>0 (0)</v>
      </c>
      <c r="J276" s="131" t="str">
        <f t="shared" si="50"/>
        <v>0 (0)</v>
      </c>
      <c r="K276" s="131" t="str">
        <f t="shared" si="51"/>
        <v>0 (0)</v>
      </c>
      <c r="L276" s="132" t="str">
        <f t="shared" si="52"/>
        <v/>
      </c>
      <c r="M276" s="131" t="str">
        <f t="shared" si="53"/>
        <v/>
      </c>
      <c r="N276" s="126" t="str">
        <f>IF(ISNA(MATCH(A276,Data!B:B,0)),"",INDEX(Data!H:H,MATCH(A276,Data!B:B,1))) &amp; ""</f>
        <v/>
      </c>
      <c r="O276" s="126" t="str">
        <f>IF(ISNA(MATCH(A276,Data!B:B,0)),"",INDEX(Data!I:I,MATCH(A276,Data!B:B,1))) &amp; ""</f>
        <v/>
      </c>
      <c r="P276" s="133" t="str">
        <f>IF(ISNA(MATCH(A276,Data!B:B,0)),"",INDEX(Data!J:J,MATCH(A276,Data!B:B,1))) &amp; ""</f>
        <v/>
      </c>
      <c r="Q276" s="126" t="str">
        <f>IF(S276="T",Charts!$X$7,IF(ISNA(MATCH(A276,Data!B:B,0)),"",INDEX(Data!K:K,MATCH(A276,Data!B:B,1)))) &amp; ""</f>
        <v/>
      </c>
      <c r="R276" s="134"/>
      <c r="S276" s="134"/>
      <c r="T276" s="127"/>
      <c r="AF276" s="24" t="str">
        <f>IF(C276="","",INDEX(Workouts!B:B,MATCH(C276,Workouts!A:A,0)))</f>
        <v/>
      </c>
      <c r="AG276" s="24" t="str">
        <f>IF(SUMIF(Data!B:B,A276,Data!D:D)=0,"",SUMIF(Data!B:B,A276,Data!D:D))</f>
        <v/>
      </c>
      <c r="AH276" s="25" t="str">
        <f>IF(C276="","",INDEX(Workouts!C:C,MATCH(C276,Workouts!A:A,0)))</f>
        <v/>
      </c>
      <c r="AI276" s="68" t="str">
        <f>IF(SUMIF(Data!B:B,A276,Data!F:F)=0,"",SUMIF(Data!B:B,A276,Data!F:F))</f>
        <v/>
      </c>
      <c r="AJ276" s="68">
        <f>AJ275+ (IF(AH276="",0,AH276)-AJ275)/Charts!$X$5</f>
        <v>2.7663649677948649E-17</v>
      </c>
      <c r="AK276" s="68">
        <f>AK275+ (IF(AI276="",0,AI276)-AK275)/Charts!$X$5</f>
        <v>2.7663649677948649E-17</v>
      </c>
      <c r="AL276" s="68">
        <f>AL275+ (IF(AH276="",0,AH276)-AL275)/Charts!$X$6</f>
        <v>7.4616326082143733E-2</v>
      </c>
      <c r="AM276" s="68">
        <f>AM275+ (IF(AI276="",0,AI276)-AM275)/Charts!$X$6</f>
        <v>7.4616326082143733E-2</v>
      </c>
      <c r="AN276" s="68" t="str">
        <f t="shared" si="58"/>
        <v>0</v>
      </c>
      <c r="AO276" s="68" t="str">
        <f t="shared" si="59"/>
        <v>0</v>
      </c>
      <c r="AP276" s="69" t="str">
        <f>IF(C276="","",INDEX(Workouts!D:D,MATCH(C276,Workouts!A:A,0)))</f>
        <v/>
      </c>
      <c r="AQ276" s="69" t="str">
        <f>IF(ISNA(MATCH(A276,Data!B:B,0)),"",INDEX(Data!G:G,MATCH(A276,Data!B:B,1)))</f>
        <v/>
      </c>
    </row>
    <row r="277" spans="1:43" s="1" customFormat="1" x14ac:dyDescent="0.2">
      <c r="A277" s="125">
        <f t="shared" si="57"/>
        <v>44472</v>
      </c>
      <c r="B277" s="126" t="str">
        <f t="shared" si="54"/>
        <v>Sun</v>
      </c>
      <c r="C277" s="142"/>
      <c r="D277" s="128" t="str">
        <f t="shared" si="55"/>
        <v/>
      </c>
      <c r="E277" s="129" t="str">
        <f t="shared" si="56"/>
        <v/>
      </c>
      <c r="F277" s="130" t="str">
        <f>IF(SUMIF(Data!B:B,A277,Data!C:C)=0,"",SUMIF(Data!B:B,A277,Data!C:C))</f>
        <v/>
      </c>
      <c r="G277" s="126" t="str">
        <f>IF(OR(S277="T",S277="RUN",SUMIF(Data!B:B,A277,Data!E:E)=0),"",SUMIF(Data!B:B,A277,Data!E:E))</f>
        <v/>
      </c>
      <c r="H277" s="126" t="str">
        <f t="shared" si="48"/>
        <v/>
      </c>
      <c r="I277" s="131" t="str">
        <f t="shared" si="49"/>
        <v>0 (0)</v>
      </c>
      <c r="J277" s="131" t="str">
        <f t="shared" si="50"/>
        <v>0 (0)</v>
      </c>
      <c r="K277" s="131" t="str">
        <f t="shared" si="51"/>
        <v>0 (0)</v>
      </c>
      <c r="L277" s="132" t="str">
        <f t="shared" si="52"/>
        <v/>
      </c>
      <c r="M277" s="131" t="str">
        <f t="shared" si="53"/>
        <v/>
      </c>
      <c r="N277" s="126" t="str">
        <f>IF(ISNA(MATCH(A277,Data!B:B,0)),"",INDEX(Data!H:H,MATCH(A277,Data!B:B,1))) &amp; ""</f>
        <v/>
      </c>
      <c r="O277" s="126" t="str">
        <f>IF(ISNA(MATCH(A277,Data!B:B,0)),"",INDEX(Data!I:I,MATCH(A277,Data!B:B,1))) &amp; ""</f>
        <v/>
      </c>
      <c r="P277" s="133" t="str">
        <f>IF(ISNA(MATCH(A277,Data!B:B,0)),"",INDEX(Data!J:J,MATCH(A277,Data!B:B,1))) &amp; ""</f>
        <v/>
      </c>
      <c r="Q277" s="126" t="str">
        <f>IF(S277="T",Charts!$X$7,IF(ISNA(MATCH(A277,Data!B:B,0)),"",INDEX(Data!K:K,MATCH(A277,Data!B:B,1)))) &amp; ""</f>
        <v/>
      </c>
      <c r="R277" s="134"/>
      <c r="S277" s="134"/>
      <c r="T277" s="127"/>
      <c r="AF277" s="24" t="str">
        <f>IF(C277="","",INDEX(Workouts!B:B,MATCH(C277,Workouts!A:A,0)))</f>
        <v/>
      </c>
      <c r="AG277" s="24" t="str">
        <f>IF(SUMIF(Data!B:B,A277,Data!D:D)=0,"",SUMIF(Data!B:B,A277,Data!D:D))</f>
        <v/>
      </c>
      <c r="AH277" s="25" t="str">
        <f>IF(C277="","",INDEX(Workouts!C:C,MATCH(C277,Workouts!A:A,0)))</f>
        <v/>
      </c>
      <c r="AI277" s="68" t="str">
        <f>IF(SUMIF(Data!B:B,A277,Data!F:F)=0,"",SUMIF(Data!B:B,A277,Data!F:F))</f>
        <v/>
      </c>
      <c r="AJ277" s="68">
        <f>AJ276+ (IF(AH277="",0,AH277)-AJ276)/Charts!$X$5</f>
        <v>2.3711699723955983E-17</v>
      </c>
      <c r="AK277" s="68">
        <f>AK276+ (IF(AI277="",0,AI277)-AK276)/Charts!$X$5</f>
        <v>2.3711699723955983E-17</v>
      </c>
      <c r="AL277" s="68">
        <f>AL276+ (IF(AH277="",0,AH277)-AL276)/Charts!$X$6</f>
        <v>7.2839746889711746E-2</v>
      </c>
      <c r="AM277" s="68">
        <f>AM276+ (IF(AI277="",0,AI277)-AM276)/Charts!$X$6</f>
        <v>7.2839746889711746E-2</v>
      </c>
      <c r="AN277" s="68" t="str">
        <f t="shared" si="58"/>
        <v>0</v>
      </c>
      <c r="AO277" s="68" t="str">
        <f t="shared" si="59"/>
        <v>0</v>
      </c>
      <c r="AP277" s="69" t="str">
        <f>IF(C277="","",INDEX(Workouts!D:D,MATCH(C277,Workouts!A:A,0)))</f>
        <v/>
      </c>
      <c r="AQ277" s="69" t="str">
        <f>IF(ISNA(MATCH(A277,Data!B:B,0)),"",INDEX(Data!G:G,MATCH(A277,Data!B:B,1)))</f>
        <v/>
      </c>
    </row>
    <row r="278" spans="1:43" s="1" customFormat="1" x14ac:dyDescent="0.2">
      <c r="A278" s="125">
        <f t="shared" si="57"/>
        <v>44473</v>
      </c>
      <c r="B278" s="126" t="str">
        <f t="shared" si="54"/>
        <v>Mon</v>
      </c>
      <c r="C278" s="142"/>
      <c r="D278" s="128" t="str">
        <f t="shared" si="55"/>
        <v/>
      </c>
      <c r="E278" s="129" t="str">
        <f t="shared" si="56"/>
        <v/>
      </c>
      <c r="F278" s="130" t="str">
        <f>IF(SUMIF(Data!B:B,A278,Data!C:C)=0,"",SUMIF(Data!B:B,A278,Data!C:C))</f>
        <v/>
      </c>
      <c r="G278" s="126" t="str">
        <f>IF(OR(S278="T",S278="RUN",SUMIF(Data!B:B,A278,Data!E:E)=0),"",SUMIF(Data!B:B,A278,Data!E:E))</f>
        <v/>
      </c>
      <c r="H278" s="126" t="str">
        <f t="shared" si="48"/>
        <v/>
      </c>
      <c r="I278" s="131" t="str">
        <f t="shared" si="49"/>
        <v>0 (0)</v>
      </c>
      <c r="J278" s="131" t="str">
        <f t="shared" si="50"/>
        <v>0 (0)</v>
      </c>
      <c r="K278" s="131" t="str">
        <f t="shared" si="51"/>
        <v>0 (0)</v>
      </c>
      <c r="L278" s="132" t="str">
        <f t="shared" si="52"/>
        <v/>
      </c>
      <c r="M278" s="131" t="str">
        <f t="shared" si="53"/>
        <v/>
      </c>
      <c r="N278" s="126" t="str">
        <f>IF(ISNA(MATCH(A278,Data!B:B,0)),"",INDEX(Data!H:H,MATCH(A278,Data!B:B,1))) &amp; ""</f>
        <v/>
      </c>
      <c r="O278" s="126" t="str">
        <f>IF(ISNA(MATCH(A278,Data!B:B,0)),"",INDEX(Data!I:I,MATCH(A278,Data!B:B,1))) &amp; ""</f>
        <v/>
      </c>
      <c r="P278" s="133" t="str">
        <f>IF(ISNA(MATCH(A278,Data!B:B,0)),"",INDEX(Data!J:J,MATCH(A278,Data!B:B,1))) &amp; ""</f>
        <v/>
      </c>
      <c r="Q278" s="126" t="str">
        <f>IF(S278="T",Charts!$X$7,IF(ISNA(MATCH(A278,Data!B:B,0)),"",INDEX(Data!K:K,MATCH(A278,Data!B:B,1)))) &amp; ""</f>
        <v/>
      </c>
      <c r="R278" s="134"/>
      <c r="S278" s="134"/>
      <c r="T278" s="127"/>
      <c r="AF278" s="24" t="str">
        <f>IF(C278="","",INDEX(Workouts!B:B,MATCH(C278,Workouts!A:A,0)))</f>
        <v/>
      </c>
      <c r="AG278" s="24" t="str">
        <f>IF(SUMIF(Data!B:B,A278,Data!D:D)=0,"",SUMIF(Data!B:B,A278,Data!D:D))</f>
        <v/>
      </c>
      <c r="AH278" s="25" t="str">
        <f>IF(C278="","",INDEX(Workouts!C:C,MATCH(C278,Workouts!A:A,0)))</f>
        <v/>
      </c>
      <c r="AI278" s="68" t="str">
        <f>IF(SUMIF(Data!B:B,A278,Data!F:F)=0,"",SUMIF(Data!B:B,A278,Data!F:F))</f>
        <v/>
      </c>
      <c r="AJ278" s="68">
        <f>AJ277+ (IF(AH278="",0,AH278)-AJ277)/Charts!$X$5</f>
        <v>2.0324314049105129E-17</v>
      </c>
      <c r="AK278" s="68">
        <f>AK277+ (IF(AI278="",0,AI278)-AK277)/Charts!$X$5</f>
        <v>2.0324314049105129E-17</v>
      </c>
      <c r="AL278" s="68">
        <f>AL277+ (IF(AH278="",0,AH278)-AL277)/Charts!$X$6</f>
        <v>7.1105467201861464E-2</v>
      </c>
      <c r="AM278" s="68">
        <f>AM277+ (IF(AI278="",0,AI278)-AM277)/Charts!$X$6</f>
        <v>7.1105467201861464E-2</v>
      </c>
      <c r="AN278" s="68" t="str">
        <f t="shared" si="58"/>
        <v>0</v>
      </c>
      <c r="AO278" s="68" t="str">
        <f t="shared" si="59"/>
        <v>0</v>
      </c>
      <c r="AP278" s="69" t="str">
        <f>IF(C278="","",INDEX(Workouts!D:D,MATCH(C278,Workouts!A:A,0)))</f>
        <v/>
      </c>
      <c r="AQ278" s="69" t="str">
        <f>IF(ISNA(MATCH(A278,Data!B:B,0)),"",INDEX(Data!G:G,MATCH(A278,Data!B:B,1)))</f>
        <v/>
      </c>
    </row>
    <row r="279" spans="1:43" s="1" customFormat="1" x14ac:dyDescent="0.2">
      <c r="A279" s="125">
        <f t="shared" si="57"/>
        <v>44474</v>
      </c>
      <c r="B279" s="126" t="str">
        <f t="shared" si="54"/>
        <v>Tue</v>
      </c>
      <c r="C279" s="142"/>
      <c r="D279" s="128" t="str">
        <f t="shared" si="55"/>
        <v/>
      </c>
      <c r="E279" s="129" t="str">
        <f t="shared" si="56"/>
        <v/>
      </c>
      <c r="F279" s="130" t="str">
        <f>IF(SUMIF(Data!B:B,A279,Data!C:C)=0,"",SUMIF(Data!B:B,A279,Data!C:C))</f>
        <v/>
      </c>
      <c r="G279" s="126" t="str">
        <f>IF(OR(S279="T",S279="RUN",SUMIF(Data!B:B,A279,Data!E:E)=0),"",SUMIF(Data!B:B,A279,Data!E:E))</f>
        <v/>
      </c>
      <c r="H279" s="126" t="str">
        <f t="shared" si="48"/>
        <v/>
      </c>
      <c r="I279" s="131" t="str">
        <f t="shared" si="49"/>
        <v>0 (0)</v>
      </c>
      <c r="J279" s="131" t="str">
        <f t="shared" si="50"/>
        <v>0 (0)</v>
      </c>
      <c r="K279" s="131" t="str">
        <f t="shared" si="51"/>
        <v>0 (0)</v>
      </c>
      <c r="L279" s="132" t="str">
        <f t="shared" si="52"/>
        <v/>
      </c>
      <c r="M279" s="131" t="str">
        <f t="shared" si="53"/>
        <v/>
      </c>
      <c r="N279" s="126" t="str">
        <f>IF(ISNA(MATCH(A279,Data!B:B,0)),"",INDEX(Data!H:H,MATCH(A279,Data!B:B,1))) &amp; ""</f>
        <v/>
      </c>
      <c r="O279" s="126" t="str">
        <f>IF(ISNA(MATCH(A279,Data!B:B,0)),"",INDEX(Data!I:I,MATCH(A279,Data!B:B,1))) &amp; ""</f>
        <v/>
      </c>
      <c r="P279" s="133" t="str">
        <f>IF(ISNA(MATCH(A279,Data!B:B,0)),"",INDEX(Data!J:J,MATCH(A279,Data!B:B,1))) &amp; ""</f>
        <v/>
      </c>
      <c r="Q279" s="126" t="str">
        <f>IF(S279="T",Charts!$X$7,IF(ISNA(MATCH(A279,Data!B:B,0)),"",INDEX(Data!K:K,MATCH(A279,Data!B:B,1)))) &amp; ""</f>
        <v/>
      </c>
      <c r="R279" s="134"/>
      <c r="S279" s="134"/>
      <c r="T279" s="127"/>
      <c r="AF279" s="24" t="str">
        <f>IF(C279="","",INDEX(Workouts!B:B,MATCH(C279,Workouts!A:A,0)))</f>
        <v/>
      </c>
      <c r="AG279" s="24" t="str">
        <f>IF(SUMIF(Data!B:B,A279,Data!D:D)=0,"",SUMIF(Data!B:B,A279,Data!D:D))</f>
        <v/>
      </c>
      <c r="AH279" s="25" t="str">
        <f>IF(C279="","",INDEX(Workouts!C:C,MATCH(C279,Workouts!A:A,0)))</f>
        <v/>
      </c>
      <c r="AI279" s="68" t="str">
        <f>IF(SUMIF(Data!B:B,A279,Data!F:F)=0,"",SUMIF(Data!B:B,A279,Data!F:F))</f>
        <v/>
      </c>
      <c r="AJ279" s="68">
        <f>AJ278+ (IF(AH279="",0,AH279)-AJ278)/Charts!$X$5</f>
        <v>1.7420840613518682E-17</v>
      </c>
      <c r="AK279" s="68">
        <f>AK278+ (IF(AI279="",0,AI279)-AK278)/Charts!$X$5</f>
        <v>1.7420840613518682E-17</v>
      </c>
      <c r="AL279" s="68">
        <f>AL278+ (IF(AH279="",0,AH279)-AL278)/Charts!$X$6</f>
        <v>6.9412479887531423E-2</v>
      </c>
      <c r="AM279" s="68">
        <f>AM278+ (IF(AI279="",0,AI279)-AM278)/Charts!$X$6</f>
        <v>6.9412479887531423E-2</v>
      </c>
      <c r="AN279" s="68" t="str">
        <f t="shared" si="58"/>
        <v>0</v>
      </c>
      <c r="AO279" s="68" t="str">
        <f t="shared" si="59"/>
        <v>0</v>
      </c>
      <c r="AP279" s="69" t="str">
        <f>IF(C279="","",INDEX(Workouts!D:D,MATCH(C279,Workouts!A:A,0)))</f>
        <v/>
      </c>
      <c r="AQ279" s="69" t="str">
        <f>IF(ISNA(MATCH(A279,Data!B:B,0)),"",INDEX(Data!G:G,MATCH(A279,Data!B:B,1)))</f>
        <v/>
      </c>
    </row>
    <row r="280" spans="1:43" s="1" customFormat="1" x14ac:dyDescent="0.2">
      <c r="A280" s="125">
        <f t="shared" si="57"/>
        <v>44475</v>
      </c>
      <c r="B280" s="126" t="str">
        <f t="shared" si="54"/>
        <v>Wed</v>
      </c>
      <c r="C280" s="140"/>
      <c r="D280" s="128" t="str">
        <f t="shared" si="55"/>
        <v/>
      </c>
      <c r="E280" s="129" t="str">
        <f t="shared" si="56"/>
        <v/>
      </c>
      <c r="F280" s="130" t="str">
        <f>IF(SUMIF(Data!B:B,A280,Data!C:C)=0,"",SUMIF(Data!B:B,A280,Data!C:C))</f>
        <v/>
      </c>
      <c r="G280" s="126" t="str">
        <f>IF(OR(S280="T",S280="RUN",SUMIF(Data!B:B,A280,Data!E:E)=0),"",SUMIF(Data!B:B,A280,Data!E:E))</f>
        <v/>
      </c>
      <c r="H280" s="126" t="str">
        <f t="shared" si="48"/>
        <v/>
      </c>
      <c r="I280" s="131" t="str">
        <f t="shared" si="49"/>
        <v>0 (0)</v>
      </c>
      <c r="J280" s="131" t="str">
        <f t="shared" si="50"/>
        <v>0 (0)</v>
      </c>
      <c r="K280" s="131" t="str">
        <f t="shared" si="51"/>
        <v>0 (0)</v>
      </c>
      <c r="L280" s="132" t="str">
        <f t="shared" si="52"/>
        <v/>
      </c>
      <c r="M280" s="131" t="str">
        <f t="shared" si="53"/>
        <v/>
      </c>
      <c r="N280" s="126" t="str">
        <f>IF(ISNA(MATCH(A280,Data!B:B,0)),"",INDEX(Data!H:H,MATCH(A280,Data!B:B,1))) &amp; ""</f>
        <v/>
      </c>
      <c r="O280" s="126" t="str">
        <f>IF(ISNA(MATCH(A280,Data!B:B,0)),"",INDEX(Data!I:I,MATCH(A280,Data!B:B,1))) &amp; ""</f>
        <v/>
      </c>
      <c r="P280" s="133" t="str">
        <f>IF(ISNA(MATCH(A280,Data!B:B,0)),"",INDEX(Data!J:J,MATCH(A280,Data!B:B,1))) &amp; ""</f>
        <v/>
      </c>
      <c r="Q280" s="126" t="str">
        <f>IF(S280="T",Charts!$X$7,IF(ISNA(MATCH(A280,Data!B:B,0)),"",INDEX(Data!K:K,MATCH(A280,Data!B:B,1)))) &amp; ""</f>
        <v/>
      </c>
      <c r="R280" s="134"/>
      <c r="S280" s="134"/>
      <c r="T280" s="127"/>
      <c r="AF280" s="24" t="str">
        <f>IF(C280="","",INDEX(Workouts!B:B,MATCH(C280,Workouts!A:A,0)))</f>
        <v/>
      </c>
      <c r="AG280" s="24" t="str">
        <f>IF(SUMIF(Data!B:B,A280,Data!D:D)=0,"",SUMIF(Data!B:B,A280,Data!D:D))</f>
        <v/>
      </c>
      <c r="AH280" s="25" t="str">
        <f>IF(C280="","",INDEX(Workouts!C:C,MATCH(C280,Workouts!A:A,0)))</f>
        <v/>
      </c>
      <c r="AI280" s="68" t="str">
        <f>IF(SUMIF(Data!B:B,A280,Data!F:F)=0,"",SUMIF(Data!B:B,A280,Data!F:F))</f>
        <v/>
      </c>
      <c r="AJ280" s="68">
        <f>AJ279+ (IF(AH280="",0,AH280)-AJ279)/Charts!$X$5</f>
        <v>1.4932149097301728E-17</v>
      </c>
      <c r="AK280" s="68">
        <f>AK279+ (IF(AI280="",0,AI280)-AK279)/Charts!$X$5</f>
        <v>1.4932149097301728E-17</v>
      </c>
      <c r="AL280" s="68">
        <f>AL279+ (IF(AH280="",0,AH280)-AL279)/Charts!$X$6</f>
        <v>6.7759801794971153E-2</v>
      </c>
      <c r="AM280" s="68">
        <f>AM279+ (IF(AI280="",0,AI280)-AM279)/Charts!$X$6</f>
        <v>6.7759801794971153E-2</v>
      </c>
      <c r="AN280" s="68" t="str">
        <f t="shared" si="58"/>
        <v>0</v>
      </c>
      <c r="AO280" s="68" t="str">
        <f t="shared" si="59"/>
        <v>0</v>
      </c>
      <c r="AP280" s="69" t="str">
        <f>IF(C280="","",INDEX(Workouts!D:D,MATCH(C280,Workouts!A:A,0)))</f>
        <v/>
      </c>
      <c r="AQ280" s="69" t="str">
        <f>IF(ISNA(MATCH(A280,Data!B:B,0)),"",INDEX(Data!G:G,MATCH(A280,Data!B:B,1)))</f>
        <v/>
      </c>
    </row>
    <row r="281" spans="1:43" s="1" customFormat="1" x14ac:dyDescent="0.2">
      <c r="A281" s="125">
        <f t="shared" si="57"/>
        <v>44476</v>
      </c>
      <c r="B281" s="126" t="str">
        <f t="shared" si="54"/>
        <v>Thu</v>
      </c>
      <c r="C281" s="140"/>
      <c r="D281" s="128" t="str">
        <f t="shared" si="55"/>
        <v/>
      </c>
      <c r="E281" s="129" t="str">
        <f t="shared" si="56"/>
        <v/>
      </c>
      <c r="F281" s="130" t="str">
        <f>IF(SUMIF(Data!B:B,A281,Data!C:C)=0,"",SUMIF(Data!B:B,A281,Data!C:C))</f>
        <v/>
      </c>
      <c r="G281" s="126" t="str">
        <f>IF(OR(S281="T",S281="RUN",SUMIF(Data!B:B,A281,Data!E:E)=0),"",SUMIF(Data!B:B,A281,Data!E:E))</f>
        <v/>
      </c>
      <c r="H281" s="126" t="str">
        <f t="shared" si="48"/>
        <v/>
      </c>
      <c r="I281" s="131" t="str">
        <f t="shared" si="49"/>
        <v>0 (0)</v>
      </c>
      <c r="J281" s="131" t="str">
        <f t="shared" si="50"/>
        <v>0 (0)</v>
      </c>
      <c r="K281" s="131" t="str">
        <f t="shared" si="51"/>
        <v>0 (0)</v>
      </c>
      <c r="L281" s="132" t="str">
        <f t="shared" si="52"/>
        <v/>
      </c>
      <c r="M281" s="131" t="str">
        <f t="shared" si="53"/>
        <v/>
      </c>
      <c r="N281" s="126" t="str">
        <f>IF(ISNA(MATCH(A281,Data!B:B,0)),"",INDEX(Data!H:H,MATCH(A281,Data!B:B,1))) &amp; ""</f>
        <v/>
      </c>
      <c r="O281" s="126" t="str">
        <f>IF(ISNA(MATCH(A281,Data!B:B,0)),"",INDEX(Data!I:I,MATCH(A281,Data!B:B,1))) &amp; ""</f>
        <v/>
      </c>
      <c r="P281" s="133" t="str">
        <f>IF(ISNA(MATCH(A281,Data!B:B,0)),"",INDEX(Data!J:J,MATCH(A281,Data!B:B,1))) &amp; ""</f>
        <v/>
      </c>
      <c r="Q281" s="126" t="str">
        <f>IF(S281="T",Charts!$X$7,IF(ISNA(MATCH(A281,Data!B:B,0)),"",INDEX(Data!K:K,MATCH(A281,Data!B:B,1)))) &amp; ""</f>
        <v/>
      </c>
      <c r="R281" s="134"/>
      <c r="S281" s="134"/>
      <c r="T281" s="127"/>
      <c r="AF281" s="24" t="str">
        <f>IF(C281="","",INDEX(Workouts!B:B,MATCH(C281,Workouts!A:A,0)))</f>
        <v/>
      </c>
      <c r="AG281" s="24" t="str">
        <f>IF(SUMIF(Data!B:B,A281,Data!D:D)=0,"",SUMIF(Data!B:B,A281,Data!D:D))</f>
        <v/>
      </c>
      <c r="AH281" s="25" t="str">
        <f>IF(C281="","",INDEX(Workouts!C:C,MATCH(C281,Workouts!A:A,0)))</f>
        <v/>
      </c>
      <c r="AI281" s="68" t="str">
        <f>IF(SUMIF(Data!B:B,A281,Data!F:F)=0,"",SUMIF(Data!B:B,A281,Data!F:F))</f>
        <v/>
      </c>
      <c r="AJ281" s="68">
        <f>AJ280+ (IF(AH281="",0,AH281)-AJ280)/Charts!$X$5</f>
        <v>1.2798984940544338E-17</v>
      </c>
      <c r="AK281" s="68">
        <f>AK280+ (IF(AI281="",0,AI281)-AK280)/Charts!$X$5</f>
        <v>1.2798984940544338E-17</v>
      </c>
      <c r="AL281" s="68">
        <f>AL280+ (IF(AH281="",0,AH281)-AL280)/Charts!$X$6</f>
        <v>6.6146473180805174E-2</v>
      </c>
      <c r="AM281" s="68">
        <f>AM280+ (IF(AI281="",0,AI281)-AM280)/Charts!$X$6</f>
        <v>6.6146473180805174E-2</v>
      </c>
      <c r="AN281" s="68" t="str">
        <f t="shared" si="58"/>
        <v>0</v>
      </c>
      <c r="AO281" s="68" t="str">
        <f t="shared" si="59"/>
        <v>0</v>
      </c>
      <c r="AP281" s="69" t="str">
        <f>IF(C281="","",INDEX(Workouts!D:D,MATCH(C281,Workouts!A:A,0)))</f>
        <v/>
      </c>
      <c r="AQ281" s="69" t="str">
        <f>IF(ISNA(MATCH(A281,Data!B:B,0)),"",INDEX(Data!G:G,MATCH(A281,Data!B:B,1)))</f>
        <v/>
      </c>
    </row>
    <row r="282" spans="1:43" s="1" customFormat="1" x14ac:dyDescent="0.2">
      <c r="A282" s="125">
        <f t="shared" si="57"/>
        <v>44477</v>
      </c>
      <c r="B282" s="126" t="str">
        <f t="shared" si="54"/>
        <v>Fri</v>
      </c>
      <c r="C282" s="140"/>
      <c r="D282" s="128" t="str">
        <f t="shared" si="55"/>
        <v/>
      </c>
      <c r="E282" s="129" t="str">
        <f t="shared" si="56"/>
        <v/>
      </c>
      <c r="F282" s="130" t="str">
        <f>IF(SUMIF(Data!B:B,A282,Data!C:C)=0,"",SUMIF(Data!B:B,A282,Data!C:C))</f>
        <v/>
      </c>
      <c r="G282" s="126" t="str">
        <f>IF(OR(S282="T",S282="RUN",SUMIF(Data!B:B,A282,Data!E:E)=0),"",SUMIF(Data!B:B,A282,Data!E:E))</f>
        <v/>
      </c>
      <c r="H282" s="126" t="str">
        <f t="shared" si="48"/>
        <v/>
      </c>
      <c r="I282" s="131" t="str">
        <f t="shared" si="49"/>
        <v>0 (0)</v>
      </c>
      <c r="J282" s="131" t="str">
        <f t="shared" si="50"/>
        <v>0 (0)</v>
      </c>
      <c r="K282" s="131" t="str">
        <f t="shared" si="51"/>
        <v>0 (0)</v>
      </c>
      <c r="L282" s="132" t="str">
        <f t="shared" si="52"/>
        <v/>
      </c>
      <c r="M282" s="131" t="str">
        <f t="shared" si="53"/>
        <v/>
      </c>
      <c r="N282" s="126" t="str">
        <f>IF(ISNA(MATCH(A282,Data!B:B,0)),"",INDEX(Data!H:H,MATCH(A282,Data!B:B,1))) &amp; ""</f>
        <v/>
      </c>
      <c r="O282" s="126" t="str">
        <f>IF(ISNA(MATCH(A282,Data!B:B,0)),"",INDEX(Data!I:I,MATCH(A282,Data!B:B,1))) &amp; ""</f>
        <v/>
      </c>
      <c r="P282" s="133" t="str">
        <f>IF(ISNA(MATCH(A282,Data!B:B,0)),"",INDEX(Data!J:J,MATCH(A282,Data!B:B,1))) &amp; ""</f>
        <v/>
      </c>
      <c r="Q282" s="126" t="str">
        <f>IF(S282="T",Charts!$X$7,IF(ISNA(MATCH(A282,Data!B:B,0)),"",INDEX(Data!K:K,MATCH(A282,Data!B:B,1)))) &amp; ""</f>
        <v/>
      </c>
      <c r="R282" s="134"/>
      <c r="S282" s="134"/>
      <c r="T282" s="127"/>
      <c r="AF282" s="24" t="str">
        <f>IF(C282="","",INDEX(Workouts!B:B,MATCH(C282,Workouts!A:A,0)))</f>
        <v/>
      </c>
      <c r="AG282" s="24" t="str">
        <f>IF(SUMIF(Data!B:B,A282,Data!D:D)=0,"",SUMIF(Data!B:B,A282,Data!D:D))</f>
        <v/>
      </c>
      <c r="AH282" s="25" t="str">
        <f>IF(C282="","",INDEX(Workouts!C:C,MATCH(C282,Workouts!A:A,0)))</f>
        <v/>
      </c>
      <c r="AI282" s="68" t="str">
        <f>IF(SUMIF(Data!B:B,A282,Data!F:F)=0,"",SUMIF(Data!B:B,A282,Data!F:F))</f>
        <v/>
      </c>
      <c r="AJ282" s="68">
        <f>AJ281+ (IF(AH282="",0,AH282)-AJ281)/Charts!$X$5</f>
        <v>1.0970558520466576E-17</v>
      </c>
      <c r="AK282" s="68">
        <f>AK281+ (IF(AI282="",0,AI282)-AK281)/Charts!$X$5</f>
        <v>1.0970558520466576E-17</v>
      </c>
      <c r="AL282" s="68">
        <f>AL281+ (IF(AH282="",0,AH282)-AL281)/Charts!$X$6</f>
        <v>6.4571557152690764E-2</v>
      </c>
      <c r="AM282" s="68">
        <f>AM281+ (IF(AI282="",0,AI282)-AM281)/Charts!$X$6</f>
        <v>6.4571557152690764E-2</v>
      </c>
      <c r="AN282" s="68" t="str">
        <f t="shared" si="58"/>
        <v>0</v>
      </c>
      <c r="AO282" s="68" t="str">
        <f t="shared" si="59"/>
        <v>0</v>
      </c>
      <c r="AP282" s="69" t="str">
        <f>IF(C282="","",INDEX(Workouts!D:D,MATCH(C282,Workouts!A:A,0)))</f>
        <v/>
      </c>
      <c r="AQ282" s="69" t="str">
        <f>IF(ISNA(MATCH(A282,Data!B:B,0)),"",INDEX(Data!G:G,MATCH(A282,Data!B:B,1)))</f>
        <v/>
      </c>
    </row>
    <row r="283" spans="1:43" s="1" customFormat="1" x14ac:dyDescent="0.2">
      <c r="A283" s="125">
        <f t="shared" si="57"/>
        <v>44478</v>
      </c>
      <c r="B283" s="126" t="str">
        <f t="shared" si="54"/>
        <v>Sat</v>
      </c>
      <c r="C283" s="140"/>
      <c r="D283" s="128" t="str">
        <f t="shared" si="55"/>
        <v/>
      </c>
      <c r="E283" s="129" t="str">
        <f t="shared" si="56"/>
        <v/>
      </c>
      <c r="F283" s="130" t="str">
        <f>IF(SUMIF(Data!B:B,A283,Data!C:C)=0,"",SUMIF(Data!B:B,A283,Data!C:C))</f>
        <v/>
      </c>
      <c r="G283" s="126" t="str">
        <f>IF(OR(S283="T",S283="RUN",SUMIF(Data!B:B,A283,Data!E:E)=0),"",SUMIF(Data!B:B,A283,Data!E:E))</f>
        <v/>
      </c>
      <c r="H283" s="126" t="str">
        <f t="shared" si="48"/>
        <v/>
      </c>
      <c r="I283" s="131" t="str">
        <f t="shared" si="49"/>
        <v>0 (0)</v>
      </c>
      <c r="J283" s="131" t="str">
        <f t="shared" si="50"/>
        <v>0 (0)</v>
      </c>
      <c r="K283" s="131" t="str">
        <f t="shared" si="51"/>
        <v>0 (0)</v>
      </c>
      <c r="L283" s="132" t="str">
        <f t="shared" si="52"/>
        <v/>
      </c>
      <c r="M283" s="131" t="str">
        <f t="shared" si="53"/>
        <v/>
      </c>
      <c r="N283" s="126" t="str">
        <f>IF(ISNA(MATCH(A283,Data!B:B,0)),"",INDEX(Data!H:H,MATCH(A283,Data!B:B,1))) &amp; ""</f>
        <v/>
      </c>
      <c r="O283" s="126" t="str">
        <f>IF(ISNA(MATCH(A283,Data!B:B,0)),"",INDEX(Data!I:I,MATCH(A283,Data!B:B,1))) &amp; ""</f>
        <v/>
      </c>
      <c r="P283" s="133" t="str">
        <f>IF(ISNA(MATCH(A283,Data!B:B,0)),"",INDEX(Data!J:J,MATCH(A283,Data!B:B,1))) &amp; ""</f>
        <v/>
      </c>
      <c r="Q283" s="126" t="str">
        <f>IF(S283="T",Charts!$X$7,IF(ISNA(MATCH(A283,Data!B:B,0)),"",INDEX(Data!K:K,MATCH(A283,Data!B:B,1)))) &amp; ""</f>
        <v/>
      </c>
      <c r="R283" s="134"/>
      <c r="S283" s="134"/>
      <c r="T283" s="127"/>
      <c r="AF283" s="24" t="str">
        <f>IF(C283="","",INDEX(Workouts!B:B,MATCH(C283,Workouts!A:A,0)))</f>
        <v/>
      </c>
      <c r="AG283" s="24" t="str">
        <f>IF(SUMIF(Data!B:B,A283,Data!D:D)=0,"",SUMIF(Data!B:B,A283,Data!D:D))</f>
        <v/>
      </c>
      <c r="AH283" s="25" t="str">
        <f>IF(C283="","",INDEX(Workouts!C:C,MATCH(C283,Workouts!A:A,0)))</f>
        <v/>
      </c>
      <c r="AI283" s="68" t="str">
        <f>IF(SUMIF(Data!B:B,A283,Data!F:F)=0,"",SUMIF(Data!B:B,A283,Data!F:F))</f>
        <v/>
      </c>
      <c r="AJ283" s="68">
        <f>AJ282+ (IF(AH283="",0,AH283)-AJ282)/Charts!$X$5</f>
        <v>9.4033358746856357E-18</v>
      </c>
      <c r="AK283" s="68">
        <f>AK282+ (IF(AI283="",0,AI283)-AK282)/Charts!$X$5</f>
        <v>9.4033358746856357E-18</v>
      </c>
      <c r="AL283" s="68">
        <f>AL282+ (IF(AH283="",0,AH283)-AL282)/Charts!$X$6</f>
        <v>6.3034139125245747E-2</v>
      </c>
      <c r="AM283" s="68">
        <f>AM282+ (IF(AI283="",0,AI283)-AM282)/Charts!$X$6</f>
        <v>6.3034139125245747E-2</v>
      </c>
      <c r="AN283" s="68" t="str">
        <f t="shared" si="58"/>
        <v>0</v>
      </c>
      <c r="AO283" s="68" t="str">
        <f t="shared" si="59"/>
        <v>0</v>
      </c>
      <c r="AP283" s="69" t="str">
        <f>IF(C283="","",INDEX(Workouts!D:D,MATCH(C283,Workouts!A:A,0)))</f>
        <v/>
      </c>
      <c r="AQ283" s="69" t="str">
        <f>IF(ISNA(MATCH(A283,Data!B:B,0)),"",INDEX(Data!G:G,MATCH(A283,Data!B:B,1)))</f>
        <v/>
      </c>
    </row>
    <row r="284" spans="1:43" s="1" customFormat="1" x14ac:dyDescent="0.2">
      <c r="A284" s="125">
        <f t="shared" si="57"/>
        <v>44479</v>
      </c>
      <c r="B284" s="126" t="str">
        <f t="shared" si="54"/>
        <v>Sun</v>
      </c>
      <c r="C284" s="140"/>
      <c r="D284" s="128" t="str">
        <f t="shared" si="55"/>
        <v/>
      </c>
      <c r="E284" s="129" t="str">
        <f t="shared" si="56"/>
        <v/>
      </c>
      <c r="F284" s="130" t="str">
        <f>IF(SUMIF(Data!B:B,A284,Data!C:C)=0,"",SUMIF(Data!B:B,A284,Data!C:C))</f>
        <v/>
      </c>
      <c r="G284" s="126" t="str">
        <f>IF(OR(S284="T",S284="RUN",SUMIF(Data!B:B,A284,Data!E:E)=0),"",SUMIF(Data!B:B,A284,Data!E:E))</f>
        <v/>
      </c>
      <c r="H284" s="126" t="str">
        <f t="shared" si="48"/>
        <v/>
      </c>
      <c r="I284" s="131" t="str">
        <f t="shared" si="49"/>
        <v>0 (0)</v>
      </c>
      <c r="J284" s="131" t="str">
        <f t="shared" si="50"/>
        <v>0 (0)</v>
      </c>
      <c r="K284" s="131" t="str">
        <f t="shared" si="51"/>
        <v>0 (0)</v>
      </c>
      <c r="L284" s="132" t="str">
        <f t="shared" si="52"/>
        <v/>
      </c>
      <c r="M284" s="131" t="str">
        <f t="shared" si="53"/>
        <v/>
      </c>
      <c r="N284" s="126" t="str">
        <f>IF(ISNA(MATCH(A284,Data!B:B,0)),"",INDEX(Data!H:H,MATCH(A284,Data!B:B,1))) &amp; ""</f>
        <v/>
      </c>
      <c r="O284" s="126" t="str">
        <f>IF(ISNA(MATCH(A284,Data!B:B,0)),"",INDEX(Data!I:I,MATCH(A284,Data!B:B,1))) &amp; ""</f>
        <v/>
      </c>
      <c r="P284" s="133" t="str">
        <f>IF(ISNA(MATCH(A284,Data!B:B,0)),"",INDEX(Data!J:J,MATCH(A284,Data!B:B,1))) &amp; ""</f>
        <v/>
      </c>
      <c r="Q284" s="126" t="str">
        <f>IF(S284="T",Charts!$X$7,IF(ISNA(MATCH(A284,Data!B:B,0)),"",INDEX(Data!K:K,MATCH(A284,Data!B:B,1)))) &amp; ""</f>
        <v/>
      </c>
      <c r="R284" s="134"/>
      <c r="S284" s="134"/>
      <c r="T284" s="127"/>
      <c r="AF284" s="24" t="str">
        <f>IF(C284="","",INDEX(Workouts!B:B,MATCH(C284,Workouts!A:A,0)))</f>
        <v/>
      </c>
      <c r="AG284" s="24" t="str">
        <f>IF(SUMIF(Data!B:B,A284,Data!D:D)=0,"",SUMIF(Data!B:B,A284,Data!D:D))</f>
        <v/>
      </c>
      <c r="AH284" s="25" t="str">
        <f>IF(C284="","",INDEX(Workouts!C:C,MATCH(C284,Workouts!A:A,0)))</f>
        <v/>
      </c>
      <c r="AI284" s="68" t="str">
        <f>IF(SUMIF(Data!B:B,A284,Data!F:F)=0,"",SUMIF(Data!B:B,A284,Data!F:F))</f>
        <v/>
      </c>
      <c r="AJ284" s="68">
        <f>AJ283+ (IF(AH284="",0,AH284)-AJ283)/Charts!$X$5</f>
        <v>8.0600021783019741E-18</v>
      </c>
      <c r="AK284" s="68">
        <f>AK283+ (IF(AI284="",0,AI284)-AK283)/Charts!$X$5</f>
        <v>8.0600021783019741E-18</v>
      </c>
      <c r="AL284" s="68">
        <f>AL283+ (IF(AH284="",0,AH284)-AL283)/Charts!$X$6</f>
        <v>6.1533326288930372E-2</v>
      </c>
      <c r="AM284" s="68">
        <f>AM283+ (IF(AI284="",0,AI284)-AM283)/Charts!$X$6</f>
        <v>6.1533326288930372E-2</v>
      </c>
      <c r="AN284" s="68" t="str">
        <f t="shared" si="58"/>
        <v>0</v>
      </c>
      <c r="AO284" s="68" t="str">
        <f t="shared" si="59"/>
        <v>0</v>
      </c>
      <c r="AP284" s="69" t="str">
        <f>IF(C284="","",INDEX(Workouts!D:D,MATCH(C284,Workouts!A:A,0)))</f>
        <v/>
      </c>
      <c r="AQ284" s="69" t="str">
        <f>IF(ISNA(MATCH(A284,Data!B:B,0)),"",INDEX(Data!G:G,MATCH(A284,Data!B:B,1)))</f>
        <v/>
      </c>
    </row>
    <row r="285" spans="1:43" s="1" customFormat="1" x14ac:dyDescent="0.2">
      <c r="A285" s="125">
        <f t="shared" si="57"/>
        <v>44480</v>
      </c>
      <c r="B285" s="126" t="str">
        <f t="shared" si="54"/>
        <v>Mon</v>
      </c>
      <c r="C285" s="140"/>
      <c r="D285" s="128" t="str">
        <f t="shared" si="55"/>
        <v/>
      </c>
      <c r="E285" s="129" t="str">
        <f t="shared" si="56"/>
        <v/>
      </c>
      <c r="F285" s="130" t="str">
        <f>IF(SUMIF(Data!B:B,A285,Data!C:C)=0,"",SUMIF(Data!B:B,A285,Data!C:C))</f>
        <v/>
      </c>
      <c r="G285" s="126" t="str">
        <f>IF(OR(S285="T",S285="RUN",SUMIF(Data!B:B,A285,Data!E:E)=0),"",SUMIF(Data!B:B,A285,Data!E:E))</f>
        <v/>
      </c>
      <c r="H285" s="126" t="str">
        <f t="shared" si="48"/>
        <v/>
      </c>
      <c r="I285" s="131" t="str">
        <f t="shared" si="49"/>
        <v>0 (0)</v>
      </c>
      <c r="J285" s="131" t="str">
        <f t="shared" si="50"/>
        <v>0 (0)</v>
      </c>
      <c r="K285" s="131" t="str">
        <f t="shared" si="51"/>
        <v>0 (0)</v>
      </c>
      <c r="L285" s="132" t="str">
        <f t="shared" si="52"/>
        <v/>
      </c>
      <c r="M285" s="131" t="str">
        <f t="shared" si="53"/>
        <v/>
      </c>
      <c r="N285" s="126" t="str">
        <f>IF(ISNA(MATCH(A285,Data!B:B,0)),"",INDEX(Data!H:H,MATCH(A285,Data!B:B,1))) &amp; ""</f>
        <v/>
      </c>
      <c r="O285" s="126" t="str">
        <f>IF(ISNA(MATCH(A285,Data!B:B,0)),"",INDEX(Data!I:I,MATCH(A285,Data!B:B,1))) &amp; ""</f>
        <v/>
      </c>
      <c r="P285" s="133" t="str">
        <f>IF(ISNA(MATCH(A285,Data!B:B,0)),"",INDEX(Data!J:J,MATCH(A285,Data!B:B,1))) &amp; ""</f>
        <v/>
      </c>
      <c r="Q285" s="126" t="str">
        <f>IF(S285="T",Charts!$X$7,IF(ISNA(MATCH(A285,Data!B:B,0)),"",INDEX(Data!K:K,MATCH(A285,Data!B:B,1)))) &amp; ""</f>
        <v/>
      </c>
      <c r="R285" s="134"/>
      <c r="S285" s="134"/>
      <c r="T285" s="127"/>
      <c r="AF285" s="24" t="str">
        <f>IF(C285="","",INDEX(Workouts!B:B,MATCH(C285,Workouts!A:A,0)))</f>
        <v/>
      </c>
      <c r="AG285" s="24" t="str">
        <f>IF(SUMIF(Data!B:B,A285,Data!D:D)=0,"",SUMIF(Data!B:B,A285,Data!D:D))</f>
        <v/>
      </c>
      <c r="AH285" s="25" t="str">
        <f>IF(C285="","",INDEX(Workouts!C:C,MATCH(C285,Workouts!A:A,0)))</f>
        <v/>
      </c>
      <c r="AI285" s="68" t="str">
        <f>IF(SUMIF(Data!B:B,A285,Data!F:F)=0,"",SUMIF(Data!B:B,A285,Data!F:F))</f>
        <v/>
      </c>
      <c r="AJ285" s="68">
        <f>AJ284+ (IF(AH285="",0,AH285)-AJ284)/Charts!$X$5</f>
        <v>6.9085732956874062E-18</v>
      </c>
      <c r="AK285" s="68">
        <f>AK284+ (IF(AI285="",0,AI285)-AK284)/Charts!$X$5</f>
        <v>6.9085732956874062E-18</v>
      </c>
      <c r="AL285" s="68">
        <f>AL284+ (IF(AH285="",0,AH285)-AL284)/Charts!$X$6</f>
        <v>6.0068247091574885E-2</v>
      </c>
      <c r="AM285" s="68">
        <f>AM284+ (IF(AI285="",0,AI285)-AM284)/Charts!$X$6</f>
        <v>6.0068247091574885E-2</v>
      </c>
      <c r="AN285" s="68" t="str">
        <f t="shared" si="58"/>
        <v>0</v>
      </c>
      <c r="AO285" s="68" t="str">
        <f t="shared" si="59"/>
        <v>0</v>
      </c>
      <c r="AP285" s="69" t="str">
        <f>IF(C285="","",INDEX(Workouts!D:D,MATCH(C285,Workouts!A:A,0)))</f>
        <v/>
      </c>
      <c r="AQ285" s="69" t="str">
        <f>IF(ISNA(MATCH(A285,Data!B:B,0)),"",INDEX(Data!G:G,MATCH(A285,Data!B:B,1)))</f>
        <v/>
      </c>
    </row>
    <row r="286" spans="1:43" s="1" customFormat="1" x14ac:dyDescent="0.2">
      <c r="A286" s="125">
        <f t="shared" si="57"/>
        <v>44481</v>
      </c>
      <c r="B286" s="126" t="str">
        <f t="shared" si="54"/>
        <v>Tue</v>
      </c>
      <c r="C286" s="140"/>
      <c r="D286" s="128" t="str">
        <f t="shared" si="55"/>
        <v/>
      </c>
      <c r="E286" s="129" t="str">
        <f t="shared" si="56"/>
        <v/>
      </c>
      <c r="F286" s="130" t="str">
        <f>IF(SUMIF(Data!B:B,A286,Data!C:C)=0,"",SUMIF(Data!B:B,A286,Data!C:C))</f>
        <v/>
      </c>
      <c r="G286" s="126" t="str">
        <f>IF(OR(S286="T",S286="RUN",SUMIF(Data!B:B,A286,Data!E:E)=0),"",SUMIF(Data!B:B,A286,Data!E:E))</f>
        <v/>
      </c>
      <c r="H286" s="126" t="str">
        <f t="shared" si="48"/>
        <v/>
      </c>
      <c r="I286" s="131" t="str">
        <f t="shared" si="49"/>
        <v>0 (0)</v>
      </c>
      <c r="J286" s="131" t="str">
        <f t="shared" si="50"/>
        <v>0 (0)</v>
      </c>
      <c r="K286" s="131" t="str">
        <f t="shared" si="51"/>
        <v>0 (0)</v>
      </c>
      <c r="L286" s="132" t="str">
        <f t="shared" si="52"/>
        <v/>
      </c>
      <c r="M286" s="131" t="str">
        <f t="shared" si="53"/>
        <v/>
      </c>
      <c r="N286" s="126" t="str">
        <f>IF(ISNA(MATCH(A286,Data!B:B,0)),"",INDEX(Data!H:H,MATCH(A286,Data!B:B,1))) &amp; ""</f>
        <v/>
      </c>
      <c r="O286" s="126" t="str">
        <f>IF(ISNA(MATCH(A286,Data!B:B,0)),"",INDEX(Data!I:I,MATCH(A286,Data!B:B,1))) &amp; ""</f>
        <v/>
      </c>
      <c r="P286" s="133" t="str">
        <f>IF(ISNA(MATCH(A286,Data!B:B,0)),"",INDEX(Data!J:J,MATCH(A286,Data!B:B,1))) &amp; ""</f>
        <v/>
      </c>
      <c r="Q286" s="126" t="str">
        <f>IF(S286="T",Charts!$X$7,IF(ISNA(MATCH(A286,Data!B:B,0)),"",INDEX(Data!K:K,MATCH(A286,Data!B:B,1)))) &amp; ""</f>
        <v/>
      </c>
      <c r="R286" s="134"/>
      <c r="S286" s="134"/>
      <c r="T286" s="127"/>
      <c r="AF286" s="24" t="str">
        <f>IF(C286="","",INDEX(Workouts!B:B,MATCH(C286,Workouts!A:A,0)))</f>
        <v/>
      </c>
      <c r="AG286" s="24" t="str">
        <f>IF(SUMIF(Data!B:B,A286,Data!D:D)=0,"",SUMIF(Data!B:B,A286,Data!D:D))</f>
        <v/>
      </c>
      <c r="AH286" s="25" t="str">
        <f>IF(C286="","",INDEX(Workouts!C:C,MATCH(C286,Workouts!A:A,0)))</f>
        <v/>
      </c>
      <c r="AI286" s="68" t="str">
        <f>IF(SUMIF(Data!B:B,A286,Data!F:F)=0,"",SUMIF(Data!B:B,A286,Data!F:F))</f>
        <v/>
      </c>
      <c r="AJ286" s="68">
        <f>AJ285+ (IF(AH286="",0,AH286)-AJ285)/Charts!$X$5</f>
        <v>5.9216342534463484E-18</v>
      </c>
      <c r="AK286" s="68">
        <f>AK285+ (IF(AI286="",0,AI286)-AK285)/Charts!$X$5</f>
        <v>5.9216342534463484E-18</v>
      </c>
      <c r="AL286" s="68">
        <f>AL285+ (IF(AH286="",0,AH286)-AL285)/Charts!$X$6</f>
        <v>5.8638050732251673E-2</v>
      </c>
      <c r="AM286" s="68">
        <f>AM285+ (IF(AI286="",0,AI286)-AM285)/Charts!$X$6</f>
        <v>5.8638050732251673E-2</v>
      </c>
      <c r="AN286" s="68" t="str">
        <f t="shared" si="58"/>
        <v>0</v>
      </c>
      <c r="AO286" s="68" t="str">
        <f t="shared" si="59"/>
        <v>0</v>
      </c>
      <c r="AP286" s="69" t="str">
        <f>IF(C286="","",INDEX(Workouts!D:D,MATCH(C286,Workouts!A:A,0)))</f>
        <v/>
      </c>
      <c r="AQ286" s="69" t="str">
        <f>IF(ISNA(MATCH(A286,Data!B:B,0)),"",INDEX(Data!G:G,MATCH(A286,Data!B:B,1)))</f>
        <v/>
      </c>
    </row>
    <row r="287" spans="1:43" s="1" customFormat="1" x14ac:dyDescent="0.2">
      <c r="A287" s="125">
        <f t="shared" si="57"/>
        <v>44482</v>
      </c>
      <c r="B287" s="126" t="str">
        <f t="shared" si="54"/>
        <v>Wed</v>
      </c>
      <c r="C287" s="140"/>
      <c r="D287" s="128" t="str">
        <f t="shared" si="55"/>
        <v/>
      </c>
      <c r="E287" s="129" t="str">
        <f t="shared" si="56"/>
        <v/>
      </c>
      <c r="F287" s="130" t="str">
        <f>IF(SUMIF(Data!B:B,A287,Data!C:C)=0,"",SUMIF(Data!B:B,A287,Data!C:C))</f>
        <v/>
      </c>
      <c r="G287" s="126" t="str">
        <f>IF(OR(S287="T",S287="RUN",SUMIF(Data!B:B,A287,Data!E:E)=0),"",SUMIF(Data!B:B,A287,Data!E:E))</f>
        <v/>
      </c>
      <c r="H287" s="126" t="str">
        <f t="shared" si="48"/>
        <v/>
      </c>
      <c r="I287" s="131" t="str">
        <f t="shared" si="49"/>
        <v>0 (0)</v>
      </c>
      <c r="J287" s="131" t="str">
        <f t="shared" si="50"/>
        <v>0 (0)</v>
      </c>
      <c r="K287" s="131" t="str">
        <f t="shared" si="51"/>
        <v>0 (0)</v>
      </c>
      <c r="L287" s="132" t="str">
        <f t="shared" si="52"/>
        <v/>
      </c>
      <c r="M287" s="131" t="str">
        <f t="shared" si="53"/>
        <v/>
      </c>
      <c r="N287" s="126" t="str">
        <f>IF(ISNA(MATCH(A287,Data!B:B,0)),"",INDEX(Data!H:H,MATCH(A287,Data!B:B,1))) &amp; ""</f>
        <v/>
      </c>
      <c r="O287" s="126" t="str">
        <f>IF(ISNA(MATCH(A287,Data!B:B,0)),"",INDEX(Data!I:I,MATCH(A287,Data!B:B,1))) &amp; ""</f>
        <v/>
      </c>
      <c r="P287" s="133" t="str">
        <f>IF(ISNA(MATCH(A287,Data!B:B,0)),"",INDEX(Data!J:J,MATCH(A287,Data!B:B,1))) &amp; ""</f>
        <v/>
      </c>
      <c r="Q287" s="126" t="str">
        <f>IF(S287="T",Charts!$X$7,IF(ISNA(MATCH(A287,Data!B:B,0)),"",INDEX(Data!K:K,MATCH(A287,Data!B:B,1)))) &amp; ""</f>
        <v/>
      </c>
      <c r="R287" s="134"/>
      <c r="S287" s="134"/>
      <c r="T287" s="127"/>
      <c r="AF287" s="24" t="str">
        <f>IF(C287="","",INDEX(Workouts!B:B,MATCH(C287,Workouts!A:A,0)))</f>
        <v/>
      </c>
      <c r="AG287" s="24" t="str">
        <f>IF(SUMIF(Data!B:B,A287,Data!D:D)=0,"",SUMIF(Data!B:B,A287,Data!D:D))</f>
        <v/>
      </c>
      <c r="AH287" s="25" t="str">
        <f>IF(C287="","",INDEX(Workouts!C:C,MATCH(C287,Workouts!A:A,0)))</f>
        <v/>
      </c>
      <c r="AI287" s="68" t="str">
        <f>IF(SUMIF(Data!B:B,A287,Data!F:F)=0,"",SUMIF(Data!B:B,A287,Data!F:F))</f>
        <v/>
      </c>
      <c r="AJ287" s="68">
        <f>AJ286+ (IF(AH287="",0,AH287)-AJ286)/Charts!$X$5</f>
        <v>5.0756865029540132E-18</v>
      </c>
      <c r="AK287" s="68">
        <f>AK286+ (IF(AI287="",0,AI287)-AK286)/Charts!$X$5</f>
        <v>5.0756865029540132E-18</v>
      </c>
      <c r="AL287" s="68">
        <f>AL286+ (IF(AH287="",0,AH287)-AL286)/Charts!$X$6</f>
        <v>5.7241906667198063E-2</v>
      </c>
      <c r="AM287" s="68">
        <f>AM286+ (IF(AI287="",0,AI287)-AM286)/Charts!$X$6</f>
        <v>5.7241906667198063E-2</v>
      </c>
      <c r="AN287" s="68" t="str">
        <f t="shared" si="58"/>
        <v>0</v>
      </c>
      <c r="AO287" s="68" t="str">
        <f t="shared" si="59"/>
        <v>0</v>
      </c>
      <c r="AP287" s="69" t="str">
        <f>IF(C287="","",INDEX(Workouts!D:D,MATCH(C287,Workouts!A:A,0)))</f>
        <v/>
      </c>
      <c r="AQ287" s="69" t="str">
        <f>IF(ISNA(MATCH(A287,Data!B:B,0)),"",INDEX(Data!G:G,MATCH(A287,Data!B:B,1)))</f>
        <v/>
      </c>
    </row>
    <row r="288" spans="1:43" s="1" customFormat="1" x14ac:dyDescent="0.2">
      <c r="A288" s="125">
        <f t="shared" si="57"/>
        <v>44483</v>
      </c>
      <c r="B288" s="126" t="str">
        <f t="shared" si="54"/>
        <v>Thu</v>
      </c>
      <c r="C288" s="140"/>
      <c r="D288" s="128" t="str">
        <f t="shared" si="55"/>
        <v/>
      </c>
      <c r="E288" s="129" t="str">
        <f t="shared" si="56"/>
        <v/>
      </c>
      <c r="F288" s="130" t="str">
        <f>IF(SUMIF(Data!B:B,A288,Data!C:C)=0,"",SUMIF(Data!B:B,A288,Data!C:C))</f>
        <v/>
      </c>
      <c r="G288" s="126" t="str">
        <f>IF(OR(S288="T",S288="RUN",SUMIF(Data!B:B,A288,Data!E:E)=0),"",SUMIF(Data!B:B,A288,Data!E:E))</f>
        <v/>
      </c>
      <c r="H288" s="126" t="str">
        <f t="shared" si="48"/>
        <v/>
      </c>
      <c r="I288" s="131" t="str">
        <f t="shared" si="49"/>
        <v>0 (0)</v>
      </c>
      <c r="J288" s="131" t="str">
        <f t="shared" si="50"/>
        <v>0 (0)</v>
      </c>
      <c r="K288" s="131" t="str">
        <f t="shared" si="51"/>
        <v>0 (0)</v>
      </c>
      <c r="L288" s="132" t="str">
        <f t="shared" si="52"/>
        <v/>
      </c>
      <c r="M288" s="131" t="str">
        <f t="shared" si="53"/>
        <v/>
      </c>
      <c r="N288" s="126" t="str">
        <f>IF(ISNA(MATCH(A288,Data!B:B,0)),"",INDEX(Data!H:H,MATCH(A288,Data!B:B,1))) &amp; ""</f>
        <v/>
      </c>
      <c r="O288" s="126" t="str">
        <f>IF(ISNA(MATCH(A288,Data!B:B,0)),"",INDEX(Data!I:I,MATCH(A288,Data!B:B,1))) &amp; ""</f>
        <v/>
      </c>
      <c r="P288" s="133" t="str">
        <f>IF(ISNA(MATCH(A288,Data!B:B,0)),"",INDEX(Data!J:J,MATCH(A288,Data!B:B,1))) &amp; ""</f>
        <v/>
      </c>
      <c r="Q288" s="126" t="str">
        <f>IF(S288="T",Charts!$X$7,IF(ISNA(MATCH(A288,Data!B:B,0)),"",INDEX(Data!K:K,MATCH(A288,Data!B:B,1)))) &amp; ""</f>
        <v/>
      </c>
      <c r="R288" s="134"/>
      <c r="S288" s="134"/>
      <c r="T288" s="127"/>
      <c r="AF288" s="24" t="str">
        <f>IF(C288="","",INDEX(Workouts!B:B,MATCH(C288,Workouts!A:A,0)))</f>
        <v/>
      </c>
      <c r="AG288" s="24" t="str">
        <f>IF(SUMIF(Data!B:B,A288,Data!D:D)=0,"",SUMIF(Data!B:B,A288,Data!D:D))</f>
        <v/>
      </c>
      <c r="AH288" s="25" t="str">
        <f>IF(C288="","",INDEX(Workouts!C:C,MATCH(C288,Workouts!A:A,0)))</f>
        <v/>
      </c>
      <c r="AI288" s="68" t="str">
        <f>IF(SUMIF(Data!B:B,A288,Data!F:F)=0,"",SUMIF(Data!B:B,A288,Data!F:F))</f>
        <v/>
      </c>
      <c r="AJ288" s="68">
        <f>AJ287+ (IF(AH288="",0,AH288)-AJ287)/Charts!$X$5</f>
        <v>4.35058843110344E-18</v>
      </c>
      <c r="AK288" s="68">
        <f>AK287+ (IF(AI288="",0,AI288)-AK287)/Charts!$X$5</f>
        <v>4.35058843110344E-18</v>
      </c>
      <c r="AL288" s="68">
        <f>AL287+ (IF(AH288="",0,AH288)-AL287)/Charts!$X$6</f>
        <v>5.5879004127502872E-2</v>
      </c>
      <c r="AM288" s="68">
        <f>AM287+ (IF(AI288="",0,AI288)-AM287)/Charts!$X$6</f>
        <v>5.5879004127502872E-2</v>
      </c>
      <c r="AN288" s="68" t="str">
        <f t="shared" si="58"/>
        <v>0</v>
      </c>
      <c r="AO288" s="68" t="str">
        <f t="shared" si="59"/>
        <v>0</v>
      </c>
      <c r="AP288" s="69" t="str">
        <f>IF(C288="","",INDEX(Workouts!D:D,MATCH(C288,Workouts!A:A,0)))</f>
        <v/>
      </c>
      <c r="AQ288" s="69" t="str">
        <f>IF(ISNA(MATCH(A288,Data!B:B,0)),"",INDEX(Data!G:G,MATCH(A288,Data!B:B,1)))</f>
        <v/>
      </c>
    </row>
    <row r="289" spans="1:43" s="1" customFormat="1" x14ac:dyDescent="0.2">
      <c r="A289" s="125">
        <f t="shared" si="57"/>
        <v>44484</v>
      </c>
      <c r="B289" s="126" t="str">
        <f t="shared" si="54"/>
        <v>Fri</v>
      </c>
      <c r="C289" s="140"/>
      <c r="D289" s="128" t="str">
        <f t="shared" si="55"/>
        <v/>
      </c>
      <c r="E289" s="129" t="str">
        <f t="shared" si="56"/>
        <v/>
      </c>
      <c r="F289" s="130" t="str">
        <f>IF(SUMIF(Data!B:B,A289,Data!C:C)=0,"",SUMIF(Data!B:B,A289,Data!C:C))</f>
        <v/>
      </c>
      <c r="G289" s="126" t="str">
        <f>IF(OR(S289="T",S289="RUN",SUMIF(Data!B:B,A289,Data!E:E)=0),"",SUMIF(Data!B:B,A289,Data!E:E))</f>
        <v/>
      </c>
      <c r="H289" s="126" t="str">
        <f t="shared" si="48"/>
        <v/>
      </c>
      <c r="I289" s="131" t="str">
        <f t="shared" si="49"/>
        <v>0 (0)</v>
      </c>
      <c r="J289" s="131" t="str">
        <f t="shared" si="50"/>
        <v>0 (0)</v>
      </c>
      <c r="K289" s="131" t="str">
        <f t="shared" si="51"/>
        <v>0 (0)</v>
      </c>
      <c r="L289" s="132" t="str">
        <f t="shared" si="52"/>
        <v/>
      </c>
      <c r="M289" s="131" t="str">
        <f t="shared" si="53"/>
        <v/>
      </c>
      <c r="N289" s="126" t="str">
        <f>IF(ISNA(MATCH(A289,Data!B:B,0)),"",INDEX(Data!H:H,MATCH(A289,Data!B:B,1))) &amp; ""</f>
        <v/>
      </c>
      <c r="O289" s="126" t="str">
        <f>IF(ISNA(MATCH(A289,Data!B:B,0)),"",INDEX(Data!I:I,MATCH(A289,Data!B:B,1))) &amp; ""</f>
        <v/>
      </c>
      <c r="P289" s="133" t="str">
        <f>IF(ISNA(MATCH(A289,Data!B:B,0)),"",INDEX(Data!J:J,MATCH(A289,Data!B:B,1))) &amp; ""</f>
        <v/>
      </c>
      <c r="Q289" s="126" t="str">
        <f>IF(S289="T",Charts!$X$7,IF(ISNA(MATCH(A289,Data!B:B,0)),"",INDEX(Data!K:K,MATCH(A289,Data!B:B,1)))) &amp; ""</f>
        <v/>
      </c>
      <c r="R289" s="134"/>
      <c r="S289" s="134"/>
      <c r="T289" s="127"/>
      <c r="AF289" s="24" t="str">
        <f>IF(C289="","",INDEX(Workouts!B:B,MATCH(C289,Workouts!A:A,0)))</f>
        <v/>
      </c>
      <c r="AG289" s="24" t="str">
        <f>IF(SUMIF(Data!B:B,A289,Data!D:D)=0,"",SUMIF(Data!B:B,A289,Data!D:D))</f>
        <v/>
      </c>
      <c r="AH289" s="25" t="str">
        <f>IF(C289="","",INDEX(Workouts!C:C,MATCH(C289,Workouts!A:A,0)))</f>
        <v/>
      </c>
      <c r="AI289" s="68" t="str">
        <f>IF(SUMIF(Data!B:B,A289,Data!F:F)=0,"",SUMIF(Data!B:B,A289,Data!F:F))</f>
        <v/>
      </c>
      <c r="AJ289" s="68">
        <f>AJ288+ (IF(AH289="",0,AH289)-AJ288)/Charts!$X$5</f>
        <v>3.729075798088663E-18</v>
      </c>
      <c r="AK289" s="68">
        <f>AK288+ (IF(AI289="",0,AI289)-AK288)/Charts!$X$5</f>
        <v>3.729075798088663E-18</v>
      </c>
      <c r="AL289" s="68">
        <f>AL288+ (IF(AH289="",0,AH289)-AL288)/Charts!$X$6</f>
        <v>5.4548551648276614E-2</v>
      </c>
      <c r="AM289" s="68">
        <f>AM288+ (IF(AI289="",0,AI289)-AM288)/Charts!$X$6</f>
        <v>5.4548551648276614E-2</v>
      </c>
      <c r="AN289" s="68" t="str">
        <f t="shared" si="58"/>
        <v>0</v>
      </c>
      <c r="AO289" s="68" t="str">
        <f t="shared" si="59"/>
        <v>0</v>
      </c>
      <c r="AP289" s="69" t="str">
        <f>IF(C289="","",INDEX(Workouts!D:D,MATCH(C289,Workouts!A:A,0)))</f>
        <v/>
      </c>
      <c r="AQ289" s="69" t="str">
        <f>IF(ISNA(MATCH(A289,Data!B:B,0)),"",INDEX(Data!G:G,MATCH(A289,Data!B:B,1)))</f>
        <v/>
      </c>
    </row>
    <row r="290" spans="1:43" s="1" customFormat="1" x14ac:dyDescent="0.2">
      <c r="A290" s="125">
        <f t="shared" si="57"/>
        <v>44485</v>
      </c>
      <c r="B290" s="126" t="str">
        <f t="shared" si="54"/>
        <v>Sat</v>
      </c>
      <c r="C290" s="140"/>
      <c r="D290" s="128" t="str">
        <f t="shared" si="55"/>
        <v/>
      </c>
      <c r="E290" s="129" t="str">
        <f t="shared" si="56"/>
        <v/>
      </c>
      <c r="F290" s="130" t="str">
        <f>IF(SUMIF(Data!B:B,A290,Data!C:C)=0,"",SUMIF(Data!B:B,A290,Data!C:C))</f>
        <v/>
      </c>
      <c r="G290" s="126" t="str">
        <f>IF(OR(S290="T",S290="RUN",SUMIF(Data!B:B,A290,Data!E:E)=0),"",SUMIF(Data!B:B,A290,Data!E:E))</f>
        <v/>
      </c>
      <c r="H290" s="126" t="str">
        <f t="shared" si="48"/>
        <v/>
      </c>
      <c r="I290" s="131" t="str">
        <f t="shared" si="49"/>
        <v>0 (0)</v>
      </c>
      <c r="J290" s="131" t="str">
        <f t="shared" si="50"/>
        <v>0 (0)</v>
      </c>
      <c r="K290" s="131" t="str">
        <f t="shared" si="51"/>
        <v>0 (0)</v>
      </c>
      <c r="L290" s="132" t="str">
        <f t="shared" si="52"/>
        <v/>
      </c>
      <c r="M290" s="131" t="str">
        <f t="shared" si="53"/>
        <v/>
      </c>
      <c r="N290" s="126" t="str">
        <f>IF(ISNA(MATCH(A290,Data!B:B,0)),"",INDEX(Data!H:H,MATCH(A290,Data!B:B,1))) &amp; ""</f>
        <v/>
      </c>
      <c r="O290" s="126" t="str">
        <f>IF(ISNA(MATCH(A290,Data!B:B,0)),"",INDEX(Data!I:I,MATCH(A290,Data!B:B,1))) &amp; ""</f>
        <v/>
      </c>
      <c r="P290" s="133" t="str">
        <f>IF(ISNA(MATCH(A290,Data!B:B,0)),"",INDEX(Data!J:J,MATCH(A290,Data!B:B,1))) &amp; ""</f>
        <v/>
      </c>
      <c r="Q290" s="126" t="str">
        <f>IF(S290="T",Charts!$X$7,IF(ISNA(MATCH(A290,Data!B:B,0)),"",INDEX(Data!K:K,MATCH(A290,Data!B:B,1)))) &amp; ""</f>
        <v/>
      </c>
      <c r="R290" s="134"/>
      <c r="S290" s="134"/>
      <c r="T290" s="127"/>
      <c r="AF290" s="24" t="str">
        <f>IF(C290="","",INDEX(Workouts!B:B,MATCH(C290,Workouts!A:A,0)))</f>
        <v/>
      </c>
      <c r="AG290" s="24" t="str">
        <f>IF(SUMIF(Data!B:B,A290,Data!D:D)=0,"",SUMIF(Data!B:B,A290,Data!D:D))</f>
        <v/>
      </c>
      <c r="AH290" s="25" t="str">
        <f>IF(C290="","",INDEX(Workouts!C:C,MATCH(C290,Workouts!A:A,0)))</f>
        <v/>
      </c>
      <c r="AI290" s="68" t="str">
        <f>IF(SUMIF(Data!B:B,A290,Data!F:F)=0,"",SUMIF(Data!B:B,A290,Data!F:F))</f>
        <v/>
      </c>
      <c r="AJ290" s="68">
        <f>AJ289+ (IF(AH290="",0,AH290)-AJ289)/Charts!$X$5</f>
        <v>3.1963506840759969E-18</v>
      </c>
      <c r="AK290" s="68">
        <f>AK289+ (IF(AI290="",0,AI290)-AK289)/Charts!$X$5</f>
        <v>3.1963506840759969E-18</v>
      </c>
      <c r="AL290" s="68">
        <f>AL289+ (IF(AH290="",0,AH290)-AL289)/Charts!$X$6</f>
        <v>5.3249776609031935E-2</v>
      </c>
      <c r="AM290" s="68">
        <f>AM289+ (IF(AI290="",0,AI290)-AM289)/Charts!$X$6</f>
        <v>5.3249776609031935E-2</v>
      </c>
      <c r="AN290" s="68" t="str">
        <f t="shared" si="58"/>
        <v>0</v>
      </c>
      <c r="AO290" s="68" t="str">
        <f t="shared" si="59"/>
        <v>0</v>
      </c>
      <c r="AP290" s="69" t="str">
        <f>IF(C290="","",INDEX(Workouts!D:D,MATCH(C290,Workouts!A:A,0)))</f>
        <v/>
      </c>
      <c r="AQ290" s="69" t="str">
        <f>IF(ISNA(MATCH(A290,Data!B:B,0)),"",INDEX(Data!G:G,MATCH(A290,Data!B:B,1)))</f>
        <v/>
      </c>
    </row>
    <row r="291" spans="1:43" s="1" customFormat="1" x14ac:dyDescent="0.2">
      <c r="A291" s="125">
        <f t="shared" si="57"/>
        <v>44486</v>
      </c>
      <c r="B291" s="126" t="str">
        <f t="shared" si="54"/>
        <v>Sun</v>
      </c>
      <c r="C291" s="140"/>
      <c r="D291" s="128" t="str">
        <f t="shared" si="55"/>
        <v/>
      </c>
      <c r="E291" s="129" t="str">
        <f t="shared" si="56"/>
        <v/>
      </c>
      <c r="F291" s="130" t="str">
        <f>IF(SUMIF(Data!B:B,A291,Data!C:C)=0,"",SUMIF(Data!B:B,A291,Data!C:C))</f>
        <v/>
      </c>
      <c r="G291" s="126" t="str">
        <f>IF(OR(S291="T",S291="RUN",SUMIF(Data!B:B,A291,Data!E:E)=0),"",SUMIF(Data!B:B,A291,Data!E:E))</f>
        <v/>
      </c>
      <c r="H291" s="126" t="str">
        <f t="shared" si="48"/>
        <v/>
      </c>
      <c r="I291" s="131" t="str">
        <f t="shared" si="49"/>
        <v>0 (0)</v>
      </c>
      <c r="J291" s="131" t="str">
        <f t="shared" si="50"/>
        <v>0 (0)</v>
      </c>
      <c r="K291" s="131" t="str">
        <f t="shared" si="51"/>
        <v>0 (0)</v>
      </c>
      <c r="L291" s="132" t="str">
        <f t="shared" si="52"/>
        <v/>
      </c>
      <c r="M291" s="131" t="str">
        <f t="shared" si="53"/>
        <v/>
      </c>
      <c r="N291" s="126" t="str">
        <f>IF(ISNA(MATCH(A291,Data!B:B,0)),"",INDEX(Data!H:H,MATCH(A291,Data!B:B,1))) &amp; ""</f>
        <v/>
      </c>
      <c r="O291" s="126" t="str">
        <f>IF(ISNA(MATCH(A291,Data!B:B,0)),"",INDEX(Data!I:I,MATCH(A291,Data!B:B,1))) &amp; ""</f>
        <v/>
      </c>
      <c r="P291" s="133" t="str">
        <f>IF(ISNA(MATCH(A291,Data!B:B,0)),"",INDEX(Data!J:J,MATCH(A291,Data!B:B,1))) &amp; ""</f>
        <v/>
      </c>
      <c r="Q291" s="126" t="str">
        <f>IF(S291="T",Charts!$X$7,IF(ISNA(MATCH(A291,Data!B:B,0)),"",INDEX(Data!K:K,MATCH(A291,Data!B:B,1)))) &amp; ""</f>
        <v/>
      </c>
      <c r="R291" s="134"/>
      <c r="S291" s="134"/>
      <c r="T291" s="127"/>
      <c r="AF291" s="24" t="str">
        <f>IF(C291="","",INDEX(Workouts!B:B,MATCH(C291,Workouts!A:A,0)))</f>
        <v/>
      </c>
      <c r="AG291" s="24" t="str">
        <f>IF(SUMIF(Data!B:B,A291,Data!D:D)=0,"",SUMIF(Data!B:B,A291,Data!D:D))</f>
        <v/>
      </c>
      <c r="AH291" s="25" t="str">
        <f>IF(C291="","",INDEX(Workouts!C:C,MATCH(C291,Workouts!A:A,0)))</f>
        <v/>
      </c>
      <c r="AI291" s="68" t="str">
        <f>IF(SUMIF(Data!B:B,A291,Data!F:F)=0,"",SUMIF(Data!B:B,A291,Data!F:F))</f>
        <v/>
      </c>
      <c r="AJ291" s="68">
        <f>AJ290+ (IF(AH291="",0,AH291)-AJ290)/Charts!$X$5</f>
        <v>2.7397291577794259E-18</v>
      </c>
      <c r="AK291" s="68">
        <f>AK290+ (IF(AI291="",0,AI291)-AK290)/Charts!$X$5</f>
        <v>2.7397291577794259E-18</v>
      </c>
      <c r="AL291" s="68">
        <f>AL290+ (IF(AH291="",0,AH291)-AL290)/Charts!$X$6</f>
        <v>5.1981924785007363E-2</v>
      </c>
      <c r="AM291" s="68">
        <f>AM290+ (IF(AI291="",0,AI291)-AM290)/Charts!$X$6</f>
        <v>5.1981924785007363E-2</v>
      </c>
      <c r="AN291" s="68" t="str">
        <f t="shared" si="58"/>
        <v>0</v>
      </c>
      <c r="AO291" s="68" t="str">
        <f t="shared" si="59"/>
        <v>0</v>
      </c>
      <c r="AP291" s="69" t="str">
        <f>IF(C291="","",INDEX(Workouts!D:D,MATCH(C291,Workouts!A:A,0)))</f>
        <v/>
      </c>
      <c r="AQ291" s="69" t="str">
        <f>IF(ISNA(MATCH(A291,Data!B:B,0)),"",INDEX(Data!G:G,MATCH(A291,Data!B:B,1)))</f>
        <v/>
      </c>
    </row>
    <row r="292" spans="1:43" s="1" customFormat="1" x14ac:dyDescent="0.2">
      <c r="A292" s="125">
        <f t="shared" si="57"/>
        <v>44487</v>
      </c>
      <c r="B292" s="126" t="str">
        <f t="shared" si="54"/>
        <v>Mon</v>
      </c>
      <c r="C292" s="140"/>
      <c r="D292" s="128" t="str">
        <f t="shared" si="55"/>
        <v/>
      </c>
      <c r="E292" s="129" t="str">
        <f t="shared" si="56"/>
        <v/>
      </c>
      <c r="F292" s="130" t="str">
        <f>IF(SUMIF(Data!B:B,A292,Data!C:C)=0,"",SUMIF(Data!B:B,A292,Data!C:C))</f>
        <v/>
      </c>
      <c r="G292" s="126" t="str">
        <f>IF(OR(S292="T",S292="RUN",SUMIF(Data!B:B,A292,Data!E:E)=0),"",SUMIF(Data!B:B,A292,Data!E:E))</f>
        <v/>
      </c>
      <c r="H292" s="126" t="str">
        <f t="shared" si="48"/>
        <v/>
      </c>
      <c r="I292" s="131" t="str">
        <f t="shared" si="49"/>
        <v>0 (0)</v>
      </c>
      <c r="J292" s="131" t="str">
        <f t="shared" si="50"/>
        <v>0 (0)</v>
      </c>
      <c r="K292" s="131" t="str">
        <f t="shared" si="51"/>
        <v>0 (0)</v>
      </c>
      <c r="L292" s="132" t="str">
        <f t="shared" si="52"/>
        <v/>
      </c>
      <c r="M292" s="131" t="str">
        <f t="shared" si="53"/>
        <v/>
      </c>
      <c r="N292" s="126" t="str">
        <f>IF(ISNA(MATCH(A292,Data!B:B,0)),"",INDEX(Data!H:H,MATCH(A292,Data!B:B,1))) &amp; ""</f>
        <v/>
      </c>
      <c r="O292" s="126" t="str">
        <f>IF(ISNA(MATCH(A292,Data!B:B,0)),"",INDEX(Data!I:I,MATCH(A292,Data!B:B,1))) &amp; ""</f>
        <v/>
      </c>
      <c r="P292" s="133" t="str">
        <f>IF(ISNA(MATCH(A292,Data!B:B,0)),"",INDEX(Data!J:J,MATCH(A292,Data!B:B,1))) &amp; ""</f>
        <v/>
      </c>
      <c r="Q292" s="126" t="str">
        <f>IF(S292="T",Charts!$X$7,IF(ISNA(MATCH(A292,Data!B:B,0)),"",INDEX(Data!K:K,MATCH(A292,Data!B:B,1)))) &amp; ""</f>
        <v/>
      </c>
      <c r="R292" s="134"/>
      <c r="S292" s="134"/>
      <c r="T292" s="127"/>
      <c r="AF292" s="24" t="str">
        <f>IF(C292="","",INDEX(Workouts!B:B,MATCH(C292,Workouts!A:A,0)))</f>
        <v/>
      </c>
      <c r="AG292" s="24" t="str">
        <f>IF(SUMIF(Data!B:B,A292,Data!D:D)=0,"",SUMIF(Data!B:B,A292,Data!D:D))</f>
        <v/>
      </c>
      <c r="AH292" s="25" t="str">
        <f>IF(C292="","",INDEX(Workouts!C:C,MATCH(C292,Workouts!A:A,0)))</f>
        <v/>
      </c>
      <c r="AI292" s="68" t="str">
        <f>IF(SUMIF(Data!B:B,A292,Data!F:F)=0,"",SUMIF(Data!B:B,A292,Data!F:F))</f>
        <v/>
      </c>
      <c r="AJ292" s="68">
        <f>AJ291+ (IF(AH292="",0,AH292)-AJ291)/Charts!$X$5</f>
        <v>2.3483392780966506E-18</v>
      </c>
      <c r="AK292" s="68">
        <f>AK291+ (IF(AI292="",0,AI292)-AK291)/Charts!$X$5</f>
        <v>2.3483392780966506E-18</v>
      </c>
      <c r="AL292" s="68">
        <f>AL291+ (IF(AH292="",0,AH292)-AL291)/Charts!$X$6</f>
        <v>5.0744259909173854E-2</v>
      </c>
      <c r="AM292" s="68">
        <f>AM291+ (IF(AI292="",0,AI292)-AM291)/Charts!$X$6</f>
        <v>5.0744259909173854E-2</v>
      </c>
      <c r="AN292" s="68" t="str">
        <f t="shared" si="58"/>
        <v>0</v>
      </c>
      <c r="AO292" s="68" t="str">
        <f t="shared" si="59"/>
        <v>0</v>
      </c>
      <c r="AP292" s="69" t="str">
        <f>IF(C292="","",INDEX(Workouts!D:D,MATCH(C292,Workouts!A:A,0)))</f>
        <v/>
      </c>
      <c r="AQ292" s="69" t="str">
        <f>IF(ISNA(MATCH(A292,Data!B:B,0)),"",INDEX(Data!G:G,MATCH(A292,Data!B:B,1)))</f>
        <v/>
      </c>
    </row>
    <row r="293" spans="1:43" s="1" customFormat="1" x14ac:dyDescent="0.2">
      <c r="A293" s="125">
        <f t="shared" si="57"/>
        <v>44488</v>
      </c>
      <c r="B293" s="126" t="str">
        <f t="shared" si="54"/>
        <v>Tue</v>
      </c>
      <c r="C293" s="140"/>
      <c r="D293" s="128" t="str">
        <f t="shared" si="55"/>
        <v/>
      </c>
      <c r="E293" s="129" t="str">
        <f t="shared" si="56"/>
        <v/>
      </c>
      <c r="F293" s="130" t="str">
        <f>IF(SUMIF(Data!B:B,A293,Data!C:C)=0,"",SUMIF(Data!B:B,A293,Data!C:C))</f>
        <v/>
      </c>
      <c r="G293" s="126" t="str">
        <f>IF(OR(S293="T",S293="RUN",SUMIF(Data!B:B,A293,Data!E:E)=0),"",SUMIF(Data!B:B,A293,Data!E:E))</f>
        <v/>
      </c>
      <c r="H293" s="126" t="str">
        <f t="shared" si="48"/>
        <v/>
      </c>
      <c r="I293" s="131" t="str">
        <f t="shared" si="49"/>
        <v>0 (0)</v>
      </c>
      <c r="J293" s="131" t="str">
        <f t="shared" si="50"/>
        <v>0 (0)</v>
      </c>
      <c r="K293" s="131" t="str">
        <f t="shared" si="51"/>
        <v>0 (0)</v>
      </c>
      <c r="L293" s="132" t="str">
        <f t="shared" si="52"/>
        <v/>
      </c>
      <c r="M293" s="131" t="str">
        <f t="shared" si="53"/>
        <v/>
      </c>
      <c r="N293" s="126" t="str">
        <f>IF(ISNA(MATCH(A293,Data!B:B,0)),"",INDEX(Data!H:H,MATCH(A293,Data!B:B,1))) &amp; ""</f>
        <v/>
      </c>
      <c r="O293" s="126" t="str">
        <f>IF(ISNA(MATCH(A293,Data!B:B,0)),"",INDEX(Data!I:I,MATCH(A293,Data!B:B,1))) &amp; ""</f>
        <v/>
      </c>
      <c r="P293" s="133" t="str">
        <f>IF(ISNA(MATCH(A293,Data!B:B,0)),"",INDEX(Data!J:J,MATCH(A293,Data!B:B,1))) &amp; ""</f>
        <v/>
      </c>
      <c r="Q293" s="126" t="str">
        <f>IF(S293="T",Charts!$X$7,IF(ISNA(MATCH(A293,Data!B:B,0)),"",INDEX(Data!K:K,MATCH(A293,Data!B:B,1)))) &amp; ""</f>
        <v/>
      </c>
      <c r="R293" s="134"/>
      <c r="S293" s="134"/>
      <c r="T293" s="127"/>
      <c r="AF293" s="24" t="str">
        <f>IF(C293="","",INDEX(Workouts!B:B,MATCH(C293,Workouts!A:A,0)))</f>
        <v/>
      </c>
      <c r="AG293" s="24" t="str">
        <f>IF(SUMIF(Data!B:B,A293,Data!D:D)=0,"",SUMIF(Data!B:B,A293,Data!D:D))</f>
        <v/>
      </c>
      <c r="AH293" s="25" t="str">
        <f>IF(C293="","",INDEX(Workouts!C:C,MATCH(C293,Workouts!A:A,0)))</f>
        <v/>
      </c>
      <c r="AI293" s="68" t="str">
        <f>IF(SUMIF(Data!B:B,A293,Data!F:F)=0,"",SUMIF(Data!B:B,A293,Data!F:F))</f>
        <v/>
      </c>
      <c r="AJ293" s="68">
        <f>AJ292+ (IF(AH293="",0,AH293)-AJ292)/Charts!$X$5</f>
        <v>2.0128622383685578E-18</v>
      </c>
      <c r="AK293" s="68">
        <f>AK292+ (IF(AI293="",0,AI293)-AK292)/Charts!$X$5</f>
        <v>2.0128622383685578E-18</v>
      </c>
      <c r="AL293" s="68">
        <f>AL292+ (IF(AH293="",0,AH293)-AL292)/Charts!$X$6</f>
        <v>4.9536063244669713E-2</v>
      </c>
      <c r="AM293" s="68">
        <f>AM292+ (IF(AI293="",0,AI293)-AM292)/Charts!$X$6</f>
        <v>4.9536063244669713E-2</v>
      </c>
      <c r="AN293" s="68" t="str">
        <f t="shared" si="58"/>
        <v>0</v>
      </c>
      <c r="AO293" s="68" t="str">
        <f t="shared" si="59"/>
        <v>0</v>
      </c>
      <c r="AP293" s="69" t="str">
        <f>IF(C293="","",INDEX(Workouts!D:D,MATCH(C293,Workouts!A:A,0)))</f>
        <v/>
      </c>
      <c r="AQ293" s="69" t="str">
        <f>IF(ISNA(MATCH(A293,Data!B:B,0)),"",INDEX(Data!G:G,MATCH(A293,Data!B:B,1)))</f>
        <v/>
      </c>
    </row>
    <row r="294" spans="1:43" s="1" customFormat="1" x14ac:dyDescent="0.2">
      <c r="A294" s="125">
        <f t="shared" si="57"/>
        <v>44489</v>
      </c>
      <c r="B294" s="126" t="str">
        <f t="shared" si="54"/>
        <v>Wed</v>
      </c>
      <c r="C294" s="140"/>
      <c r="D294" s="128" t="str">
        <f t="shared" si="55"/>
        <v/>
      </c>
      <c r="E294" s="129" t="str">
        <f t="shared" si="56"/>
        <v/>
      </c>
      <c r="F294" s="130" t="str">
        <f>IF(SUMIF(Data!B:B,A294,Data!C:C)=0,"",SUMIF(Data!B:B,A294,Data!C:C))</f>
        <v/>
      </c>
      <c r="G294" s="126" t="str">
        <f>IF(OR(S294="T",S294="RUN",SUMIF(Data!B:B,A294,Data!E:E)=0),"",SUMIF(Data!B:B,A294,Data!E:E))</f>
        <v/>
      </c>
      <c r="H294" s="126" t="str">
        <f t="shared" si="48"/>
        <v/>
      </c>
      <c r="I294" s="131" t="str">
        <f t="shared" si="49"/>
        <v>0 (0)</v>
      </c>
      <c r="J294" s="131" t="str">
        <f t="shared" si="50"/>
        <v>0 (0)</v>
      </c>
      <c r="K294" s="131" t="str">
        <f t="shared" si="51"/>
        <v>0 (0)</v>
      </c>
      <c r="L294" s="132" t="str">
        <f t="shared" si="52"/>
        <v/>
      </c>
      <c r="M294" s="131" t="str">
        <f t="shared" si="53"/>
        <v/>
      </c>
      <c r="N294" s="126" t="str">
        <f>IF(ISNA(MATCH(A294,Data!B:B,0)),"",INDEX(Data!H:H,MATCH(A294,Data!B:B,1))) &amp; ""</f>
        <v/>
      </c>
      <c r="O294" s="126" t="str">
        <f>IF(ISNA(MATCH(A294,Data!B:B,0)),"",INDEX(Data!I:I,MATCH(A294,Data!B:B,1))) &amp; ""</f>
        <v/>
      </c>
      <c r="P294" s="133" t="str">
        <f>IF(ISNA(MATCH(A294,Data!B:B,0)),"",INDEX(Data!J:J,MATCH(A294,Data!B:B,1))) &amp; ""</f>
        <v/>
      </c>
      <c r="Q294" s="126" t="str">
        <f>IF(S294="T",Charts!$X$7,IF(ISNA(MATCH(A294,Data!B:B,0)),"",INDEX(Data!K:K,MATCH(A294,Data!B:B,1)))) &amp; ""</f>
        <v/>
      </c>
      <c r="R294" s="134"/>
      <c r="S294" s="134"/>
      <c r="T294" s="127"/>
      <c r="AF294" s="24" t="str">
        <f>IF(C294="","",INDEX(Workouts!B:B,MATCH(C294,Workouts!A:A,0)))</f>
        <v/>
      </c>
      <c r="AG294" s="24" t="str">
        <f>IF(SUMIF(Data!B:B,A294,Data!D:D)=0,"",SUMIF(Data!B:B,A294,Data!D:D))</f>
        <v/>
      </c>
      <c r="AH294" s="25" t="str">
        <f>IF(C294="","",INDEX(Workouts!C:C,MATCH(C294,Workouts!A:A,0)))</f>
        <v/>
      </c>
      <c r="AI294" s="68" t="str">
        <f>IF(SUMIF(Data!B:B,A294,Data!F:F)=0,"",SUMIF(Data!B:B,A294,Data!F:F))</f>
        <v/>
      </c>
      <c r="AJ294" s="68">
        <f>AJ293+ (IF(AH294="",0,AH294)-AJ293)/Charts!$X$5</f>
        <v>1.7253104900301924E-18</v>
      </c>
      <c r="AK294" s="68">
        <f>AK293+ (IF(AI294="",0,AI294)-AK293)/Charts!$X$5</f>
        <v>1.7253104900301924E-18</v>
      </c>
      <c r="AL294" s="68">
        <f>AL293+ (IF(AH294="",0,AH294)-AL293)/Charts!$X$6</f>
        <v>4.8356633167415675E-2</v>
      </c>
      <c r="AM294" s="68">
        <f>AM293+ (IF(AI294="",0,AI294)-AM293)/Charts!$X$6</f>
        <v>4.8356633167415675E-2</v>
      </c>
      <c r="AN294" s="68" t="str">
        <f t="shared" si="58"/>
        <v>0</v>
      </c>
      <c r="AO294" s="68" t="str">
        <f t="shared" si="59"/>
        <v>0</v>
      </c>
      <c r="AP294" s="69" t="str">
        <f>IF(C294="","",INDEX(Workouts!D:D,MATCH(C294,Workouts!A:A,0)))</f>
        <v/>
      </c>
      <c r="AQ294" s="69" t="str">
        <f>IF(ISNA(MATCH(A294,Data!B:B,0)),"",INDEX(Data!G:G,MATCH(A294,Data!B:B,1)))</f>
        <v/>
      </c>
    </row>
    <row r="295" spans="1:43" s="1" customFormat="1" x14ac:dyDescent="0.2">
      <c r="A295" s="125">
        <f t="shared" si="57"/>
        <v>44490</v>
      </c>
      <c r="B295" s="126" t="str">
        <f t="shared" si="54"/>
        <v>Thu</v>
      </c>
      <c r="C295" s="140"/>
      <c r="D295" s="128" t="str">
        <f t="shared" si="55"/>
        <v/>
      </c>
      <c r="E295" s="129" t="str">
        <f t="shared" si="56"/>
        <v/>
      </c>
      <c r="F295" s="130" t="str">
        <f>IF(SUMIF(Data!B:B,A295,Data!C:C)=0,"",SUMIF(Data!B:B,A295,Data!C:C))</f>
        <v/>
      </c>
      <c r="G295" s="126" t="str">
        <f>IF(OR(S295="T",S295="RUN",SUMIF(Data!B:B,A295,Data!E:E)=0),"",SUMIF(Data!B:B,A295,Data!E:E))</f>
        <v/>
      </c>
      <c r="H295" s="126" t="str">
        <f t="shared" si="48"/>
        <v/>
      </c>
      <c r="I295" s="131" t="str">
        <f t="shared" si="49"/>
        <v>0 (0)</v>
      </c>
      <c r="J295" s="131" t="str">
        <f t="shared" si="50"/>
        <v>0 (0)</v>
      </c>
      <c r="K295" s="131" t="str">
        <f t="shared" si="51"/>
        <v>0 (0)</v>
      </c>
      <c r="L295" s="132" t="str">
        <f t="shared" si="52"/>
        <v/>
      </c>
      <c r="M295" s="131" t="str">
        <f t="shared" si="53"/>
        <v/>
      </c>
      <c r="N295" s="126" t="str">
        <f>IF(ISNA(MATCH(A295,Data!B:B,0)),"",INDEX(Data!H:H,MATCH(A295,Data!B:B,1))) &amp; ""</f>
        <v/>
      </c>
      <c r="O295" s="126" t="str">
        <f>IF(ISNA(MATCH(A295,Data!B:B,0)),"",INDEX(Data!I:I,MATCH(A295,Data!B:B,1))) &amp; ""</f>
        <v/>
      </c>
      <c r="P295" s="133" t="str">
        <f>IF(ISNA(MATCH(A295,Data!B:B,0)),"",INDEX(Data!J:J,MATCH(A295,Data!B:B,1))) &amp; ""</f>
        <v/>
      </c>
      <c r="Q295" s="126" t="str">
        <f>IF(S295="T",Charts!$X$7,IF(ISNA(MATCH(A295,Data!B:B,0)),"",INDEX(Data!K:K,MATCH(A295,Data!B:B,1)))) &amp; ""</f>
        <v/>
      </c>
      <c r="R295" s="134"/>
      <c r="S295" s="134"/>
      <c r="T295" s="127"/>
      <c r="AF295" s="24" t="str">
        <f>IF(C295="","",INDEX(Workouts!B:B,MATCH(C295,Workouts!A:A,0)))</f>
        <v/>
      </c>
      <c r="AG295" s="24" t="str">
        <f>IF(SUMIF(Data!B:B,A295,Data!D:D)=0,"",SUMIF(Data!B:B,A295,Data!D:D))</f>
        <v/>
      </c>
      <c r="AH295" s="25" t="str">
        <f>IF(C295="","",INDEX(Workouts!C:C,MATCH(C295,Workouts!A:A,0)))</f>
        <v/>
      </c>
      <c r="AI295" s="68" t="str">
        <f>IF(SUMIF(Data!B:B,A295,Data!F:F)=0,"",SUMIF(Data!B:B,A295,Data!F:F))</f>
        <v/>
      </c>
      <c r="AJ295" s="68">
        <f>AJ294+ (IF(AH295="",0,AH295)-AJ294)/Charts!$X$5</f>
        <v>1.4788375628830221E-18</v>
      </c>
      <c r="AK295" s="68">
        <f>AK294+ (IF(AI295="",0,AI295)-AK294)/Charts!$X$5</f>
        <v>1.4788375628830221E-18</v>
      </c>
      <c r="AL295" s="68">
        <f>AL294+ (IF(AH295="",0,AH295)-AL294)/Charts!$X$6</f>
        <v>4.7205284758667684E-2</v>
      </c>
      <c r="AM295" s="68">
        <f>AM294+ (IF(AI295="",0,AI295)-AM294)/Charts!$X$6</f>
        <v>4.7205284758667684E-2</v>
      </c>
      <c r="AN295" s="68" t="str">
        <f t="shared" si="58"/>
        <v>0</v>
      </c>
      <c r="AO295" s="68" t="str">
        <f t="shared" si="59"/>
        <v>0</v>
      </c>
      <c r="AP295" s="69" t="str">
        <f>IF(C295="","",INDEX(Workouts!D:D,MATCH(C295,Workouts!A:A,0)))</f>
        <v/>
      </c>
      <c r="AQ295" s="69" t="str">
        <f>IF(ISNA(MATCH(A295,Data!B:B,0)),"",INDEX(Data!G:G,MATCH(A295,Data!B:B,1)))</f>
        <v/>
      </c>
    </row>
    <row r="296" spans="1:43" s="1" customFormat="1" x14ac:dyDescent="0.2">
      <c r="A296" s="125">
        <f t="shared" si="57"/>
        <v>44491</v>
      </c>
      <c r="B296" s="126" t="str">
        <f t="shared" si="54"/>
        <v>Fri</v>
      </c>
      <c r="C296" s="140"/>
      <c r="D296" s="128" t="str">
        <f t="shared" si="55"/>
        <v/>
      </c>
      <c r="E296" s="129" t="str">
        <f t="shared" si="56"/>
        <v/>
      </c>
      <c r="F296" s="130" t="str">
        <f>IF(SUMIF(Data!B:B,A296,Data!C:C)=0,"",SUMIF(Data!B:B,A296,Data!C:C))</f>
        <v/>
      </c>
      <c r="G296" s="126" t="str">
        <f>IF(OR(S296="T",S296="RUN",SUMIF(Data!B:B,A296,Data!E:E)=0),"",SUMIF(Data!B:B,A296,Data!E:E))</f>
        <v/>
      </c>
      <c r="H296" s="126" t="str">
        <f t="shared" si="48"/>
        <v/>
      </c>
      <c r="I296" s="131" t="str">
        <f t="shared" si="49"/>
        <v>0 (0)</v>
      </c>
      <c r="J296" s="131" t="str">
        <f t="shared" si="50"/>
        <v>0 (0)</v>
      </c>
      <c r="K296" s="131" t="str">
        <f t="shared" si="51"/>
        <v>0 (0)</v>
      </c>
      <c r="L296" s="132" t="str">
        <f t="shared" si="52"/>
        <v/>
      </c>
      <c r="M296" s="131" t="str">
        <f t="shared" si="53"/>
        <v/>
      </c>
      <c r="N296" s="126" t="str">
        <f>IF(ISNA(MATCH(A296,Data!B:B,0)),"",INDEX(Data!H:H,MATCH(A296,Data!B:B,1))) &amp; ""</f>
        <v/>
      </c>
      <c r="O296" s="126" t="str">
        <f>IF(ISNA(MATCH(A296,Data!B:B,0)),"",INDEX(Data!I:I,MATCH(A296,Data!B:B,1))) &amp; ""</f>
        <v/>
      </c>
      <c r="P296" s="133" t="str">
        <f>IF(ISNA(MATCH(A296,Data!B:B,0)),"",INDEX(Data!J:J,MATCH(A296,Data!B:B,1))) &amp; ""</f>
        <v/>
      </c>
      <c r="Q296" s="126" t="str">
        <f>IF(S296="T",Charts!$X$7,IF(ISNA(MATCH(A296,Data!B:B,0)),"",INDEX(Data!K:K,MATCH(A296,Data!B:B,1)))) &amp; ""</f>
        <v/>
      </c>
      <c r="R296" s="134"/>
      <c r="S296" s="134"/>
      <c r="T296" s="127"/>
      <c r="AF296" s="24" t="str">
        <f>IF(C296="","",INDEX(Workouts!B:B,MATCH(C296,Workouts!A:A,0)))</f>
        <v/>
      </c>
      <c r="AG296" s="24" t="str">
        <f>IF(SUMIF(Data!B:B,A296,Data!D:D)=0,"",SUMIF(Data!B:B,A296,Data!D:D))</f>
        <v/>
      </c>
      <c r="AH296" s="25" t="str">
        <f>IF(C296="","",INDEX(Workouts!C:C,MATCH(C296,Workouts!A:A,0)))</f>
        <v/>
      </c>
      <c r="AI296" s="68" t="str">
        <f>IF(SUMIF(Data!B:B,A296,Data!F:F)=0,"",SUMIF(Data!B:B,A296,Data!F:F))</f>
        <v/>
      </c>
      <c r="AJ296" s="68">
        <f>AJ295+ (IF(AH296="",0,AH296)-AJ295)/Charts!$X$5</f>
        <v>1.2675750538997331E-18</v>
      </c>
      <c r="AK296" s="68">
        <f>AK295+ (IF(AI296="",0,AI296)-AK295)/Charts!$X$5</f>
        <v>1.2675750538997331E-18</v>
      </c>
      <c r="AL296" s="68">
        <f>AL295+ (IF(AH296="",0,AH296)-AL295)/Charts!$X$6</f>
        <v>4.6081349407270836E-2</v>
      </c>
      <c r="AM296" s="68">
        <f>AM295+ (IF(AI296="",0,AI296)-AM295)/Charts!$X$6</f>
        <v>4.6081349407270836E-2</v>
      </c>
      <c r="AN296" s="68" t="str">
        <f t="shared" si="58"/>
        <v>0</v>
      </c>
      <c r="AO296" s="68" t="str">
        <f t="shared" si="59"/>
        <v>0</v>
      </c>
      <c r="AP296" s="69" t="str">
        <f>IF(C296="","",INDEX(Workouts!D:D,MATCH(C296,Workouts!A:A,0)))</f>
        <v/>
      </c>
      <c r="AQ296" s="69" t="str">
        <f>IF(ISNA(MATCH(A296,Data!B:B,0)),"",INDEX(Data!G:G,MATCH(A296,Data!B:B,1)))</f>
        <v/>
      </c>
    </row>
    <row r="297" spans="1:43" s="1" customFormat="1" x14ac:dyDescent="0.2">
      <c r="A297" s="125">
        <f t="shared" si="57"/>
        <v>44492</v>
      </c>
      <c r="B297" s="126" t="str">
        <f t="shared" si="54"/>
        <v>Sat</v>
      </c>
      <c r="C297" s="140"/>
      <c r="D297" s="128" t="str">
        <f t="shared" si="55"/>
        <v/>
      </c>
      <c r="E297" s="129" t="str">
        <f t="shared" si="56"/>
        <v/>
      </c>
      <c r="F297" s="130" t="str">
        <f>IF(SUMIF(Data!B:B,A297,Data!C:C)=0,"",SUMIF(Data!B:B,A297,Data!C:C))</f>
        <v/>
      </c>
      <c r="G297" s="126" t="str">
        <f>IF(OR(S297="T",S297="RUN",SUMIF(Data!B:B,A297,Data!E:E)=0),"",SUMIF(Data!B:B,A297,Data!E:E))</f>
        <v/>
      </c>
      <c r="H297" s="126" t="str">
        <f t="shared" si="48"/>
        <v/>
      </c>
      <c r="I297" s="131" t="str">
        <f t="shared" si="49"/>
        <v>0 (0)</v>
      </c>
      <c r="J297" s="131" t="str">
        <f t="shared" si="50"/>
        <v>0 (0)</v>
      </c>
      <c r="K297" s="131" t="str">
        <f t="shared" si="51"/>
        <v>0 (0)</v>
      </c>
      <c r="L297" s="132" t="str">
        <f t="shared" si="52"/>
        <v/>
      </c>
      <c r="M297" s="131" t="str">
        <f t="shared" si="53"/>
        <v/>
      </c>
      <c r="N297" s="126" t="str">
        <f>IF(ISNA(MATCH(A297,Data!B:B,0)),"",INDEX(Data!H:H,MATCH(A297,Data!B:B,1))) &amp; ""</f>
        <v/>
      </c>
      <c r="O297" s="126" t="str">
        <f>IF(ISNA(MATCH(A297,Data!B:B,0)),"",INDEX(Data!I:I,MATCH(A297,Data!B:B,1))) &amp; ""</f>
        <v/>
      </c>
      <c r="P297" s="133" t="str">
        <f>IF(ISNA(MATCH(A297,Data!B:B,0)),"",INDEX(Data!J:J,MATCH(A297,Data!B:B,1))) &amp; ""</f>
        <v/>
      </c>
      <c r="Q297" s="126" t="str">
        <f>IF(S297="T",Charts!$X$7,IF(ISNA(MATCH(A297,Data!B:B,0)),"",INDEX(Data!K:K,MATCH(A297,Data!B:B,1)))) &amp; ""</f>
        <v/>
      </c>
      <c r="R297" s="134"/>
      <c r="S297" s="134"/>
      <c r="T297" s="127"/>
      <c r="AF297" s="24" t="str">
        <f>IF(C297="","",INDEX(Workouts!B:B,MATCH(C297,Workouts!A:A,0)))</f>
        <v/>
      </c>
      <c r="AG297" s="24" t="str">
        <f>IF(SUMIF(Data!B:B,A297,Data!D:D)=0,"",SUMIF(Data!B:B,A297,Data!D:D))</f>
        <v/>
      </c>
      <c r="AH297" s="25" t="str">
        <f>IF(C297="","",INDEX(Workouts!C:C,MATCH(C297,Workouts!A:A,0)))</f>
        <v/>
      </c>
      <c r="AI297" s="68" t="str">
        <f>IF(SUMIF(Data!B:B,A297,Data!F:F)=0,"",SUMIF(Data!B:B,A297,Data!F:F))</f>
        <v/>
      </c>
      <c r="AJ297" s="68">
        <f>AJ296+ (IF(AH297="",0,AH297)-AJ296)/Charts!$X$5</f>
        <v>1.0864929033426283E-18</v>
      </c>
      <c r="AK297" s="68">
        <f>AK296+ (IF(AI297="",0,AI297)-AK296)/Charts!$X$5</f>
        <v>1.0864929033426283E-18</v>
      </c>
      <c r="AL297" s="68">
        <f>AL296+ (IF(AH297="",0,AH297)-AL296)/Charts!$X$6</f>
        <v>4.4984174421383437E-2</v>
      </c>
      <c r="AM297" s="68">
        <f>AM296+ (IF(AI297="",0,AI297)-AM296)/Charts!$X$6</f>
        <v>4.4984174421383437E-2</v>
      </c>
      <c r="AN297" s="68" t="str">
        <f t="shared" si="58"/>
        <v>0</v>
      </c>
      <c r="AO297" s="68" t="str">
        <f t="shared" si="59"/>
        <v>0</v>
      </c>
      <c r="AP297" s="69" t="str">
        <f>IF(C297="","",INDEX(Workouts!D:D,MATCH(C297,Workouts!A:A,0)))</f>
        <v/>
      </c>
      <c r="AQ297" s="69" t="str">
        <f>IF(ISNA(MATCH(A297,Data!B:B,0)),"",INDEX(Data!G:G,MATCH(A297,Data!B:B,1)))</f>
        <v/>
      </c>
    </row>
    <row r="298" spans="1:43" s="1" customFormat="1" x14ac:dyDescent="0.2">
      <c r="A298" s="125">
        <f t="shared" si="57"/>
        <v>44493</v>
      </c>
      <c r="B298" s="126" t="str">
        <f t="shared" si="54"/>
        <v>Sun</v>
      </c>
      <c r="C298" s="140"/>
      <c r="D298" s="128" t="str">
        <f t="shared" si="55"/>
        <v/>
      </c>
      <c r="E298" s="129" t="str">
        <f t="shared" si="56"/>
        <v/>
      </c>
      <c r="F298" s="130" t="str">
        <f>IF(SUMIF(Data!B:B,A298,Data!C:C)=0,"",SUMIF(Data!B:B,A298,Data!C:C))</f>
        <v/>
      </c>
      <c r="G298" s="126" t="str">
        <f>IF(OR(S298="T",S298="RUN",SUMIF(Data!B:B,A298,Data!E:E)=0),"",SUMIF(Data!B:B,A298,Data!E:E))</f>
        <v/>
      </c>
      <c r="H298" s="126" t="str">
        <f t="shared" si="48"/>
        <v/>
      </c>
      <c r="I298" s="131" t="str">
        <f t="shared" si="49"/>
        <v>0 (0)</v>
      </c>
      <c r="J298" s="131" t="str">
        <f t="shared" si="50"/>
        <v>0 (0)</v>
      </c>
      <c r="K298" s="131" t="str">
        <f t="shared" si="51"/>
        <v>0 (0)</v>
      </c>
      <c r="L298" s="132" t="str">
        <f t="shared" si="52"/>
        <v/>
      </c>
      <c r="M298" s="131" t="str">
        <f t="shared" si="53"/>
        <v/>
      </c>
      <c r="N298" s="126" t="str">
        <f>IF(ISNA(MATCH(A298,Data!B:B,0)),"",INDEX(Data!H:H,MATCH(A298,Data!B:B,1))) &amp; ""</f>
        <v/>
      </c>
      <c r="O298" s="126" t="str">
        <f>IF(ISNA(MATCH(A298,Data!B:B,0)),"",INDEX(Data!I:I,MATCH(A298,Data!B:B,1))) &amp; ""</f>
        <v/>
      </c>
      <c r="P298" s="133" t="str">
        <f>IF(ISNA(MATCH(A298,Data!B:B,0)),"",INDEX(Data!J:J,MATCH(A298,Data!B:B,1))) &amp; ""</f>
        <v/>
      </c>
      <c r="Q298" s="126" t="str">
        <f>IF(S298="T",Charts!$X$7,IF(ISNA(MATCH(A298,Data!B:B,0)),"",INDEX(Data!K:K,MATCH(A298,Data!B:B,1)))) &amp; ""</f>
        <v/>
      </c>
      <c r="R298" s="134"/>
      <c r="S298" s="134"/>
      <c r="T298" s="127"/>
      <c r="AF298" s="24" t="str">
        <f>IF(C298="","",INDEX(Workouts!B:B,MATCH(C298,Workouts!A:A,0)))</f>
        <v/>
      </c>
      <c r="AG298" s="24" t="str">
        <f>IF(SUMIF(Data!B:B,A298,Data!D:D)=0,"",SUMIF(Data!B:B,A298,Data!D:D))</f>
        <v/>
      </c>
      <c r="AH298" s="25" t="str">
        <f>IF(C298="","",INDEX(Workouts!C:C,MATCH(C298,Workouts!A:A,0)))</f>
        <v/>
      </c>
      <c r="AI298" s="68" t="str">
        <f>IF(SUMIF(Data!B:B,A298,Data!F:F)=0,"",SUMIF(Data!B:B,A298,Data!F:F))</f>
        <v/>
      </c>
      <c r="AJ298" s="68">
        <f>AJ297+ (IF(AH298="",0,AH298)-AJ297)/Charts!$X$5</f>
        <v>9.3127963143653851E-19</v>
      </c>
      <c r="AK298" s="68">
        <f>AK297+ (IF(AI298="",0,AI298)-AK297)/Charts!$X$5</f>
        <v>9.3127963143653851E-19</v>
      </c>
      <c r="AL298" s="68">
        <f>AL297+ (IF(AH298="",0,AH298)-AL297)/Charts!$X$6</f>
        <v>4.3913122649445739E-2</v>
      </c>
      <c r="AM298" s="68">
        <f>AM297+ (IF(AI298="",0,AI298)-AM297)/Charts!$X$6</f>
        <v>4.3913122649445739E-2</v>
      </c>
      <c r="AN298" s="68" t="str">
        <f t="shared" si="58"/>
        <v>0</v>
      </c>
      <c r="AO298" s="68" t="str">
        <f t="shared" si="59"/>
        <v>0</v>
      </c>
      <c r="AP298" s="69" t="str">
        <f>IF(C298="","",INDEX(Workouts!D:D,MATCH(C298,Workouts!A:A,0)))</f>
        <v/>
      </c>
      <c r="AQ298" s="69" t="str">
        <f>IF(ISNA(MATCH(A298,Data!B:B,0)),"",INDEX(Data!G:G,MATCH(A298,Data!B:B,1)))</f>
        <v/>
      </c>
    </row>
    <row r="299" spans="1:43" s="1" customFormat="1" x14ac:dyDescent="0.2">
      <c r="A299" s="125">
        <f t="shared" si="57"/>
        <v>44494</v>
      </c>
      <c r="B299" s="126" t="str">
        <f t="shared" si="54"/>
        <v>Mon</v>
      </c>
      <c r="C299" s="140"/>
      <c r="D299" s="128" t="str">
        <f t="shared" si="55"/>
        <v/>
      </c>
      <c r="E299" s="129" t="str">
        <f t="shared" si="56"/>
        <v/>
      </c>
      <c r="F299" s="130" t="str">
        <f>IF(SUMIF(Data!B:B,A299,Data!C:C)=0,"",SUMIF(Data!B:B,A299,Data!C:C))</f>
        <v/>
      </c>
      <c r="G299" s="126" t="str">
        <f>IF(OR(S299="T",S299="RUN",SUMIF(Data!B:B,A299,Data!E:E)=0),"",SUMIF(Data!B:B,A299,Data!E:E))</f>
        <v/>
      </c>
      <c r="H299" s="126" t="str">
        <f t="shared" si="48"/>
        <v/>
      </c>
      <c r="I299" s="131" t="str">
        <f t="shared" si="49"/>
        <v>0 (0)</v>
      </c>
      <c r="J299" s="131" t="str">
        <f t="shared" si="50"/>
        <v>0 (0)</v>
      </c>
      <c r="K299" s="131" t="str">
        <f t="shared" si="51"/>
        <v>0 (0)</v>
      </c>
      <c r="L299" s="132" t="str">
        <f t="shared" si="52"/>
        <v/>
      </c>
      <c r="M299" s="131" t="str">
        <f t="shared" si="53"/>
        <v/>
      </c>
      <c r="N299" s="126" t="str">
        <f>IF(ISNA(MATCH(A299,Data!B:B,0)),"",INDEX(Data!H:H,MATCH(A299,Data!B:B,1))) &amp; ""</f>
        <v/>
      </c>
      <c r="O299" s="126" t="str">
        <f>IF(ISNA(MATCH(A299,Data!B:B,0)),"",INDEX(Data!I:I,MATCH(A299,Data!B:B,1))) &amp; ""</f>
        <v/>
      </c>
      <c r="P299" s="133" t="str">
        <f>IF(ISNA(MATCH(A299,Data!B:B,0)),"",INDEX(Data!J:J,MATCH(A299,Data!B:B,1))) &amp; ""</f>
        <v/>
      </c>
      <c r="Q299" s="126" t="str">
        <f>IF(S299="T",Charts!$X$7,IF(ISNA(MATCH(A299,Data!B:B,0)),"",INDEX(Data!K:K,MATCH(A299,Data!B:B,1)))) &amp; ""</f>
        <v/>
      </c>
      <c r="R299" s="134"/>
      <c r="S299" s="134"/>
      <c r="T299" s="127"/>
      <c r="AF299" s="24" t="str">
        <f>IF(C299="","",INDEX(Workouts!B:B,MATCH(C299,Workouts!A:A,0)))</f>
        <v/>
      </c>
      <c r="AG299" s="24" t="str">
        <f>IF(SUMIF(Data!B:B,A299,Data!D:D)=0,"",SUMIF(Data!B:B,A299,Data!D:D))</f>
        <v/>
      </c>
      <c r="AH299" s="25" t="str">
        <f>IF(C299="","",INDEX(Workouts!C:C,MATCH(C299,Workouts!A:A,0)))</f>
        <v/>
      </c>
      <c r="AI299" s="68" t="str">
        <f>IF(SUMIF(Data!B:B,A299,Data!F:F)=0,"",SUMIF(Data!B:B,A299,Data!F:F))</f>
        <v/>
      </c>
      <c r="AJ299" s="68">
        <f>AJ298+ (IF(AH299="",0,AH299)-AJ298)/Charts!$X$5</f>
        <v>7.9823968408846152E-19</v>
      </c>
      <c r="AK299" s="68">
        <f>AK298+ (IF(AI299="",0,AI299)-AK298)/Charts!$X$5</f>
        <v>7.9823968408846152E-19</v>
      </c>
      <c r="AL299" s="68">
        <f>AL298+ (IF(AH299="",0,AH299)-AL298)/Charts!$X$6</f>
        <v>4.2867572110173224E-2</v>
      </c>
      <c r="AM299" s="68">
        <f>AM298+ (IF(AI299="",0,AI299)-AM298)/Charts!$X$6</f>
        <v>4.2867572110173224E-2</v>
      </c>
      <c r="AN299" s="68" t="str">
        <f t="shared" si="58"/>
        <v>0</v>
      </c>
      <c r="AO299" s="68" t="str">
        <f t="shared" si="59"/>
        <v>0</v>
      </c>
      <c r="AP299" s="69" t="str">
        <f>IF(C299="","",INDEX(Workouts!D:D,MATCH(C299,Workouts!A:A,0)))</f>
        <v/>
      </c>
      <c r="AQ299" s="69" t="str">
        <f>IF(ISNA(MATCH(A299,Data!B:B,0)),"",INDEX(Data!G:G,MATCH(A299,Data!B:B,1)))</f>
        <v/>
      </c>
    </row>
    <row r="300" spans="1:43" s="1" customFormat="1" x14ac:dyDescent="0.2">
      <c r="A300" s="125">
        <f t="shared" si="57"/>
        <v>44495</v>
      </c>
      <c r="B300" s="126" t="str">
        <f t="shared" si="54"/>
        <v>Tue</v>
      </c>
      <c r="C300" s="140"/>
      <c r="D300" s="128" t="str">
        <f t="shared" si="55"/>
        <v/>
      </c>
      <c r="E300" s="129" t="str">
        <f t="shared" si="56"/>
        <v/>
      </c>
      <c r="F300" s="130" t="str">
        <f>IF(SUMIF(Data!B:B,A300,Data!C:C)=0,"",SUMIF(Data!B:B,A300,Data!C:C))</f>
        <v/>
      </c>
      <c r="G300" s="126" t="str">
        <f>IF(OR(S300="T",S300="RUN",SUMIF(Data!B:B,A300,Data!E:E)=0),"",SUMIF(Data!B:B,A300,Data!E:E))</f>
        <v/>
      </c>
      <c r="H300" s="126" t="str">
        <f t="shared" si="48"/>
        <v/>
      </c>
      <c r="I300" s="131" t="str">
        <f t="shared" si="49"/>
        <v>0 (0)</v>
      </c>
      <c r="J300" s="131" t="str">
        <f t="shared" si="50"/>
        <v>0 (0)</v>
      </c>
      <c r="K300" s="131" t="str">
        <f t="shared" si="51"/>
        <v>0 (0)</v>
      </c>
      <c r="L300" s="132" t="str">
        <f t="shared" si="52"/>
        <v/>
      </c>
      <c r="M300" s="131" t="str">
        <f t="shared" si="53"/>
        <v/>
      </c>
      <c r="N300" s="126" t="str">
        <f>IF(ISNA(MATCH(A300,Data!B:B,0)),"",INDEX(Data!H:H,MATCH(A300,Data!B:B,1))) &amp; ""</f>
        <v/>
      </c>
      <c r="O300" s="126" t="str">
        <f>IF(ISNA(MATCH(A300,Data!B:B,0)),"",INDEX(Data!I:I,MATCH(A300,Data!B:B,1))) &amp; ""</f>
        <v/>
      </c>
      <c r="P300" s="133" t="str">
        <f>IF(ISNA(MATCH(A300,Data!B:B,0)),"",INDEX(Data!J:J,MATCH(A300,Data!B:B,1))) &amp; ""</f>
        <v/>
      </c>
      <c r="Q300" s="126" t="str">
        <f>IF(S300="T",Charts!$X$7,IF(ISNA(MATCH(A300,Data!B:B,0)),"",INDEX(Data!K:K,MATCH(A300,Data!B:B,1)))) &amp; ""</f>
        <v/>
      </c>
      <c r="R300" s="134"/>
      <c r="S300" s="134"/>
      <c r="T300" s="127"/>
      <c r="AF300" s="24" t="str">
        <f>IF(C300="","",INDEX(Workouts!B:B,MATCH(C300,Workouts!A:A,0)))</f>
        <v/>
      </c>
      <c r="AG300" s="24" t="str">
        <f>IF(SUMIF(Data!B:B,A300,Data!D:D)=0,"",SUMIF(Data!B:B,A300,Data!D:D))</f>
        <v/>
      </c>
      <c r="AH300" s="25" t="str">
        <f>IF(C300="","",INDEX(Workouts!C:C,MATCH(C300,Workouts!A:A,0)))</f>
        <v/>
      </c>
      <c r="AI300" s="68" t="str">
        <f>IF(SUMIF(Data!B:B,A300,Data!F:F)=0,"",SUMIF(Data!B:B,A300,Data!F:F))</f>
        <v/>
      </c>
      <c r="AJ300" s="68">
        <f>AJ299+ (IF(AH300="",0,AH300)-AJ299)/Charts!$X$5</f>
        <v>6.8420544350439565E-19</v>
      </c>
      <c r="AK300" s="68">
        <f>AK299+ (IF(AI300="",0,AI300)-AK299)/Charts!$X$5</f>
        <v>6.8420544350439565E-19</v>
      </c>
      <c r="AL300" s="68">
        <f>AL299+ (IF(AH300="",0,AH300)-AL299)/Charts!$X$6</f>
        <v>4.1846915631359574E-2</v>
      </c>
      <c r="AM300" s="68">
        <f>AM299+ (IF(AI300="",0,AI300)-AM299)/Charts!$X$6</f>
        <v>4.1846915631359574E-2</v>
      </c>
      <c r="AN300" s="68" t="str">
        <f t="shared" si="58"/>
        <v>0</v>
      </c>
      <c r="AO300" s="68" t="str">
        <f t="shared" si="59"/>
        <v>0</v>
      </c>
      <c r="AP300" s="69" t="str">
        <f>IF(C300="","",INDEX(Workouts!D:D,MATCH(C300,Workouts!A:A,0)))</f>
        <v/>
      </c>
      <c r="AQ300" s="69" t="str">
        <f>IF(ISNA(MATCH(A300,Data!B:B,0)),"",INDEX(Data!G:G,MATCH(A300,Data!B:B,1)))</f>
        <v/>
      </c>
    </row>
    <row r="301" spans="1:43" s="1" customFormat="1" x14ac:dyDescent="0.2">
      <c r="A301" s="125">
        <f t="shared" si="57"/>
        <v>44496</v>
      </c>
      <c r="B301" s="126" t="str">
        <f t="shared" si="54"/>
        <v>Wed</v>
      </c>
      <c r="C301" s="140"/>
      <c r="D301" s="128" t="str">
        <f t="shared" si="55"/>
        <v/>
      </c>
      <c r="E301" s="129" t="str">
        <f t="shared" si="56"/>
        <v/>
      </c>
      <c r="F301" s="130" t="str">
        <f>IF(SUMIF(Data!B:B,A301,Data!C:C)=0,"",SUMIF(Data!B:B,A301,Data!C:C))</f>
        <v/>
      </c>
      <c r="G301" s="126" t="str">
        <f>IF(OR(S301="T",S301="RUN",SUMIF(Data!B:B,A301,Data!E:E)=0),"",SUMIF(Data!B:B,A301,Data!E:E))</f>
        <v/>
      </c>
      <c r="H301" s="126" t="str">
        <f t="shared" si="48"/>
        <v/>
      </c>
      <c r="I301" s="131" t="str">
        <f t="shared" si="49"/>
        <v>0 (0)</v>
      </c>
      <c r="J301" s="131" t="str">
        <f t="shared" si="50"/>
        <v>0 (0)</v>
      </c>
      <c r="K301" s="131" t="str">
        <f t="shared" si="51"/>
        <v>0 (0)</v>
      </c>
      <c r="L301" s="132" t="str">
        <f t="shared" si="52"/>
        <v/>
      </c>
      <c r="M301" s="131" t="str">
        <f t="shared" si="53"/>
        <v/>
      </c>
      <c r="N301" s="126" t="str">
        <f>IF(ISNA(MATCH(A301,Data!B:B,0)),"",INDEX(Data!H:H,MATCH(A301,Data!B:B,1))) &amp; ""</f>
        <v/>
      </c>
      <c r="O301" s="126" t="str">
        <f>IF(ISNA(MATCH(A301,Data!B:B,0)),"",INDEX(Data!I:I,MATCH(A301,Data!B:B,1))) &amp; ""</f>
        <v/>
      </c>
      <c r="P301" s="133" t="str">
        <f>IF(ISNA(MATCH(A301,Data!B:B,0)),"",INDEX(Data!J:J,MATCH(A301,Data!B:B,1))) &amp; ""</f>
        <v/>
      </c>
      <c r="Q301" s="126" t="str">
        <f>IF(S301="T",Charts!$X$7,IF(ISNA(MATCH(A301,Data!B:B,0)),"",INDEX(Data!K:K,MATCH(A301,Data!B:B,1)))) &amp; ""</f>
        <v/>
      </c>
      <c r="R301" s="134"/>
      <c r="S301" s="134"/>
      <c r="T301" s="127"/>
      <c r="AF301" s="24" t="str">
        <f>IF(C301="","",INDEX(Workouts!B:B,MATCH(C301,Workouts!A:A,0)))</f>
        <v/>
      </c>
      <c r="AG301" s="24" t="str">
        <f>IF(SUMIF(Data!B:B,A301,Data!D:D)=0,"",SUMIF(Data!B:B,A301,Data!D:D))</f>
        <v/>
      </c>
      <c r="AH301" s="25" t="str">
        <f>IF(C301="","",INDEX(Workouts!C:C,MATCH(C301,Workouts!A:A,0)))</f>
        <v/>
      </c>
      <c r="AI301" s="68" t="str">
        <f>IF(SUMIF(Data!B:B,A301,Data!F:F)=0,"",SUMIF(Data!B:B,A301,Data!F:F))</f>
        <v/>
      </c>
      <c r="AJ301" s="68">
        <f>AJ300+ (IF(AH301="",0,AH301)-AJ300)/Charts!$X$5</f>
        <v>5.8646180871805337E-19</v>
      </c>
      <c r="AK301" s="68">
        <f>AK300+ (IF(AI301="",0,AI301)-AK300)/Charts!$X$5</f>
        <v>5.8646180871805337E-19</v>
      </c>
      <c r="AL301" s="68">
        <f>AL300+ (IF(AH301="",0,AH301)-AL300)/Charts!$X$6</f>
        <v>4.0850560497279587E-2</v>
      </c>
      <c r="AM301" s="68">
        <f>AM300+ (IF(AI301="",0,AI301)-AM300)/Charts!$X$6</f>
        <v>4.0850560497279587E-2</v>
      </c>
      <c r="AN301" s="68" t="str">
        <f t="shared" si="58"/>
        <v>0</v>
      </c>
      <c r="AO301" s="68" t="str">
        <f t="shared" si="59"/>
        <v>0</v>
      </c>
      <c r="AP301" s="69" t="str">
        <f>IF(C301="","",INDEX(Workouts!D:D,MATCH(C301,Workouts!A:A,0)))</f>
        <v/>
      </c>
      <c r="AQ301" s="69" t="str">
        <f>IF(ISNA(MATCH(A301,Data!B:B,0)),"",INDEX(Data!G:G,MATCH(A301,Data!B:B,1)))</f>
        <v/>
      </c>
    </row>
    <row r="302" spans="1:43" s="1" customFormat="1" x14ac:dyDescent="0.2">
      <c r="A302" s="125">
        <f t="shared" si="57"/>
        <v>44497</v>
      </c>
      <c r="B302" s="126" t="str">
        <f t="shared" si="54"/>
        <v>Thu</v>
      </c>
      <c r="C302" s="140"/>
      <c r="D302" s="128" t="str">
        <f t="shared" si="55"/>
        <v/>
      </c>
      <c r="E302" s="129" t="str">
        <f t="shared" si="56"/>
        <v/>
      </c>
      <c r="F302" s="130" t="str">
        <f>IF(SUMIF(Data!B:B,A302,Data!C:C)=0,"",SUMIF(Data!B:B,A302,Data!C:C))</f>
        <v/>
      </c>
      <c r="G302" s="126" t="str">
        <f>IF(OR(S302="T",S302="RUN",SUMIF(Data!B:B,A302,Data!E:E)=0),"",SUMIF(Data!B:B,A302,Data!E:E))</f>
        <v/>
      </c>
      <c r="H302" s="126" t="str">
        <f t="shared" si="48"/>
        <v/>
      </c>
      <c r="I302" s="131" t="str">
        <f t="shared" si="49"/>
        <v>0 (0)</v>
      </c>
      <c r="J302" s="131" t="str">
        <f t="shared" si="50"/>
        <v>0 (0)</v>
      </c>
      <c r="K302" s="131" t="str">
        <f t="shared" si="51"/>
        <v>0 (0)</v>
      </c>
      <c r="L302" s="132" t="str">
        <f t="shared" si="52"/>
        <v/>
      </c>
      <c r="M302" s="131" t="str">
        <f t="shared" si="53"/>
        <v/>
      </c>
      <c r="N302" s="126" t="str">
        <f>IF(ISNA(MATCH(A302,Data!B:B,0)),"",INDEX(Data!H:H,MATCH(A302,Data!B:B,1))) &amp; ""</f>
        <v/>
      </c>
      <c r="O302" s="126" t="str">
        <f>IF(ISNA(MATCH(A302,Data!B:B,0)),"",INDEX(Data!I:I,MATCH(A302,Data!B:B,1))) &amp; ""</f>
        <v/>
      </c>
      <c r="P302" s="133" t="str">
        <f>IF(ISNA(MATCH(A302,Data!B:B,0)),"",INDEX(Data!J:J,MATCH(A302,Data!B:B,1))) &amp; ""</f>
        <v/>
      </c>
      <c r="Q302" s="126" t="str">
        <f>IF(S302="T",Charts!$X$7,IF(ISNA(MATCH(A302,Data!B:B,0)),"",INDEX(Data!K:K,MATCH(A302,Data!B:B,1)))) &amp; ""</f>
        <v/>
      </c>
      <c r="R302" s="134"/>
      <c r="S302" s="134"/>
      <c r="T302" s="127"/>
      <c r="AF302" s="24" t="str">
        <f>IF(C302="","",INDEX(Workouts!B:B,MATCH(C302,Workouts!A:A,0)))</f>
        <v/>
      </c>
      <c r="AG302" s="24" t="str">
        <f>IF(SUMIF(Data!B:B,A302,Data!D:D)=0,"",SUMIF(Data!B:B,A302,Data!D:D))</f>
        <v/>
      </c>
      <c r="AH302" s="25" t="str">
        <f>IF(C302="","",INDEX(Workouts!C:C,MATCH(C302,Workouts!A:A,0)))</f>
        <v/>
      </c>
      <c r="AI302" s="68" t="str">
        <f>IF(SUMIF(Data!B:B,A302,Data!F:F)=0,"",SUMIF(Data!B:B,A302,Data!F:F))</f>
        <v/>
      </c>
      <c r="AJ302" s="68">
        <f>AJ301+ (IF(AH302="",0,AH302)-AJ301)/Charts!$X$5</f>
        <v>5.0268155032976006E-19</v>
      </c>
      <c r="AK302" s="68">
        <f>AK301+ (IF(AI302="",0,AI302)-AK301)/Charts!$X$5</f>
        <v>5.0268155032976006E-19</v>
      </c>
      <c r="AL302" s="68">
        <f>AL301+ (IF(AH302="",0,AH302)-AL301)/Charts!$X$6</f>
        <v>3.9877928104487217E-2</v>
      </c>
      <c r="AM302" s="68">
        <f>AM301+ (IF(AI302="",0,AI302)-AM301)/Charts!$X$6</f>
        <v>3.9877928104487217E-2</v>
      </c>
      <c r="AN302" s="68" t="str">
        <f t="shared" si="58"/>
        <v>0</v>
      </c>
      <c r="AO302" s="68" t="str">
        <f t="shared" si="59"/>
        <v>0</v>
      </c>
      <c r="AP302" s="69" t="str">
        <f>IF(C302="","",INDEX(Workouts!D:D,MATCH(C302,Workouts!A:A,0)))</f>
        <v/>
      </c>
      <c r="AQ302" s="69" t="str">
        <f>IF(ISNA(MATCH(A302,Data!B:B,0)),"",INDEX(Data!G:G,MATCH(A302,Data!B:B,1)))</f>
        <v/>
      </c>
    </row>
    <row r="303" spans="1:43" s="1" customFormat="1" x14ac:dyDescent="0.2">
      <c r="A303" s="125">
        <f t="shared" si="57"/>
        <v>44498</v>
      </c>
      <c r="B303" s="126" t="str">
        <f t="shared" si="54"/>
        <v>Fri</v>
      </c>
      <c r="C303" s="140"/>
      <c r="D303" s="128" t="str">
        <f t="shared" si="55"/>
        <v/>
      </c>
      <c r="E303" s="129" t="str">
        <f t="shared" si="56"/>
        <v/>
      </c>
      <c r="F303" s="130" t="str">
        <f>IF(SUMIF(Data!B:B,A303,Data!C:C)=0,"",SUMIF(Data!B:B,A303,Data!C:C))</f>
        <v/>
      </c>
      <c r="G303" s="126" t="str">
        <f>IF(OR(S303="T",S303="RUN",SUMIF(Data!B:B,A303,Data!E:E)=0),"",SUMIF(Data!B:B,A303,Data!E:E))</f>
        <v/>
      </c>
      <c r="H303" s="126" t="str">
        <f t="shared" si="48"/>
        <v/>
      </c>
      <c r="I303" s="131" t="str">
        <f t="shared" si="49"/>
        <v>0 (0)</v>
      </c>
      <c r="J303" s="131" t="str">
        <f t="shared" si="50"/>
        <v>0 (0)</v>
      </c>
      <c r="K303" s="131" t="str">
        <f t="shared" si="51"/>
        <v>0 (0)</v>
      </c>
      <c r="L303" s="132" t="str">
        <f t="shared" si="52"/>
        <v/>
      </c>
      <c r="M303" s="131" t="str">
        <f t="shared" si="53"/>
        <v/>
      </c>
      <c r="N303" s="126" t="str">
        <f>IF(ISNA(MATCH(A303,Data!B:B,0)),"",INDEX(Data!H:H,MATCH(A303,Data!B:B,1))) &amp; ""</f>
        <v/>
      </c>
      <c r="O303" s="126" t="str">
        <f>IF(ISNA(MATCH(A303,Data!B:B,0)),"",INDEX(Data!I:I,MATCH(A303,Data!B:B,1))) &amp; ""</f>
        <v/>
      </c>
      <c r="P303" s="133" t="str">
        <f>IF(ISNA(MATCH(A303,Data!B:B,0)),"",INDEX(Data!J:J,MATCH(A303,Data!B:B,1))) &amp; ""</f>
        <v/>
      </c>
      <c r="Q303" s="126" t="str">
        <f>IF(S303="T",Charts!$X$7,IF(ISNA(MATCH(A303,Data!B:B,0)),"",INDEX(Data!K:K,MATCH(A303,Data!B:B,1)))) &amp; ""</f>
        <v/>
      </c>
      <c r="R303" s="134"/>
      <c r="S303" s="134"/>
      <c r="T303" s="127"/>
      <c r="AF303" s="24" t="str">
        <f>IF(C303="","",INDEX(Workouts!B:B,MATCH(C303,Workouts!A:A,0)))</f>
        <v/>
      </c>
      <c r="AG303" s="24" t="str">
        <f>IF(SUMIF(Data!B:B,A303,Data!D:D)=0,"",SUMIF(Data!B:B,A303,Data!D:D))</f>
        <v/>
      </c>
      <c r="AH303" s="25" t="str">
        <f>IF(C303="","",INDEX(Workouts!C:C,MATCH(C303,Workouts!A:A,0)))</f>
        <v/>
      </c>
      <c r="AI303" s="68" t="str">
        <f>IF(SUMIF(Data!B:B,A303,Data!F:F)=0,"",SUMIF(Data!B:B,A303,Data!F:F))</f>
        <v/>
      </c>
      <c r="AJ303" s="68">
        <f>AJ302+ (IF(AH303="",0,AH303)-AJ302)/Charts!$X$5</f>
        <v>4.3086990028265149E-19</v>
      </c>
      <c r="AK303" s="68">
        <f>AK302+ (IF(AI303="",0,AI303)-AK302)/Charts!$X$5</f>
        <v>4.3086990028265149E-19</v>
      </c>
      <c r="AL303" s="68">
        <f>AL302+ (IF(AH303="",0,AH303)-AL302)/Charts!$X$6</f>
        <v>3.8928453625808948E-2</v>
      </c>
      <c r="AM303" s="68">
        <f>AM302+ (IF(AI303="",0,AI303)-AM302)/Charts!$X$6</f>
        <v>3.8928453625808948E-2</v>
      </c>
      <c r="AN303" s="68" t="str">
        <f t="shared" si="58"/>
        <v>0</v>
      </c>
      <c r="AO303" s="68" t="str">
        <f t="shared" si="59"/>
        <v>0</v>
      </c>
      <c r="AP303" s="69" t="str">
        <f>IF(C303="","",INDEX(Workouts!D:D,MATCH(C303,Workouts!A:A,0)))</f>
        <v/>
      </c>
      <c r="AQ303" s="69" t="str">
        <f>IF(ISNA(MATCH(A303,Data!B:B,0)),"",INDEX(Data!G:G,MATCH(A303,Data!B:B,1)))</f>
        <v/>
      </c>
    </row>
    <row r="304" spans="1:43" s="1" customFormat="1" x14ac:dyDescent="0.2">
      <c r="A304" s="125">
        <f t="shared" si="57"/>
        <v>44499</v>
      </c>
      <c r="B304" s="126" t="str">
        <f t="shared" si="54"/>
        <v>Sat</v>
      </c>
      <c r="C304" s="140"/>
      <c r="D304" s="128" t="str">
        <f t="shared" si="55"/>
        <v/>
      </c>
      <c r="E304" s="129" t="str">
        <f t="shared" si="56"/>
        <v/>
      </c>
      <c r="F304" s="130" t="str">
        <f>IF(SUMIF(Data!B:B,A304,Data!C:C)=0,"",SUMIF(Data!B:B,A304,Data!C:C))</f>
        <v/>
      </c>
      <c r="G304" s="126" t="str">
        <f>IF(OR(S304="T",S304="RUN",SUMIF(Data!B:B,A304,Data!E:E)=0),"",SUMIF(Data!B:B,A304,Data!E:E))</f>
        <v/>
      </c>
      <c r="H304" s="126" t="str">
        <f t="shared" si="48"/>
        <v/>
      </c>
      <c r="I304" s="131" t="str">
        <f t="shared" si="49"/>
        <v>0 (0)</v>
      </c>
      <c r="J304" s="131" t="str">
        <f t="shared" si="50"/>
        <v>0 (0)</v>
      </c>
      <c r="K304" s="131" t="str">
        <f t="shared" si="51"/>
        <v>0 (0)</v>
      </c>
      <c r="L304" s="132" t="str">
        <f t="shared" si="52"/>
        <v/>
      </c>
      <c r="M304" s="131" t="str">
        <f t="shared" si="53"/>
        <v/>
      </c>
      <c r="N304" s="126" t="str">
        <f>IF(ISNA(MATCH(A304,Data!B:B,0)),"",INDEX(Data!H:H,MATCH(A304,Data!B:B,1))) &amp; ""</f>
        <v/>
      </c>
      <c r="O304" s="126" t="str">
        <f>IF(ISNA(MATCH(A304,Data!B:B,0)),"",INDEX(Data!I:I,MATCH(A304,Data!B:B,1))) &amp; ""</f>
        <v/>
      </c>
      <c r="P304" s="133" t="str">
        <f>IF(ISNA(MATCH(A304,Data!B:B,0)),"",INDEX(Data!J:J,MATCH(A304,Data!B:B,1))) &amp; ""</f>
        <v/>
      </c>
      <c r="Q304" s="126" t="str">
        <f>IF(S304="T",Charts!$X$7,IF(ISNA(MATCH(A304,Data!B:B,0)),"",INDEX(Data!K:K,MATCH(A304,Data!B:B,1)))) &amp; ""</f>
        <v/>
      </c>
      <c r="R304" s="134"/>
      <c r="S304" s="134"/>
      <c r="T304" s="127"/>
      <c r="AF304" s="24" t="str">
        <f>IF(C304="","",INDEX(Workouts!B:B,MATCH(C304,Workouts!A:A,0)))</f>
        <v/>
      </c>
      <c r="AG304" s="24" t="str">
        <f>IF(SUMIF(Data!B:B,A304,Data!D:D)=0,"",SUMIF(Data!B:B,A304,Data!D:D))</f>
        <v/>
      </c>
      <c r="AH304" s="25" t="str">
        <f>IF(C304="","",INDEX(Workouts!C:C,MATCH(C304,Workouts!A:A,0)))</f>
        <v/>
      </c>
      <c r="AI304" s="68" t="str">
        <f>IF(SUMIF(Data!B:B,A304,Data!F:F)=0,"",SUMIF(Data!B:B,A304,Data!F:F))</f>
        <v/>
      </c>
      <c r="AJ304" s="68">
        <f>AJ303+ (IF(AH304="",0,AH304)-AJ303)/Charts!$X$5</f>
        <v>3.6931705738512987E-19</v>
      </c>
      <c r="AK304" s="68">
        <f>AK303+ (IF(AI304="",0,AI304)-AK303)/Charts!$X$5</f>
        <v>3.6931705738512987E-19</v>
      </c>
      <c r="AL304" s="68">
        <f>AL303+ (IF(AH304="",0,AH304)-AL303)/Charts!$X$6</f>
        <v>3.8001585682337309E-2</v>
      </c>
      <c r="AM304" s="68">
        <f>AM303+ (IF(AI304="",0,AI304)-AM303)/Charts!$X$6</f>
        <v>3.8001585682337309E-2</v>
      </c>
      <c r="AN304" s="68" t="str">
        <f t="shared" si="58"/>
        <v>0</v>
      </c>
      <c r="AO304" s="68" t="str">
        <f t="shared" si="59"/>
        <v>0</v>
      </c>
      <c r="AP304" s="69" t="str">
        <f>IF(C304="","",INDEX(Workouts!D:D,MATCH(C304,Workouts!A:A,0)))</f>
        <v/>
      </c>
      <c r="AQ304" s="69" t="str">
        <f>IF(ISNA(MATCH(A304,Data!B:B,0)),"",INDEX(Data!G:G,MATCH(A304,Data!B:B,1)))</f>
        <v/>
      </c>
    </row>
    <row r="305" spans="1:43" s="1" customFormat="1" x14ac:dyDescent="0.2">
      <c r="A305" s="125">
        <f t="shared" si="57"/>
        <v>44500</v>
      </c>
      <c r="B305" s="126" t="str">
        <f t="shared" si="54"/>
        <v>Sun</v>
      </c>
      <c r="C305" s="140"/>
      <c r="D305" s="128" t="str">
        <f t="shared" si="55"/>
        <v/>
      </c>
      <c r="E305" s="129" t="str">
        <f t="shared" si="56"/>
        <v/>
      </c>
      <c r="F305" s="130" t="str">
        <f>IF(SUMIF(Data!B:B,A305,Data!C:C)=0,"",SUMIF(Data!B:B,A305,Data!C:C))</f>
        <v/>
      </c>
      <c r="G305" s="126" t="str">
        <f>IF(OR(S305="T",S305="RUN",SUMIF(Data!B:B,A305,Data!E:E)=0),"",SUMIF(Data!B:B,A305,Data!E:E))</f>
        <v/>
      </c>
      <c r="H305" s="126" t="str">
        <f t="shared" si="48"/>
        <v/>
      </c>
      <c r="I305" s="131" t="str">
        <f t="shared" si="49"/>
        <v>0 (0)</v>
      </c>
      <c r="J305" s="131" t="str">
        <f t="shared" si="50"/>
        <v>0 (0)</v>
      </c>
      <c r="K305" s="131" t="str">
        <f t="shared" si="51"/>
        <v>0 (0)</v>
      </c>
      <c r="L305" s="132" t="str">
        <f t="shared" si="52"/>
        <v/>
      </c>
      <c r="M305" s="131" t="str">
        <f t="shared" si="53"/>
        <v/>
      </c>
      <c r="N305" s="126" t="str">
        <f>IF(ISNA(MATCH(A305,Data!B:B,0)),"",INDEX(Data!H:H,MATCH(A305,Data!B:B,1))) &amp; ""</f>
        <v/>
      </c>
      <c r="O305" s="126" t="str">
        <f>IF(ISNA(MATCH(A305,Data!B:B,0)),"",INDEX(Data!I:I,MATCH(A305,Data!B:B,1))) &amp; ""</f>
        <v/>
      </c>
      <c r="P305" s="133" t="str">
        <f>IF(ISNA(MATCH(A305,Data!B:B,0)),"",INDEX(Data!J:J,MATCH(A305,Data!B:B,1))) &amp; ""</f>
        <v/>
      </c>
      <c r="Q305" s="126" t="str">
        <f>IF(S305="T",Charts!$X$7,IF(ISNA(MATCH(A305,Data!B:B,0)),"",INDEX(Data!K:K,MATCH(A305,Data!B:B,1)))) &amp; ""</f>
        <v/>
      </c>
      <c r="R305" s="134"/>
      <c r="S305" s="134"/>
      <c r="T305" s="127"/>
      <c r="AF305" s="24" t="str">
        <f>IF(C305="","",INDEX(Workouts!B:B,MATCH(C305,Workouts!A:A,0)))</f>
        <v/>
      </c>
      <c r="AG305" s="24" t="str">
        <f>IF(SUMIF(Data!B:B,A305,Data!D:D)=0,"",SUMIF(Data!B:B,A305,Data!D:D))</f>
        <v/>
      </c>
      <c r="AH305" s="25" t="str">
        <f>IF(C305="","",INDEX(Workouts!C:C,MATCH(C305,Workouts!A:A,0)))</f>
        <v/>
      </c>
      <c r="AI305" s="68" t="str">
        <f>IF(SUMIF(Data!B:B,A305,Data!F:F)=0,"",SUMIF(Data!B:B,A305,Data!F:F))</f>
        <v/>
      </c>
      <c r="AJ305" s="68">
        <f>AJ304+ (IF(AH305="",0,AH305)-AJ304)/Charts!$X$5</f>
        <v>3.1655747775868275E-19</v>
      </c>
      <c r="AK305" s="68">
        <f>AK304+ (IF(AI305="",0,AI305)-AK304)/Charts!$X$5</f>
        <v>3.1655747775868275E-19</v>
      </c>
      <c r="AL305" s="68">
        <f>AL304+ (IF(AH305="",0,AH305)-AL304)/Charts!$X$6</f>
        <v>3.7096786023234039E-2</v>
      </c>
      <c r="AM305" s="68">
        <f>AM304+ (IF(AI305="",0,AI305)-AM304)/Charts!$X$6</f>
        <v>3.7096786023234039E-2</v>
      </c>
      <c r="AN305" s="68" t="str">
        <f t="shared" si="58"/>
        <v>0</v>
      </c>
      <c r="AO305" s="68" t="str">
        <f t="shared" si="59"/>
        <v>0</v>
      </c>
      <c r="AP305" s="69" t="str">
        <f>IF(C305="","",INDEX(Workouts!D:D,MATCH(C305,Workouts!A:A,0)))</f>
        <v/>
      </c>
      <c r="AQ305" s="69" t="str">
        <f>IF(ISNA(MATCH(A305,Data!B:B,0)),"",INDEX(Data!G:G,MATCH(A305,Data!B:B,1)))</f>
        <v/>
      </c>
    </row>
    <row r="306" spans="1:43" s="1" customFormat="1" x14ac:dyDescent="0.2">
      <c r="A306" s="125">
        <f t="shared" si="57"/>
        <v>44501</v>
      </c>
      <c r="B306" s="126" t="str">
        <f t="shared" si="54"/>
        <v>Mon</v>
      </c>
      <c r="C306" s="140"/>
      <c r="D306" s="128" t="str">
        <f t="shared" si="55"/>
        <v/>
      </c>
      <c r="E306" s="129" t="str">
        <f t="shared" si="56"/>
        <v/>
      </c>
      <c r="F306" s="130" t="str">
        <f>IF(SUMIF(Data!B:B,A306,Data!C:C)=0,"",SUMIF(Data!B:B,A306,Data!C:C))</f>
        <v/>
      </c>
      <c r="G306" s="126" t="str">
        <f>IF(OR(S306="T",S306="RUN",SUMIF(Data!B:B,A306,Data!E:E)=0),"",SUMIF(Data!B:B,A306,Data!E:E))</f>
        <v/>
      </c>
      <c r="H306" s="126" t="str">
        <f t="shared" si="48"/>
        <v/>
      </c>
      <c r="I306" s="131" t="str">
        <f t="shared" si="49"/>
        <v>0 (0)</v>
      </c>
      <c r="J306" s="131" t="str">
        <f t="shared" si="50"/>
        <v>0 (0)</v>
      </c>
      <c r="K306" s="131" t="str">
        <f t="shared" si="51"/>
        <v>0 (0)</v>
      </c>
      <c r="L306" s="132" t="str">
        <f t="shared" si="52"/>
        <v/>
      </c>
      <c r="M306" s="131" t="str">
        <f t="shared" si="53"/>
        <v/>
      </c>
      <c r="N306" s="126" t="str">
        <f>IF(ISNA(MATCH(A306,Data!B:B,0)),"",INDEX(Data!H:H,MATCH(A306,Data!B:B,1))) &amp; ""</f>
        <v/>
      </c>
      <c r="O306" s="126" t="str">
        <f>IF(ISNA(MATCH(A306,Data!B:B,0)),"",INDEX(Data!I:I,MATCH(A306,Data!B:B,1))) &amp; ""</f>
        <v/>
      </c>
      <c r="P306" s="133" t="str">
        <f>IF(ISNA(MATCH(A306,Data!B:B,0)),"",INDEX(Data!J:J,MATCH(A306,Data!B:B,1))) &amp; ""</f>
        <v/>
      </c>
      <c r="Q306" s="126" t="str">
        <f>IF(S306="T",Charts!$X$7,IF(ISNA(MATCH(A306,Data!B:B,0)),"",INDEX(Data!K:K,MATCH(A306,Data!B:B,1)))) &amp; ""</f>
        <v/>
      </c>
      <c r="R306" s="134"/>
      <c r="S306" s="134"/>
      <c r="T306" s="127"/>
      <c r="AF306" s="24" t="str">
        <f>IF(C306="","",INDEX(Workouts!B:B,MATCH(C306,Workouts!A:A,0)))</f>
        <v/>
      </c>
      <c r="AG306" s="24" t="str">
        <f>IF(SUMIF(Data!B:B,A306,Data!D:D)=0,"",SUMIF(Data!B:B,A306,Data!D:D))</f>
        <v/>
      </c>
      <c r="AH306" s="25" t="str">
        <f>IF(C306="","",INDEX(Workouts!C:C,MATCH(C306,Workouts!A:A,0)))</f>
        <v/>
      </c>
      <c r="AI306" s="68" t="str">
        <f>IF(SUMIF(Data!B:B,A306,Data!F:F)=0,"",SUMIF(Data!B:B,A306,Data!F:F))</f>
        <v/>
      </c>
      <c r="AJ306" s="68">
        <f>AJ305+ (IF(AH306="",0,AH306)-AJ305)/Charts!$X$5</f>
        <v>2.7133498093601379E-19</v>
      </c>
      <c r="AK306" s="68">
        <f>AK305+ (IF(AI306="",0,AI306)-AK305)/Charts!$X$5</f>
        <v>2.7133498093601379E-19</v>
      </c>
      <c r="AL306" s="68">
        <f>AL305+ (IF(AH306="",0,AH306)-AL305)/Charts!$X$6</f>
        <v>3.6213529213157042E-2</v>
      </c>
      <c r="AM306" s="68">
        <f>AM305+ (IF(AI306="",0,AI306)-AM305)/Charts!$X$6</f>
        <v>3.6213529213157042E-2</v>
      </c>
      <c r="AN306" s="68" t="str">
        <f t="shared" si="58"/>
        <v>0</v>
      </c>
      <c r="AO306" s="68" t="str">
        <f t="shared" si="59"/>
        <v>0</v>
      </c>
      <c r="AP306" s="69" t="str">
        <f>IF(C306="","",INDEX(Workouts!D:D,MATCH(C306,Workouts!A:A,0)))</f>
        <v/>
      </c>
      <c r="AQ306" s="69" t="str">
        <f>IF(ISNA(MATCH(A306,Data!B:B,0)),"",INDEX(Data!G:G,MATCH(A306,Data!B:B,1)))</f>
        <v/>
      </c>
    </row>
    <row r="307" spans="1:43" s="1" customFormat="1" x14ac:dyDescent="0.2">
      <c r="A307" s="125">
        <f t="shared" si="57"/>
        <v>44502</v>
      </c>
      <c r="B307" s="126" t="str">
        <f t="shared" si="54"/>
        <v>Tue</v>
      </c>
      <c r="C307" s="140"/>
      <c r="D307" s="128" t="str">
        <f t="shared" si="55"/>
        <v/>
      </c>
      <c r="E307" s="129" t="str">
        <f t="shared" si="56"/>
        <v/>
      </c>
      <c r="F307" s="130" t="str">
        <f>IF(SUMIF(Data!B:B,A307,Data!C:C)=0,"",SUMIF(Data!B:B,A307,Data!C:C))</f>
        <v/>
      </c>
      <c r="G307" s="126" t="str">
        <f>IF(OR(S307="T",S307="RUN",SUMIF(Data!B:B,A307,Data!E:E)=0),"",SUMIF(Data!B:B,A307,Data!E:E))</f>
        <v/>
      </c>
      <c r="H307" s="126" t="str">
        <f t="shared" si="48"/>
        <v/>
      </c>
      <c r="I307" s="131" t="str">
        <f t="shared" si="49"/>
        <v>0 (0)</v>
      </c>
      <c r="J307" s="131" t="str">
        <f t="shared" si="50"/>
        <v>0 (0)</v>
      </c>
      <c r="K307" s="131" t="str">
        <f t="shared" si="51"/>
        <v>0 (0)</v>
      </c>
      <c r="L307" s="132" t="str">
        <f t="shared" si="52"/>
        <v/>
      </c>
      <c r="M307" s="131" t="str">
        <f t="shared" si="53"/>
        <v/>
      </c>
      <c r="N307" s="126" t="str">
        <f>IF(ISNA(MATCH(A307,Data!B:B,0)),"",INDEX(Data!H:H,MATCH(A307,Data!B:B,1))) &amp; ""</f>
        <v/>
      </c>
      <c r="O307" s="126" t="str">
        <f>IF(ISNA(MATCH(A307,Data!B:B,0)),"",INDEX(Data!I:I,MATCH(A307,Data!B:B,1))) &amp; ""</f>
        <v/>
      </c>
      <c r="P307" s="133" t="str">
        <f>IF(ISNA(MATCH(A307,Data!B:B,0)),"",INDEX(Data!J:J,MATCH(A307,Data!B:B,1))) &amp; ""</f>
        <v/>
      </c>
      <c r="Q307" s="126" t="str">
        <f>IF(S307="T",Charts!$X$7,IF(ISNA(MATCH(A307,Data!B:B,0)),"",INDEX(Data!K:K,MATCH(A307,Data!B:B,1)))) &amp; ""</f>
        <v/>
      </c>
      <c r="R307" s="134"/>
      <c r="S307" s="134"/>
      <c r="T307" s="127"/>
      <c r="AF307" s="24" t="str">
        <f>IF(C307="","",INDEX(Workouts!B:B,MATCH(C307,Workouts!A:A,0)))</f>
        <v/>
      </c>
      <c r="AG307" s="24" t="str">
        <f>IF(SUMIF(Data!B:B,A307,Data!D:D)=0,"",SUMIF(Data!B:B,A307,Data!D:D))</f>
        <v/>
      </c>
      <c r="AH307" s="25" t="str">
        <f>IF(C307="","",INDEX(Workouts!C:C,MATCH(C307,Workouts!A:A,0)))</f>
        <v/>
      </c>
      <c r="AI307" s="68" t="str">
        <f>IF(SUMIF(Data!B:B,A307,Data!F:F)=0,"",SUMIF(Data!B:B,A307,Data!F:F))</f>
        <v/>
      </c>
      <c r="AJ307" s="68">
        <f>AJ306+ (IF(AH307="",0,AH307)-AJ306)/Charts!$X$5</f>
        <v>2.3257284080229752E-19</v>
      </c>
      <c r="AK307" s="68">
        <f>AK306+ (IF(AI307="",0,AI307)-AK306)/Charts!$X$5</f>
        <v>2.3257284080229752E-19</v>
      </c>
      <c r="AL307" s="68">
        <f>AL306+ (IF(AH307="",0,AH307)-AL306)/Charts!$X$6</f>
        <v>3.5351302327129491E-2</v>
      </c>
      <c r="AM307" s="68">
        <f>AM306+ (IF(AI307="",0,AI307)-AM306)/Charts!$X$6</f>
        <v>3.5351302327129491E-2</v>
      </c>
      <c r="AN307" s="68" t="str">
        <f t="shared" si="58"/>
        <v>0</v>
      </c>
      <c r="AO307" s="68" t="str">
        <f t="shared" si="59"/>
        <v>0</v>
      </c>
      <c r="AP307" s="69" t="str">
        <f>IF(C307="","",INDEX(Workouts!D:D,MATCH(C307,Workouts!A:A,0)))</f>
        <v/>
      </c>
      <c r="AQ307" s="69" t="str">
        <f>IF(ISNA(MATCH(A307,Data!B:B,0)),"",INDEX(Data!G:G,MATCH(A307,Data!B:B,1)))</f>
        <v/>
      </c>
    </row>
    <row r="308" spans="1:43" s="1" customFormat="1" x14ac:dyDescent="0.2">
      <c r="A308" s="125">
        <f t="shared" si="57"/>
        <v>44503</v>
      </c>
      <c r="B308" s="126" t="str">
        <f t="shared" si="54"/>
        <v>Wed</v>
      </c>
      <c r="C308" s="140"/>
      <c r="D308" s="128" t="str">
        <f t="shared" si="55"/>
        <v/>
      </c>
      <c r="E308" s="129" t="str">
        <f t="shared" si="56"/>
        <v/>
      </c>
      <c r="F308" s="130" t="str">
        <f>IF(SUMIF(Data!B:B,A308,Data!C:C)=0,"",SUMIF(Data!B:B,A308,Data!C:C))</f>
        <v/>
      </c>
      <c r="G308" s="126" t="str">
        <f>IF(OR(S308="T",S308="RUN",SUMIF(Data!B:B,A308,Data!E:E)=0),"",SUMIF(Data!B:B,A308,Data!E:E))</f>
        <v/>
      </c>
      <c r="H308" s="126" t="str">
        <f t="shared" si="48"/>
        <v/>
      </c>
      <c r="I308" s="131" t="str">
        <f t="shared" si="49"/>
        <v>0 (0)</v>
      </c>
      <c r="J308" s="131" t="str">
        <f t="shared" si="50"/>
        <v>0 (0)</v>
      </c>
      <c r="K308" s="131" t="str">
        <f t="shared" si="51"/>
        <v>0 (0)</v>
      </c>
      <c r="L308" s="132" t="str">
        <f t="shared" si="52"/>
        <v/>
      </c>
      <c r="M308" s="131" t="str">
        <f t="shared" si="53"/>
        <v/>
      </c>
      <c r="N308" s="126" t="str">
        <f>IF(ISNA(MATCH(A308,Data!B:B,0)),"",INDEX(Data!H:H,MATCH(A308,Data!B:B,1))) &amp; ""</f>
        <v/>
      </c>
      <c r="O308" s="126" t="str">
        <f>IF(ISNA(MATCH(A308,Data!B:B,0)),"",INDEX(Data!I:I,MATCH(A308,Data!B:B,1))) &amp; ""</f>
        <v/>
      </c>
      <c r="P308" s="133" t="str">
        <f>IF(ISNA(MATCH(A308,Data!B:B,0)),"",INDEX(Data!J:J,MATCH(A308,Data!B:B,1))) &amp; ""</f>
        <v/>
      </c>
      <c r="Q308" s="126" t="str">
        <f>IF(S308="T",Charts!$X$7,IF(ISNA(MATCH(A308,Data!B:B,0)),"",INDEX(Data!K:K,MATCH(A308,Data!B:B,1)))) &amp; ""</f>
        <v/>
      </c>
      <c r="R308" s="134"/>
      <c r="S308" s="134"/>
      <c r="T308" s="127"/>
      <c r="AF308" s="24" t="str">
        <f>IF(C308="","",INDEX(Workouts!B:B,MATCH(C308,Workouts!A:A,0)))</f>
        <v/>
      </c>
      <c r="AG308" s="24" t="str">
        <f>IF(SUMIF(Data!B:B,A308,Data!D:D)=0,"",SUMIF(Data!B:B,A308,Data!D:D))</f>
        <v/>
      </c>
      <c r="AH308" s="25" t="str">
        <f>IF(C308="","",INDEX(Workouts!C:C,MATCH(C308,Workouts!A:A,0)))</f>
        <v/>
      </c>
      <c r="AI308" s="68" t="str">
        <f>IF(SUMIF(Data!B:B,A308,Data!F:F)=0,"",SUMIF(Data!B:B,A308,Data!F:F))</f>
        <v/>
      </c>
      <c r="AJ308" s="68">
        <f>AJ307+ (IF(AH308="",0,AH308)-AJ307)/Charts!$X$5</f>
        <v>1.9934814925911216E-19</v>
      </c>
      <c r="AK308" s="68">
        <f>AK307+ (IF(AI308="",0,AI308)-AK307)/Charts!$X$5</f>
        <v>1.9934814925911216E-19</v>
      </c>
      <c r="AL308" s="68">
        <f>AL307+ (IF(AH308="",0,AH308)-AL307)/Charts!$X$6</f>
        <v>3.4509604652674025E-2</v>
      </c>
      <c r="AM308" s="68">
        <f>AM307+ (IF(AI308="",0,AI308)-AM307)/Charts!$X$6</f>
        <v>3.4509604652674025E-2</v>
      </c>
      <c r="AN308" s="68" t="str">
        <f t="shared" si="58"/>
        <v>0</v>
      </c>
      <c r="AO308" s="68" t="str">
        <f t="shared" si="59"/>
        <v>0</v>
      </c>
      <c r="AP308" s="69" t="str">
        <f>IF(C308="","",INDEX(Workouts!D:D,MATCH(C308,Workouts!A:A,0)))</f>
        <v/>
      </c>
      <c r="AQ308" s="69" t="str">
        <f>IF(ISNA(MATCH(A308,Data!B:B,0)),"",INDEX(Data!G:G,MATCH(A308,Data!B:B,1)))</f>
        <v/>
      </c>
    </row>
    <row r="309" spans="1:43" s="1" customFormat="1" x14ac:dyDescent="0.2">
      <c r="A309" s="125">
        <f t="shared" si="57"/>
        <v>44504</v>
      </c>
      <c r="B309" s="126" t="str">
        <f t="shared" si="54"/>
        <v>Thu</v>
      </c>
      <c r="C309" s="140"/>
      <c r="D309" s="128" t="str">
        <f t="shared" si="55"/>
        <v/>
      </c>
      <c r="E309" s="129" t="str">
        <f t="shared" si="56"/>
        <v/>
      </c>
      <c r="F309" s="130" t="str">
        <f>IF(SUMIF(Data!B:B,A309,Data!C:C)=0,"",SUMIF(Data!B:B,A309,Data!C:C))</f>
        <v/>
      </c>
      <c r="G309" s="126" t="str">
        <f>IF(OR(S309="T",S309="RUN",SUMIF(Data!B:B,A309,Data!E:E)=0),"",SUMIF(Data!B:B,A309,Data!E:E))</f>
        <v/>
      </c>
      <c r="H309" s="126" t="str">
        <f t="shared" si="48"/>
        <v/>
      </c>
      <c r="I309" s="131" t="str">
        <f t="shared" si="49"/>
        <v>0 (0)</v>
      </c>
      <c r="J309" s="131" t="str">
        <f t="shared" si="50"/>
        <v>0 (0)</v>
      </c>
      <c r="K309" s="131" t="str">
        <f t="shared" si="51"/>
        <v>0 (0)</v>
      </c>
      <c r="L309" s="132" t="str">
        <f t="shared" si="52"/>
        <v/>
      </c>
      <c r="M309" s="131" t="str">
        <f t="shared" si="53"/>
        <v/>
      </c>
      <c r="N309" s="126" t="str">
        <f>IF(ISNA(MATCH(A309,Data!B:B,0)),"",INDEX(Data!H:H,MATCH(A309,Data!B:B,1))) &amp; ""</f>
        <v/>
      </c>
      <c r="O309" s="126" t="str">
        <f>IF(ISNA(MATCH(A309,Data!B:B,0)),"",INDEX(Data!I:I,MATCH(A309,Data!B:B,1))) &amp; ""</f>
        <v/>
      </c>
      <c r="P309" s="133" t="str">
        <f>IF(ISNA(MATCH(A309,Data!B:B,0)),"",INDEX(Data!J:J,MATCH(A309,Data!B:B,1))) &amp; ""</f>
        <v/>
      </c>
      <c r="Q309" s="126" t="str">
        <f>IF(S309="T",Charts!$X$7,IF(ISNA(MATCH(A309,Data!B:B,0)),"",INDEX(Data!K:K,MATCH(A309,Data!B:B,1)))) &amp; ""</f>
        <v/>
      </c>
      <c r="R309" s="134"/>
      <c r="S309" s="134"/>
      <c r="T309" s="127"/>
      <c r="AF309" s="24" t="str">
        <f>IF(C309="","",INDEX(Workouts!B:B,MATCH(C309,Workouts!A:A,0)))</f>
        <v/>
      </c>
      <c r="AG309" s="24" t="str">
        <f>IF(SUMIF(Data!B:B,A309,Data!D:D)=0,"",SUMIF(Data!B:B,A309,Data!D:D))</f>
        <v/>
      </c>
      <c r="AH309" s="25" t="str">
        <f>IF(C309="","",INDEX(Workouts!C:C,MATCH(C309,Workouts!A:A,0)))</f>
        <v/>
      </c>
      <c r="AI309" s="68" t="str">
        <f>IF(SUMIF(Data!B:B,A309,Data!F:F)=0,"",SUMIF(Data!B:B,A309,Data!F:F))</f>
        <v/>
      </c>
      <c r="AJ309" s="68">
        <f>AJ308+ (IF(AH309="",0,AH309)-AJ308)/Charts!$X$5</f>
        <v>1.7086984222209615E-19</v>
      </c>
      <c r="AK309" s="68">
        <f>AK308+ (IF(AI309="",0,AI309)-AK308)/Charts!$X$5</f>
        <v>1.7086984222209615E-19</v>
      </c>
      <c r="AL309" s="68">
        <f>AL308+ (IF(AH309="",0,AH309)-AL308)/Charts!$X$6</f>
        <v>3.368794739903893E-2</v>
      </c>
      <c r="AM309" s="68">
        <f>AM308+ (IF(AI309="",0,AI309)-AM308)/Charts!$X$6</f>
        <v>3.368794739903893E-2</v>
      </c>
      <c r="AN309" s="68" t="str">
        <f t="shared" si="58"/>
        <v>0</v>
      </c>
      <c r="AO309" s="68" t="str">
        <f t="shared" si="59"/>
        <v>0</v>
      </c>
      <c r="AP309" s="69" t="str">
        <f>IF(C309="","",INDEX(Workouts!D:D,MATCH(C309,Workouts!A:A,0)))</f>
        <v/>
      </c>
      <c r="AQ309" s="69" t="str">
        <f>IF(ISNA(MATCH(A309,Data!B:B,0)),"",INDEX(Data!G:G,MATCH(A309,Data!B:B,1)))</f>
        <v/>
      </c>
    </row>
    <row r="310" spans="1:43" s="1" customFormat="1" x14ac:dyDescent="0.2">
      <c r="A310" s="125">
        <f t="shared" si="57"/>
        <v>44505</v>
      </c>
      <c r="B310" s="126" t="str">
        <f t="shared" si="54"/>
        <v>Fri</v>
      </c>
      <c r="C310" s="140"/>
      <c r="D310" s="128" t="str">
        <f t="shared" si="55"/>
        <v/>
      </c>
      <c r="E310" s="129" t="str">
        <f t="shared" si="56"/>
        <v/>
      </c>
      <c r="F310" s="130" t="str">
        <f>IF(SUMIF(Data!B:B,A310,Data!C:C)=0,"",SUMIF(Data!B:B,A310,Data!C:C))</f>
        <v/>
      </c>
      <c r="G310" s="126" t="str">
        <f>IF(OR(S310="T",S310="RUN",SUMIF(Data!B:B,A310,Data!E:E)=0),"",SUMIF(Data!B:B,A310,Data!E:E))</f>
        <v/>
      </c>
      <c r="H310" s="126" t="str">
        <f t="shared" si="48"/>
        <v/>
      </c>
      <c r="I310" s="131" t="str">
        <f t="shared" si="49"/>
        <v>0 (0)</v>
      </c>
      <c r="J310" s="131" t="str">
        <f t="shared" si="50"/>
        <v>0 (0)</v>
      </c>
      <c r="K310" s="131" t="str">
        <f t="shared" si="51"/>
        <v>0 (0)</v>
      </c>
      <c r="L310" s="132" t="str">
        <f t="shared" si="52"/>
        <v/>
      </c>
      <c r="M310" s="131" t="str">
        <f t="shared" si="53"/>
        <v/>
      </c>
      <c r="N310" s="126" t="str">
        <f>IF(ISNA(MATCH(A310,Data!B:B,0)),"",INDEX(Data!H:H,MATCH(A310,Data!B:B,1))) &amp; ""</f>
        <v/>
      </c>
      <c r="O310" s="126" t="str">
        <f>IF(ISNA(MATCH(A310,Data!B:B,0)),"",INDEX(Data!I:I,MATCH(A310,Data!B:B,1))) &amp; ""</f>
        <v/>
      </c>
      <c r="P310" s="133" t="str">
        <f>IF(ISNA(MATCH(A310,Data!B:B,0)),"",INDEX(Data!J:J,MATCH(A310,Data!B:B,1))) &amp; ""</f>
        <v/>
      </c>
      <c r="Q310" s="126" t="str">
        <f>IF(S310="T",Charts!$X$7,IF(ISNA(MATCH(A310,Data!B:B,0)),"",INDEX(Data!K:K,MATCH(A310,Data!B:B,1)))) &amp; ""</f>
        <v/>
      </c>
      <c r="R310" s="134"/>
      <c r="S310" s="134"/>
      <c r="T310" s="127"/>
      <c r="AF310" s="24" t="str">
        <f>IF(C310="","",INDEX(Workouts!B:B,MATCH(C310,Workouts!A:A,0)))</f>
        <v/>
      </c>
      <c r="AG310" s="24" t="str">
        <f>IF(SUMIF(Data!B:B,A310,Data!D:D)=0,"",SUMIF(Data!B:B,A310,Data!D:D))</f>
        <v/>
      </c>
      <c r="AH310" s="25" t="str">
        <f>IF(C310="","",INDEX(Workouts!C:C,MATCH(C310,Workouts!A:A,0)))</f>
        <v/>
      </c>
      <c r="AI310" s="68" t="str">
        <f>IF(SUMIF(Data!B:B,A310,Data!F:F)=0,"",SUMIF(Data!B:B,A310,Data!F:F))</f>
        <v/>
      </c>
      <c r="AJ310" s="68">
        <f>AJ309+ (IF(AH310="",0,AH310)-AJ309)/Charts!$X$5</f>
        <v>1.4645986476179671E-19</v>
      </c>
      <c r="AK310" s="68">
        <f>AK309+ (IF(AI310="",0,AI310)-AK309)/Charts!$X$5</f>
        <v>1.4645986476179671E-19</v>
      </c>
      <c r="AL310" s="68">
        <f>AL309+ (IF(AH310="",0,AH310)-AL309)/Charts!$X$6</f>
        <v>3.2885853413347529E-2</v>
      </c>
      <c r="AM310" s="68">
        <f>AM309+ (IF(AI310="",0,AI310)-AM309)/Charts!$X$6</f>
        <v>3.2885853413347529E-2</v>
      </c>
      <c r="AN310" s="68" t="str">
        <f t="shared" si="58"/>
        <v>0</v>
      </c>
      <c r="AO310" s="68" t="str">
        <f t="shared" si="59"/>
        <v>0</v>
      </c>
      <c r="AP310" s="69" t="str">
        <f>IF(C310="","",INDEX(Workouts!D:D,MATCH(C310,Workouts!A:A,0)))</f>
        <v/>
      </c>
      <c r="AQ310" s="69" t="str">
        <f>IF(ISNA(MATCH(A310,Data!B:B,0)),"",INDEX(Data!G:G,MATCH(A310,Data!B:B,1)))</f>
        <v/>
      </c>
    </row>
    <row r="311" spans="1:43" s="1" customFormat="1" x14ac:dyDescent="0.2">
      <c r="A311" s="125">
        <f t="shared" si="57"/>
        <v>44506</v>
      </c>
      <c r="B311" s="126" t="str">
        <f t="shared" si="54"/>
        <v>Sat</v>
      </c>
      <c r="C311" s="140"/>
      <c r="D311" s="128" t="str">
        <f t="shared" si="55"/>
        <v/>
      </c>
      <c r="E311" s="129" t="str">
        <f t="shared" si="56"/>
        <v/>
      </c>
      <c r="F311" s="130" t="str">
        <f>IF(SUMIF(Data!B:B,A311,Data!C:C)=0,"",SUMIF(Data!B:B,A311,Data!C:C))</f>
        <v/>
      </c>
      <c r="G311" s="126" t="str">
        <f>IF(OR(S311="T",S311="RUN",SUMIF(Data!B:B,A311,Data!E:E)=0),"",SUMIF(Data!B:B,A311,Data!E:E))</f>
        <v/>
      </c>
      <c r="H311" s="126" t="str">
        <f t="shared" si="48"/>
        <v/>
      </c>
      <c r="I311" s="131" t="str">
        <f t="shared" si="49"/>
        <v>0 (0)</v>
      </c>
      <c r="J311" s="131" t="str">
        <f t="shared" si="50"/>
        <v>0 (0)</v>
      </c>
      <c r="K311" s="131" t="str">
        <f t="shared" si="51"/>
        <v>0 (0)</v>
      </c>
      <c r="L311" s="132" t="str">
        <f t="shared" si="52"/>
        <v/>
      </c>
      <c r="M311" s="131" t="str">
        <f t="shared" si="53"/>
        <v/>
      </c>
      <c r="N311" s="126" t="str">
        <f>IF(ISNA(MATCH(A311,Data!B:B,0)),"",INDEX(Data!H:H,MATCH(A311,Data!B:B,1))) &amp; ""</f>
        <v/>
      </c>
      <c r="O311" s="126" t="str">
        <f>IF(ISNA(MATCH(A311,Data!B:B,0)),"",INDEX(Data!I:I,MATCH(A311,Data!B:B,1))) &amp; ""</f>
        <v/>
      </c>
      <c r="P311" s="133" t="str">
        <f>IF(ISNA(MATCH(A311,Data!B:B,0)),"",INDEX(Data!J:J,MATCH(A311,Data!B:B,1))) &amp; ""</f>
        <v/>
      </c>
      <c r="Q311" s="126" t="str">
        <f>IF(S311="T",Charts!$X$7,IF(ISNA(MATCH(A311,Data!B:B,0)),"",INDEX(Data!K:K,MATCH(A311,Data!B:B,1)))) &amp; ""</f>
        <v/>
      </c>
      <c r="R311" s="134"/>
      <c r="S311" s="134"/>
      <c r="T311" s="127"/>
      <c r="AF311" s="24" t="str">
        <f>IF(C311="","",INDEX(Workouts!B:B,MATCH(C311,Workouts!A:A,0)))</f>
        <v/>
      </c>
      <c r="AG311" s="24" t="str">
        <f>IF(SUMIF(Data!B:B,A311,Data!D:D)=0,"",SUMIF(Data!B:B,A311,Data!D:D))</f>
        <v/>
      </c>
      <c r="AH311" s="25" t="str">
        <f>IF(C311="","",INDEX(Workouts!C:C,MATCH(C311,Workouts!A:A,0)))</f>
        <v/>
      </c>
      <c r="AI311" s="68" t="str">
        <f>IF(SUMIF(Data!B:B,A311,Data!F:F)=0,"",SUMIF(Data!B:B,A311,Data!F:F))</f>
        <v/>
      </c>
      <c r="AJ311" s="68">
        <f>AJ310+ (IF(AH311="",0,AH311)-AJ310)/Charts!$X$5</f>
        <v>1.255370269386829E-19</v>
      </c>
      <c r="AK311" s="68">
        <f>AK310+ (IF(AI311="",0,AI311)-AK310)/Charts!$X$5</f>
        <v>1.255370269386829E-19</v>
      </c>
      <c r="AL311" s="68">
        <f>AL310+ (IF(AH311="",0,AH311)-AL310)/Charts!$X$6</f>
        <v>3.2102856903505922E-2</v>
      </c>
      <c r="AM311" s="68">
        <f>AM310+ (IF(AI311="",0,AI311)-AM310)/Charts!$X$6</f>
        <v>3.2102856903505922E-2</v>
      </c>
      <c r="AN311" s="68" t="str">
        <f t="shared" si="58"/>
        <v>0</v>
      </c>
      <c r="AO311" s="68" t="str">
        <f t="shared" si="59"/>
        <v>0</v>
      </c>
      <c r="AP311" s="69" t="str">
        <f>IF(C311="","",INDEX(Workouts!D:D,MATCH(C311,Workouts!A:A,0)))</f>
        <v/>
      </c>
      <c r="AQ311" s="69" t="str">
        <f>IF(ISNA(MATCH(A311,Data!B:B,0)),"",INDEX(Data!G:G,MATCH(A311,Data!B:B,1)))</f>
        <v/>
      </c>
    </row>
    <row r="312" spans="1:43" s="1" customFormat="1" x14ac:dyDescent="0.2">
      <c r="A312" s="125">
        <f t="shared" si="57"/>
        <v>44507</v>
      </c>
      <c r="B312" s="126" t="str">
        <f t="shared" si="54"/>
        <v>Sun</v>
      </c>
      <c r="C312" s="140"/>
      <c r="D312" s="128" t="str">
        <f t="shared" si="55"/>
        <v/>
      </c>
      <c r="E312" s="129" t="str">
        <f t="shared" si="56"/>
        <v/>
      </c>
      <c r="F312" s="130" t="str">
        <f>IF(SUMIF(Data!B:B,A312,Data!C:C)=0,"",SUMIF(Data!B:B,A312,Data!C:C))</f>
        <v/>
      </c>
      <c r="G312" s="126" t="str">
        <f>IF(OR(S312="T",S312="RUN",SUMIF(Data!B:B,A312,Data!E:E)=0),"",SUMIF(Data!B:B,A312,Data!E:E))</f>
        <v/>
      </c>
      <c r="H312" s="126" t="str">
        <f t="shared" si="48"/>
        <v/>
      </c>
      <c r="I312" s="131" t="str">
        <f t="shared" si="49"/>
        <v>0 (0)</v>
      </c>
      <c r="J312" s="131" t="str">
        <f t="shared" si="50"/>
        <v>0 (0)</v>
      </c>
      <c r="K312" s="131" t="str">
        <f t="shared" si="51"/>
        <v>0 (0)</v>
      </c>
      <c r="L312" s="132" t="str">
        <f t="shared" si="52"/>
        <v/>
      </c>
      <c r="M312" s="131" t="str">
        <f t="shared" si="53"/>
        <v/>
      </c>
      <c r="N312" s="126" t="str">
        <f>IF(ISNA(MATCH(A312,Data!B:B,0)),"",INDEX(Data!H:H,MATCH(A312,Data!B:B,1))) &amp; ""</f>
        <v/>
      </c>
      <c r="O312" s="126" t="str">
        <f>IF(ISNA(MATCH(A312,Data!B:B,0)),"",INDEX(Data!I:I,MATCH(A312,Data!B:B,1))) &amp; ""</f>
        <v/>
      </c>
      <c r="P312" s="133" t="str">
        <f>IF(ISNA(MATCH(A312,Data!B:B,0)),"",INDEX(Data!J:J,MATCH(A312,Data!B:B,1))) &amp; ""</f>
        <v/>
      </c>
      <c r="Q312" s="126" t="str">
        <f>IF(S312="T",Charts!$X$7,IF(ISNA(MATCH(A312,Data!B:B,0)),"",INDEX(Data!K:K,MATCH(A312,Data!B:B,1)))) &amp; ""</f>
        <v/>
      </c>
      <c r="R312" s="134"/>
      <c r="S312" s="134"/>
      <c r="T312" s="127"/>
      <c r="AF312" s="24" t="str">
        <f>IF(C312="","",INDEX(Workouts!B:B,MATCH(C312,Workouts!A:A,0)))</f>
        <v/>
      </c>
      <c r="AG312" s="24" t="str">
        <f>IF(SUMIF(Data!B:B,A312,Data!D:D)=0,"",SUMIF(Data!B:B,A312,Data!D:D))</f>
        <v/>
      </c>
      <c r="AH312" s="25" t="str">
        <f>IF(C312="","",INDEX(Workouts!C:C,MATCH(C312,Workouts!A:A,0)))</f>
        <v/>
      </c>
      <c r="AI312" s="68" t="str">
        <f>IF(SUMIF(Data!B:B,A312,Data!F:F)=0,"",SUMIF(Data!B:B,A312,Data!F:F))</f>
        <v/>
      </c>
      <c r="AJ312" s="68">
        <f>AJ311+ (IF(AH312="",0,AH312)-AJ311)/Charts!$X$5</f>
        <v>1.0760316594744249E-19</v>
      </c>
      <c r="AK312" s="68">
        <f>AK311+ (IF(AI312="",0,AI312)-AK311)/Charts!$X$5</f>
        <v>1.0760316594744249E-19</v>
      </c>
      <c r="AL312" s="68">
        <f>AL311+ (IF(AH312="",0,AH312)-AL311)/Charts!$X$6</f>
        <v>3.1338503167708164E-2</v>
      </c>
      <c r="AM312" s="68">
        <f>AM311+ (IF(AI312="",0,AI312)-AM311)/Charts!$X$6</f>
        <v>3.1338503167708164E-2</v>
      </c>
      <c r="AN312" s="68" t="str">
        <f t="shared" si="58"/>
        <v>0</v>
      </c>
      <c r="AO312" s="68" t="str">
        <f t="shared" si="59"/>
        <v>0</v>
      </c>
      <c r="AP312" s="69" t="str">
        <f>IF(C312="","",INDEX(Workouts!D:D,MATCH(C312,Workouts!A:A,0)))</f>
        <v/>
      </c>
      <c r="AQ312" s="69" t="str">
        <f>IF(ISNA(MATCH(A312,Data!B:B,0)),"",INDEX(Data!G:G,MATCH(A312,Data!B:B,1)))</f>
        <v/>
      </c>
    </row>
    <row r="313" spans="1:43" s="1" customFormat="1" x14ac:dyDescent="0.2">
      <c r="A313" s="125">
        <f t="shared" si="57"/>
        <v>44508</v>
      </c>
      <c r="B313" s="126" t="str">
        <f t="shared" si="54"/>
        <v>Mon</v>
      </c>
      <c r="C313" s="140"/>
      <c r="D313" s="128" t="str">
        <f t="shared" si="55"/>
        <v/>
      </c>
      <c r="E313" s="129" t="str">
        <f t="shared" si="56"/>
        <v/>
      </c>
      <c r="F313" s="130" t="str">
        <f>IF(SUMIF(Data!B:B,A313,Data!C:C)=0,"",SUMIF(Data!B:B,A313,Data!C:C))</f>
        <v/>
      </c>
      <c r="G313" s="126" t="str">
        <f>IF(OR(S313="T",S313="RUN",SUMIF(Data!B:B,A313,Data!E:E)=0),"",SUMIF(Data!B:B,A313,Data!E:E))</f>
        <v/>
      </c>
      <c r="H313" s="126" t="str">
        <f t="shared" si="48"/>
        <v/>
      </c>
      <c r="I313" s="131" t="str">
        <f t="shared" si="49"/>
        <v>0 (0)</v>
      </c>
      <c r="J313" s="131" t="str">
        <f t="shared" si="50"/>
        <v>0 (0)</v>
      </c>
      <c r="K313" s="131" t="str">
        <f t="shared" si="51"/>
        <v>0 (0)</v>
      </c>
      <c r="L313" s="132" t="str">
        <f t="shared" si="52"/>
        <v/>
      </c>
      <c r="M313" s="131" t="str">
        <f t="shared" si="53"/>
        <v/>
      </c>
      <c r="N313" s="126" t="str">
        <f>IF(ISNA(MATCH(A313,Data!B:B,0)),"",INDEX(Data!H:H,MATCH(A313,Data!B:B,1))) &amp; ""</f>
        <v/>
      </c>
      <c r="O313" s="126" t="str">
        <f>IF(ISNA(MATCH(A313,Data!B:B,0)),"",INDEX(Data!I:I,MATCH(A313,Data!B:B,1))) &amp; ""</f>
        <v/>
      </c>
      <c r="P313" s="133" t="str">
        <f>IF(ISNA(MATCH(A313,Data!B:B,0)),"",INDEX(Data!J:J,MATCH(A313,Data!B:B,1))) &amp; ""</f>
        <v/>
      </c>
      <c r="Q313" s="126" t="str">
        <f>IF(S313="T",Charts!$X$7,IF(ISNA(MATCH(A313,Data!B:B,0)),"",INDEX(Data!K:K,MATCH(A313,Data!B:B,1)))) &amp; ""</f>
        <v/>
      </c>
      <c r="R313" s="134"/>
      <c r="S313" s="134"/>
      <c r="T313" s="127"/>
      <c r="AF313" s="24" t="str">
        <f>IF(C313="","",INDEX(Workouts!B:B,MATCH(C313,Workouts!A:A,0)))</f>
        <v/>
      </c>
      <c r="AG313" s="24" t="str">
        <f>IF(SUMIF(Data!B:B,A313,Data!D:D)=0,"",SUMIF(Data!B:B,A313,Data!D:D))</f>
        <v/>
      </c>
      <c r="AH313" s="25" t="str">
        <f>IF(C313="","",INDEX(Workouts!C:C,MATCH(C313,Workouts!A:A,0)))</f>
        <v/>
      </c>
      <c r="AI313" s="68" t="str">
        <f>IF(SUMIF(Data!B:B,A313,Data!F:F)=0,"",SUMIF(Data!B:B,A313,Data!F:F))</f>
        <v/>
      </c>
      <c r="AJ313" s="68">
        <f>AJ312+ (IF(AH313="",0,AH313)-AJ312)/Charts!$X$5</f>
        <v>9.2231285097807848E-20</v>
      </c>
      <c r="AK313" s="68">
        <f>AK312+ (IF(AI313="",0,AI313)-AK312)/Charts!$X$5</f>
        <v>9.2231285097807848E-20</v>
      </c>
      <c r="AL313" s="68">
        <f>AL312+ (IF(AH313="",0,AH313)-AL312)/Charts!$X$6</f>
        <v>3.0592348330381779E-2</v>
      </c>
      <c r="AM313" s="68">
        <f>AM312+ (IF(AI313="",0,AI313)-AM312)/Charts!$X$6</f>
        <v>3.0592348330381779E-2</v>
      </c>
      <c r="AN313" s="68" t="str">
        <f t="shared" si="58"/>
        <v>0</v>
      </c>
      <c r="AO313" s="68" t="str">
        <f t="shared" si="59"/>
        <v>0</v>
      </c>
      <c r="AP313" s="69" t="str">
        <f>IF(C313="","",INDEX(Workouts!D:D,MATCH(C313,Workouts!A:A,0)))</f>
        <v/>
      </c>
      <c r="AQ313" s="69" t="str">
        <f>IF(ISNA(MATCH(A313,Data!B:B,0)),"",INDEX(Data!G:G,MATCH(A313,Data!B:B,1)))</f>
        <v/>
      </c>
    </row>
    <row r="314" spans="1:43" s="1" customFormat="1" x14ac:dyDescent="0.2">
      <c r="A314" s="125">
        <f t="shared" si="57"/>
        <v>44509</v>
      </c>
      <c r="B314" s="126" t="str">
        <f t="shared" si="54"/>
        <v>Tue</v>
      </c>
      <c r="C314" s="140"/>
      <c r="D314" s="128" t="str">
        <f t="shared" si="55"/>
        <v/>
      </c>
      <c r="E314" s="129" t="str">
        <f t="shared" si="56"/>
        <v/>
      </c>
      <c r="F314" s="130" t="str">
        <f>IF(SUMIF(Data!B:B,A314,Data!C:C)=0,"",SUMIF(Data!B:B,A314,Data!C:C))</f>
        <v/>
      </c>
      <c r="G314" s="126" t="str">
        <f>IF(OR(S314="T",S314="RUN",SUMIF(Data!B:B,A314,Data!E:E)=0),"",SUMIF(Data!B:B,A314,Data!E:E))</f>
        <v/>
      </c>
      <c r="H314" s="126" t="str">
        <f t="shared" si="48"/>
        <v/>
      </c>
      <c r="I314" s="131" t="str">
        <f t="shared" si="49"/>
        <v>0 (0)</v>
      </c>
      <c r="J314" s="131" t="str">
        <f t="shared" si="50"/>
        <v>0 (0)</v>
      </c>
      <c r="K314" s="131" t="str">
        <f t="shared" si="51"/>
        <v>0 (0)</v>
      </c>
      <c r="L314" s="132" t="str">
        <f t="shared" si="52"/>
        <v/>
      </c>
      <c r="M314" s="131" t="str">
        <f t="shared" si="53"/>
        <v/>
      </c>
      <c r="N314" s="126" t="str">
        <f>IF(ISNA(MATCH(A314,Data!B:B,0)),"",INDEX(Data!H:H,MATCH(A314,Data!B:B,1))) &amp; ""</f>
        <v/>
      </c>
      <c r="O314" s="126" t="str">
        <f>IF(ISNA(MATCH(A314,Data!B:B,0)),"",INDEX(Data!I:I,MATCH(A314,Data!B:B,1))) &amp; ""</f>
        <v/>
      </c>
      <c r="P314" s="133" t="str">
        <f>IF(ISNA(MATCH(A314,Data!B:B,0)),"",INDEX(Data!J:J,MATCH(A314,Data!B:B,1))) &amp; ""</f>
        <v/>
      </c>
      <c r="Q314" s="126" t="str">
        <f>IF(S314="T",Charts!$X$7,IF(ISNA(MATCH(A314,Data!B:B,0)),"",INDEX(Data!K:K,MATCH(A314,Data!B:B,1)))) &amp; ""</f>
        <v/>
      </c>
      <c r="R314" s="134"/>
      <c r="S314" s="134"/>
      <c r="T314" s="127"/>
      <c r="AF314" s="24" t="str">
        <f>IF(C314="","",INDEX(Workouts!B:B,MATCH(C314,Workouts!A:A,0)))</f>
        <v/>
      </c>
      <c r="AG314" s="24" t="str">
        <f>IF(SUMIF(Data!B:B,A314,Data!D:D)=0,"",SUMIF(Data!B:B,A314,Data!D:D))</f>
        <v/>
      </c>
      <c r="AH314" s="25" t="str">
        <f>IF(C314="","",INDEX(Workouts!C:C,MATCH(C314,Workouts!A:A,0)))</f>
        <v/>
      </c>
      <c r="AI314" s="68" t="str">
        <f>IF(SUMIF(Data!B:B,A314,Data!F:F)=0,"",SUMIF(Data!B:B,A314,Data!F:F))</f>
        <v/>
      </c>
      <c r="AJ314" s="68">
        <f>AJ313+ (IF(AH314="",0,AH314)-AJ313)/Charts!$X$5</f>
        <v>7.9055387226692441E-20</v>
      </c>
      <c r="AK314" s="68">
        <f>AK313+ (IF(AI314="",0,AI314)-AK313)/Charts!$X$5</f>
        <v>7.9055387226692441E-20</v>
      </c>
      <c r="AL314" s="68">
        <f>AL313+ (IF(AH314="",0,AH314)-AL313)/Charts!$X$6</f>
        <v>2.986395908442031E-2</v>
      </c>
      <c r="AM314" s="68">
        <f>AM313+ (IF(AI314="",0,AI314)-AM313)/Charts!$X$6</f>
        <v>2.986395908442031E-2</v>
      </c>
      <c r="AN314" s="68" t="str">
        <f t="shared" si="58"/>
        <v>0</v>
      </c>
      <c r="AO314" s="68" t="str">
        <f t="shared" si="59"/>
        <v>0</v>
      </c>
      <c r="AP314" s="69" t="str">
        <f>IF(C314="","",INDEX(Workouts!D:D,MATCH(C314,Workouts!A:A,0)))</f>
        <v/>
      </c>
      <c r="AQ314" s="69" t="str">
        <f>IF(ISNA(MATCH(A314,Data!B:B,0)),"",INDEX(Data!G:G,MATCH(A314,Data!B:B,1)))</f>
        <v/>
      </c>
    </row>
    <row r="315" spans="1:43" s="1" customFormat="1" x14ac:dyDescent="0.2">
      <c r="A315" s="125">
        <f t="shared" si="57"/>
        <v>44510</v>
      </c>
      <c r="B315" s="126" t="str">
        <f t="shared" si="54"/>
        <v>Wed</v>
      </c>
      <c r="C315" s="140"/>
      <c r="D315" s="128" t="str">
        <f t="shared" si="55"/>
        <v/>
      </c>
      <c r="E315" s="129" t="str">
        <f t="shared" si="56"/>
        <v/>
      </c>
      <c r="F315" s="130" t="str">
        <f>IF(SUMIF(Data!B:B,A315,Data!C:C)=0,"",SUMIF(Data!B:B,A315,Data!C:C))</f>
        <v/>
      </c>
      <c r="G315" s="126" t="str">
        <f>IF(OR(S315="T",S315="RUN",SUMIF(Data!B:B,A315,Data!E:E)=0),"",SUMIF(Data!B:B,A315,Data!E:E))</f>
        <v/>
      </c>
      <c r="H315" s="126" t="str">
        <f t="shared" si="48"/>
        <v/>
      </c>
      <c r="I315" s="131" t="str">
        <f t="shared" si="49"/>
        <v>0 (0)</v>
      </c>
      <c r="J315" s="131" t="str">
        <f t="shared" si="50"/>
        <v>0 (0)</v>
      </c>
      <c r="K315" s="131" t="str">
        <f t="shared" si="51"/>
        <v>0 (0)</v>
      </c>
      <c r="L315" s="132" t="str">
        <f t="shared" si="52"/>
        <v/>
      </c>
      <c r="M315" s="131" t="str">
        <f t="shared" si="53"/>
        <v/>
      </c>
      <c r="N315" s="126" t="str">
        <f>IF(ISNA(MATCH(A315,Data!B:B,0)),"",INDEX(Data!H:H,MATCH(A315,Data!B:B,1))) &amp; ""</f>
        <v/>
      </c>
      <c r="O315" s="126" t="str">
        <f>IF(ISNA(MATCH(A315,Data!B:B,0)),"",INDEX(Data!I:I,MATCH(A315,Data!B:B,1))) &amp; ""</f>
        <v/>
      </c>
      <c r="P315" s="133" t="str">
        <f>IF(ISNA(MATCH(A315,Data!B:B,0)),"",INDEX(Data!J:J,MATCH(A315,Data!B:B,1))) &amp; ""</f>
        <v/>
      </c>
      <c r="Q315" s="126" t="str">
        <f>IF(S315="T",Charts!$X$7,IF(ISNA(MATCH(A315,Data!B:B,0)),"",INDEX(Data!K:K,MATCH(A315,Data!B:B,1)))) &amp; ""</f>
        <v/>
      </c>
      <c r="R315" s="134"/>
      <c r="S315" s="134"/>
      <c r="T315" s="127"/>
      <c r="AF315" s="24" t="str">
        <f>IF(C315="","",INDEX(Workouts!B:B,MATCH(C315,Workouts!A:A,0)))</f>
        <v/>
      </c>
      <c r="AG315" s="24" t="str">
        <f>IF(SUMIF(Data!B:B,A315,Data!D:D)=0,"",SUMIF(Data!B:B,A315,Data!D:D))</f>
        <v/>
      </c>
      <c r="AH315" s="25" t="str">
        <f>IF(C315="","",INDEX(Workouts!C:C,MATCH(C315,Workouts!A:A,0)))</f>
        <v/>
      </c>
      <c r="AI315" s="68" t="str">
        <f>IF(SUMIF(Data!B:B,A315,Data!F:F)=0,"",SUMIF(Data!B:B,A315,Data!F:F))</f>
        <v/>
      </c>
      <c r="AJ315" s="68">
        <f>AJ314+ (IF(AH315="",0,AH315)-AJ314)/Charts!$X$5</f>
        <v>6.7761760480022089E-20</v>
      </c>
      <c r="AK315" s="68">
        <f>AK314+ (IF(AI315="",0,AI315)-AK314)/Charts!$X$5</f>
        <v>6.7761760480022089E-20</v>
      </c>
      <c r="AL315" s="68">
        <f>AL314+ (IF(AH315="",0,AH315)-AL314)/Charts!$X$6</f>
        <v>2.9152912439553161E-2</v>
      </c>
      <c r="AM315" s="68">
        <f>AM314+ (IF(AI315="",0,AI315)-AM314)/Charts!$X$6</f>
        <v>2.9152912439553161E-2</v>
      </c>
      <c r="AN315" s="68" t="str">
        <f t="shared" si="58"/>
        <v>0</v>
      </c>
      <c r="AO315" s="68" t="str">
        <f t="shared" si="59"/>
        <v>0</v>
      </c>
      <c r="AP315" s="69" t="str">
        <f>IF(C315="","",INDEX(Workouts!D:D,MATCH(C315,Workouts!A:A,0)))</f>
        <v/>
      </c>
      <c r="AQ315" s="69" t="str">
        <f>IF(ISNA(MATCH(A315,Data!B:B,0)),"",INDEX(Data!G:G,MATCH(A315,Data!B:B,1)))</f>
        <v/>
      </c>
    </row>
    <row r="316" spans="1:43" s="1" customFormat="1" x14ac:dyDescent="0.2">
      <c r="A316" s="125">
        <f t="shared" si="57"/>
        <v>44511</v>
      </c>
      <c r="B316" s="126" t="str">
        <f t="shared" si="54"/>
        <v>Thu</v>
      </c>
      <c r="C316" s="140"/>
      <c r="D316" s="128" t="str">
        <f t="shared" si="55"/>
        <v/>
      </c>
      <c r="E316" s="129" t="str">
        <f t="shared" si="56"/>
        <v/>
      </c>
      <c r="F316" s="130" t="str">
        <f>IF(SUMIF(Data!B:B,A316,Data!C:C)=0,"",SUMIF(Data!B:B,A316,Data!C:C))</f>
        <v/>
      </c>
      <c r="G316" s="126" t="str">
        <f>IF(OR(S316="T",S316="RUN",SUMIF(Data!B:B,A316,Data!E:E)=0),"",SUMIF(Data!B:B,A316,Data!E:E))</f>
        <v/>
      </c>
      <c r="H316" s="126" t="str">
        <f t="shared" si="48"/>
        <v/>
      </c>
      <c r="I316" s="131" t="str">
        <f t="shared" si="49"/>
        <v>0 (0)</v>
      </c>
      <c r="J316" s="131" t="str">
        <f t="shared" si="50"/>
        <v>0 (0)</v>
      </c>
      <c r="K316" s="131" t="str">
        <f t="shared" si="51"/>
        <v>0 (0)</v>
      </c>
      <c r="L316" s="132" t="str">
        <f t="shared" si="52"/>
        <v/>
      </c>
      <c r="M316" s="131" t="str">
        <f t="shared" si="53"/>
        <v/>
      </c>
      <c r="N316" s="126" t="str">
        <f>IF(ISNA(MATCH(A316,Data!B:B,0)),"",INDEX(Data!H:H,MATCH(A316,Data!B:B,1))) &amp; ""</f>
        <v/>
      </c>
      <c r="O316" s="126" t="str">
        <f>IF(ISNA(MATCH(A316,Data!B:B,0)),"",INDEX(Data!I:I,MATCH(A316,Data!B:B,1))) &amp; ""</f>
        <v/>
      </c>
      <c r="P316" s="133" t="str">
        <f>IF(ISNA(MATCH(A316,Data!B:B,0)),"",INDEX(Data!J:J,MATCH(A316,Data!B:B,1))) &amp; ""</f>
        <v/>
      </c>
      <c r="Q316" s="126" t="str">
        <f>IF(S316="T",Charts!$X$7,IF(ISNA(MATCH(A316,Data!B:B,0)),"",INDEX(Data!K:K,MATCH(A316,Data!B:B,1)))) &amp; ""</f>
        <v/>
      </c>
      <c r="R316" s="134"/>
      <c r="S316" s="134"/>
      <c r="T316" s="127"/>
      <c r="AF316" s="24" t="str">
        <f>IF(C316="","",INDEX(Workouts!B:B,MATCH(C316,Workouts!A:A,0)))</f>
        <v/>
      </c>
      <c r="AG316" s="24" t="str">
        <f>IF(SUMIF(Data!B:B,A316,Data!D:D)=0,"",SUMIF(Data!B:B,A316,Data!D:D))</f>
        <v/>
      </c>
      <c r="AH316" s="25" t="str">
        <f>IF(C316="","",INDEX(Workouts!C:C,MATCH(C316,Workouts!A:A,0)))</f>
        <v/>
      </c>
      <c r="AI316" s="68" t="str">
        <f>IF(SUMIF(Data!B:B,A316,Data!F:F)=0,"",SUMIF(Data!B:B,A316,Data!F:F))</f>
        <v/>
      </c>
      <c r="AJ316" s="68">
        <f>AJ315+ (IF(AH316="",0,AH316)-AJ315)/Charts!$X$5</f>
        <v>5.8081508982876074E-20</v>
      </c>
      <c r="AK316" s="68">
        <f>AK315+ (IF(AI316="",0,AI316)-AK315)/Charts!$X$5</f>
        <v>5.8081508982876074E-20</v>
      </c>
      <c r="AL316" s="68">
        <f>AL315+ (IF(AH316="",0,AH316)-AL315)/Charts!$X$6</f>
        <v>2.8458795476706655E-2</v>
      </c>
      <c r="AM316" s="68">
        <f>AM315+ (IF(AI316="",0,AI316)-AM315)/Charts!$X$6</f>
        <v>2.8458795476706655E-2</v>
      </c>
      <c r="AN316" s="68" t="str">
        <f t="shared" si="58"/>
        <v>0</v>
      </c>
      <c r="AO316" s="68" t="str">
        <f t="shared" si="59"/>
        <v>0</v>
      </c>
      <c r="AP316" s="69" t="str">
        <f>IF(C316="","",INDEX(Workouts!D:D,MATCH(C316,Workouts!A:A,0)))</f>
        <v/>
      </c>
      <c r="AQ316" s="69" t="str">
        <f>IF(ISNA(MATCH(A316,Data!B:B,0)),"",INDEX(Data!G:G,MATCH(A316,Data!B:B,1)))</f>
        <v/>
      </c>
    </row>
    <row r="317" spans="1:43" s="1" customFormat="1" x14ac:dyDescent="0.2">
      <c r="A317" s="125">
        <f t="shared" si="57"/>
        <v>44512</v>
      </c>
      <c r="B317" s="126" t="str">
        <f t="shared" si="54"/>
        <v>Fri</v>
      </c>
      <c r="C317" s="140"/>
      <c r="D317" s="128" t="str">
        <f t="shared" si="55"/>
        <v/>
      </c>
      <c r="E317" s="129" t="str">
        <f t="shared" si="56"/>
        <v/>
      </c>
      <c r="F317" s="130" t="str">
        <f>IF(SUMIF(Data!B:B,A317,Data!C:C)=0,"",SUMIF(Data!B:B,A317,Data!C:C))</f>
        <v/>
      </c>
      <c r="G317" s="126" t="str">
        <f>IF(OR(S317="T",S317="RUN",SUMIF(Data!B:B,A317,Data!E:E)=0),"",SUMIF(Data!B:B,A317,Data!E:E))</f>
        <v/>
      </c>
      <c r="H317" s="126" t="str">
        <f t="shared" si="48"/>
        <v/>
      </c>
      <c r="I317" s="131" t="str">
        <f t="shared" si="49"/>
        <v>0 (0)</v>
      </c>
      <c r="J317" s="131" t="str">
        <f t="shared" si="50"/>
        <v>0 (0)</v>
      </c>
      <c r="K317" s="131" t="str">
        <f t="shared" si="51"/>
        <v>0 (0)</v>
      </c>
      <c r="L317" s="132" t="str">
        <f t="shared" si="52"/>
        <v/>
      </c>
      <c r="M317" s="131" t="str">
        <f t="shared" si="53"/>
        <v/>
      </c>
      <c r="N317" s="126" t="str">
        <f>IF(ISNA(MATCH(A317,Data!B:B,0)),"",INDEX(Data!H:H,MATCH(A317,Data!B:B,1))) &amp; ""</f>
        <v/>
      </c>
      <c r="O317" s="126" t="str">
        <f>IF(ISNA(MATCH(A317,Data!B:B,0)),"",INDEX(Data!I:I,MATCH(A317,Data!B:B,1))) &amp; ""</f>
        <v/>
      </c>
      <c r="P317" s="133" t="str">
        <f>IF(ISNA(MATCH(A317,Data!B:B,0)),"",INDEX(Data!J:J,MATCH(A317,Data!B:B,1))) &amp; ""</f>
        <v/>
      </c>
      <c r="Q317" s="126" t="str">
        <f>IF(S317="T",Charts!$X$7,IF(ISNA(MATCH(A317,Data!B:B,0)),"",INDEX(Data!K:K,MATCH(A317,Data!B:B,1)))) &amp; ""</f>
        <v/>
      </c>
      <c r="R317" s="134"/>
      <c r="S317" s="134"/>
      <c r="T317" s="127"/>
      <c r="AF317" s="24" t="str">
        <f>IF(C317="","",INDEX(Workouts!B:B,MATCH(C317,Workouts!A:A,0)))</f>
        <v/>
      </c>
      <c r="AG317" s="24" t="str">
        <f>IF(SUMIF(Data!B:B,A317,Data!D:D)=0,"",SUMIF(Data!B:B,A317,Data!D:D))</f>
        <v/>
      </c>
      <c r="AH317" s="25" t="str">
        <f>IF(C317="","",INDEX(Workouts!C:C,MATCH(C317,Workouts!A:A,0)))</f>
        <v/>
      </c>
      <c r="AI317" s="68" t="str">
        <f>IF(SUMIF(Data!B:B,A317,Data!F:F)=0,"",SUMIF(Data!B:B,A317,Data!F:F))</f>
        <v/>
      </c>
      <c r="AJ317" s="68">
        <f>AJ316+ (IF(AH317="",0,AH317)-AJ316)/Charts!$X$5</f>
        <v>4.9784150556750919E-20</v>
      </c>
      <c r="AK317" s="68">
        <f>AK316+ (IF(AI317="",0,AI317)-AK316)/Charts!$X$5</f>
        <v>4.9784150556750919E-20</v>
      </c>
      <c r="AL317" s="68">
        <f>AL316+ (IF(AH317="",0,AH317)-AL316)/Charts!$X$6</f>
        <v>2.7781205108213639E-2</v>
      </c>
      <c r="AM317" s="68">
        <f>AM316+ (IF(AI317="",0,AI317)-AM316)/Charts!$X$6</f>
        <v>2.7781205108213639E-2</v>
      </c>
      <c r="AN317" s="68" t="str">
        <f t="shared" si="58"/>
        <v>0</v>
      </c>
      <c r="AO317" s="68" t="str">
        <f t="shared" si="59"/>
        <v>0</v>
      </c>
      <c r="AP317" s="69" t="str">
        <f>IF(C317="","",INDEX(Workouts!D:D,MATCH(C317,Workouts!A:A,0)))</f>
        <v/>
      </c>
      <c r="AQ317" s="69" t="str">
        <f>IF(ISNA(MATCH(A317,Data!B:B,0)),"",INDEX(Data!G:G,MATCH(A317,Data!B:B,1)))</f>
        <v/>
      </c>
    </row>
    <row r="318" spans="1:43" s="1" customFormat="1" x14ac:dyDescent="0.2">
      <c r="A318" s="125">
        <f t="shared" si="57"/>
        <v>44513</v>
      </c>
      <c r="B318" s="126" t="str">
        <f t="shared" si="54"/>
        <v>Sat</v>
      </c>
      <c r="C318" s="140"/>
      <c r="D318" s="128" t="str">
        <f t="shared" ref="D318" si="60">IF(AG318="","",INT(AG318/60)&amp;":"&amp;RIGHT("00"&amp;MOD(AG318,60),2)&amp;" ")
&amp;IF(OR(AF318="",AF318=0),"","("&amp;INT(AF318/60)&amp;":"&amp;RIGHT("00"&amp;MOD(AF318,60),2)&amp;")")</f>
        <v/>
      </c>
      <c r="E318" s="129" t="str">
        <f t="shared" ref="E318" si="61">IF(AG318&lt;&gt;"",F318/AG318*60,"")</f>
        <v/>
      </c>
      <c r="F318" s="130" t="str">
        <f>IF(SUMIF(Data!B:B,A318,Data!C:C)=0,"",SUMIF(Data!B:B,A318,Data!C:C))</f>
        <v/>
      </c>
      <c r="G318" s="126" t="str">
        <f>IF(OR(S318="T",S318="RUN",SUMIF(Data!B:B,A318,Data!E:E)=0),"",SUMIF(Data!B:B,A318,Data!E:E))</f>
        <v/>
      </c>
      <c r="H318" s="126" t="str">
        <f t="shared" ref="H318" si="62">IF(G318&lt;&gt;"",INT(G318/F318),"")</f>
        <v/>
      </c>
      <c r="I318" s="131" t="str">
        <f t="shared" ref="I318" si="63">ROUND(AK318,0)&amp;IF(AJ318="",""," ("&amp;ROUND(AJ318,0)&amp;")")</f>
        <v>0 (0)</v>
      </c>
      <c r="J318" s="131" t="str">
        <f t="shared" ref="J318" si="64">ROUND(AM318,0)&amp;IF(AL318="",""," ("&amp;ROUND(AL318,0)&amp;")")</f>
        <v>0 (0)</v>
      </c>
      <c r="K318" s="131" t="str">
        <f t="shared" ref="K318" si="65">AO318&amp;IF(AN318="",""," ("&amp;AN318&amp;")")</f>
        <v>0 (0)</v>
      </c>
      <c r="L318" s="132" t="str">
        <f t="shared" ref="L318" si="66">AI318&amp;IF(AH318="",""," ("&amp;AH318&amp;")")</f>
        <v/>
      </c>
      <c r="M318" s="131" t="str">
        <f t="shared" ref="M318" si="67">TEXT(AQ318,"0.00")&amp;IF(AP318="",""," ("&amp;TEXT(AP318,"0.00")&amp;")")</f>
        <v/>
      </c>
      <c r="N318" s="126" t="str">
        <f>IF(ISNA(MATCH(A318,Data!B:B,0)),"",INDEX(Data!H:H,MATCH(A318,Data!B:B,1))) &amp; ""</f>
        <v/>
      </c>
      <c r="O318" s="126" t="str">
        <f>IF(ISNA(MATCH(A318,Data!B:B,0)),"",INDEX(Data!I:I,MATCH(A318,Data!B:B,1))) &amp; ""</f>
        <v/>
      </c>
      <c r="P318" s="133" t="str">
        <f>IF(ISNA(MATCH(A318,Data!B:B,0)),"",INDEX(Data!J:J,MATCH(A318,Data!B:B,1))) &amp; ""</f>
        <v/>
      </c>
      <c r="Q318" s="126" t="str">
        <f>IF(S318="T",Charts!$X$7,IF(ISNA(MATCH(A318,Data!B:B,0)),"",INDEX(Data!K:K,MATCH(A318,Data!B:B,1)))) &amp; ""</f>
        <v/>
      </c>
      <c r="R318" s="134"/>
      <c r="S318" s="134"/>
      <c r="T318" s="127"/>
      <c r="AF318" s="24" t="str">
        <f>IF(C318="","",INDEX(Workouts!B:B,MATCH(C318,Workouts!A:A,0)))</f>
        <v/>
      </c>
      <c r="AG318" s="24" t="str">
        <f>IF(SUMIF(Data!B:B,A318,Data!D:D)=0,"",SUMIF(Data!B:B,A318,Data!D:D))</f>
        <v/>
      </c>
      <c r="AH318" s="25" t="str">
        <f>IF(C318="","",INDEX(Workouts!C:C,MATCH(C318,Workouts!A:A,0)))</f>
        <v/>
      </c>
      <c r="AI318" s="68" t="str">
        <f>IF(SUMIF(Data!B:B,A318,Data!F:F)=0,"",SUMIF(Data!B:B,A318,Data!F:F))</f>
        <v/>
      </c>
      <c r="AJ318" s="68">
        <f>AJ317+ (IF(AH318="",0,AH318)-AJ317)/Charts!$X$5</f>
        <v>4.2672129048643644E-20</v>
      </c>
      <c r="AK318" s="68">
        <f>AK317+ (IF(AI318="",0,AI318)-AK317)/Charts!$X$5</f>
        <v>4.2672129048643644E-20</v>
      </c>
      <c r="AL318" s="68">
        <f>AL317+ (IF(AH318="",0,AH318)-AL317)/Charts!$X$6</f>
        <v>2.7119747843732361E-2</v>
      </c>
      <c r="AM318" s="68">
        <f>AM317+ (IF(AI318="",0,AI318)-AM317)/Charts!$X$6</f>
        <v>2.7119747843732361E-2</v>
      </c>
      <c r="AN318" s="68" t="str">
        <f t="shared" si="58"/>
        <v>0</v>
      </c>
      <c r="AO318" s="68" t="str">
        <f t="shared" si="59"/>
        <v>0</v>
      </c>
      <c r="AP318" s="69" t="str">
        <f>IF(C318="","",INDEX(Workouts!D:D,MATCH(C318,Workouts!A:A,0)))</f>
        <v/>
      </c>
      <c r="AQ318" s="69" t="str">
        <f>IF(ISNA(MATCH(A318,Data!B:B,0)),"",INDEX(Data!G:G,MATCH(A318,Data!B:B,1)))</f>
        <v/>
      </c>
    </row>
    <row r="319" spans="1:43" s="1" customFormat="1" x14ac:dyDescent="0.2">
      <c r="A319" s="125">
        <f t="shared" si="57"/>
        <v>44514</v>
      </c>
      <c r="B319" s="126" t="str">
        <f t="shared" si="54"/>
        <v>Sun</v>
      </c>
      <c r="C319" s="140"/>
      <c r="D319" s="128" t="str">
        <f t="shared" ref="D319:D366" si="68">IF(AG319="","",INT(AG319/60)&amp;":"&amp;RIGHT("00"&amp;MOD(AG319,60),2)&amp;" ")
&amp;IF(OR(AF319="",AF319=0),"","("&amp;INT(AF319/60)&amp;":"&amp;RIGHT("00"&amp;MOD(AF319,60),2)&amp;")")</f>
        <v/>
      </c>
      <c r="E319" s="129" t="str">
        <f t="shared" ref="E319:E366" si="69">IF(AG319&lt;&gt;"",F319/AG319*60,"")</f>
        <v/>
      </c>
      <c r="F319" s="130" t="str">
        <f>IF(SUMIF(Data!B:B,A319,Data!C:C)=0,"",SUMIF(Data!B:B,A319,Data!C:C))</f>
        <v/>
      </c>
      <c r="G319" s="126" t="str">
        <f>IF(OR(S319="T",S319="RUN",SUMIF(Data!B:B,A319,Data!E:E)=0),"",SUMIF(Data!B:B,A319,Data!E:E))</f>
        <v/>
      </c>
      <c r="H319" s="126" t="str">
        <f t="shared" ref="H319:H366" si="70">IF(G319&lt;&gt;"",INT(G319/F319),"")</f>
        <v/>
      </c>
      <c r="I319" s="131" t="str">
        <f t="shared" ref="I319:I366" si="71">ROUND(AK319,0)&amp;IF(AJ319="",""," ("&amp;ROUND(AJ319,0)&amp;")")</f>
        <v>0 (0)</v>
      </c>
      <c r="J319" s="131" t="str">
        <f t="shared" ref="J319:J366" si="72">ROUND(AM319,0)&amp;IF(AL319="",""," ("&amp;ROUND(AL319,0)&amp;")")</f>
        <v>0 (0)</v>
      </c>
      <c r="K319" s="131" t="str">
        <f t="shared" ref="K319:K366" si="73">AO319&amp;IF(AN319="",""," ("&amp;AN319&amp;")")</f>
        <v>0 (0)</v>
      </c>
      <c r="L319" s="132" t="str">
        <f t="shared" ref="L319:L366" si="74">AI319&amp;IF(AH319="",""," ("&amp;AH319&amp;")")</f>
        <v/>
      </c>
      <c r="M319" s="131" t="str">
        <f t="shared" ref="M319:M366" si="75">TEXT(AQ319,"0.00")&amp;IF(AP319="",""," ("&amp;TEXT(AP319,"0.00")&amp;")")</f>
        <v/>
      </c>
      <c r="N319" s="126" t="str">
        <f>IF(ISNA(MATCH(A319,Data!B:B,0)),"",INDEX(Data!H:H,MATCH(A319,Data!B:B,1))) &amp; ""</f>
        <v/>
      </c>
      <c r="O319" s="126" t="str">
        <f>IF(ISNA(MATCH(A319,Data!B:B,0)),"",INDEX(Data!I:I,MATCH(A319,Data!B:B,1))) &amp; ""</f>
        <v/>
      </c>
      <c r="P319" s="133" t="str">
        <f>IF(ISNA(MATCH(A319,Data!B:B,0)),"",INDEX(Data!J:J,MATCH(A319,Data!B:B,1))) &amp; ""</f>
        <v/>
      </c>
      <c r="Q319" s="126" t="str">
        <f>IF(S319="T",Charts!$X$7,IF(ISNA(MATCH(A319,Data!B:B,0)),"",INDEX(Data!K:K,MATCH(A319,Data!B:B,1)))) &amp; ""</f>
        <v/>
      </c>
      <c r="R319" s="134"/>
      <c r="S319" s="134"/>
      <c r="T319" s="127"/>
      <c r="AF319" s="24" t="str">
        <f>IF(C319="","",INDEX(Workouts!B:B,MATCH(C319,Workouts!A:A,0)))</f>
        <v/>
      </c>
      <c r="AG319" s="24" t="str">
        <f>IF(SUMIF(Data!B:B,A319,Data!D:D)=0,"",SUMIF(Data!B:B,A319,Data!D:D))</f>
        <v/>
      </c>
      <c r="AH319" s="25" t="str">
        <f>IF(C319="","",INDEX(Workouts!C:C,MATCH(C319,Workouts!A:A,0)))</f>
        <v/>
      </c>
      <c r="AI319" s="68" t="str">
        <f>IF(SUMIF(Data!B:B,A319,Data!F:F)=0,"",SUMIF(Data!B:B,A319,Data!F:F))</f>
        <v/>
      </c>
      <c r="AJ319" s="68">
        <f>AJ318+ (IF(AH319="",0,AH319)-AJ318)/Charts!$X$5</f>
        <v>3.6576110613123124E-20</v>
      </c>
      <c r="AK319" s="68">
        <f>AK318+ (IF(AI319="",0,AI319)-AK318)/Charts!$X$5</f>
        <v>3.6576110613123124E-20</v>
      </c>
      <c r="AL319" s="68">
        <f>AL318+ (IF(AH319="",0,AH319)-AL318)/Charts!$X$6</f>
        <v>2.6474039561738733E-2</v>
      </c>
      <c r="AM319" s="68">
        <f>AM318+ (IF(AI319="",0,AI319)-AM318)/Charts!$X$6</f>
        <v>2.6474039561738733E-2</v>
      </c>
      <c r="AN319" s="68" t="str">
        <f t="shared" si="58"/>
        <v>0</v>
      </c>
      <c r="AO319" s="68" t="str">
        <f t="shared" si="59"/>
        <v>0</v>
      </c>
      <c r="AP319" s="69" t="str">
        <f>IF(C319="","",INDEX(Workouts!D:D,MATCH(C319,Workouts!A:A,0)))</f>
        <v/>
      </c>
      <c r="AQ319" s="69" t="str">
        <f>IF(ISNA(MATCH(A319,Data!B:B,0)),"",INDEX(Data!G:G,MATCH(A319,Data!B:B,1)))</f>
        <v/>
      </c>
    </row>
    <row r="320" spans="1:43" s="1" customFormat="1" x14ac:dyDescent="0.2">
      <c r="A320" s="125">
        <f t="shared" si="57"/>
        <v>44515</v>
      </c>
      <c r="B320" s="126" t="str">
        <f t="shared" si="54"/>
        <v>Mon</v>
      </c>
      <c r="C320" s="140"/>
      <c r="D320" s="128" t="str">
        <f t="shared" si="68"/>
        <v/>
      </c>
      <c r="E320" s="129" t="str">
        <f t="shared" si="69"/>
        <v/>
      </c>
      <c r="F320" s="130" t="str">
        <f>IF(SUMIF(Data!B:B,A320,Data!C:C)=0,"",SUMIF(Data!B:B,A320,Data!C:C))</f>
        <v/>
      </c>
      <c r="G320" s="126" t="str">
        <f>IF(OR(S320="T",S320="RUN",SUMIF(Data!B:B,A320,Data!E:E)=0),"",SUMIF(Data!B:B,A320,Data!E:E))</f>
        <v/>
      </c>
      <c r="H320" s="126" t="str">
        <f t="shared" si="70"/>
        <v/>
      </c>
      <c r="I320" s="131" t="str">
        <f t="shared" si="71"/>
        <v>0 (0)</v>
      </c>
      <c r="J320" s="131" t="str">
        <f t="shared" si="72"/>
        <v>0 (0)</v>
      </c>
      <c r="K320" s="131" t="str">
        <f t="shared" si="73"/>
        <v>0 (0)</v>
      </c>
      <c r="L320" s="132" t="str">
        <f t="shared" si="74"/>
        <v/>
      </c>
      <c r="M320" s="131" t="str">
        <f t="shared" si="75"/>
        <v/>
      </c>
      <c r="N320" s="126" t="str">
        <f>IF(ISNA(MATCH(A320,Data!B:B,0)),"",INDEX(Data!H:H,MATCH(A320,Data!B:B,1))) &amp; ""</f>
        <v/>
      </c>
      <c r="O320" s="126" t="str">
        <f>IF(ISNA(MATCH(A320,Data!B:B,0)),"",INDEX(Data!I:I,MATCH(A320,Data!B:B,1))) &amp; ""</f>
        <v/>
      </c>
      <c r="P320" s="133" t="str">
        <f>IF(ISNA(MATCH(A320,Data!B:B,0)),"",INDEX(Data!J:J,MATCH(A320,Data!B:B,1))) &amp; ""</f>
        <v/>
      </c>
      <c r="Q320" s="126" t="str">
        <f>IF(S320="T",Charts!$X$7,IF(ISNA(MATCH(A320,Data!B:B,0)),"",INDEX(Data!K:K,MATCH(A320,Data!B:B,1)))) &amp; ""</f>
        <v/>
      </c>
      <c r="R320" s="134"/>
      <c r="S320" s="134"/>
      <c r="T320" s="127"/>
      <c r="AF320" s="24" t="str">
        <f>IF(C320="","",INDEX(Workouts!B:B,MATCH(C320,Workouts!A:A,0)))</f>
        <v/>
      </c>
      <c r="AG320" s="24" t="str">
        <f>IF(SUMIF(Data!B:B,A320,Data!D:D)=0,"",SUMIF(Data!B:B,A320,Data!D:D))</f>
        <v/>
      </c>
      <c r="AH320" s="25" t="str">
        <f>IF(C320="","",INDEX(Workouts!C:C,MATCH(C320,Workouts!A:A,0)))</f>
        <v/>
      </c>
      <c r="AI320" s="68" t="str">
        <f>IF(SUMIF(Data!B:B,A320,Data!F:F)=0,"",SUMIF(Data!B:B,A320,Data!F:F))</f>
        <v/>
      </c>
      <c r="AJ320" s="68">
        <f>AJ319+ (IF(AH320="",0,AH320)-AJ319)/Charts!$X$5</f>
        <v>3.1350951954105532E-20</v>
      </c>
      <c r="AK320" s="68">
        <f>AK319+ (IF(AI320="",0,AI320)-AK319)/Charts!$X$5</f>
        <v>3.1350951954105532E-20</v>
      </c>
      <c r="AL320" s="68">
        <f>AL319+ (IF(AH320="",0,AH320)-AL319)/Charts!$X$6</f>
        <v>2.584370528645924E-2</v>
      </c>
      <c r="AM320" s="68">
        <f>AM319+ (IF(AI320="",0,AI320)-AM319)/Charts!$X$6</f>
        <v>2.584370528645924E-2</v>
      </c>
      <c r="AN320" s="68" t="str">
        <f t="shared" si="58"/>
        <v>0</v>
      </c>
      <c r="AO320" s="68" t="str">
        <f t="shared" si="59"/>
        <v>0</v>
      </c>
      <c r="AP320" s="69" t="str">
        <f>IF(C320="","",INDEX(Workouts!D:D,MATCH(C320,Workouts!A:A,0)))</f>
        <v/>
      </c>
      <c r="AQ320" s="69" t="str">
        <f>IF(ISNA(MATCH(A320,Data!B:B,0)),"",INDEX(Data!G:G,MATCH(A320,Data!B:B,1)))</f>
        <v/>
      </c>
    </row>
    <row r="321" spans="1:43" s="1" customFormat="1" x14ac:dyDescent="0.2">
      <c r="A321" s="125">
        <f t="shared" si="57"/>
        <v>44516</v>
      </c>
      <c r="B321" s="126" t="str">
        <f t="shared" si="54"/>
        <v>Tue</v>
      </c>
      <c r="C321" s="140"/>
      <c r="D321" s="128" t="str">
        <f t="shared" si="68"/>
        <v/>
      </c>
      <c r="E321" s="129" t="str">
        <f t="shared" si="69"/>
        <v/>
      </c>
      <c r="F321" s="130" t="str">
        <f>IF(SUMIF(Data!B:B,A321,Data!C:C)=0,"",SUMIF(Data!B:B,A321,Data!C:C))</f>
        <v/>
      </c>
      <c r="G321" s="126" t="str">
        <f>IF(OR(S321="T",S321="RUN",SUMIF(Data!B:B,A321,Data!E:E)=0),"",SUMIF(Data!B:B,A321,Data!E:E))</f>
        <v/>
      </c>
      <c r="H321" s="126" t="str">
        <f t="shared" si="70"/>
        <v/>
      </c>
      <c r="I321" s="131" t="str">
        <f t="shared" si="71"/>
        <v>0 (0)</v>
      </c>
      <c r="J321" s="131" t="str">
        <f t="shared" si="72"/>
        <v>0 (0)</v>
      </c>
      <c r="K321" s="131" t="str">
        <f t="shared" si="73"/>
        <v>0 (0)</v>
      </c>
      <c r="L321" s="132" t="str">
        <f t="shared" si="74"/>
        <v/>
      </c>
      <c r="M321" s="131" t="str">
        <f t="shared" si="75"/>
        <v/>
      </c>
      <c r="N321" s="126" t="str">
        <f>IF(ISNA(MATCH(A321,Data!B:B,0)),"",INDEX(Data!H:H,MATCH(A321,Data!B:B,1))) &amp; ""</f>
        <v/>
      </c>
      <c r="O321" s="126" t="str">
        <f>IF(ISNA(MATCH(A321,Data!B:B,0)),"",INDEX(Data!I:I,MATCH(A321,Data!B:B,1))) &amp; ""</f>
        <v/>
      </c>
      <c r="P321" s="133" t="str">
        <f>IF(ISNA(MATCH(A321,Data!B:B,0)),"",INDEX(Data!J:J,MATCH(A321,Data!B:B,1))) &amp; ""</f>
        <v/>
      </c>
      <c r="Q321" s="126" t="str">
        <f>IF(S321="T",Charts!$X$7,IF(ISNA(MATCH(A321,Data!B:B,0)),"",INDEX(Data!K:K,MATCH(A321,Data!B:B,1)))) &amp; ""</f>
        <v/>
      </c>
      <c r="R321" s="134"/>
      <c r="S321" s="134"/>
      <c r="T321" s="127"/>
      <c r="AF321" s="24" t="str">
        <f>IF(C321="","",INDEX(Workouts!B:B,MATCH(C321,Workouts!A:A,0)))</f>
        <v/>
      </c>
      <c r="AG321" s="24" t="str">
        <f>IF(SUMIF(Data!B:B,A321,Data!D:D)=0,"",SUMIF(Data!B:B,A321,Data!D:D))</f>
        <v/>
      </c>
      <c r="AH321" s="25" t="str">
        <f>IF(C321="","",INDEX(Workouts!C:C,MATCH(C321,Workouts!A:A,0)))</f>
        <v/>
      </c>
      <c r="AI321" s="68" t="str">
        <f>IF(SUMIF(Data!B:B,A321,Data!F:F)=0,"",SUMIF(Data!B:B,A321,Data!F:F))</f>
        <v/>
      </c>
      <c r="AJ321" s="68">
        <f>AJ320+ (IF(AH321="",0,AH321)-AJ320)/Charts!$X$5</f>
        <v>2.6872244532090455E-20</v>
      </c>
      <c r="AK321" s="68">
        <f>AK320+ (IF(AI321="",0,AI321)-AK320)/Charts!$X$5</f>
        <v>2.6872244532090455E-20</v>
      </c>
      <c r="AL321" s="68">
        <f>AL320+ (IF(AH321="",0,AH321)-AL320)/Charts!$X$6</f>
        <v>2.5228378970114974E-2</v>
      </c>
      <c r="AM321" s="68">
        <f>AM320+ (IF(AI321="",0,AI321)-AM320)/Charts!$X$6</f>
        <v>2.5228378970114974E-2</v>
      </c>
      <c r="AN321" s="68" t="str">
        <f t="shared" si="58"/>
        <v>0</v>
      </c>
      <c r="AO321" s="68" t="str">
        <f t="shared" si="59"/>
        <v>0</v>
      </c>
      <c r="AP321" s="69" t="str">
        <f>IF(C321="","",INDEX(Workouts!D:D,MATCH(C321,Workouts!A:A,0)))</f>
        <v/>
      </c>
      <c r="AQ321" s="69" t="str">
        <f>IF(ISNA(MATCH(A321,Data!B:B,0)),"",INDEX(Data!G:G,MATCH(A321,Data!B:B,1)))</f>
        <v/>
      </c>
    </row>
    <row r="322" spans="1:43" s="1" customFormat="1" x14ac:dyDescent="0.2">
      <c r="A322" s="125">
        <f t="shared" si="57"/>
        <v>44517</v>
      </c>
      <c r="B322" s="126" t="str">
        <f t="shared" si="54"/>
        <v>Wed</v>
      </c>
      <c r="C322" s="140"/>
      <c r="D322" s="128" t="str">
        <f t="shared" si="68"/>
        <v/>
      </c>
      <c r="E322" s="129" t="str">
        <f t="shared" si="69"/>
        <v/>
      </c>
      <c r="F322" s="130" t="str">
        <f>IF(SUMIF(Data!B:B,A322,Data!C:C)=0,"",SUMIF(Data!B:B,A322,Data!C:C))</f>
        <v/>
      </c>
      <c r="G322" s="126" t="str">
        <f>IF(OR(S322="T",S322="RUN",SUMIF(Data!B:B,A322,Data!E:E)=0),"",SUMIF(Data!B:B,A322,Data!E:E))</f>
        <v/>
      </c>
      <c r="H322" s="126" t="str">
        <f t="shared" si="70"/>
        <v/>
      </c>
      <c r="I322" s="131" t="str">
        <f t="shared" si="71"/>
        <v>0 (0)</v>
      </c>
      <c r="J322" s="131" t="str">
        <f t="shared" si="72"/>
        <v>0 (0)</v>
      </c>
      <c r="K322" s="131" t="str">
        <f t="shared" si="73"/>
        <v>0 (0)</v>
      </c>
      <c r="L322" s="132" t="str">
        <f t="shared" si="74"/>
        <v/>
      </c>
      <c r="M322" s="131" t="str">
        <f t="shared" si="75"/>
        <v/>
      </c>
      <c r="N322" s="126" t="str">
        <f>IF(ISNA(MATCH(A322,Data!B:B,0)),"",INDEX(Data!H:H,MATCH(A322,Data!B:B,1))) &amp; ""</f>
        <v/>
      </c>
      <c r="O322" s="126" t="str">
        <f>IF(ISNA(MATCH(A322,Data!B:B,0)),"",INDEX(Data!I:I,MATCH(A322,Data!B:B,1))) &amp; ""</f>
        <v/>
      </c>
      <c r="P322" s="133" t="str">
        <f>IF(ISNA(MATCH(A322,Data!B:B,0)),"",INDEX(Data!J:J,MATCH(A322,Data!B:B,1))) &amp; ""</f>
        <v/>
      </c>
      <c r="Q322" s="126" t="str">
        <f>IF(S322="T",Charts!$X$7,IF(ISNA(MATCH(A322,Data!B:B,0)),"",INDEX(Data!K:K,MATCH(A322,Data!B:B,1)))) &amp; ""</f>
        <v/>
      </c>
      <c r="R322" s="134"/>
      <c r="S322" s="134"/>
      <c r="T322" s="127"/>
      <c r="AF322" s="24" t="str">
        <f>IF(C322="","",INDEX(Workouts!B:B,MATCH(C322,Workouts!A:A,0)))</f>
        <v/>
      </c>
      <c r="AG322" s="24" t="str">
        <f>IF(SUMIF(Data!B:B,A322,Data!D:D)=0,"",SUMIF(Data!B:B,A322,Data!D:D))</f>
        <v/>
      </c>
      <c r="AH322" s="25" t="str">
        <f>IF(C322="","",INDEX(Workouts!C:C,MATCH(C322,Workouts!A:A,0)))</f>
        <v/>
      </c>
      <c r="AI322" s="68" t="str">
        <f>IF(SUMIF(Data!B:B,A322,Data!F:F)=0,"",SUMIF(Data!B:B,A322,Data!F:F))</f>
        <v/>
      </c>
      <c r="AJ322" s="68">
        <f>AJ321+ (IF(AH322="",0,AH322)-AJ321)/Charts!$X$5</f>
        <v>2.3033352456077532E-20</v>
      </c>
      <c r="AK322" s="68">
        <f>AK321+ (IF(AI322="",0,AI322)-AK321)/Charts!$X$5</f>
        <v>2.3033352456077532E-20</v>
      </c>
      <c r="AL322" s="68">
        <f>AL321+ (IF(AH322="",0,AH322)-AL321)/Charts!$X$6</f>
        <v>2.4627703280350331E-2</v>
      </c>
      <c r="AM322" s="68">
        <f>AM321+ (IF(AI322="",0,AI322)-AM321)/Charts!$X$6</f>
        <v>2.4627703280350331E-2</v>
      </c>
      <c r="AN322" s="68" t="str">
        <f t="shared" si="58"/>
        <v>0</v>
      </c>
      <c r="AO322" s="68" t="str">
        <f t="shared" si="59"/>
        <v>0</v>
      </c>
      <c r="AP322" s="69" t="str">
        <f>IF(C322="","",INDEX(Workouts!D:D,MATCH(C322,Workouts!A:A,0)))</f>
        <v/>
      </c>
      <c r="AQ322" s="69" t="str">
        <f>IF(ISNA(MATCH(A322,Data!B:B,0)),"",INDEX(Data!G:G,MATCH(A322,Data!B:B,1)))</f>
        <v/>
      </c>
    </row>
    <row r="323" spans="1:43" s="1" customFormat="1" x14ac:dyDescent="0.2">
      <c r="A323" s="125">
        <f t="shared" si="57"/>
        <v>44518</v>
      </c>
      <c r="B323" s="126" t="str">
        <f t="shared" ref="B323:B365" si="76">TEXT(A323,"ddd")</f>
        <v>Thu</v>
      </c>
      <c r="C323" s="140"/>
      <c r="D323" s="128" t="str">
        <f t="shared" si="68"/>
        <v/>
      </c>
      <c r="E323" s="129" t="str">
        <f t="shared" si="69"/>
        <v/>
      </c>
      <c r="F323" s="130" t="str">
        <f>IF(SUMIF(Data!B:B,A323,Data!C:C)=0,"",SUMIF(Data!B:B,A323,Data!C:C))</f>
        <v/>
      </c>
      <c r="G323" s="126" t="str">
        <f>IF(OR(S323="T",S323="RUN",SUMIF(Data!B:B,A323,Data!E:E)=0),"",SUMIF(Data!B:B,A323,Data!E:E))</f>
        <v/>
      </c>
      <c r="H323" s="126" t="str">
        <f t="shared" si="70"/>
        <v/>
      </c>
      <c r="I323" s="131" t="str">
        <f t="shared" si="71"/>
        <v>0 (0)</v>
      </c>
      <c r="J323" s="131" t="str">
        <f t="shared" si="72"/>
        <v>0 (0)</v>
      </c>
      <c r="K323" s="131" t="str">
        <f t="shared" si="73"/>
        <v>0 (0)</v>
      </c>
      <c r="L323" s="132" t="str">
        <f t="shared" si="74"/>
        <v/>
      </c>
      <c r="M323" s="131" t="str">
        <f t="shared" si="75"/>
        <v/>
      </c>
      <c r="N323" s="126" t="str">
        <f>IF(ISNA(MATCH(A323,Data!B:B,0)),"",INDEX(Data!H:H,MATCH(A323,Data!B:B,1))) &amp; ""</f>
        <v/>
      </c>
      <c r="O323" s="126" t="str">
        <f>IF(ISNA(MATCH(A323,Data!B:B,0)),"",INDEX(Data!I:I,MATCH(A323,Data!B:B,1))) &amp; ""</f>
        <v/>
      </c>
      <c r="P323" s="133" t="str">
        <f>IF(ISNA(MATCH(A323,Data!B:B,0)),"",INDEX(Data!J:J,MATCH(A323,Data!B:B,1))) &amp; ""</f>
        <v/>
      </c>
      <c r="Q323" s="126" t="str">
        <f>IF(S323="T",Charts!$X$7,IF(ISNA(MATCH(A323,Data!B:B,0)),"",INDEX(Data!K:K,MATCH(A323,Data!B:B,1)))) &amp; ""</f>
        <v/>
      </c>
      <c r="R323" s="134"/>
      <c r="S323" s="134"/>
      <c r="T323" s="127"/>
      <c r="AF323" s="24" t="str">
        <f>IF(C323="","",INDEX(Workouts!B:B,MATCH(C323,Workouts!A:A,0)))</f>
        <v/>
      </c>
      <c r="AG323" s="24" t="str">
        <f>IF(SUMIF(Data!B:B,A323,Data!D:D)=0,"",SUMIF(Data!B:B,A323,Data!D:D))</f>
        <v/>
      </c>
      <c r="AH323" s="25" t="str">
        <f>IF(C323="","",INDEX(Workouts!C:C,MATCH(C323,Workouts!A:A,0)))</f>
        <v/>
      </c>
      <c r="AI323" s="68" t="str">
        <f>IF(SUMIF(Data!B:B,A323,Data!F:F)=0,"",SUMIF(Data!B:B,A323,Data!F:F))</f>
        <v/>
      </c>
      <c r="AJ323" s="68">
        <f>AJ322+ (IF(AH323="",0,AH323)-AJ322)/Charts!$X$5</f>
        <v>1.9742873533780743E-20</v>
      </c>
      <c r="AK323" s="68">
        <f>AK322+ (IF(AI323="",0,AI323)-AK322)/Charts!$X$5</f>
        <v>1.9742873533780743E-20</v>
      </c>
      <c r="AL323" s="68">
        <f>AL322+ (IF(AH323="",0,AH323)-AL322)/Charts!$X$6</f>
        <v>2.4041329392722941E-2</v>
      </c>
      <c r="AM323" s="68">
        <f>AM322+ (IF(AI323="",0,AI323)-AM322)/Charts!$X$6</f>
        <v>2.4041329392722941E-2</v>
      </c>
      <c r="AN323" s="68" t="str">
        <f t="shared" si="58"/>
        <v>0</v>
      </c>
      <c r="AO323" s="68" t="str">
        <f t="shared" si="59"/>
        <v>0</v>
      </c>
      <c r="AP323" s="69" t="str">
        <f>IF(C323="","",INDEX(Workouts!D:D,MATCH(C323,Workouts!A:A,0)))</f>
        <v/>
      </c>
      <c r="AQ323" s="69" t="str">
        <f>IF(ISNA(MATCH(A323,Data!B:B,0)),"",INDEX(Data!G:G,MATCH(A323,Data!B:B,1)))</f>
        <v/>
      </c>
    </row>
    <row r="324" spans="1:43" s="1" customFormat="1" x14ac:dyDescent="0.2">
      <c r="A324" s="125">
        <f t="shared" ref="A324:A366" si="77">A323+1</f>
        <v>44519</v>
      </c>
      <c r="B324" s="126" t="str">
        <f t="shared" si="76"/>
        <v>Fri</v>
      </c>
      <c r="C324" s="140"/>
      <c r="D324" s="128" t="str">
        <f t="shared" si="68"/>
        <v/>
      </c>
      <c r="E324" s="129" t="str">
        <f t="shared" si="69"/>
        <v/>
      </c>
      <c r="F324" s="130" t="str">
        <f>IF(SUMIF(Data!B:B,A324,Data!C:C)=0,"",SUMIF(Data!B:B,A324,Data!C:C))</f>
        <v/>
      </c>
      <c r="G324" s="126" t="str">
        <f>IF(OR(S324="T",S324="RUN",SUMIF(Data!B:B,A324,Data!E:E)=0),"",SUMIF(Data!B:B,A324,Data!E:E))</f>
        <v/>
      </c>
      <c r="H324" s="126" t="str">
        <f t="shared" si="70"/>
        <v/>
      </c>
      <c r="I324" s="131" t="str">
        <f t="shared" si="71"/>
        <v>0 (0)</v>
      </c>
      <c r="J324" s="131" t="str">
        <f t="shared" si="72"/>
        <v>0 (0)</v>
      </c>
      <c r="K324" s="131" t="str">
        <f t="shared" si="73"/>
        <v>0 (0)</v>
      </c>
      <c r="L324" s="132" t="str">
        <f t="shared" si="74"/>
        <v/>
      </c>
      <c r="M324" s="131" t="str">
        <f t="shared" si="75"/>
        <v/>
      </c>
      <c r="N324" s="126" t="str">
        <f>IF(ISNA(MATCH(A324,Data!B:B,0)),"",INDEX(Data!H:H,MATCH(A324,Data!B:B,1))) &amp; ""</f>
        <v/>
      </c>
      <c r="O324" s="126" t="str">
        <f>IF(ISNA(MATCH(A324,Data!B:B,0)),"",INDEX(Data!I:I,MATCH(A324,Data!B:B,1))) &amp; ""</f>
        <v/>
      </c>
      <c r="P324" s="133" t="str">
        <f>IF(ISNA(MATCH(A324,Data!B:B,0)),"",INDEX(Data!J:J,MATCH(A324,Data!B:B,1))) &amp; ""</f>
        <v/>
      </c>
      <c r="Q324" s="126" t="str">
        <f>IF(S324="T",Charts!$X$7,IF(ISNA(MATCH(A324,Data!B:B,0)),"",INDEX(Data!K:K,MATCH(A324,Data!B:B,1)))) &amp; ""</f>
        <v/>
      </c>
      <c r="R324" s="134"/>
      <c r="S324" s="134"/>
      <c r="T324" s="127"/>
      <c r="AF324" s="24" t="str">
        <f>IF(C324="","",INDEX(Workouts!B:B,MATCH(C324,Workouts!A:A,0)))</f>
        <v/>
      </c>
      <c r="AG324" s="24" t="str">
        <f>IF(SUMIF(Data!B:B,A324,Data!D:D)=0,"",SUMIF(Data!B:B,A324,Data!D:D))</f>
        <v/>
      </c>
      <c r="AH324" s="25" t="str">
        <f>IF(C324="","",INDEX(Workouts!C:C,MATCH(C324,Workouts!A:A,0)))</f>
        <v/>
      </c>
      <c r="AI324" s="68" t="str">
        <f>IF(SUMIF(Data!B:B,A324,Data!F:F)=0,"",SUMIF(Data!B:B,A324,Data!F:F))</f>
        <v/>
      </c>
      <c r="AJ324" s="68">
        <f>AJ323+ (IF(AH324="",0,AH324)-AJ323)/Charts!$X$5</f>
        <v>1.6922463028954922E-20</v>
      </c>
      <c r="AK324" s="68">
        <f>AK323+ (IF(AI324="",0,AI324)-AK323)/Charts!$X$5</f>
        <v>1.6922463028954922E-20</v>
      </c>
      <c r="AL324" s="68">
        <f>AL323+ (IF(AH324="",0,AH324)-AL323)/Charts!$X$6</f>
        <v>2.34689167881343E-2</v>
      </c>
      <c r="AM324" s="68">
        <f>AM323+ (IF(AI324="",0,AI324)-AM323)/Charts!$X$6</f>
        <v>2.34689167881343E-2</v>
      </c>
      <c r="AN324" s="68" t="str">
        <f t="shared" ref="AN324:AN366" si="78">TEXT(ROUND(AL323,0)-ROUND(AJ323,0),"0")</f>
        <v>0</v>
      </c>
      <c r="AO324" s="68" t="str">
        <f t="shared" ref="AO324:AO366" si="79">TEXT(ROUND(AM323,0)-ROUND(AK323,0),"0")</f>
        <v>0</v>
      </c>
      <c r="AP324" s="69" t="str">
        <f>IF(C324="","",INDEX(Workouts!D:D,MATCH(C324,Workouts!A:A,0)))</f>
        <v/>
      </c>
      <c r="AQ324" s="69" t="str">
        <f>IF(ISNA(MATCH(A324,Data!B:B,0)),"",INDEX(Data!G:G,MATCH(A324,Data!B:B,1)))</f>
        <v/>
      </c>
    </row>
    <row r="325" spans="1:43" s="1" customFormat="1" x14ac:dyDescent="0.2">
      <c r="A325" s="125">
        <f t="shared" si="77"/>
        <v>44520</v>
      </c>
      <c r="B325" s="126" t="str">
        <f t="shared" si="76"/>
        <v>Sat</v>
      </c>
      <c r="C325" s="140"/>
      <c r="D325" s="128" t="str">
        <f t="shared" si="68"/>
        <v/>
      </c>
      <c r="E325" s="129" t="str">
        <f t="shared" si="69"/>
        <v/>
      </c>
      <c r="F325" s="130" t="str">
        <f>IF(SUMIF(Data!B:B,A325,Data!C:C)=0,"",SUMIF(Data!B:B,A325,Data!C:C))</f>
        <v/>
      </c>
      <c r="G325" s="126" t="str">
        <f>IF(OR(S325="T",S325="RUN",SUMIF(Data!B:B,A325,Data!E:E)=0),"",SUMIF(Data!B:B,A325,Data!E:E))</f>
        <v/>
      </c>
      <c r="H325" s="126" t="str">
        <f t="shared" si="70"/>
        <v/>
      </c>
      <c r="I325" s="131" t="str">
        <f t="shared" si="71"/>
        <v>0 (0)</v>
      </c>
      <c r="J325" s="131" t="str">
        <f t="shared" si="72"/>
        <v>0 (0)</v>
      </c>
      <c r="K325" s="131" t="str">
        <f t="shared" si="73"/>
        <v>0 (0)</v>
      </c>
      <c r="L325" s="132" t="str">
        <f t="shared" si="74"/>
        <v/>
      </c>
      <c r="M325" s="131" t="str">
        <f t="shared" si="75"/>
        <v/>
      </c>
      <c r="N325" s="126" t="str">
        <f>IF(ISNA(MATCH(A325,Data!B:B,0)),"",INDEX(Data!H:H,MATCH(A325,Data!B:B,1))) &amp; ""</f>
        <v/>
      </c>
      <c r="O325" s="126" t="str">
        <f>IF(ISNA(MATCH(A325,Data!B:B,0)),"",INDEX(Data!I:I,MATCH(A325,Data!B:B,1))) &amp; ""</f>
        <v/>
      </c>
      <c r="P325" s="133" t="str">
        <f>IF(ISNA(MATCH(A325,Data!B:B,0)),"",INDEX(Data!J:J,MATCH(A325,Data!B:B,1))) &amp; ""</f>
        <v/>
      </c>
      <c r="Q325" s="126" t="str">
        <f>IF(S325="T",Charts!$X$7,IF(ISNA(MATCH(A325,Data!B:B,0)),"",INDEX(Data!K:K,MATCH(A325,Data!B:B,1)))) &amp; ""</f>
        <v/>
      </c>
      <c r="R325" s="134"/>
      <c r="S325" s="134"/>
      <c r="T325" s="127"/>
      <c r="AF325" s="24" t="str">
        <f>IF(C325="","",INDEX(Workouts!B:B,MATCH(C325,Workouts!A:A,0)))</f>
        <v/>
      </c>
      <c r="AG325" s="24" t="str">
        <f>IF(SUMIF(Data!B:B,A325,Data!D:D)=0,"",SUMIF(Data!B:B,A325,Data!D:D))</f>
        <v/>
      </c>
      <c r="AH325" s="25" t="str">
        <f>IF(C325="","",INDEX(Workouts!C:C,MATCH(C325,Workouts!A:A,0)))</f>
        <v/>
      </c>
      <c r="AI325" s="68" t="str">
        <f>IF(SUMIF(Data!B:B,A325,Data!F:F)=0,"",SUMIF(Data!B:B,A325,Data!F:F))</f>
        <v/>
      </c>
      <c r="AJ325" s="68">
        <f>AJ324+ (IF(AH325="",0,AH325)-AJ324)/Charts!$X$5</f>
        <v>1.4504968310532792E-20</v>
      </c>
      <c r="AK325" s="68">
        <f>AK324+ (IF(AI325="",0,AI325)-AK324)/Charts!$X$5</f>
        <v>1.4504968310532792E-20</v>
      </c>
      <c r="AL325" s="68">
        <f>AL324+ (IF(AH325="",0,AH325)-AL324)/Charts!$X$6</f>
        <v>2.2910133055083482E-2</v>
      </c>
      <c r="AM325" s="68">
        <f>AM324+ (IF(AI325="",0,AI325)-AM324)/Charts!$X$6</f>
        <v>2.2910133055083482E-2</v>
      </c>
      <c r="AN325" s="68" t="str">
        <f t="shared" si="78"/>
        <v>0</v>
      </c>
      <c r="AO325" s="68" t="str">
        <f t="shared" si="79"/>
        <v>0</v>
      </c>
      <c r="AP325" s="69" t="str">
        <f>IF(C325="","",INDEX(Workouts!D:D,MATCH(C325,Workouts!A:A,0)))</f>
        <v/>
      </c>
      <c r="AQ325" s="69" t="str">
        <f>IF(ISNA(MATCH(A325,Data!B:B,0)),"",INDEX(Data!G:G,MATCH(A325,Data!B:B,1)))</f>
        <v/>
      </c>
    </row>
    <row r="326" spans="1:43" s="1" customFormat="1" x14ac:dyDescent="0.2">
      <c r="A326" s="125">
        <f t="shared" si="77"/>
        <v>44521</v>
      </c>
      <c r="B326" s="126" t="str">
        <f t="shared" si="76"/>
        <v>Sun</v>
      </c>
      <c r="C326" s="140"/>
      <c r="D326" s="128" t="str">
        <f t="shared" si="68"/>
        <v/>
      </c>
      <c r="E326" s="129" t="str">
        <f t="shared" si="69"/>
        <v/>
      </c>
      <c r="F326" s="130" t="str">
        <f>IF(SUMIF(Data!B:B,A326,Data!C:C)=0,"",SUMIF(Data!B:B,A326,Data!C:C))</f>
        <v/>
      </c>
      <c r="G326" s="126" t="str">
        <f>IF(OR(S326="T",S326="RUN",SUMIF(Data!B:B,A326,Data!E:E)=0),"",SUMIF(Data!B:B,A326,Data!E:E))</f>
        <v/>
      </c>
      <c r="H326" s="126" t="str">
        <f t="shared" si="70"/>
        <v/>
      </c>
      <c r="I326" s="131" t="str">
        <f t="shared" si="71"/>
        <v>0 (0)</v>
      </c>
      <c r="J326" s="131" t="str">
        <f t="shared" si="72"/>
        <v>0 (0)</v>
      </c>
      <c r="K326" s="131" t="str">
        <f t="shared" si="73"/>
        <v>0 (0)</v>
      </c>
      <c r="L326" s="132" t="str">
        <f t="shared" si="74"/>
        <v/>
      </c>
      <c r="M326" s="131" t="str">
        <f t="shared" si="75"/>
        <v/>
      </c>
      <c r="N326" s="126" t="str">
        <f>IF(ISNA(MATCH(A326,Data!B:B,0)),"",INDEX(Data!H:H,MATCH(A326,Data!B:B,1))) &amp; ""</f>
        <v/>
      </c>
      <c r="O326" s="126" t="str">
        <f>IF(ISNA(MATCH(A326,Data!B:B,0)),"",INDEX(Data!I:I,MATCH(A326,Data!B:B,1))) &amp; ""</f>
        <v/>
      </c>
      <c r="P326" s="133" t="str">
        <f>IF(ISNA(MATCH(A326,Data!B:B,0)),"",INDEX(Data!J:J,MATCH(A326,Data!B:B,1))) &amp; ""</f>
        <v/>
      </c>
      <c r="Q326" s="126" t="str">
        <f>IF(S326="T",Charts!$X$7,IF(ISNA(MATCH(A326,Data!B:B,0)),"",INDEX(Data!K:K,MATCH(A326,Data!B:B,1)))) &amp; ""</f>
        <v/>
      </c>
      <c r="R326" s="134"/>
      <c r="S326" s="134"/>
      <c r="T326" s="127"/>
      <c r="AF326" s="24" t="str">
        <f>IF(C326="","",INDEX(Workouts!B:B,MATCH(C326,Workouts!A:A,0)))</f>
        <v/>
      </c>
      <c r="AG326" s="24" t="str">
        <f>IF(SUMIF(Data!B:B,A326,Data!D:D)=0,"",SUMIF(Data!B:B,A326,Data!D:D))</f>
        <v/>
      </c>
      <c r="AH326" s="25" t="str">
        <f>IF(C326="","",INDEX(Workouts!C:C,MATCH(C326,Workouts!A:A,0)))</f>
        <v/>
      </c>
      <c r="AI326" s="68" t="str">
        <f>IF(SUMIF(Data!B:B,A326,Data!F:F)=0,"",SUMIF(Data!B:B,A326,Data!F:F))</f>
        <v/>
      </c>
      <c r="AJ326" s="68">
        <f>AJ325+ (IF(AH326="",0,AH326)-AJ325)/Charts!$X$5</f>
        <v>1.2432829980456679E-20</v>
      </c>
      <c r="AK326" s="68">
        <f>AK325+ (IF(AI326="",0,AI326)-AK325)/Charts!$X$5</f>
        <v>1.2432829980456679E-20</v>
      </c>
      <c r="AL326" s="68">
        <f>AL325+ (IF(AH326="",0,AH326)-AL325)/Charts!$X$6</f>
        <v>2.2364653696629114E-2</v>
      </c>
      <c r="AM326" s="68">
        <f>AM325+ (IF(AI326="",0,AI326)-AM325)/Charts!$X$6</f>
        <v>2.2364653696629114E-2</v>
      </c>
      <c r="AN326" s="68" t="str">
        <f t="shared" si="78"/>
        <v>0</v>
      </c>
      <c r="AO326" s="68" t="str">
        <f t="shared" si="79"/>
        <v>0</v>
      </c>
      <c r="AP326" s="69" t="str">
        <f>IF(C326="","",INDEX(Workouts!D:D,MATCH(C326,Workouts!A:A,0)))</f>
        <v/>
      </c>
      <c r="AQ326" s="69" t="str">
        <f>IF(ISNA(MATCH(A326,Data!B:B,0)),"",INDEX(Data!G:G,MATCH(A326,Data!B:B,1)))</f>
        <v/>
      </c>
    </row>
    <row r="327" spans="1:43" s="1" customFormat="1" x14ac:dyDescent="0.2">
      <c r="A327" s="125">
        <f t="shared" si="77"/>
        <v>44522</v>
      </c>
      <c r="B327" s="126" t="str">
        <f t="shared" si="76"/>
        <v>Mon</v>
      </c>
      <c r="C327" s="140"/>
      <c r="D327" s="128" t="str">
        <f t="shared" si="68"/>
        <v/>
      </c>
      <c r="E327" s="129" t="str">
        <f t="shared" si="69"/>
        <v/>
      </c>
      <c r="F327" s="130" t="str">
        <f>IF(SUMIF(Data!B:B,A327,Data!C:C)=0,"",SUMIF(Data!B:B,A327,Data!C:C))</f>
        <v/>
      </c>
      <c r="G327" s="126" t="str">
        <f>IF(OR(S327="T",S327="RUN",SUMIF(Data!B:B,A327,Data!E:E)=0),"",SUMIF(Data!B:B,A327,Data!E:E))</f>
        <v/>
      </c>
      <c r="H327" s="126" t="str">
        <f t="shared" si="70"/>
        <v/>
      </c>
      <c r="I327" s="131" t="str">
        <f t="shared" si="71"/>
        <v>0 (0)</v>
      </c>
      <c r="J327" s="131" t="str">
        <f t="shared" si="72"/>
        <v>0 (0)</v>
      </c>
      <c r="K327" s="131" t="str">
        <f t="shared" si="73"/>
        <v>0 (0)</v>
      </c>
      <c r="L327" s="132" t="str">
        <f t="shared" si="74"/>
        <v/>
      </c>
      <c r="M327" s="131" t="str">
        <f t="shared" si="75"/>
        <v/>
      </c>
      <c r="N327" s="126" t="str">
        <f>IF(ISNA(MATCH(A327,Data!B:B,0)),"",INDEX(Data!H:H,MATCH(A327,Data!B:B,1))) &amp; ""</f>
        <v/>
      </c>
      <c r="O327" s="126" t="str">
        <f>IF(ISNA(MATCH(A327,Data!B:B,0)),"",INDEX(Data!I:I,MATCH(A327,Data!B:B,1))) &amp; ""</f>
        <v/>
      </c>
      <c r="P327" s="133" t="str">
        <f>IF(ISNA(MATCH(A327,Data!B:B,0)),"",INDEX(Data!J:J,MATCH(A327,Data!B:B,1))) &amp; ""</f>
        <v/>
      </c>
      <c r="Q327" s="126" t="str">
        <f>IF(S327="T",Charts!$X$7,IF(ISNA(MATCH(A327,Data!B:B,0)),"",INDEX(Data!K:K,MATCH(A327,Data!B:B,1)))) &amp; ""</f>
        <v/>
      </c>
      <c r="R327" s="134"/>
      <c r="S327" s="134"/>
      <c r="T327" s="127"/>
      <c r="AF327" s="24" t="str">
        <f>IF(C327="","",INDEX(Workouts!B:B,MATCH(C327,Workouts!A:A,0)))</f>
        <v/>
      </c>
      <c r="AG327" s="24" t="str">
        <f>IF(SUMIF(Data!B:B,A327,Data!D:D)=0,"",SUMIF(Data!B:B,A327,Data!D:D))</f>
        <v/>
      </c>
      <c r="AH327" s="25" t="str">
        <f>IF(C327="","",INDEX(Workouts!C:C,MATCH(C327,Workouts!A:A,0)))</f>
        <v/>
      </c>
      <c r="AI327" s="68" t="str">
        <f>IF(SUMIF(Data!B:B,A327,Data!F:F)=0,"",SUMIF(Data!B:B,A327,Data!F:F))</f>
        <v/>
      </c>
      <c r="AJ327" s="68">
        <f>AJ326+ (IF(AH327="",0,AH327)-AJ326)/Charts!$X$5</f>
        <v>1.0656711411820011E-20</v>
      </c>
      <c r="AK327" s="68">
        <f>AK326+ (IF(AI327="",0,AI327)-AK326)/Charts!$X$5</f>
        <v>1.0656711411820011E-20</v>
      </c>
      <c r="AL327" s="68">
        <f>AL326+ (IF(AH327="",0,AH327)-AL326)/Charts!$X$6</f>
        <v>2.1832161941947467E-2</v>
      </c>
      <c r="AM327" s="68">
        <f>AM326+ (IF(AI327="",0,AI327)-AM326)/Charts!$X$6</f>
        <v>2.1832161941947467E-2</v>
      </c>
      <c r="AN327" s="68" t="str">
        <f t="shared" si="78"/>
        <v>0</v>
      </c>
      <c r="AO327" s="68" t="str">
        <f t="shared" si="79"/>
        <v>0</v>
      </c>
      <c r="AP327" s="69" t="str">
        <f>IF(C327="","",INDEX(Workouts!D:D,MATCH(C327,Workouts!A:A,0)))</f>
        <v/>
      </c>
      <c r="AQ327" s="69" t="str">
        <f>IF(ISNA(MATCH(A327,Data!B:B,0)),"",INDEX(Data!G:G,MATCH(A327,Data!B:B,1)))</f>
        <v/>
      </c>
    </row>
    <row r="328" spans="1:43" s="1" customFormat="1" x14ac:dyDescent="0.2">
      <c r="A328" s="125">
        <f t="shared" si="77"/>
        <v>44523</v>
      </c>
      <c r="B328" s="126" t="str">
        <f t="shared" si="76"/>
        <v>Tue</v>
      </c>
      <c r="C328" s="140"/>
      <c r="D328" s="128" t="str">
        <f t="shared" si="68"/>
        <v/>
      </c>
      <c r="E328" s="129" t="str">
        <f t="shared" si="69"/>
        <v/>
      </c>
      <c r="F328" s="130" t="str">
        <f>IF(SUMIF(Data!B:B,A328,Data!C:C)=0,"",SUMIF(Data!B:B,A328,Data!C:C))</f>
        <v/>
      </c>
      <c r="G328" s="126" t="str">
        <f>IF(OR(S328="T",S328="RUN",SUMIF(Data!B:B,A328,Data!E:E)=0),"",SUMIF(Data!B:B,A328,Data!E:E))</f>
        <v/>
      </c>
      <c r="H328" s="126" t="str">
        <f t="shared" si="70"/>
        <v/>
      </c>
      <c r="I328" s="131" t="str">
        <f t="shared" si="71"/>
        <v>0 (0)</v>
      </c>
      <c r="J328" s="131" t="str">
        <f t="shared" si="72"/>
        <v>0 (0)</v>
      </c>
      <c r="K328" s="131" t="str">
        <f t="shared" si="73"/>
        <v>0 (0)</v>
      </c>
      <c r="L328" s="132" t="str">
        <f t="shared" si="74"/>
        <v/>
      </c>
      <c r="M328" s="131" t="str">
        <f t="shared" si="75"/>
        <v/>
      </c>
      <c r="N328" s="126" t="str">
        <f>IF(ISNA(MATCH(A328,Data!B:B,0)),"",INDEX(Data!H:H,MATCH(A328,Data!B:B,1))) &amp; ""</f>
        <v/>
      </c>
      <c r="O328" s="126" t="str">
        <f>IF(ISNA(MATCH(A328,Data!B:B,0)),"",INDEX(Data!I:I,MATCH(A328,Data!B:B,1))) &amp; ""</f>
        <v/>
      </c>
      <c r="P328" s="133" t="str">
        <f>IF(ISNA(MATCH(A328,Data!B:B,0)),"",INDEX(Data!J:J,MATCH(A328,Data!B:B,1))) &amp; ""</f>
        <v/>
      </c>
      <c r="Q328" s="126" t="str">
        <f>IF(S328="T",Charts!$X$7,IF(ISNA(MATCH(A328,Data!B:B,0)),"",INDEX(Data!K:K,MATCH(A328,Data!B:B,1)))) &amp; ""</f>
        <v/>
      </c>
      <c r="R328" s="134"/>
      <c r="S328" s="134"/>
      <c r="T328" s="127"/>
      <c r="AF328" s="24" t="str">
        <f>IF(C328="","",INDEX(Workouts!B:B,MATCH(C328,Workouts!A:A,0)))</f>
        <v/>
      </c>
      <c r="AG328" s="24" t="str">
        <f>IF(SUMIF(Data!B:B,A328,Data!D:D)=0,"",SUMIF(Data!B:B,A328,Data!D:D))</f>
        <v/>
      </c>
      <c r="AH328" s="25" t="str">
        <f>IF(C328="","",INDEX(Workouts!C:C,MATCH(C328,Workouts!A:A,0)))</f>
        <v/>
      </c>
      <c r="AI328" s="68" t="str">
        <f>IF(SUMIF(Data!B:B,A328,Data!F:F)=0,"",SUMIF(Data!B:B,A328,Data!F:F))</f>
        <v/>
      </c>
      <c r="AJ328" s="68">
        <f>AJ327+ (IF(AH328="",0,AH328)-AJ327)/Charts!$X$5</f>
        <v>9.1343240672742948E-21</v>
      </c>
      <c r="AK328" s="68">
        <f>AK327+ (IF(AI328="",0,AI328)-AK327)/Charts!$X$5</f>
        <v>9.1343240672742948E-21</v>
      </c>
      <c r="AL328" s="68">
        <f>AL327+ (IF(AH328="",0,AH328)-AL327)/Charts!$X$6</f>
        <v>2.1312348562377289E-2</v>
      </c>
      <c r="AM328" s="68">
        <f>AM327+ (IF(AI328="",0,AI328)-AM327)/Charts!$X$6</f>
        <v>2.1312348562377289E-2</v>
      </c>
      <c r="AN328" s="68" t="str">
        <f t="shared" si="78"/>
        <v>0</v>
      </c>
      <c r="AO328" s="68" t="str">
        <f t="shared" si="79"/>
        <v>0</v>
      </c>
      <c r="AP328" s="69" t="str">
        <f>IF(C328="","",INDEX(Workouts!D:D,MATCH(C328,Workouts!A:A,0)))</f>
        <v/>
      </c>
      <c r="AQ328" s="69" t="str">
        <f>IF(ISNA(MATCH(A328,Data!B:B,0)),"",INDEX(Data!G:G,MATCH(A328,Data!B:B,1)))</f>
        <v/>
      </c>
    </row>
    <row r="329" spans="1:43" s="1" customFormat="1" x14ac:dyDescent="0.2">
      <c r="A329" s="125">
        <f t="shared" si="77"/>
        <v>44524</v>
      </c>
      <c r="B329" s="126" t="str">
        <f t="shared" si="76"/>
        <v>Wed</v>
      </c>
      <c r="C329" s="140"/>
      <c r="D329" s="128" t="str">
        <f t="shared" si="68"/>
        <v/>
      </c>
      <c r="E329" s="129" t="str">
        <f t="shared" si="69"/>
        <v/>
      </c>
      <c r="F329" s="130" t="str">
        <f>IF(SUMIF(Data!B:B,A329,Data!C:C)=0,"",SUMIF(Data!B:B,A329,Data!C:C))</f>
        <v/>
      </c>
      <c r="G329" s="126" t="str">
        <f>IF(OR(S329="T",S329="RUN",SUMIF(Data!B:B,A329,Data!E:E)=0),"",SUMIF(Data!B:B,A329,Data!E:E))</f>
        <v/>
      </c>
      <c r="H329" s="126" t="str">
        <f t="shared" si="70"/>
        <v/>
      </c>
      <c r="I329" s="131" t="str">
        <f t="shared" si="71"/>
        <v>0 (0)</v>
      </c>
      <c r="J329" s="131" t="str">
        <f t="shared" si="72"/>
        <v>0 (0)</v>
      </c>
      <c r="K329" s="131" t="str">
        <f t="shared" si="73"/>
        <v>0 (0)</v>
      </c>
      <c r="L329" s="132" t="str">
        <f t="shared" si="74"/>
        <v/>
      </c>
      <c r="M329" s="131" t="str">
        <f t="shared" si="75"/>
        <v/>
      </c>
      <c r="N329" s="126" t="str">
        <f>IF(ISNA(MATCH(A329,Data!B:B,0)),"",INDEX(Data!H:H,MATCH(A329,Data!B:B,1))) &amp; ""</f>
        <v/>
      </c>
      <c r="O329" s="126" t="str">
        <f>IF(ISNA(MATCH(A329,Data!B:B,0)),"",INDEX(Data!I:I,MATCH(A329,Data!B:B,1))) &amp; ""</f>
        <v/>
      </c>
      <c r="P329" s="133" t="str">
        <f>IF(ISNA(MATCH(A329,Data!B:B,0)),"",INDEX(Data!J:J,MATCH(A329,Data!B:B,1))) &amp; ""</f>
        <v/>
      </c>
      <c r="Q329" s="126" t="str">
        <f>IF(S329="T",Charts!$X$7,IF(ISNA(MATCH(A329,Data!B:B,0)),"",INDEX(Data!K:K,MATCH(A329,Data!B:B,1)))) &amp; ""</f>
        <v/>
      </c>
      <c r="R329" s="134"/>
      <c r="S329" s="134"/>
      <c r="T329" s="127" t="str">
        <f>IF(ISNA(MATCH(A329,Data!B:B,0)),"",INDEX(Data!#REF!,MATCH(A329,Data!B:B,1))) &amp; ""</f>
        <v/>
      </c>
      <c r="AF329" s="24" t="str">
        <f>IF(C329="","",INDEX(Workouts!B:B,MATCH(C329,Workouts!A:A,0)))</f>
        <v/>
      </c>
      <c r="AG329" s="24" t="str">
        <f>IF(SUMIF(Data!B:B,A329,Data!D:D)=0,"",SUMIF(Data!B:B,A329,Data!D:D))</f>
        <v/>
      </c>
      <c r="AH329" s="25" t="str">
        <f>IF(C329="","",INDEX(Workouts!C:C,MATCH(C329,Workouts!A:A,0)))</f>
        <v/>
      </c>
      <c r="AI329" s="68" t="str">
        <f>IF(SUMIF(Data!B:B,A329,Data!F:F)=0,"",SUMIF(Data!B:B,A329,Data!F:F))</f>
        <v/>
      </c>
      <c r="AJ329" s="68">
        <f>AJ328+ (IF(AH329="",0,AH329)-AJ328)/Charts!$X$5</f>
        <v>7.8294206290922525E-21</v>
      </c>
      <c r="AK329" s="68">
        <f>AK328+ (IF(AI329="",0,AI329)-AK328)/Charts!$X$5</f>
        <v>7.8294206290922525E-21</v>
      </c>
      <c r="AL329" s="68">
        <f>AL328+ (IF(AH329="",0,AH329)-AL328)/Charts!$X$6</f>
        <v>2.0804911691844497E-2</v>
      </c>
      <c r="AM329" s="68">
        <f>AM328+ (IF(AI329="",0,AI329)-AM328)/Charts!$X$6</f>
        <v>2.0804911691844497E-2</v>
      </c>
      <c r="AN329" s="68" t="str">
        <f t="shared" si="78"/>
        <v>0</v>
      </c>
      <c r="AO329" s="68" t="str">
        <f t="shared" si="79"/>
        <v>0</v>
      </c>
      <c r="AP329" s="69" t="str">
        <f>IF(C329="","",INDEX(Workouts!D:D,MATCH(C329,Workouts!A:A,0)))</f>
        <v/>
      </c>
      <c r="AQ329" s="69" t="str">
        <f>IF(ISNA(MATCH(A329,Data!B:B,0)),"",INDEX(Data!G:G,MATCH(A329,Data!B:B,1)))</f>
        <v/>
      </c>
    </row>
    <row r="330" spans="1:43" s="1" customFormat="1" x14ac:dyDescent="0.2">
      <c r="A330" s="125">
        <f t="shared" si="77"/>
        <v>44525</v>
      </c>
      <c r="B330" s="126" t="str">
        <f t="shared" si="76"/>
        <v>Thu</v>
      </c>
      <c r="C330" s="140"/>
      <c r="D330" s="128" t="str">
        <f t="shared" si="68"/>
        <v/>
      </c>
      <c r="E330" s="129" t="str">
        <f t="shared" si="69"/>
        <v/>
      </c>
      <c r="F330" s="130" t="str">
        <f>IF(SUMIF(Data!B:B,A330,Data!C:C)=0,"",SUMIF(Data!B:B,A330,Data!C:C))</f>
        <v/>
      </c>
      <c r="G330" s="126" t="str">
        <f>IF(OR(S330="T",S330="RUN",SUMIF(Data!B:B,A330,Data!E:E)=0),"",SUMIF(Data!B:B,A330,Data!E:E))</f>
        <v/>
      </c>
      <c r="H330" s="126" t="str">
        <f t="shared" si="70"/>
        <v/>
      </c>
      <c r="I330" s="131" t="str">
        <f t="shared" si="71"/>
        <v>0 (0)</v>
      </c>
      <c r="J330" s="131" t="str">
        <f t="shared" si="72"/>
        <v>0 (0)</v>
      </c>
      <c r="K330" s="131" t="str">
        <f t="shared" si="73"/>
        <v>0 (0)</v>
      </c>
      <c r="L330" s="132" t="str">
        <f t="shared" si="74"/>
        <v/>
      </c>
      <c r="M330" s="131" t="str">
        <f t="shared" si="75"/>
        <v/>
      </c>
      <c r="N330" s="126" t="str">
        <f>IF(ISNA(MATCH(A330,Data!B:B,0)),"",INDEX(Data!H:H,MATCH(A330,Data!B:B,1))) &amp; ""</f>
        <v/>
      </c>
      <c r="O330" s="126" t="str">
        <f>IF(ISNA(MATCH(A330,Data!B:B,0)),"",INDEX(Data!I:I,MATCH(A330,Data!B:B,1))) &amp; ""</f>
        <v/>
      </c>
      <c r="P330" s="133" t="str">
        <f>IF(ISNA(MATCH(A330,Data!B:B,0)),"",INDEX(Data!J:J,MATCH(A330,Data!B:B,1))) &amp; ""</f>
        <v/>
      </c>
      <c r="Q330" s="126" t="str">
        <f>IF(S330="T",Charts!$X$7,IF(ISNA(MATCH(A330,Data!B:B,0)),"",INDEX(Data!K:K,MATCH(A330,Data!B:B,1)))) &amp; ""</f>
        <v/>
      </c>
      <c r="R330" s="134"/>
      <c r="S330" s="134"/>
      <c r="T330" s="127" t="str">
        <f>IF(ISNA(MATCH(A330,Data!B:B,0)),"",INDEX(Data!#REF!,MATCH(A330,Data!B:B,1))) &amp; ""</f>
        <v/>
      </c>
      <c r="AF330" s="24" t="str">
        <f>IF(C330="","",INDEX(Workouts!B:B,MATCH(C330,Workouts!A:A,0)))</f>
        <v/>
      </c>
      <c r="AG330" s="24" t="str">
        <f>IF(SUMIF(Data!B:B,A330,Data!D:D)=0,"",SUMIF(Data!B:B,A330,Data!D:D))</f>
        <v/>
      </c>
      <c r="AH330" s="25" t="str">
        <f>IF(C330="","",INDEX(Workouts!C:C,MATCH(C330,Workouts!A:A,0)))</f>
        <v/>
      </c>
      <c r="AI330" s="68" t="str">
        <f>IF(SUMIF(Data!B:B,A330,Data!F:F)=0,"",SUMIF(Data!B:B,A330,Data!F:F))</f>
        <v/>
      </c>
      <c r="AJ330" s="68">
        <f>AJ329+ (IF(AH330="",0,AH330)-AJ329)/Charts!$X$5</f>
        <v>6.7109319677933589E-21</v>
      </c>
      <c r="AK330" s="68">
        <f>AK329+ (IF(AI330="",0,AI330)-AK329)/Charts!$X$5</f>
        <v>6.7109319677933589E-21</v>
      </c>
      <c r="AL330" s="68">
        <f>AL329+ (IF(AH330="",0,AH330)-AL329)/Charts!$X$6</f>
        <v>2.0309556651562484E-2</v>
      </c>
      <c r="AM330" s="68">
        <f>AM329+ (IF(AI330="",0,AI330)-AM329)/Charts!$X$6</f>
        <v>2.0309556651562484E-2</v>
      </c>
      <c r="AN330" s="68" t="str">
        <f t="shared" si="78"/>
        <v>0</v>
      </c>
      <c r="AO330" s="68" t="str">
        <f t="shared" si="79"/>
        <v>0</v>
      </c>
      <c r="AP330" s="69" t="str">
        <f>IF(C330="","",INDEX(Workouts!D:D,MATCH(C330,Workouts!A:A,0)))</f>
        <v/>
      </c>
      <c r="AQ330" s="69" t="str">
        <f>IF(ISNA(MATCH(A330,Data!B:B,0)),"",INDEX(Data!G:G,MATCH(A330,Data!B:B,1)))</f>
        <v/>
      </c>
    </row>
    <row r="331" spans="1:43" s="1" customFormat="1" x14ac:dyDescent="0.2">
      <c r="A331" s="125">
        <f t="shared" si="77"/>
        <v>44526</v>
      </c>
      <c r="B331" s="126" t="str">
        <f t="shared" si="76"/>
        <v>Fri</v>
      </c>
      <c r="C331" s="140"/>
      <c r="D331" s="128" t="str">
        <f t="shared" si="68"/>
        <v/>
      </c>
      <c r="E331" s="129" t="str">
        <f t="shared" si="69"/>
        <v/>
      </c>
      <c r="F331" s="130" t="str">
        <f>IF(SUMIF(Data!B:B,A331,Data!C:C)=0,"",SUMIF(Data!B:B,A331,Data!C:C))</f>
        <v/>
      </c>
      <c r="G331" s="126" t="str">
        <f>IF(OR(S331="T",S331="RUN",SUMIF(Data!B:B,A331,Data!E:E)=0),"",SUMIF(Data!B:B,A331,Data!E:E))</f>
        <v/>
      </c>
      <c r="H331" s="126" t="str">
        <f t="shared" si="70"/>
        <v/>
      </c>
      <c r="I331" s="131" t="str">
        <f t="shared" si="71"/>
        <v>0 (0)</v>
      </c>
      <c r="J331" s="131" t="str">
        <f t="shared" si="72"/>
        <v>0 (0)</v>
      </c>
      <c r="K331" s="131" t="str">
        <f t="shared" si="73"/>
        <v>0 (0)</v>
      </c>
      <c r="L331" s="132" t="str">
        <f t="shared" si="74"/>
        <v/>
      </c>
      <c r="M331" s="131" t="str">
        <f t="shared" si="75"/>
        <v/>
      </c>
      <c r="N331" s="126" t="str">
        <f>IF(ISNA(MATCH(A331,Data!B:B,0)),"",INDEX(Data!H:H,MATCH(A331,Data!B:B,1))) &amp; ""</f>
        <v/>
      </c>
      <c r="O331" s="126" t="str">
        <f>IF(ISNA(MATCH(A331,Data!B:B,0)),"",INDEX(Data!I:I,MATCH(A331,Data!B:B,1))) &amp; ""</f>
        <v/>
      </c>
      <c r="P331" s="133" t="str">
        <f>IF(ISNA(MATCH(A331,Data!B:B,0)),"",INDEX(Data!J:J,MATCH(A331,Data!B:B,1))) &amp; ""</f>
        <v/>
      </c>
      <c r="Q331" s="126" t="str">
        <f>IF(S331="T",Charts!$X$7,IF(ISNA(MATCH(A331,Data!B:B,0)),"",INDEX(Data!K:K,MATCH(A331,Data!B:B,1)))) &amp; ""</f>
        <v/>
      </c>
      <c r="R331" s="134"/>
      <c r="S331" s="134"/>
      <c r="T331" s="127" t="str">
        <f>IF(ISNA(MATCH(A331,Data!B:B,0)),"",INDEX(Data!#REF!,MATCH(A331,Data!B:B,1))) &amp; ""</f>
        <v/>
      </c>
      <c r="AF331" s="24" t="str">
        <f>IF(C331="","",INDEX(Workouts!B:B,MATCH(C331,Workouts!A:A,0)))</f>
        <v/>
      </c>
      <c r="AG331" s="24" t="str">
        <f>IF(SUMIF(Data!B:B,A331,Data!D:D)=0,"",SUMIF(Data!B:B,A331,Data!D:D))</f>
        <v/>
      </c>
      <c r="AH331" s="25" t="str">
        <f>IF(C331="","",INDEX(Workouts!C:C,MATCH(C331,Workouts!A:A,0)))</f>
        <v/>
      </c>
      <c r="AI331" s="68" t="str">
        <f>IF(SUMIF(Data!B:B,A331,Data!F:F)=0,"",SUMIF(Data!B:B,A331,Data!F:F))</f>
        <v/>
      </c>
      <c r="AJ331" s="68">
        <f>AJ330+ (IF(AH331="",0,AH331)-AJ330)/Charts!$X$5</f>
        <v>5.7522274009657361E-21</v>
      </c>
      <c r="AK331" s="68">
        <f>AK330+ (IF(AI331="",0,AI331)-AK330)/Charts!$X$5</f>
        <v>5.7522274009657361E-21</v>
      </c>
      <c r="AL331" s="68">
        <f>AL330+ (IF(AH331="",0,AH331)-AL330)/Charts!$X$6</f>
        <v>1.9825995778906234E-2</v>
      </c>
      <c r="AM331" s="68">
        <f>AM330+ (IF(AI331="",0,AI331)-AM330)/Charts!$X$6</f>
        <v>1.9825995778906234E-2</v>
      </c>
      <c r="AN331" s="68" t="str">
        <f t="shared" si="78"/>
        <v>0</v>
      </c>
      <c r="AO331" s="68" t="str">
        <f t="shared" si="79"/>
        <v>0</v>
      </c>
      <c r="AP331" s="69" t="str">
        <f>IF(C331="","",INDEX(Workouts!D:D,MATCH(C331,Workouts!A:A,0)))</f>
        <v/>
      </c>
      <c r="AQ331" s="69" t="str">
        <f>IF(ISNA(MATCH(A331,Data!B:B,0)),"",INDEX(Data!G:G,MATCH(A331,Data!B:B,1)))</f>
        <v/>
      </c>
    </row>
    <row r="332" spans="1:43" s="1" customFormat="1" x14ac:dyDescent="0.2">
      <c r="A332" s="125">
        <f t="shared" si="77"/>
        <v>44527</v>
      </c>
      <c r="B332" s="126" t="str">
        <f t="shared" si="76"/>
        <v>Sat</v>
      </c>
      <c r="C332" s="140"/>
      <c r="D332" s="128" t="str">
        <f t="shared" si="68"/>
        <v/>
      </c>
      <c r="E332" s="129" t="str">
        <f t="shared" si="69"/>
        <v/>
      </c>
      <c r="F332" s="130" t="str">
        <f>IF(SUMIF(Data!B:B,A332,Data!C:C)=0,"",SUMIF(Data!B:B,A332,Data!C:C))</f>
        <v/>
      </c>
      <c r="G332" s="126" t="str">
        <f>IF(OR(S332="T",S332="RUN",SUMIF(Data!B:B,A332,Data!E:E)=0),"",SUMIF(Data!B:B,A332,Data!E:E))</f>
        <v/>
      </c>
      <c r="H332" s="126" t="str">
        <f t="shared" si="70"/>
        <v/>
      </c>
      <c r="I332" s="131" t="str">
        <f t="shared" si="71"/>
        <v>0 (0)</v>
      </c>
      <c r="J332" s="131" t="str">
        <f t="shared" si="72"/>
        <v>0 (0)</v>
      </c>
      <c r="K332" s="131" t="str">
        <f t="shared" si="73"/>
        <v>0 (0)</v>
      </c>
      <c r="L332" s="132" t="str">
        <f t="shared" si="74"/>
        <v/>
      </c>
      <c r="M332" s="131" t="str">
        <f t="shared" si="75"/>
        <v/>
      </c>
      <c r="N332" s="126" t="str">
        <f>IF(ISNA(MATCH(A332,Data!B:B,0)),"",INDEX(Data!H:H,MATCH(A332,Data!B:B,1))) &amp; ""</f>
        <v/>
      </c>
      <c r="O332" s="126" t="str">
        <f>IF(ISNA(MATCH(A332,Data!B:B,0)),"",INDEX(Data!I:I,MATCH(A332,Data!B:B,1))) &amp; ""</f>
        <v/>
      </c>
      <c r="P332" s="133" t="str">
        <f>IF(ISNA(MATCH(A332,Data!B:B,0)),"",INDEX(Data!J:J,MATCH(A332,Data!B:B,1))) &amp; ""</f>
        <v/>
      </c>
      <c r="Q332" s="126" t="str">
        <f>IF(S332="T",Charts!$X$7,IF(ISNA(MATCH(A332,Data!B:B,0)),"",INDEX(Data!K:K,MATCH(A332,Data!B:B,1)))) &amp; ""</f>
        <v/>
      </c>
      <c r="R332" s="134"/>
      <c r="S332" s="134"/>
      <c r="T332" s="127" t="str">
        <f>IF(ISNA(MATCH(A332,Data!B:B,0)),"",INDEX(Data!#REF!,MATCH(A332,Data!B:B,1))) &amp; ""</f>
        <v/>
      </c>
      <c r="AF332" s="24" t="str">
        <f>IF(C332="","",INDEX(Workouts!B:B,MATCH(C332,Workouts!A:A,0)))</f>
        <v/>
      </c>
      <c r="AG332" s="24" t="str">
        <f>IF(SUMIF(Data!B:B,A332,Data!D:D)=0,"",SUMIF(Data!B:B,A332,Data!D:D))</f>
        <v/>
      </c>
      <c r="AH332" s="25" t="str">
        <f>IF(C332="","",INDEX(Workouts!C:C,MATCH(C332,Workouts!A:A,0)))</f>
        <v/>
      </c>
      <c r="AI332" s="68" t="str">
        <f>IF(SUMIF(Data!B:B,A332,Data!F:F)=0,"",SUMIF(Data!B:B,A332,Data!F:F))</f>
        <v/>
      </c>
      <c r="AJ332" s="68">
        <f>AJ331+ (IF(AH332="",0,AH332)-AJ331)/Charts!$X$5</f>
        <v>4.9304806293992021E-21</v>
      </c>
      <c r="AK332" s="68">
        <f>AK331+ (IF(AI332="",0,AI332)-AK331)/Charts!$X$5</f>
        <v>4.9304806293992021E-21</v>
      </c>
      <c r="AL332" s="68">
        <f>AL331+ (IF(AH332="",0,AH332)-AL331)/Charts!$X$6</f>
        <v>1.9353948260360847E-2</v>
      </c>
      <c r="AM332" s="68">
        <f>AM331+ (IF(AI332="",0,AI332)-AM331)/Charts!$X$6</f>
        <v>1.9353948260360847E-2</v>
      </c>
      <c r="AN332" s="68" t="str">
        <f t="shared" si="78"/>
        <v>0</v>
      </c>
      <c r="AO332" s="68" t="str">
        <f t="shared" si="79"/>
        <v>0</v>
      </c>
      <c r="AP332" s="69" t="str">
        <f>IF(C332="","",INDEX(Workouts!D:D,MATCH(C332,Workouts!A:A,0)))</f>
        <v/>
      </c>
      <c r="AQ332" s="69" t="str">
        <f>IF(ISNA(MATCH(A332,Data!B:B,0)),"",INDEX(Data!G:G,MATCH(A332,Data!B:B,1)))</f>
        <v/>
      </c>
    </row>
    <row r="333" spans="1:43" s="1" customFormat="1" x14ac:dyDescent="0.2">
      <c r="A333" s="125">
        <f t="shared" si="77"/>
        <v>44528</v>
      </c>
      <c r="B333" s="126" t="str">
        <f t="shared" si="76"/>
        <v>Sun</v>
      </c>
      <c r="C333" s="140"/>
      <c r="D333" s="128" t="str">
        <f t="shared" si="68"/>
        <v/>
      </c>
      <c r="E333" s="129" t="str">
        <f t="shared" si="69"/>
        <v/>
      </c>
      <c r="F333" s="130" t="str">
        <f>IF(SUMIF(Data!B:B,A333,Data!C:C)=0,"",SUMIF(Data!B:B,A333,Data!C:C))</f>
        <v/>
      </c>
      <c r="G333" s="126" t="str">
        <f>IF(OR(S333="T",S333="RUN",SUMIF(Data!B:B,A333,Data!E:E)=0),"",SUMIF(Data!B:B,A333,Data!E:E))</f>
        <v/>
      </c>
      <c r="H333" s="126" t="str">
        <f t="shared" si="70"/>
        <v/>
      </c>
      <c r="I333" s="131" t="str">
        <f t="shared" si="71"/>
        <v>0 (0)</v>
      </c>
      <c r="J333" s="131" t="str">
        <f t="shared" si="72"/>
        <v>0 (0)</v>
      </c>
      <c r="K333" s="131" t="str">
        <f t="shared" si="73"/>
        <v>0 (0)</v>
      </c>
      <c r="L333" s="132" t="str">
        <f t="shared" si="74"/>
        <v/>
      </c>
      <c r="M333" s="131" t="str">
        <f t="shared" si="75"/>
        <v/>
      </c>
      <c r="N333" s="126" t="str">
        <f>IF(ISNA(MATCH(A333,Data!B:B,0)),"",INDEX(Data!H:H,MATCH(A333,Data!B:B,1))) &amp; ""</f>
        <v/>
      </c>
      <c r="O333" s="126" t="str">
        <f>IF(ISNA(MATCH(A333,Data!B:B,0)),"",INDEX(Data!I:I,MATCH(A333,Data!B:B,1))) &amp; ""</f>
        <v/>
      </c>
      <c r="P333" s="133" t="str">
        <f>IF(ISNA(MATCH(A333,Data!B:B,0)),"",INDEX(Data!J:J,MATCH(A333,Data!B:B,1))) &amp; ""</f>
        <v/>
      </c>
      <c r="Q333" s="126" t="str">
        <f>IF(S333="T",Charts!$X$7,IF(ISNA(MATCH(A333,Data!B:B,0)),"",INDEX(Data!K:K,MATCH(A333,Data!B:B,1)))) &amp; ""</f>
        <v/>
      </c>
      <c r="R333" s="134"/>
      <c r="S333" s="134"/>
      <c r="T333" s="127" t="str">
        <f>IF(ISNA(MATCH(A333,Data!B:B,0)),"",INDEX(Data!#REF!,MATCH(A333,Data!B:B,1))) &amp; ""</f>
        <v/>
      </c>
      <c r="AF333" s="24" t="str">
        <f>IF(C333="","",INDEX(Workouts!B:B,MATCH(C333,Workouts!A:A,0)))</f>
        <v/>
      </c>
      <c r="AG333" s="24" t="str">
        <f>IF(SUMIF(Data!B:B,A333,Data!D:D)=0,"",SUMIF(Data!B:B,A333,Data!D:D))</f>
        <v/>
      </c>
      <c r="AH333" s="25" t="str">
        <f>IF(C333="","",INDEX(Workouts!C:C,MATCH(C333,Workouts!A:A,0)))</f>
        <v/>
      </c>
      <c r="AI333" s="68" t="str">
        <f>IF(SUMIF(Data!B:B,A333,Data!F:F)=0,"",SUMIF(Data!B:B,A333,Data!F:F))</f>
        <v/>
      </c>
      <c r="AJ333" s="68">
        <f>AJ332+ (IF(AH333="",0,AH333)-AJ332)/Charts!$X$5</f>
        <v>4.2261262537707449E-21</v>
      </c>
      <c r="AK333" s="68">
        <f>AK332+ (IF(AI333="",0,AI333)-AK332)/Charts!$X$5</f>
        <v>4.2261262537707449E-21</v>
      </c>
      <c r="AL333" s="68">
        <f>AL332+ (IF(AH333="",0,AH333)-AL332)/Charts!$X$6</f>
        <v>1.8893139968447492E-2</v>
      </c>
      <c r="AM333" s="68">
        <f>AM332+ (IF(AI333="",0,AI333)-AM332)/Charts!$X$6</f>
        <v>1.8893139968447492E-2</v>
      </c>
      <c r="AN333" s="68" t="str">
        <f t="shared" si="78"/>
        <v>0</v>
      </c>
      <c r="AO333" s="68" t="str">
        <f t="shared" si="79"/>
        <v>0</v>
      </c>
      <c r="AP333" s="69" t="str">
        <f>IF(C333="","",INDEX(Workouts!D:D,MATCH(C333,Workouts!A:A,0)))</f>
        <v/>
      </c>
      <c r="AQ333" s="69" t="str">
        <f>IF(ISNA(MATCH(A333,Data!B:B,0)),"",INDEX(Data!G:G,MATCH(A333,Data!B:B,1)))</f>
        <v/>
      </c>
    </row>
    <row r="334" spans="1:43" s="1" customFormat="1" x14ac:dyDescent="0.2">
      <c r="A334" s="125">
        <f t="shared" si="77"/>
        <v>44529</v>
      </c>
      <c r="B334" s="126" t="str">
        <f t="shared" si="76"/>
        <v>Mon</v>
      </c>
      <c r="C334" s="140"/>
      <c r="D334" s="128" t="str">
        <f t="shared" si="68"/>
        <v/>
      </c>
      <c r="E334" s="129" t="str">
        <f t="shared" si="69"/>
        <v/>
      </c>
      <c r="F334" s="130" t="str">
        <f>IF(SUMIF(Data!B:B,A334,Data!C:C)=0,"",SUMIF(Data!B:B,A334,Data!C:C))</f>
        <v/>
      </c>
      <c r="G334" s="126" t="str">
        <f>IF(OR(S334="T",S334="RUN",SUMIF(Data!B:B,A334,Data!E:E)=0),"",SUMIF(Data!B:B,A334,Data!E:E))</f>
        <v/>
      </c>
      <c r="H334" s="126" t="str">
        <f t="shared" si="70"/>
        <v/>
      </c>
      <c r="I334" s="131" t="str">
        <f t="shared" si="71"/>
        <v>0 (0)</v>
      </c>
      <c r="J334" s="131" t="str">
        <f t="shared" si="72"/>
        <v>0 (0)</v>
      </c>
      <c r="K334" s="131" t="str">
        <f t="shared" si="73"/>
        <v>0 (0)</v>
      </c>
      <c r="L334" s="132" t="str">
        <f t="shared" si="74"/>
        <v/>
      </c>
      <c r="M334" s="131" t="str">
        <f t="shared" si="75"/>
        <v/>
      </c>
      <c r="N334" s="126" t="str">
        <f>IF(ISNA(MATCH(A334,Data!B:B,0)),"",INDEX(Data!H:H,MATCH(A334,Data!B:B,1))) &amp; ""</f>
        <v/>
      </c>
      <c r="O334" s="126" t="str">
        <f>IF(ISNA(MATCH(A334,Data!B:B,0)),"",INDEX(Data!I:I,MATCH(A334,Data!B:B,1))) &amp; ""</f>
        <v/>
      </c>
      <c r="P334" s="133" t="str">
        <f>IF(ISNA(MATCH(A334,Data!B:B,0)),"",INDEX(Data!J:J,MATCH(A334,Data!B:B,1))) &amp; ""</f>
        <v/>
      </c>
      <c r="Q334" s="126" t="str">
        <f>IF(S334="T",Charts!$X$7,IF(ISNA(MATCH(A334,Data!B:B,0)),"",INDEX(Data!K:K,MATCH(A334,Data!B:B,1)))) &amp; ""</f>
        <v/>
      </c>
      <c r="R334" s="134"/>
      <c r="S334" s="134"/>
      <c r="T334" s="127" t="str">
        <f>IF(ISNA(MATCH(A334,Data!B:B,0)),"",INDEX(Data!#REF!,MATCH(A334,Data!B:B,1))) &amp; ""</f>
        <v/>
      </c>
      <c r="AF334" s="24" t="str">
        <f>IF(C334="","",INDEX(Workouts!B:B,MATCH(C334,Workouts!A:A,0)))</f>
        <v/>
      </c>
      <c r="AG334" s="24" t="str">
        <f>IF(SUMIF(Data!B:B,A334,Data!D:D)=0,"",SUMIF(Data!B:B,A334,Data!D:D))</f>
        <v/>
      </c>
      <c r="AH334" s="25" t="str">
        <f>IF(C334="","",INDEX(Workouts!C:C,MATCH(C334,Workouts!A:A,0)))</f>
        <v/>
      </c>
      <c r="AI334" s="68" t="str">
        <f>IF(SUMIF(Data!B:B,A334,Data!F:F)=0,"",SUMIF(Data!B:B,A334,Data!F:F))</f>
        <v/>
      </c>
      <c r="AJ334" s="68">
        <f>AJ333+ (IF(AH334="",0,AH334)-AJ333)/Charts!$X$5</f>
        <v>3.6223939318034958E-21</v>
      </c>
      <c r="AK334" s="68">
        <f>AK333+ (IF(AI334="",0,AI334)-AK333)/Charts!$X$5</f>
        <v>3.6223939318034958E-21</v>
      </c>
      <c r="AL334" s="68">
        <f>AL333+ (IF(AH334="",0,AH334)-AL333)/Charts!$X$6</f>
        <v>1.8443303302532077E-2</v>
      </c>
      <c r="AM334" s="68">
        <f>AM333+ (IF(AI334="",0,AI334)-AM333)/Charts!$X$6</f>
        <v>1.8443303302532077E-2</v>
      </c>
      <c r="AN334" s="68" t="str">
        <f t="shared" si="78"/>
        <v>0</v>
      </c>
      <c r="AO334" s="68" t="str">
        <f t="shared" si="79"/>
        <v>0</v>
      </c>
      <c r="AP334" s="69" t="str">
        <f>IF(C334="","",INDEX(Workouts!D:D,MATCH(C334,Workouts!A:A,0)))</f>
        <v/>
      </c>
      <c r="AQ334" s="69" t="str">
        <f>IF(ISNA(MATCH(A334,Data!B:B,0)),"",INDEX(Data!G:G,MATCH(A334,Data!B:B,1)))</f>
        <v/>
      </c>
    </row>
    <row r="335" spans="1:43" s="1" customFormat="1" x14ac:dyDescent="0.2">
      <c r="A335" s="125">
        <f t="shared" si="77"/>
        <v>44530</v>
      </c>
      <c r="B335" s="126" t="str">
        <f t="shared" si="76"/>
        <v>Tue</v>
      </c>
      <c r="C335" s="140"/>
      <c r="D335" s="128" t="str">
        <f t="shared" si="68"/>
        <v/>
      </c>
      <c r="E335" s="129" t="str">
        <f t="shared" si="69"/>
        <v/>
      </c>
      <c r="F335" s="130" t="str">
        <f>IF(SUMIF(Data!B:B,A335,Data!C:C)=0,"",SUMIF(Data!B:B,A335,Data!C:C))</f>
        <v/>
      </c>
      <c r="G335" s="126" t="str">
        <f>IF(OR(S335="T",S335="RUN",SUMIF(Data!B:B,A335,Data!E:E)=0),"",SUMIF(Data!B:B,A335,Data!E:E))</f>
        <v/>
      </c>
      <c r="H335" s="126" t="str">
        <f t="shared" si="70"/>
        <v/>
      </c>
      <c r="I335" s="131" t="str">
        <f t="shared" si="71"/>
        <v>0 (0)</v>
      </c>
      <c r="J335" s="131" t="str">
        <f t="shared" si="72"/>
        <v>0 (0)</v>
      </c>
      <c r="K335" s="131" t="str">
        <f t="shared" si="73"/>
        <v>0 (0)</v>
      </c>
      <c r="L335" s="132" t="str">
        <f t="shared" si="74"/>
        <v/>
      </c>
      <c r="M335" s="131" t="str">
        <f t="shared" si="75"/>
        <v/>
      </c>
      <c r="N335" s="126" t="str">
        <f>IF(ISNA(MATCH(A335,Data!B:B,0)),"",INDEX(Data!H:H,MATCH(A335,Data!B:B,1))) &amp; ""</f>
        <v/>
      </c>
      <c r="O335" s="126" t="str">
        <f>IF(ISNA(MATCH(A335,Data!B:B,0)),"",INDEX(Data!I:I,MATCH(A335,Data!B:B,1))) &amp; ""</f>
        <v/>
      </c>
      <c r="P335" s="133" t="str">
        <f>IF(ISNA(MATCH(A335,Data!B:B,0)),"",INDEX(Data!J:J,MATCH(A335,Data!B:B,1))) &amp; ""</f>
        <v/>
      </c>
      <c r="Q335" s="126" t="str">
        <f>IF(S335="T",Charts!$X$7,IF(ISNA(MATCH(A335,Data!B:B,0)),"",INDEX(Data!K:K,MATCH(A335,Data!B:B,1)))) &amp; ""</f>
        <v/>
      </c>
      <c r="R335" s="134"/>
      <c r="S335" s="134"/>
      <c r="T335" s="127" t="str">
        <f>IF(ISNA(MATCH(A335,Data!B:B,0)),"",INDEX(Data!#REF!,MATCH(A335,Data!B:B,1))) &amp; ""</f>
        <v/>
      </c>
      <c r="AF335" s="24" t="str">
        <f>IF(C335="","",INDEX(Workouts!B:B,MATCH(C335,Workouts!A:A,0)))</f>
        <v/>
      </c>
      <c r="AG335" s="24" t="str">
        <f>IF(SUMIF(Data!B:B,A335,Data!D:D)=0,"",SUMIF(Data!B:B,A335,Data!D:D))</f>
        <v/>
      </c>
      <c r="AH335" s="25" t="str">
        <f>IF(C335="","",INDEX(Workouts!C:C,MATCH(C335,Workouts!A:A,0)))</f>
        <v/>
      </c>
      <c r="AI335" s="68" t="str">
        <f>IF(SUMIF(Data!B:B,A335,Data!F:F)=0,"",SUMIF(Data!B:B,A335,Data!F:F))</f>
        <v/>
      </c>
      <c r="AJ335" s="68">
        <f>AJ334+ (IF(AH335="",0,AH335)-AJ334)/Charts!$X$5</f>
        <v>3.1049090844029963E-21</v>
      </c>
      <c r="AK335" s="68">
        <f>AK334+ (IF(AI335="",0,AI335)-AK334)/Charts!$X$5</f>
        <v>3.1049090844029963E-21</v>
      </c>
      <c r="AL335" s="68">
        <f>AL334+ (IF(AH335="",0,AH335)-AL334)/Charts!$X$6</f>
        <v>1.8004177033424169E-2</v>
      </c>
      <c r="AM335" s="68">
        <f>AM334+ (IF(AI335="",0,AI335)-AM334)/Charts!$X$6</f>
        <v>1.8004177033424169E-2</v>
      </c>
      <c r="AN335" s="68" t="str">
        <f t="shared" si="78"/>
        <v>0</v>
      </c>
      <c r="AO335" s="68" t="str">
        <f t="shared" si="79"/>
        <v>0</v>
      </c>
      <c r="AP335" s="69" t="str">
        <f>IF(C335="","",INDEX(Workouts!D:D,MATCH(C335,Workouts!A:A,0)))</f>
        <v/>
      </c>
      <c r="AQ335" s="69" t="str">
        <f>IF(ISNA(MATCH(A335,Data!B:B,0)),"",INDEX(Data!G:G,MATCH(A335,Data!B:B,1)))</f>
        <v/>
      </c>
    </row>
    <row r="336" spans="1:43" s="1" customFormat="1" x14ac:dyDescent="0.2">
      <c r="A336" s="125">
        <f t="shared" si="77"/>
        <v>44531</v>
      </c>
      <c r="B336" s="126" t="str">
        <f t="shared" si="76"/>
        <v>Wed</v>
      </c>
      <c r="C336" s="140"/>
      <c r="D336" s="128" t="str">
        <f t="shared" si="68"/>
        <v/>
      </c>
      <c r="E336" s="129" t="str">
        <f t="shared" si="69"/>
        <v/>
      </c>
      <c r="F336" s="130" t="str">
        <f>IF(SUMIF(Data!B:B,A336,Data!C:C)=0,"",SUMIF(Data!B:B,A336,Data!C:C))</f>
        <v/>
      </c>
      <c r="G336" s="126" t="str">
        <f>IF(OR(S336="T",S336="RUN",SUMIF(Data!B:B,A336,Data!E:E)=0),"",SUMIF(Data!B:B,A336,Data!E:E))</f>
        <v/>
      </c>
      <c r="H336" s="126" t="str">
        <f t="shared" si="70"/>
        <v/>
      </c>
      <c r="I336" s="131" t="str">
        <f t="shared" si="71"/>
        <v>0 (0)</v>
      </c>
      <c r="J336" s="131" t="str">
        <f t="shared" si="72"/>
        <v>0 (0)</v>
      </c>
      <c r="K336" s="131" t="str">
        <f t="shared" si="73"/>
        <v>0 (0)</v>
      </c>
      <c r="L336" s="132" t="str">
        <f t="shared" si="74"/>
        <v/>
      </c>
      <c r="M336" s="131" t="str">
        <f t="shared" si="75"/>
        <v/>
      </c>
      <c r="N336" s="126" t="str">
        <f>IF(ISNA(MATCH(A336,Data!B:B,0)),"",INDEX(Data!H:H,MATCH(A336,Data!B:B,1))) &amp; ""</f>
        <v/>
      </c>
      <c r="O336" s="126" t="str">
        <f>IF(ISNA(MATCH(A336,Data!B:B,0)),"",INDEX(Data!I:I,MATCH(A336,Data!B:B,1))) &amp; ""</f>
        <v/>
      </c>
      <c r="P336" s="133" t="str">
        <f>IF(ISNA(MATCH(A336,Data!B:B,0)),"",INDEX(Data!J:J,MATCH(A336,Data!B:B,1))) &amp; ""</f>
        <v/>
      </c>
      <c r="Q336" s="126" t="str">
        <f>IF(S336="T",Charts!$X$7,IF(ISNA(MATCH(A336,Data!B:B,0)),"",INDEX(Data!K:K,MATCH(A336,Data!B:B,1)))) &amp; ""</f>
        <v/>
      </c>
      <c r="R336" s="134"/>
      <c r="S336" s="134"/>
      <c r="T336" s="127" t="str">
        <f>IF(ISNA(MATCH(A336,Data!B:B,0)),"",INDEX(Data!#REF!,MATCH(A336,Data!B:B,1))) &amp; ""</f>
        <v/>
      </c>
      <c r="AF336" s="24" t="str">
        <f>IF(C336="","",INDEX(Workouts!B:B,MATCH(C336,Workouts!A:A,0)))</f>
        <v/>
      </c>
      <c r="AG336" s="24" t="str">
        <f>IF(SUMIF(Data!B:B,A336,Data!D:D)=0,"",SUMIF(Data!B:B,A336,Data!D:D))</f>
        <v/>
      </c>
      <c r="AH336" s="25" t="str">
        <f>IF(C336="","",INDEX(Workouts!C:C,MATCH(C336,Workouts!A:A,0)))</f>
        <v/>
      </c>
      <c r="AI336" s="68" t="str">
        <f>IF(SUMIF(Data!B:B,A336,Data!F:F)=0,"",SUMIF(Data!B:B,A336,Data!F:F))</f>
        <v/>
      </c>
      <c r="AJ336" s="68">
        <f>AJ335+ (IF(AH336="",0,AH336)-AJ335)/Charts!$X$5</f>
        <v>2.6613506437739969E-21</v>
      </c>
      <c r="AK336" s="68">
        <f>AK335+ (IF(AI336="",0,AI336)-AK335)/Charts!$X$5</f>
        <v>2.6613506437739969E-21</v>
      </c>
      <c r="AL336" s="68">
        <f>AL335+ (IF(AH336="",0,AH336)-AL335)/Charts!$X$6</f>
        <v>1.7575506151675975E-2</v>
      </c>
      <c r="AM336" s="68">
        <f>AM335+ (IF(AI336="",0,AI336)-AM335)/Charts!$X$6</f>
        <v>1.7575506151675975E-2</v>
      </c>
      <c r="AN336" s="68" t="str">
        <f t="shared" si="78"/>
        <v>0</v>
      </c>
      <c r="AO336" s="68" t="str">
        <f t="shared" si="79"/>
        <v>0</v>
      </c>
      <c r="AP336" s="69" t="str">
        <f>IF(C336="","",INDEX(Workouts!D:D,MATCH(C336,Workouts!A:A,0)))</f>
        <v/>
      </c>
      <c r="AQ336" s="69" t="str">
        <f>IF(ISNA(MATCH(A336,Data!B:B,0)),"",INDEX(Data!G:G,MATCH(A336,Data!B:B,1)))</f>
        <v/>
      </c>
    </row>
    <row r="337" spans="1:43" s="1" customFormat="1" x14ac:dyDescent="0.2">
      <c r="A337" s="125">
        <f t="shared" si="77"/>
        <v>44532</v>
      </c>
      <c r="B337" s="126" t="str">
        <f t="shared" si="76"/>
        <v>Thu</v>
      </c>
      <c r="C337" s="140"/>
      <c r="D337" s="128" t="str">
        <f t="shared" si="68"/>
        <v/>
      </c>
      <c r="E337" s="129" t="str">
        <f t="shared" si="69"/>
        <v/>
      </c>
      <c r="F337" s="130" t="str">
        <f>IF(SUMIF(Data!B:B,A337,Data!C:C)=0,"",SUMIF(Data!B:B,A337,Data!C:C))</f>
        <v/>
      </c>
      <c r="G337" s="126" t="str">
        <f>IF(OR(S337="T",S337="RUN",SUMIF(Data!B:B,A337,Data!E:E)=0),"",SUMIF(Data!B:B,A337,Data!E:E))</f>
        <v/>
      </c>
      <c r="H337" s="126" t="str">
        <f t="shared" si="70"/>
        <v/>
      </c>
      <c r="I337" s="131" t="str">
        <f t="shared" si="71"/>
        <v>0 (0)</v>
      </c>
      <c r="J337" s="131" t="str">
        <f t="shared" si="72"/>
        <v>0 (0)</v>
      </c>
      <c r="K337" s="131" t="str">
        <f t="shared" si="73"/>
        <v>0 (0)</v>
      </c>
      <c r="L337" s="132" t="str">
        <f t="shared" si="74"/>
        <v/>
      </c>
      <c r="M337" s="131" t="str">
        <f t="shared" si="75"/>
        <v/>
      </c>
      <c r="N337" s="126" t="str">
        <f>IF(ISNA(MATCH(A337,Data!B:B,0)),"",INDEX(Data!H:H,MATCH(A337,Data!B:B,1))) &amp; ""</f>
        <v/>
      </c>
      <c r="O337" s="126" t="str">
        <f>IF(ISNA(MATCH(A337,Data!B:B,0)),"",INDEX(Data!I:I,MATCH(A337,Data!B:B,1))) &amp; ""</f>
        <v/>
      </c>
      <c r="P337" s="133" t="str">
        <f>IF(ISNA(MATCH(A337,Data!B:B,0)),"",INDEX(Data!J:J,MATCH(A337,Data!B:B,1))) &amp; ""</f>
        <v/>
      </c>
      <c r="Q337" s="126" t="str">
        <f>IF(S337="T",Charts!$X$7,IF(ISNA(MATCH(A337,Data!B:B,0)),"",INDEX(Data!K:K,MATCH(A337,Data!B:B,1)))) &amp; ""</f>
        <v/>
      </c>
      <c r="R337" s="134"/>
      <c r="S337" s="134"/>
      <c r="T337" s="127" t="str">
        <f>IF(ISNA(MATCH(A337,Data!B:B,0)),"",INDEX(Data!#REF!,MATCH(A337,Data!B:B,1))) &amp; ""</f>
        <v/>
      </c>
      <c r="AF337" s="24" t="str">
        <f>IF(C337="","",INDEX(Workouts!B:B,MATCH(C337,Workouts!A:A,0)))</f>
        <v/>
      </c>
      <c r="AG337" s="24" t="str">
        <f>IF(SUMIF(Data!B:B,A337,Data!D:D)=0,"",SUMIF(Data!B:B,A337,Data!D:D))</f>
        <v/>
      </c>
      <c r="AH337" s="25" t="str">
        <f>IF(C337="","",INDEX(Workouts!C:C,MATCH(C337,Workouts!A:A,0)))</f>
        <v/>
      </c>
      <c r="AI337" s="68" t="str">
        <f>IF(SUMIF(Data!B:B,A337,Data!F:F)=0,"",SUMIF(Data!B:B,A337,Data!F:F))</f>
        <v/>
      </c>
      <c r="AJ337" s="68">
        <f>AJ336+ (IF(AH337="",0,AH337)-AJ336)/Charts!$X$5</f>
        <v>2.2811576946634258E-21</v>
      </c>
      <c r="AK337" s="68">
        <f>AK336+ (IF(AI337="",0,AI337)-AK336)/Charts!$X$5</f>
        <v>2.2811576946634258E-21</v>
      </c>
      <c r="AL337" s="68">
        <f>AL336+ (IF(AH337="",0,AH337)-AL336)/Charts!$X$6</f>
        <v>1.7157041719493213E-2</v>
      </c>
      <c r="AM337" s="68">
        <f>AM336+ (IF(AI337="",0,AI337)-AM336)/Charts!$X$6</f>
        <v>1.7157041719493213E-2</v>
      </c>
      <c r="AN337" s="68" t="str">
        <f t="shared" si="78"/>
        <v>0</v>
      </c>
      <c r="AO337" s="68" t="str">
        <f t="shared" si="79"/>
        <v>0</v>
      </c>
      <c r="AP337" s="69" t="str">
        <f>IF(C337="","",INDEX(Workouts!D:D,MATCH(C337,Workouts!A:A,0)))</f>
        <v/>
      </c>
      <c r="AQ337" s="69" t="str">
        <f>IF(ISNA(MATCH(A337,Data!B:B,0)),"",INDEX(Data!G:G,MATCH(A337,Data!B:B,1)))</f>
        <v/>
      </c>
    </row>
    <row r="338" spans="1:43" s="1" customFormat="1" x14ac:dyDescent="0.2">
      <c r="A338" s="125">
        <f t="shared" si="77"/>
        <v>44533</v>
      </c>
      <c r="B338" s="126" t="str">
        <f t="shared" si="76"/>
        <v>Fri</v>
      </c>
      <c r="C338" s="140"/>
      <c r="D338" s="128" t="str">
        <f t="shared" si="68"/>
        <v/>
      </c>
      <c r="E338" s="129" t="str">
        <f t="shared" si="69"/>
        <v/>
      </c>
      <c r="F338" s="130" t="str">
        <f>IF(SUMIF(Data!B:B,A338,Data!C:C)=0,"",SUMIF(Data!B:B,A338,Data!C:C))</f>
        <v/>
      </c>
      <c r="G338" s="126" t="str">
        <f>IF(OR(S338="T",S338="RUN",SUMIF(Data!B:B,A338,Data!E:E)=0),"",SUMIF(Data!B:B,A338,Data!E:E))</f>
        <v/>
      </c>
      <c r="H338" s="126" t="str">
        <f t="shared" si="70"/>
        <v/>
      </c>
      <c r="I338" s="131" t="str">
        <f t="shared" si="71"/>
        <v>0 (0)</v>
      </c>
      <c r="J338" s="131" t="str">
        <f t="shared" si="72"/>
        <v>0 (0)</v>
      </c>
      <c r="K338" s="131" t="str">
        <f t="shared" si="73"/>
        <v>0 (0)</v>
      </c>
      <c r="L338" s="132" t="str">
        <f t="shared" si="74"/>
        <v/>
      </c>
      <c r="M338" s="131" t="str">
        <f t="shared" si="75"/>
        <v/>
      </c>
      <c r="N338" s="126" t="str">
        <f>IF(ISNA(MATCH(A338,Data!B:B,0)),"",INDEX(Data!H:H,MATCH(A338,Data!B:B,1))) &amp; ""</f>
        <v/>
      </c>
      <c r="O338" s="126" t="str">
        <f>IF(ISNA(MATCH(A338,Data!B:B,0)),"",INDEX(Data!I:I,MATCH(A338,Data!B:B,1))) &amp; ""</f>
        <v/>
      </c>
      <c r="P338" s="133" t="str">
        <f>IF(ISNA(MATCH(A338,Data!B:B,0)),"",INDEX(Data!J:J,MATCH(A338,Data!B:B,1))) &amp; ""</f>
        <v/>
      </c>
      <c r="Q338" s="126" t="str">
        <f>IF(S338="T",Charts!$X$7,IF(ISNA(MATCH(A338,Data!B:B,0)),"",INDEX(Data!K:K,MATCH(A338,Data!B:B,1)))) &amp; ""</f>
        <v/>
      </c>
      <c r="R338" s="134"/>
      <c r="S338" s="134"/>
      <c r="T338" s="127" t="str">
        <f>IF(ISNA(MATCH(A338,Data!B:B,0)),"",INDEX(Data!#REF!,MATCH(A338,Data!B:B,1))) &amp; ""</f>
        <v/>
      </c>
      <c r="AF338" s="24" t="str">
        <f>IF(C338="","",INDEX(Workouts!B:B,MATCH(C338,Workouts!A:A,0)))</f>
        <v/>
      </c>
      <c r="AG338" s="24" t="str">
        <f>IF(SUMIF(Data!B:B,A338,Data!D:D)=0,"",SUMIF(Data!B:B,A338,Data!D:D))</f>
        <v/>
      </c>
      <c r="AH338" s="25" t="str">
        <f>IF(C338="","",INDEX(Workouts!C:C,MATCH(C338,Workouts!A:A,0)))</f>
        <v/>
      </c>
      <c r="AI338" s="68" t="str">
        <f>IF(SUMIF(Data!B:B,A338,Data!F:F)=0,"",SUMIF(Data!B:B,A338,Data!F:F))</f>
        <v/>
      </c>
      <c r="AJ338" s="68">
        <f>AJ337+ (IF(AH338="",0,AH338)-AJ337)/Charts!$X$5</f>
        <v>1.955278023997222E-21</v>
      </c>
      <c r="AK338" s="68">
        <f>AK337+ (IF(AI338="",0,AI338)-AK337)/Charts!$X$5</f>
        <v>1.955278023997222E-21</v>
      </c>
      <c r="AL338" s="68">
        <f>AL337+ (IF(AH338="",0,AH338)-AL337)/Charts!$X$6</f>
        <v>1.6748540726171945E-2</v>
      </c>
      <c r="AM338" s="68">
        <f>AM337+ (IF(AI338="",0,AI338)-AM337)/Charts!$X$6</f>
        <v>1.6748540726171945E-2</v>
      </c>
      <c r="AN338" s="68" t="str">
        <f t="shared" si="78"/>
        <v>0</v>
      </c>
      <c r="AO338" s="68" t="str">
        <f t="shared" si="79"/>
        <v>0</v>
      </c>
      <c r="AP338" s="69" t="str">
        <f>IF(C338="","",INDEX(Workouts!D:D,MATCH(C338,Workouts!A:A,0)))</f>
        <v/>
      </c>
      <c r="AQ338" s="69" t="str">
        <f>IF(ISNA(MATCH(A338,Data!B:B,0)),"",INDEX(Data!G:G,MATCH(A338,Data!B:B,1)))</f>
        <v/>
      </c>
    </row>
    <row r="339" spans="1:43" s="1" customFormat="1" x14ac:dyDescent="0.2">
      <c r="A339" s="125">
        <f t="shared" si="77"/>
        <v>44534</v>
      </c>
      <c r="B339" s="126" t="str">
        <f t="shared" si="76"/>
        <v>Sat</v>
      </c>
      <c r="C339" s="140"/>
      <c r="D339" s="128" t="str">
        <f t="shared" si="68"/>
        <v/>
      </c>
      <c r="E339" s="129" t="str">
        <f t="shared" si="69"/>
        <v/>
      </c>
      <c r="F339" s="130" t="str">
        <f>IF(SUMIF(Data!B:B,A339,Data!C:C)=0,"",SUMIF(Data!B:B,A339,Data!C:C))</f>
        <v/>
      </c>
      <c r="G339" s="126" t="str">
        <f>IF(OR(S339="T",S339="RUN",SUMIF(Data!B:B,A339,Data!E:E)=0),"",SUMIF(Data!B:B,A339,Data!E:E))</f>
        <v/>
      </c>
      <c r="H339" s="126" t="str">
        <f t="shared" si="70"/>
        <v/>
      </c>
      <c r="I339" s="131" t="str">
        <f t="shared" si="71"/>
        <v>0 (0)</v>
      </c>
      <c r="J339" s="131" t="str">
        <f t="shared" si="72"/>
        <v>0 (0)</v>
      </c>
      <c r="K339" s="131" t="str">
        <f t="shared" si="73"/>
        <v>0 (0)</v>
      </c>
      <c r="L339" s="132" t="str">
        <f t="shared" si="74"/>
        <v/>
      </c>
      <c r="M339" s="131" t="str">
        <f t="shared" si="75"/>
        <v/>
      </c>
      <c r="N339" s="126" t="str">
        <f>IF(ISNA(MATCH(A339,Data!B:B,0)),"",INDEX(Data!H:H,MATCH(A339,Data!B:B,1))) &amp; ""</f>
        <v/>
      </c>
      <c r="O339" s="126" t="str">
        <f>IF(ISNA(MATCH(A339,Data!B:B,0)),"",INDEX(Data!I:I,MATCH(A339,Data!B:B,1))) &amp; ""</f>
        <v/>
      </c>
      <c r="P339" s="133" t="str">
        <f>IF(ISNA(MATCH(A339,Data!B:B,0)),"",INDEX(Data!J:J,MATCH(A339,Data!B:B,1))) &amp; ""</f>
        <v/>
      </c>
      <c r="Q339" s="126" t="str">
        <f>IF(S339="T",Charts!$X$7,IF(ISNA(MATCH(A339,Data!B:B,0)),"",INDEX(Data!K:K,MATCH(A339,Data!B:B,1)))) &amp; ""</f>
        <v/>
      </c>
      <c r="R339" s="134"/>
      <c r="S339" s="134"/>
      <c r="T339" s="127" t="str">
        <f>IF(ISNA(MATCH(A339,Data!B:B,0)),"",INDEX(Data!#REF!,MATCH(A339,Data!B:B,1))) &amp; ""</f>
        <v/>
      </c>
      <c r="AF339" s="24" t="str">
        <f>IF(C339="","",INDEX(Workouts!B:B,MATCH(C339,Workouts!A:A,0)))</f>
        <v/>
      </c>
      <c r="AG339" s="24" t="str">
        <f>IF(SUMIF(Data!B:B,A339,Data!D:D)=0,"",SUMIF(Data!B:B,A339,Data!D:D))</f>
        <v/>
      </c>
      <c r="AH339" s="25" t="str">
        <f>IF(C339="","",INDEX(Workouts!C:C,MATCH(C339,Workouts!A:A,0)))</f>
        <v/>
      </c>
      <c r="AI339" s="68" t="str">
        <f>IF(SUMIF(Data!B:B,A339,Data!F:F)=0,"",SUMIF(Data!B:B,A339,Data!F:F))</f>
        <v/>
      </c>
      <c r="AJ339" s="68">
        <f>AJ338+ (IF(AH339="",0,AH339)-AJ338)/Charts!$X$5</f>
        <v>1.6759525919976189E-21</v>
      </c>
      <c r="AK339" s="68">
        <f>AK338+ (IF(AI339="",0,AI339)-AK338)/Charts!$X$5</f>
        <v>1.6759525919976189E-21</v>
      </c>
      <c r="AL339" s="68">
        <f>AL338+ (IF(AH339="",0,AH339)-AL338)/Charts!$X$6</f>
        <v>1.6349765946977374E-2</v>
      </c>
      <c r="AM339" s="68">
        <f>AM338+ (IF(AI339="",0,AI339)-AM338)/Charts!$X$6</f>
        <v>1.6349765946977374E-2</v>
      </c>
      <c r="AN339" s="68" t="str">
        <f t="shared" si="78"/>
        <v>0</v>
      </c>
      <c r="AO339" s="68" t="str">
        <f t="shared" si="79"/>
        <v>0</v>
      </c>
      <c r="AP339" s="69" t="str">
        <f>IF(C339="","",INDEX(Workouts!D:D,MATCH(C339,Workouts!A:A,0)))</f>
        <v/>
      </c>
      <c r="AQ339" s="69" t="str">
        <f>IF(ISNA(MATCH(A339,Data!B:B,0)),"",INDEX(Data!G:G,MATCH(A339,Data!B:B,1)))</f>
        <v/>
      </c>
    </row>
    <row r="340" spans="1:43" s="1" customFormat="1" x14ac:dyDescent="0.2">
      <c r="A340" s="125">
        <f t="shared" si="77"/>
        <v>44535</v>
      </c>
      <c r="B340" s="126" t="str">
        <f t="shared" si="76"/>
        <v>Sun</v>
      </c>
      <c r="C340" s="140"/>
      <c r="D340" s="128" t="str">
        <f t="shared" si="68"/>
        <v/>
      </c>
      <c r="E340" s="129" t="str">
        <f t="shared" si="69"/>
        <v/>
      </c>
      <c r="F340" s="130" t="str">
        <f>IF(SUMIF(Data!B:B,A340,Data!C:C)=0,"",SUMIF(Data!B:B,A340,Data!C:C))</f>
        <v/>
      </c>
      <c r="G340" s="126" t="str">
        <f>IF(OR(S340="T",S340="RUN",SUMIF(Data!B:B,A340,Data!E:E)=0),"",SUMIF(Data!B:B,A340,Data!E:E))</f>
        <v/>
      </c>
      <c r="H340" s="126" t="str">
        <f t="shared" si="70"/>
        <v/>
      </c>
      <c r="I340" s="131" t="str">
        <f t="shared" si="71"/>
        <v>0 (0)</v>
      </c>
      <c r="J340" s="131" t="str">
        <f t="shared" si="72"/>
        <v>0 (0)</v>
      </c>
      <c r="K340" s="131" t="str">
        <f t="shared" si="73"/>
        <v>0 (0)</v>
      </c>
      <c r="L340" s="132" t="str">
        <f t="shared" si="74"/>
        <v/>
      </c>
      <c r="M340" s="131" t="str">
        <f t="shared" si="75"/>
        <v/>
      </c>
      <c r="N340" s="126" t="str">
        <f>IF(ISNA(MATCH(A340,Data!B:B,0)),"",INDEX(Data!H:H,MATCH(A340,Data!B:B,1))) &amp; ""</f>
        <v/>
      </c>
      <c r="O340" s="126" t="str">
        <f>IF(ISNA(MATCH(A340,Data!B:B,0)),"",INDEX(Data!I:I,MATCH(A340,Data!B:B,1))) &amp; ""</f>
        <v/>
      </c>
      <c r="P340" s="133" t="str">
        <f>IF(ISNA(MATCH(A340,Data!B:B,0)),"",INDEX(Data!J:J,MATCH(A340,Data!B:B,1))) &amp; ""</f>
        <v/>
      </c>
      <c r="Q340" s="126" t="str">
        <f>IF(S340="T",Charts!$X$7,IF(ISNA(MATCH(A340,Data!B:B,0)),"",INDEX(Data!K:K,MATCH(A340,Data!B:B,1)))) &amp; ""</f>
        <v/>
      </c>
      <c r="R340" s="134"/>
      <c r="S340" s="134"/>
      <c r="T340" s="127" t="str">
        <f>IF(ISNA(MATCH(A340,Data!B:B,0)),"",INDEX(Data!#REF!,MATCH(A340,Data!B:B,1))) &amp; ""</f>
        <v/>
      </c>
      <c r="AF340" s="24" t="str">
        <f>IF(C340="","",INDEX(Workouts!B:B,MATCH(C340,Workouts!A:A,0)))</f>
        <v/>
      </c>
      <c r="AG340" s="24" t="str">
        <f>IF(SUMIF(Data!B:B,A340,Data!D:D)=0,"",SUMIF(Data!B:B,A340,Data!D:D))</f>
        <v/>
      </c>
      <c r="AH340" s="25" t="str">
        <f>IF(C340="","",INDEX(Workouts!C:C,MATCH(C340,Workouts!A:A,0)))</f>
        <v/>
      </c>
      <c r="AI340" s="68" t="str">
        <f>IF(SUMIF(Data!B:B,A340,Data!F:F)=0,"",SUMIF(Data!B:B,A340,Data!F:F))</f>
        <v/>
      </c>
      <c r="AJ340" s="68">
        <f>AJ339+ (IF(AH340="",0,AH340)-AJ339)/Charts!$X$5</f>
        <v>1.4365307931408161E-21</v>
      </c>
      <c r="AK340" s="68">
        <f>AK339+ (IF(AI340="",0,AI340)-AK339)/Charts!$X$5</f>
        <v>1.4365307931408161E-21</v>
      </c>
      <c r="AL340" s="68">
        <f>AL339+ (IF(AH340="",0,AH340)-AL339)/Charts!$X$6</f>
        <v>1.5960485805382674E-2</v>
      </c>
      <c r="AM340" s="68">
        <f>AM339+ (IF(AI340="",0,AI340)-AM339)/Charts!$X$6</f>
        <v>1.5960485805382674E-2</v>
      </c>
      <c r="AN340" s="68" t="str">
        <f t="shared" si="78"/>
        <v>0</v>
      </c>
      <c r="AO340" s="68" t="str">
        <f t="shared" si="79"/>
        <v>0</v>
      </c>
      <c r="AP340" s="69" t="str">
        <f>IF(C340="","",INDEX(Workouts!D:D,MATCH(C340,Workouts!A:A,0)))</f>
        <v/>
      </c>
      <c r="AQ340" s="69" t="str">
        <f>IF(ISNA(MATCH(A340,Data!B:B,0)),"",INDEX(Data!G:G,MATCH(A340,Data!B:B,1)))</f>
        <v/>
      </c>
    </row>
    <row r="341" spans="1:43" s="1" customFormat="1" x14ac:dyDescent="0.2">
      <c r="A341" s="125">
        <f t="shared" si="77"/>
        <v>44536</v>
      </c>
      <c r="B341" s="126" t="str">
        <f t="shared" si="76"/>
        <v>Mon</v>
      </c>
      <c r="C341" s="140"/>
      <c r="D341" s="128" t="str">
        <f t="shared" si="68"/>
        <v/>
      </c>
      <c r="E341" s="129" t="str">
        <f t="shared" si="69"/>
        <v/>
      </c>
      <c r="F341" s="130" t="str">
        <f>IF(SUMIF(Data!B:B,A341,Data!C:C)=0,"",SUMIF(Data!B:B,A341,Data!C:C))</f>
        <v/>
      </c>
      <c r="G341" s="126" t="str">
        <f>IF(OR(S341="T",S341="RUN",SUMIF(Data!B:B,A341,Data!E:E)=0),"",SUMIF(Data!B:B,A341,Data!E:E))</f>
        <v/>
      </c>
      <c r="H341" s="126" t="str">
        <f t="shared" si="70"/>
        <v/>
      </c>
      <c r="I341" s="131" t="str">
        <f t="shared" si="71"/>
        <v>0 (0)</v>
      </c>
      <c r="J341" s="131" t="str">
        <f t="shared" si="72"/>
        <v>0 (0)</v>
      </c>
      <c r="K341" s="131" t="str">
        <f t="shared" si="73"/>
        <v>0 (0)</v>
      </c>
      <c r="L341" s="132" t="str">
        <f t="shared" si="74"/>
        <v/>
      </c>
      <c r="M341" s="131" t="str">
        <f t="shared" si="75"/>
        <v/>
      </c>
      <c r="N341" s="126" t="str">
        <f>IF(ISNA(MATCH(A341,Data!B:B,0)),"",INDEX(Data!H:H,MATCH(A341,Data!B:B,1))) &amp; ""</f>
        <v/>
      </c>
      <c r="O341" s="126" t="str">
        <f>IF(ISNA(MATCH(A341,Data!B:B,0)),"",INDEX(Data!I:I,MATCH(A341,Data!B:B,1))) &amp; ""</f>
        <v/>
      </c>
      <c r="P341" s="133" t="str">
        <f>IF(ISNA(MATCH(A341,Data!B:B,0)),"",INDEX(Data!J:J,MATCH(A341,Data!B:B,1))) &amp; ""</f>
        <v/>
      </c>
      <c r="Q341" s="126" t="str">
        <f>IF(S341="T",Charts!$X$7,IF(ISNA(MATCH(A341,Data!B:B,0)),"",INDEX(Data!K:K,MATCH(A341,Data!B:B,1)))) &amp; ""</f>
        <v/>
      </c>
      <c r="R341" s="134"/>
      <c r="S341" s="134"/>
      <c r="T341" s="127" t="str">
        <f>IF(ISNA(MATCH(A341,Data!B:B,0)),"",INDEX(Data!#REF!,MATCH(A341,Data!B:B,1))) &amp; ""</f>
        <v/>
      </c>
      <c r="AF341" s="24" t="str">
        <f>IF(C341="","",INDEX(Workouts!B:B,MATCH(C341,Workouts!A:A,0)))</f>
        <v/>
      </c>
      <c r="AG341" s="24" t="str">
        <f>IF(SUMIF(Data!B:B,A341,Data!D:D)=0,"",SUMIF(Data!B:B,A341,Data!D:D))</f>
        <v/>
      </c>
      <c r="AH341" s="25" t="str">
        <f>IF(C341="","",INDEX(Workouts!C:C,MATCH(C341,Workouts!A:A,0)))</f>
        <v/>
      </c>
      <c r="AI341" s="68" t="str">
        <f>IF(SUMIF(Data!B:B,A341,Data!F:F)=0,"",SUMIF(Data!B:B,A341,Data!F:F))</f>
        <v/>
      </c>
      <c r="AJ341" s="68">
        <f>AJ340+ (IF(AH341="",0,AH341)-AJ340)/Charts!$X$5</f>
        <v>1.2313121084064138E-21</v>
      </c>
      <c r="AK341" s="68">
        <f>AK340+ (IF(AI341="",0,AI341)-AK340)/Charts!$X$5</f>
        <v>1.2313121084064138E-21</v>
      </c>
      <c r="AL341" s="68">
        <f>AL340+ (IF(AH341="",0,AH341)-AL340)/Charts!$X$6</f>
        <v>1.5580474238587848E-2</v>
      </c>
      <c r="AM341" s="68">
        <f>AM340+ (IF(AI341="",0,AI341)-AM340)/Charts!$X$6</f>
        <v>1.5580474238587848E-2</v>
      </c>
      <c r="AN341" s="68" t="str">
        <f t="shared" si="78"/>
        <v>0</v>
      </c>
      <c r="AO341" s="68" t="str">
        <f t="shared" si="79"/>
        <v>0</v>
      </c>
      <c r="AP341" s="69" t="str">
        <f>IF(C341="","",INDEX(Workouts!D:D,MATCH(C341,Workouts!A:A,0)))</f>
        <v/>
      </c>
      <c r="AQ341" s="69" t="str">
        <f>IF(ISNA(MATCH(A341,Data!B:B,0)),"",INDEX(Data!G:G,MATCH(A341,Data!B:B,1)))</f>
        <v/>
      </c>
    </row>
    <row r="342" spans="1:43" s="1" customFormat="1" x14ac:dyDescent="0.2">
      <c r="A342" s="125">
        <f t="shared" si="77"/>
        <v>44537</v>
      </c>
      <c r="B342" s="126" t="str">
        <f t="shared" si="76"/>
        <v>Tue</v>
      </c>
      <c r="C342" s="140"/>
      <c r="D342" s="128" t="str">
        <f t="shared" si="68"/>
        <v/>
      </c>
      <c r="E342" s="129" t="str">
        <f t="shared" si="69"/>
        <v/>
      </c>
      <c r="F342" s="130" t="str">
        <f>IF(SUMIF(Data!B:B,A342,Data!C:C)=0,"",SUMIF(Data!B:B,A342,Data!C:C))</f>
        <v/>
      </c>
      <c r="G342" s="126" t="str">
        <f>IF(OR(S342="T",S342="RUN",SUMIF(Data!B:B,A342,Data!E:E)=0),"",SUMIF(Data!B:B,A342,Data!E:E))</f>
        <v/>
      </c>
      <c r="H342" s="126" t="str">
        <f t="shared" si="70"/>
        <v/>
      </c>
      <c r="I342" s="131" t="str">
        <f t="shared" si="71"/>
        <v>0 (0)</v>
      </c>
      <c r="J342" s="131" t="str">
        <f t="shared" si="72"/>
        <v>0 (0)</v>
      </c>
      <c r="K342" s="131" t="str">
        <f t="shared" si="73"/>
        <v>0 (0)</v>
      </c>
      <c r="L342" s="132" t="str">
        <f t="shared" si="74"/>
        <v/>
      </c>
      <c r="M342" s="131" t="str">
        <f t="shared" si="75"/>
        <v/>
      </c>
      <c r="N342" s="126" t="str">
        <f>IF(ISNA(MATCH(A342,Data!B:B,0)),"",INDEX(Data!H:H,MATCH(A342,Data!B:B,1))) &amp; ""</f>
        <v/>
      </c>
      <c r="O342" s="126" t="str">
        <f>IF(ISNA(MATCH(A342,Data!B:B,0)),"",INDEX(Data!I:I,MATCH(A342,Data!B:B,1))) &amp; ""</f>
        <v/>
      </c>
      <c r="P342" s="133" t="str">
        <f>IF(ISNA(MATCH(A342,Data!B:B,0)),"",INDEX(Data!J:J,MATCH(A342,Data!B:B,1))) &amp; ""</f>
        <v/>
      </c>
      <c r="Q342" s="126" t="str">
        <f>IF(S342="T",Charts!$X$7,IF(ISNA(MATCH(A342,Data!B:B,0)),"",INDEX(Data!K:K,MATCH(A342,Data!B:B,1)))) &amp; ""</f>
        <v/>
      </c>
      <c r="R342" s="134"/>
      <c r="S342" s="134"/>
      <c r="T342" s="127" t="str">
        <f>IF(ISNA(MATCH(A342,Data!B:B,0)),"",INDEX(Data!#REF!,MATCH(A342,Data!B:B,1))) &amp; ""</f>
        <v/>
      </c>
      <c r="AF342" s="24" t="str">
        <f>IF(C342="","",INDEX(Workouts!B:B,MATCH(C342,Workouts!A:A,0)))</f>
        <v/>
      </c>
      <c r="AG342" s="24" t="str">
        <f>IF(SUMIF(Data!B:B,A342,Data!D:D)=0,"",SUMIF(Data!B:B,A342,Data!D:D))</f>
        <v/>
      </c>
      <c r="AH342" s="25" t="str">
        <f>IF(C342="","",INDEX(Workouts!C:C,MATCH(C342,Workouts!A:A,0)))</f>
        <v/>
      </c>
      <c r="AI342" s="68" t="str">
        <f>IF(SUMIF(Data!B:B,A342,Data!F:F)=0,"",SUMIF(Data!B:B,A342,Data!F:F))</f>
        <v/>
      </c>
      <c r="AJ342" s="68">
        <f>AJ341+ (IF(AH342="",0,AH342)-AJ341)/Charts!$X$5</f>
        <v>1.055410378634069E-21</v>
      </c>
      <c r="AK342" s="68">
        <f>AK341+ (IF(AI342="",0,AI342)-AK341)/Charts!$X$5</f>
        <v>1.055410378634069E-21</v>
      </c>
      <c r="AL342" s="68">
        <f>AL341+ (IF(AH342="",0,AH342)-AL341)/Charts!$X$6</f>
        <v>1.5209510566240519E-2</v>
      </c>
      <c r="AM342" s="68">
        <f>AM341+ (IF(AI342="",0,AI342)-AM341)/Charts!$X$6</f>
        <v>1.5209510566240519E-2</v>
      </c>
      <c r="AN342" s="68" t="str">
        <f t="shared" si="78"/>
        <v>0</v>
      </c>
      <c r="AO342" s="68" t="str">
        <f t="shared" si="79"/>
        <v>0</v>
      </c>
      <c r="AP342" s="69" t="str">
        <f>IF(C342="","",INDEX(Workouts!D:D,MATCH(C342,Workouts!A:A,0)))</f>
        <v/>
      </c>
      <c r="AQ342" s="69" t="str">
        <f>IF(ISNA(MATCH(A342,Data!B:B,0)),"",INDEX(Data!G:G,MATCH(A342,Data!B:B,1)))</f>
        <v/>
      </c>
    </row>
    <row r="343" spans="1:43" s="1" customFormat="1" x14ac:dyDescent="0.2">
      <c r="A343" s="125">
        <f t="shared" si="77"/>
        <v>44538</v>
      </c>
      <c r="B343" s="126" t="str">
        <f t="shared" si="76"/>
        <v>Wed</v>
      </c>
      <c r="C343" s="140"/>
      <c r="D343" s="128" t="str">
        <f t="shared" si="68"/>
        <v/>
      </c>
      <c r="E343" s="129" t="str">
        <f t="shared" si="69"/>
        <v/>
      </c>
      <c r="F343" s="130" t="str">
        <f>IF(SUMIF(Data!B:B,A343,Data!C:C)=0,"",SUMIF(Data!B:B,A343,Data!C:C))</f>
        <v/>
      </c>
      <c r="G343" s="126" t="str">
        <f>IF(OR(S343="T",S343="RUN",SUMIF(Data!B:B,A343,Data!E:E)=0),"",SUMIF(Data!B:B,A343,Data!E:E))</f>
        <v/>
      </c>
      <c r="H343" s="126" t="str">
        <f t="shared" si="70"/>
        <v/>
      </c>
      <c r="I343" s="131" t="str">
        <f t="shared" si="71"/>
        <v>0 (0)</v>
      </c>
      <c r="J343" s="131" t="str">
        <f t="shared" si="72"/>
        <v>0 (0)</v>
      </c>
      <c r="K343" s="131" t="str">
        <f t="shared" si="73"/>
        <v>0 (0)</v>
      </c>
      <c r="L343" s="132" t="str">
        <f t="shared" si="74"/>
        <v/>
      </c>
      <c r="M343" s="131" t="str">
        <f t="shared" si="75"/>
        <v/>
      </c>
      <c r="N343" s="126" t="str">
        <f>IF(ISNA(MATCH(A343,Data!B:B,0)),"",INDEX(Data!H:H,MATCH(A343,Data!B:B,1))) &amp; ""</f>
        <v/>
      </c>
      <c r="O343" s="126" t="str">
        <f>IF(ISNA(MATCH(A343,Data!B:B,0)),"",INDEX(Data!I:I,MATCH(A343,Data!B:B,1))) &amp; ""</f>
        <v/>
      </c>
      <c r="P343" s="133" t="str">
        <f>IF(ISNA(MATCH(A343,Data!B:B,0)),"",INDEX(Data!J:J,MATCH(A343,Data!B:B,1))) &amp; ""</f>
        <v/>
      </c>
      <c r="Q343" s="126" t="str">
        <f>IF(S343="T",Charts!$X$7,IF(ISNA(MATCH(A343,Data!B:B,0)),"",INDEX(Data!K:K,MATCH(A343,Data!B:B,1)))) &amp; ""</f>
        <v/>
      </c>
      <c r="R343" s="134"/>
      <c r="S343" s="134"/>
      <c r="T343" s="127" t="str">
        <f>IF(ISNA(MATCH(A343,Data!B:B,0)),"",INDEX(Data!#REF!,MATCH(A343,Data!B:B,1))) &amp; ""</f>
        <v/>
      </c>
      <c r="AF343" s="24" t="str">
        <f>IF(C343="","",INDEX(Workouts!B:B,MATCH(C343,Workouts!A:A,0)))</f>
        <v/>
      </c>
      <c r="AG343" s="24" t="str">
        <f>IF(SUMIF(Data!B:B,A343,Data!D:D)=0,"",SUMIF(Data!B:B,A343,Data!D:D))</f>
        <v/>
      </c>
      <c r="AH343" s="25" t="str">
        <f>IF(C343="","",INDEX(Workouts!C:C,MATCH(C343,Workouts!A:A,0)))</f>
        <v/>
      </c>
      <c r="AI343" s="68" t="str">
        <f>IF(SUMIF(Data!B:B,A343,Data!F:F)=0,"",SUMIF(Data!B:B,A343,Data!F:F))</f>
        <v/>
      </c>
      <c r="AJ343" s="68">
        <f>AJ342+ (IF(AH343="",0,AH343)-AJ342)/Charts!$X$5</f>
        <v>9.046374674006305E-22</v>
      </c>
      <c r="AK343" s="68">
        <f>AK342+ (IF(AI343="",0,AI343)-AK342)/Charts!$X$5</f>
        <v>9.046374674006305E-22</v>
      </c>
      <c r="AL343" s="68">
        <f>AL342+ (IF(AH343="",0,AH343)-AL342)/Charts!$X$6</f>
        <v>1.4847379362282411E-2</v>
      </c>
      <c r="AM343" s="68">
        <f>AM342+ (IF(AI343="",0,AI343)-AM342)/Charts!$X$6</f>
        <v>1.4847379362282411E-2</v>
      </c>
      <c r="AN343" s="68" t="str">
        <f t="shared" si="78"/>
        <v>0</v>
      </c>
      <c r="AO343" s="68" t="str">
        <f t="shared" si="79"/>
        <v>0</v>
      </c>
      <c r="AP343" s="69" t="str">
        <f>IF(C343="","",INDEX(Workouts!D:D,MATCH(C343,Workouts!A:A,0)))</f>
        <v/>
      </c>
      <c r="AQ343" s="69" t="str">
        <f>IF(ISNA(MATCH(A343,Data!B:B,0)),"",INDEX(Data!G:G,MATCH(A343,Data!B:B,1)))</f>
        <v/>
      </c>
    </row>
    <row r="344" spans="1:43" s="1" customFormat="1" x14ac:dyDescent="0.2">
      <c r="A344" s="125">
        <f t="shared" si="77"/>
        <v>44539</v>
      </c>
      <c r="B344" s="126" t="str">
        <f t="shared" si="76"/>
        <v>Thu</v>
      </c>
      <c r="C344" s="140"/>
      <c r="D344" s="128" t="str">
        <f t="shared" si="68"/>
        <v/>
      </c>
      <c r="E344" s="129" t="str">
        <f t="shared" si="69"/>
        <v/>
      </c>
      <c r="F344" s="130" t="str">
        <f>IF(SUMIF(Data!B:B,A344,Data!C:C)=0,"",SUMIF(Data!B:B,A344,Data!C:C))</f>
        <v/>
      </c>
      <c r="G344" s="126" t="str">
        <f>IF(OR(S344="T",S344="RUN",SUMIF(Data!B:B,A344,Data!E:E)=0),"",SUMIF(Data!B:B,A344,Data!E:E))</f>
        <v/>
      </c>
      <c r="H344" s="126" t="str">
        <f t="shared" si="70"/>
        <v/>
      </c>
      <c r="I344" s="131" t="str">
        <f t="shared" si="71"/>
        <v>0 (0)</v>
      </c>
      <c r="J344" s="131" t="str">
        <f t="shared" si="72"/>
        <v>0 (0)</v>
      </c>
      <c r="K344" s="131" t="str">
        <f t="shared" si="73"/>
        <v>0 (0)</v>
      </c>
      <c r="L344" s="132" t="str">
        <f t="shared" si="74"/>
        <v/>
      </c>
      <c r="M344" s="131" t="str">
        <f t="shared" si="75"/>
        <v/>
      </c>
      <c r="N344" s="126" t="str">
        <f>IF(ISNA(MATCH(A344,Data!B:B,0)),"",INDEX(Data!H:H,MATCH(A344,Data!B:B,1))) &amp; ""</f>
        <v/>
      </c>
      <c r="O344" s="126" t="str">
        <f>IF(ISNA(MATCH(A344,Data!B:B,0)),"",INDEX(Data!I:I,MATCH(A344,Data!B:B,1))) &amp; ""</f>
        <v/>
      </c>
      <c r="P344" s="133" t="str">
        <f>IF(ISNA(MATCH(A344,Data!B:B,0)),"",INDEX(Data!J:J,MATCH(A344,Data!B:B,1))) &amp; ""</f>
        <v/>
      </c>
      <c r="Q344" s="126" t="str">
        <f>IF(S344="T",Charts!$X$7,IF(ISNA(MATCH(A344,Data!B:B,0)),"",INDEX(Data!K:K,MATCH(A344,Data!B:B,1)))) &amp; ""</f>
        <v/>
      </c>
      <c r="R344" s="134"/>
      <c r="S344" s="134"/>
      <c r="T344" s="127" t="str">
        <f>IF(ISNA(MATCH(A344,Data!B:B,0)),"",INDEX(Data!#REF!,MATCH(A344,Data!B:B,1))) &amp; ""</f>
        <v/>
      </c>
      <c r="AF344" s="24" t="str">
        <f>IF(C344="","",INDEX(Workouts!B:B,MATCH(C344,Workouts!A:A,0)))</f>
        <v/>
      </c>
      <c r="AG344" s="24" t="str">
        <f>IF(SUMIF(Data!B:B,A344,Data!D:D)=0,"",SUMIF(Data!B:B,A344,Data!D:D))</f>
        <v/>
      </c>
      <c r="AH344" s="25" t="str">
        <f>IF(C344="","",INDEX(Workouts!C:C,MATCH(C344,Workouts!A:A,0)))</f>
        <v/>
      </c>
      <c r="AI344" s="68" t="str">
        <f>IF(SUMIF(Data!B:B,A344,Data!F:F)=0,"",SUMIF(Data!B:B,A344,Data!F:F))</f>
        <v/>
      </c>
      <c r="AJ344" s="68">
        <f>AJ343+ (IF(AH344="",0,AH344)-AJ343)/Charts!$X$5</f>
        <v>7.7540354348625474E-22</v>
      </c>
      <c r="AK344" s="68">
        <f>AK343+ (IF(AI344="",0,AI344)-AK343)/Charts!$X$5</f>
        <v>7.7540354348625474E-22</v>
      </c>
      <c r="AL344" s="68">
        <f>AL343+ (IF(AH344="",0,AH344)-AL343)/Charts!$X$6</f>
        <v>1.4493870329847116E-2</v>
      </c>
      <c r="AM344" s="68">
        <f>AM343+ (IF(AI344="",0,AI344)-AM343)/Charts!$X$6</f>
        <v>1.4493870329847116E-2</v>
      </c>
      <c r="AN344" s="68" t="str">
        <f t="shared" si="78"/>
        <v>0</v>
      </c>
      <c r="AO344" s="68" t="str">
        <f t="shared" si="79"/>
        <v>0</v>
      </c>
      <c r="AP344" s="69" t="str">
        <f>IF(C344="","",INDEX(Workouts!D:D,MATCH(C344,Workouts!A:A,0)))</f>
        <v/>
      </c>
      <c r="AQ344" s="69" t="str">
        <f>IF(ISNA(MATCH(A344,Data!B:B,0)),"",INDEX(Data!G:G,MATCH(A344,Data!B:B,1)))</f>
        <v/>
      </c>
    </row>
    <row r="345" spans="1:43" s="1" customFormat="1" x14ac:dyDescent="0.2">
      <c r="A345" s="125">
        <f t="shared" si="77"/>
        <v>44540</v>
      </c>
      <c r="B345" s="126" t="str">
        <f t="shared" si="76"/>
        <v>Fri</v>
      </c>
      <c r="C345" s="140"/>
      <c r="D345" s="128" t="str">
        <f t="shared" si="68"/>
        <v/>
      </c>
      <c r="E345" s="129" t="str">
        <f t="shared" si="69"/>
        <v/>
      </c>
      <c r="F345" s="130" t="str">
        <f>IF(SUMIF(Data!B:B,A345,Data!C:C)=0,"",SUMIF(Data!B:B,A345,Data!C:C))</f>
        <v/>
      </c>
      <c r="G345" s="126" t="str">
        <f>IF(OR(S345="T",S345="RUN",SUMIF(Data!B:B,A345,Data!E:E)=0),"",SUMIF(Data!B:B,A345,Data!E:E))</f>
        <v/>
      </c>
      <c r="H345" s="126" t="str">
        <f t="shared" si="70"/>
        <v/>
      </c>
      <c r="I345" s="131" t="str">
        <f t="shared" si="71"/>
        <v>0 (0)</v>
      </c>
      <c r="J345" s="131" t="str">
        <f t="shared" si="72"/>
        <v>0 (0)</v>
      </c>
      <c r="K345" s="131" t="str">
        <f t="shared" si="73"/>
        <v>0 (0)</v>
      </c>
      <c r="L345" s="132" t="str">
        <f t="shared" si="74"/>
        <v/>
      </c>
      <c r="M345" s="131" t="str">
        <f t="shared" si="75"/>
        <v/>
      </c>
      <c r="N345" s="126" t="str">
        <f>IF(ISNA(MATCH(A345,Data!B:B,0)),"",INDEX(Data!H:H,MATCH(A345,Data!B:B,1))) &amp; ""</f>
        <v/>
      </c>
      <c r="O345" s="126" t="str">
        <f>IF(ISNA(MATCH(A345,Data!B:B,0)),"",INDEX(Data!I:I,MATCH(A345,Data!B:B,1))) &amp; ""</f>
        <v/>
      </c>
      <c r="P345" s="133" t="str">
        <f>IF(ISNA(MATCH(A345,Data!B:B,0)),"",INDEX(Data!J:J,MATCH(A345,Data!B:B,1))) &amp; ""</f>
        <v/>
      </c>
      <c r="Q345" s="126" t="str">
        <f>IF(S345="T",Charts!$X$7,IF(ISNA(MATCH(A345,Data!B:B,0)),"",INDEX(Data!K:K,MATCH(A345,Data!B:B,1)))) &amp; ""</f>
        <v/>
      </c>
      <c r="R345" s="134"/>
      <c r="S345" s="134"/>
      <c r="T345" s="127" t="str">
        <f>IF(ISNA(MATCH(A345,Data!B:B,0)),"",INDEX(Data!#REF!,MATCH(A345,Data!B:B,1))) &amp; ""</f>
        <v/>
      </c>
      <c r="AF345" s="24" t="str">
        <f>IF(C345="","",INDEX(Workouts!B:B,MATCH(C345,Workouts!A:A,0)))</f>
        <v/>
      </c>
      <c r="AG345" s="24" t="str">
        <f>IF(SUMIF(Data!B:B,A345,Data!D:D)=0,"",SUMIF(Data!B:B,A345,Data!D:D))</f>
        <v/>
      </c>
      <c r="AH345" s="25" t="str">
        <f>IF(C345="","",INDEX(Workouts!C:C,MATCH(C345,Workouts!A:A,0)))</f>
        <v/>
      </c>
      <c r="AI345" s="68" t="str">
        <f>IF(SUMIF(Data!B:B,A345,Data!F:F)=0,"",SUMIF(Data!B:B,A345,Data!F:F))</f>
        <v/>
      </c>
      <c r="AJ345" s="68">
        <f>AJ344+ (IF(AH345="",0,AH345)-AJ344)/Charts!$X$5</f>
        <v>6.6463160870250412E-22</v>
      </c>
      <c r="AK345" s="68">
        <f>AK344+ (IF(AI345="",0,AI345)-AK344)/Charts!$X$5</f>
        <v>6.6463160870250412E-22</v>
      </c>
      <c r="AL345" s="68">
        <f>AL344+ (IF(AH345="",0,AH345)-AL344)/Charts!$X$6</f>
        <v>1.414877817913647E-2</v>
      </c>
      <c r="AM345" s="68">
        <f>AM344+ (IF(AI345="",0,AI345)-AM344)/Charts!$X$6</f>
        <v>1.414877817913647E-2</v>
      </c>
      <c r="AN345" s="68" t="str">
        <f t="shared" si="78"/>
        <v>0</v>
      </c>
      <c r="AO345" s="68" t="str">
        <f t="shared" si="79"/>
        <v>0</v>
      </c>
      <c r="AP345" s="69" t="str">
        <f>IF(C345="","",INDEX(Workouts!D:D,MATCH(C345,Workouts!A:A,0)))</f>
        <v/>
      </c>
      <c r="AQ345" s="69" t="str">
        <f>IF(ISNA(MATCH(A345,Data!B:B,0)),"",INDEX(Data!G:G,MATCH(A345,Data!B:B,1)))</f>
        <v/>
      </c>
    </row>
    <row r="346" spans="1:43" s="1" customFormat="1" x14ac:dyDescent="0.2">
      <c r="A346" s="125">
        <f t="shared" si="77"/>
        <v>44541</v>
      </c>
      <c r="B346" s="126" t="str">
        <f t="shared" si="76"/>
        <v>Sat</v>
      </c>
      <c r="C346" s="140"/>
      <c r="D346" s="128" t="str">
        <f t="shared" si="68"/>
        <v/>
      </c>
      <c r="E346" s="129" t="str">
        <f t="shared" si="69"/>
        <v/>
      </c>
      <c r="F346" s="130" t="str">
        <f>IF(SUMIF(Data!B:B,A346,Data!C:C)=0,"",SUMIF(Data!B:B,A346,Data!C:C))</f>
        <v/>
      </c>
      <c r="G346" s="126" t="str">
        <f>IF(OR(S346="T",S346="RUN",SUMIF(Data!B:B,A346,Data!E:E)=0),"",SUMIF(Data!B:B,A346,Data!E:E))</f>
        <v/>
      </c>
      <c r="H346" s="126" t="str">
        <f t="shared" si="70"/>
        <v/>
      </c>
      <c r="I346" s="131" t="str">
        <f t="shared" si="71"/>
        <v>0 (0)</v>
      </c>
      <c r="J346" s="131" t="str">
        <f t="shared" si="72"/>
        <v>0 (0)</v>
      </c>
      <c r="K346" s="131" t="str">
        <f t="shared" si="73"/>
        <v>0 (0)</v>
      </c>
      <c r="L346" s="132" t="str">
        <f t="shared" si="74"/>
        <v/>
      </c>
      <c r="M346" s="131" t="str">
        <f t="shared" si="75"/>
        <v/>
      </c>
      <c r="N346" s="126" t="str">
        <f>IF(ISNA(MATCH(A346,Data!B:B,0)),"",INDEX(Data!H:H,MATCH(A346,Data!B:B,1))) &amp; ""</f>
        <v/>
      </c>
      <c r="O346" s="126" t="str">
        <f>IF(ISNA(MATCH(A346,Data!B:B,0)),"",INDEX(Data!I:I,MATCH(A346,Data!B:B,1))) &amp; ""</f>
        <v/>
      </c>
      <c r="P346" s="133" t="str">
        <f>IF(ISNA(MATCH(A346,Data!B:B,0)),"",INDEX(Data!J:J,MATCH(A346,Data!B:B,1))) &amp; ""</f>
        <v/>
      </c>
      <c r="Q346" s="126" t="str">
        <f>IF(S346="T",Charts!$X$7,IF(ISNA(MATCH(A346,Data!B:B,0)),"",INDEX(Data!K:K,MATCH(A346,Data!B:B,1)))) &amp; ""</f>
        <v/>
      </c>
      <c r="R346" s="134"/>
      <c r="S346" s="134"/>
      <c r="T346" s="127" t="str">
        <f>IF(ISNA(MATCH(A346,Data!B:B,0)),"",INDEX(Data!#REF!,MATCH(A346,Data!B:B,1))) &amp; ""</f>
        <v/>
      </c>
      <c r="AF346" s="24" t="str">
        <f>IF(C346="","",INDEX(Workouts!B:B,MATCH(C346,Workouts!A:A,0)))</f>
        <v/>
      </c>
      <c r="AG346" s="24" t="str">
        <f>IF(SUMIF(Data!B:B,A346,Data!D:D)=0,"",SUMIF(Data!B:B,A346,Data!D:D))</f>
        <v/>
      </c>
      <c r="AH346" s="25" t="str">
        <f>IF(C346="","",INDEX(Workouts!C:C,MATCH(C346,Workouts!A:A,0)))</f>
        <v/>
      </c>
      <c r="AI346" s="68" t="str">
        <f>IF(SUMIF(Data!B:B,A346,Data!F:F)=0,"",SUMIF(Data!B:B,A346,Data!F:F))</f>
        <v/>
      </c>
      <c r="AJ346" s="68">
        <f>AJ345+ (IF(AH346="",0,AH346)-AJ345)/Charts!$X$5</f>
        <v>5.6968423603071782E-22</v>
      </c>
      <c r="AK346" s="68">
        <f>AK345+ (IF(AI346="",0,AI346)-AK345)/Charts!$X$5</f>
        <v>5.6968423603071782E-22</v>
      </c>
      <c r="AL346" s="68">
        <f>AL345+ (IF(AH346="",0,AH346)-AL345)/Charts!$X$6</f>
        <v>1.3811902508204649E-2</v>
      </c>
      <c r="AM346" s="68">
        <f>AM345+ (IF(AI346="",0,AI346)-AM345)/Charts!$X$6</f>
        <v>1.3811902508204649E-2</v>
      </c>
      <c r="AN346" s="68" t="str">
        <f t="shared" si="78"/>
        <v>0</v>
      </c>
      <c r="AO346" s="68" t="str">
        <f t="shared" si="79"/>
        <v>0</v>
      </c>
      <c r="AP346" s="69" t="str">
        <f>IF(C346="","",INDEX(Workouts!D:D,MATCH(C346,Workouts!A:A,0)))</f>
        <v/>
      </c>
      <c r="AQ346" s="69" t="str">
        <f>IF(ISNA(MATCH(A346,Data!B:B,0)),"",INDEX(Data!G:G,MATCH(A346,Data!B:B,1)))</f>
        <v/>
      </c>
    </row>
    <row r="347" spans="1:43" s="1" customFormat="1" x14ac:dyDescent="0.2">
      <c r="A347" s="125">
        <f t="shared" si="77"/>
        <v>44542</v>
      </c>
      <c r="B347" s="126" t="str">
        <f t="shared" si="76"/>
        <v>Sun</v>
      </c>
      <c r="C347" s="140"/>
      <c r="D347" s="128" t="str">
        <f t="shared" si="68"/>
        <v/>
      </c>
      <c r="E347" s="129" t="str">
        <f t="shared" si="69"/>
        <v/>
      </c>
      <c r="F347" s="130" t="str">
        <f>IF(SUMIF(Data!B:B,A347,Data!C:C)=0,"",SUMIF(Data!B:B,A347,Data!C:C))</f>
        <v/>
      </c>
      <c r="G347" s="126" t="str">
        <f>IF(OR(S347="T",S347="RUN",SUMIF(Data!B:B,A347,Data!E:E)=0),"",SUMIF(Data!B:B,A347,Data!E:E))</f>
        <v/>
      </c>
      <c r="H347" s="126" t="str">
        <f t="shared" si="70"/>
        <v/>
      </c>
      <c r="I347" s="131" t="str">
        <f t="shared" si="71"/>
        <v>0 (0)</v>
      </c>
      <c r="J347" s="131" t="str">
        <f t="shared" si="72"/>
        <v>0 (0)</v>
      </c>
      <c r="K347" s="131" t="str">
        <f t="shared" si="73"/>
        <v>0 (0)</v>
      </c>
      <c r="L347" s="132" t="str">
        <f t="shared" si="74"/>
        <v/>
      </c>
      <c r="M347" s="131" t="str">
        <f t="shared" si="75"/>
        <v/>
      </c>
      <c r="N347" s="126" t="str">
        <f>IF(ISNA(MATCH(A347,Data!B:B,0)),"",INDEX(Data!H:H,MATCH(A347,Data!B:B,1))) &amp; ""</f>
        <v/>
      </c>
      <c r="O347" s="126" t="str">
        <f>IF(ISNA(MATCH(A347,Data!B:B,0)),"",INDEX(Data!I:I,MATCH(A347,Data!B:B,1))) &amp; ""</f>
        <v/>
      </c>
      <c r="P347" s="133" t="str">
        <f>IF(ISNA(MATCH(A347,Data!B:B,0)),"",INDEX(Data!J:J,MATCH(A347,Data!B:B,1))) &amp; ""</f>
        <v/>
      </c>
      <c r="Q347" s="126" t="str">
        <f>IF(S347="T",Charts!$X$7,IF(ISNA(MATCH(A347,Data!B:B,0)),"",INDEX(Data!K:K,MATCH(A347,Data!B:B,1)))) &amp; ""</f>
        <v/>
      </c>
      <c r="R347" s="134"/>
      <c r="S347" s="134"/>
      <c r="T347" s="127" t="str">
        <f>IF(ISNA(MATCH(A347,Data!B:B,0)),"",INDEX(Data!#REF!,MATCH(A347,Data!B:B,1))) &amp; ""</f>
        <v/>
      </c>
      <c r="AF347" s="24" t="str">
        <f>IF(C347="","",INDEX(Workouts!B:B,MATCH(C347,Workouts!A:A,0)))</f>
        <v/>
      </c>
      <c r="AG347" s="24" t="str">
        <f>IF(SUMIF(Data!B:B,A347,Data!D:D)=0,"",SUMIF(Data!B:B,A347,Data!D:D))</f>
        <v/>
      </c>
      <c r="AH347" s="25" t="str">
        <f>IF(C347="","",INDEX(Workouts!C:C,MATCH(C347,Workouts!A:A,0)))</f>
        <v/>
      </c>
      <c r="AI347" s="68" t="str">
        <f>IF(SUMIF(Data!B:B,A347,Data!F:F)=0,"",SUMIF(Data!B:B,A347,Data!F:F))</f>
        <v/>
      </c>
      <c r="AJ347" s="68">
        <f>AJ346+ (IF(AH347="",0,AH347)-AJ346)/Charts!$X$5</f>
        <v>4.883007737406153E-22</v>
      </c>
      <c r="AK347" s="68">
        <f>AK346+ (IF(AI347="",0,AI347)-AK346)/Charts!$X$5</f>
        <v>4.883007737406153E-22</v>
      </c>
      <c r="AL347" s="68">
        <f>AL346+ (IF(AH347="",0,AH347)-AL346)/Charts!$X$6</f>
        <v>1.348304768658073E-2</v>
      </c>
      <c r="AM347" s="68">
        <f>AM346+ (IF(AI347="",0,AI347)-AM346)/Charts!$X$6</f>
        <v>1.348304768658073E-2</v>
      </c>
      <c r="AN347" s="68" t="str">
        <f t="shared" si="78"/>
        <v>0</v>
      </c>
      <c r="AO347" s="68" t="str">
        <f t="shared" si="79"/>
        <v>0</v>
      </c>
      <c r="AP347" s="69" t="str">
        <f>IF(C347="","",INDEX(Workouts!D:D,MATCH(C347,Workouts!A:A,0)))</f>
        <v/>
      </c>
      <c r="AQ347" s="69" t="str">
        <f>IF(ISNA(MATCH(A347,Data!B:B,0)),"",INDEX(Data!G:G,MATCH(A347,Data!B:B,1)))</f>
        <v/>
      </c>
    </row>
    <row r="348" spans="1:43" s="1" customFormat="1" x14ac:dyDescent="0.2">
      <c r="A348" s="125">
        <f t="shared" si="77"/>
        <v>44543</v>
      </c>
      <c r="B348" s="126" t="str">
        <f t="shared" si="76"/>
        <v>Mon</v>
      </c>
      <c r="C348" s="140"/>
      <c r="D348" s="128" t="str">
        <f t="shared" si="68"/>
        <v/>
      </c>
      <c r="E348" s="129" t="str">
        <f t="shared" si="69"/>
        <v/>
      </c>
      <c r="F348" s="130" t="str">
        <f>IF(SUMIF(Data!B:B,A348,Data!C:C)=0,"",SUMIF(Data!B:B,A348,Data!C:C))</f>
        <v/>
      </c>
      <c r="G348" s="126" t="str">
        <f>IF(OR(S348="T",S348="RUN",SUMIF(Data!B:B,A348,Data!E:E)=0),"",SUMIF(Data!B:B,A348,Data!E:E))</f>
        <v/>
      </c>
      <c r="H348" s="126" t="str">
        <f t="shared" si="70"/>
        <v/>
      </c>
      <c r="I348" s="131" t="str">
        <f t="shared" si="71"/>
        <v>0 (0)</v>
      </c>
      <c r="J348" s="131" t="str">
        <f t="shared" si="72"/>
        <v>0 (0)</v>
      </c>
      <c r="K348" s="131" t="str">
        <f t="shared" si="73"/>
        <v>0 (0)</v>
      </c>
      <c r="L348" s="132" t="str">
        <f t="shared" si="74"/>
        <v/>
      </c>
      <c r="M348" s="131" t="str">
        <f t="shared" si="75"/>
        <v/>
      </c>
      <c r="N348" s="126" t="str">
        <f>IF(ISNA(MATCH(A348,Data!B:B,0)),"",INDEX(Data!H:H,MATCH(A348,Data!B:B,1))) &amp; ""</f>
        <v/>
      </c>
      <c r="O348" s="126" t="str">
        <f>IF(ISNA(MATCH(A348,Data!B:B,0)),"",INDEX(Data!I:I,MATCH(A348,Data!B:B,1))) &amp; ""</f>
        <v/>
      </c>
      <c r="P348" s="133" t="str">
        <f>IF(ISNA(MATCH(A348,Data!B:B,0)),"",INDEX(Data!J:J,MATCH(A348,Data!B:B,1))) &amp; ""</f>
        <v/>
      </c>
      <c r="Q348" s="126" t="str">
        <f>IF(S348="T",Charts!$X$7,IF(ISNA(MATCH(A348,Data!B:B,0)),"",INDEX(Data!K:K,MATCH(A348,Data!B:B,1)))) &amp; ""</f>
        <v/>
      </c>
      <c r="R348" s="134"/>
      <c r="S348" s="134"/>
      <c r="T348" s="127" t="str">
        <f>IF(ISNA(MATCH(A348,Data!B:B,0)),"",INDEX(Data!#REF!,MATCH(A348,Data!B:B,1))) &amp; ""</f>
        <v/>
      </c>
      <c r="AF348" s="24" t="str">
        <f>IF(C348="","",INDEX(Workouts!B:B,MATCH(C348,Workouts!A:A,0)))</f>
        <v/>
      </c>
      <c r="AG348" s="24" t="str">
        <f>IF(SUMIF(Data!B:B,A348,Data!D:D)=0,"",SUMIF(Data!B:B,A348,Data!D:D))</f>
        <v/>
      </c>
      <c r="AH348" s="25" t="str">
        <f>IF(C348="","",INDEX(Workouts!C:C,MATCH(C348,Workouts!A:A,0)))</f>
        <v/>
      </c>
      <c r="AI348" s="68" t="str">
        <f>IF(SUMIF(Data!B:B,A348,Data!F:F)=0,"",SUMIF(Data!B:B,A348,Data!F:F))</f>
        <v/>
      </c>
      <c r="AJ348" s="68">
        <f>AJ347+ (IF(AH348="",0,AH348)-AJ347)/Charts!$X$5</f>
        <v>4.185435203490988E-22</v>
      </c>
      <c r="AK348" s="68">
        <f>AK347+ (IF(AI348="",0,AI348)-AK347)/Charts!$X$5</f>
        <v>4.185435203490988E-22</v>
      </c>
      <c r="AL348" s="68">
        <f>AL347+ (IF(AH348="",0,AH348)-AL347)/Charts!$X$6</f>
        <v>1.316202274166214E-2</v>
      </c>
      <c r="AM348" s="68">
        <f>AM347+ (IF(AI348="",0,AI348)-AM347)/Charts!$X$6</f>
        <v>1.316202274166214E-2</v>
      </c>
      <c r="AN348" s="68" t="str">
        <f t="shared" si="78"/>
        <v>0</v>
      </c>
      <c r="AO348" s="68" t="str">
        <f t="shared" si="79"/>
        <v>0</v>
      </c>
      <c r="AP348" s="69" t="str">
        <f>IF(C348="","",INDEX(Workouts!D:D,MATCH(C348,Workouts!A:A,0)))</f>
        <v/>
      </c>
      <c r="AQ348" s="69" t="str">
        <f>IF(ISNA(MATCH(A348,Data!B:B,0)),"",INDEX(Data!G:G,MATCH(A348,Data!B:B,1)))</f>
        <v/>
      </c>
    </row>
    <row r="349" spans="1:43" s="1" customFormat="1" x14ac:dyDescent="0.2">
      <c r="A349" s="125">
        <f t="shared" si="77"/>
        <v>44544</v>
      </c>
      <c r="B349" s="126" t="str">
        <f t="shared" si="76"/>
        <v>Tue</v>
      </c>
      <c r="C349" s="140"/>
      <c r="D349" s="128" t="str">
        <f t="shared" si="68"/>
        <v/>
      </c>
      <c r="E349" s="129" t="str">
        <f t="shared" si="69"/>
        <v/>
      </c>
      <c r="F349" s="130" t="str">
        <f>IF(SUMIF(Data!B:B,A349,Data!C:C)=0,"",SUMIF(Data!B:B,A349,Data!C:C))</f>
        <v/>
      </c>
      <c r="G349" s="126" t="str">
        <f>IF(OR(S349="T",S349="RUN",SUMIF(Data!B:B,A349,Data!E:E)=0),"",SUMIF(Data!B:B,A349,Data!E:E))</f>
        <v/>
      </c>
      <c r="H349" s="126" t="str">
        <f t="shared" si="70"/>
        <v/>
      </c>
      <c r="I349" s="131" t="str">
        <f t="shared" si="71"/>
        <v>0 (0)</v>
      </c>
      <c r="J349" s="131" t="str">
        <f t="shared" si="72"/>
        <v>0 (0)</v>
      </c>
      <c r="K349" s="131" t="str">
        <f t="shared" si="73"/>
        <v>0 (0)</v>
      </c>
      <c r="L349" s="132" t="str">
        <f t="shared" si="74"/>
        <v/>
      </c>
      <c r="M349" s="131" t="str">
        <f t="shared" si="75"/>
        <v/>
      </c>
      <c r="N349" s="126" t="str">
        <f>IF(ISNA(MATCH(A349,Data!B:B,0)),"",INDEX(Data!H:H,MATCH(A349,Data!B:B,1))) &amp; ""</f>
        <v/>
      </c>
      <c r="O349" s="126" t="str">
        <f>IF(ISNA(MATCH(A349,Data!B:B,0)),"",INDEX(Data!I:I,MATCH(A349,Data!B:B,1))) &amp; ""</f>
        <v/>
      </c>
      <c r="P349" s="133" t="str">
        <f>IF(ISNA(MATCH(A349,Data!B:B,0)),"",INDEX(Data!J:J,MATCH(A349,Data!B:B,1))) &amp; ""</f>
        <v/>
      </c>
      <c r="Q349" s="126" t="str">
        <f>IF(S349="T",Charts!$X$7,IF(ISNA(MATCH(A349,Data!B:B,0)),"",INDEX(Data!K:K,MATCH(A349,Data!B:B,1)))) &amp; ""</f>
        <v/>
      </c>
      <c r="R349" s="134"/>
      <c r="S349" s="134"/>
      <c r="T349" s="127" t="str">
        <f>IF(ISNA(MATCH(A349,Data!B:B,0)),"",INDEX(Data!#REF!,MATCH(A349,Data!B:B,1))) &amp; ""</f>
        <v/>
      </c>
      <c r="AF349" s="24" t="str">
        <f>IF(C349="","",INDEX(Workouts!B:B,MATCH(C349,Workouts!A:A,0)))</f>
        <v/>
      </c>
      <c r="AG349" s="24" t="str">
        <f>IF(SUMIF(Data!B:B,A349,Data!D:D)=0,"",SUMIF(Data!B:B,A349,Data!D:D))</f>
        <v/>
      </c>
      <c r="AH349" s="25" t="str">
        <f>IF(C349="","",INDEX(Workouts!C:C,MATCH(C349,Workouts!A:A,0)))</f>
        <v/>
      </c>
      <c r="AI349" s="68" t="str">
        <f>IF(SUMIF(Data!B:B,A349,Data!F:F)=0,"",SUMIF(Data!B:B,A349,Data!F:F))</f>
        <v/>
      </c>
      <c r="AJ349" s="68">
        <f>AJ348+ (IF(AH349="",0,AH349)-AJ348)/Charts!$X$5</f>
        <v>3.5875158887065613E-22</v>
      </c>
      <c r="AK349" s="68">
        <f>AK348+ (IF(AI349="",0,AI349)-AK348)/Charts!$X$5</f>
        <v>3.5875158887065613E-22</v>
      </c>
      <c r="AL349" s="68">
        <f>AL348+ (IF(AH349="",0,AH349)-AL348)/Charts!$X$6</f>
        <v>1.2848641247813042E-2</v>
      </c>
      <c r="AM349" s="68">
        <f>AM348+ (IF(AI349="",0,AI349)-AM348)/Charts!$X$6</f>
        <v>1.2848641247813042E-2</v>
      </c>
      <c r="AN349" s="68" t="str">
        <f t="shared" si="78"/>
        <v>0</v>
      </c>
      <c r="AO349" s="68" t="str">
        <f t="shared" si="79"/>
        <v>0</v>
      </c>
      <c r="AP349" s="69" t="str">
        <f>IF(C349="","",INDEX(Workouts!D:D,MATCH(C349,Workouts!A:A,0)))</f>
        <v/>
      </c>
      <c r="AQ349" s="69" t="str">
        <f>IF(ISNA(MATCH(A349,Data!B:B,0)),"",INDEX(Data!G:G,MATCH(A349,Data!B:B,1)))</f>
        <v/>
      </c>
    </row>
    <row r="350" spans="1:43" s="1" customFormat="1" x14ac:dyDescent="0.2">
      <c r="A350" s="125">
        <f t="shared" si="77"/>
        <v>44545</v>
      </c>
      <c r="B350" s="126" t="str">
        <f t="shared" si="76"/>
        <v>Wed</v>
      </c>
      <c r="C350" s="140"/>
      <c r="D350" s="128" t="str">
        <f t="shared" si="68"/>
        <v/>
      </c>
      <c r="E350" s="129" t="str">
        <f t="shared" si="69"/>
        <v/>
      </c>
      <c r="F350" s="130" t="str">
        <f>IF(SUMIF(Data!B:B,A350,Data!C:C)=0,"",SUMIF(Data!B:B,A350,Data!C:C))</f>
        <v/>
      </c>
      <c r="G350" s="126" t="str">
        <f>IF(OR(S350="T",S350="RUN",SUMIF(Data!B:B,A350,Data!E:E)=0),"",SUMIF(Data!B:B,A350,Data!E:E))</f>
        <v/>
      </c>
      <c r="H350" s="126" t="str">
        <f t="shared" si="70"/>
        <v/>
      </c>
      <c r="I350" s="131" t="str">
        <f t="shared" si="71"/>
        <v>0 (0)</v>
      </c>
      <c r="J350" s="131" t="str">
        <f t="shared" si="72"/>
        <v>0 (0)</v>
      </c>
      <c r="K350" s="131" t="str">
        <f t="shared" si="73"/>
        <v>0 (0)</v>
      </c>
      <c r="L350" s="132" t="str">
        <f t="shared" si="74"/>
        <v/>
      </c>
      <c r="M350" s="131" t="str">
        <f t="shared" si="75"/>
        <v/>
      </c>
      <c r="N350" s="126" t="str">
        <f>IF(ISNA(MATCH(A350,Data!B:B,0)),"",INDEX(Data!H:H,MATCH(A350,Data!B:B,1))) &amp; ""</f>
        <v/>
      </c>
      <c r="O350" s="126" t="str">
        <f>IF(ISNA(MATCH(A350,Data!B:B,0)),"",INDEX(Data!I:I,MATCH(A350,Data!B:B,1))) &amp; ""</f>
        <v/>
      </c>
      <c r="P350" s="133" t="str">
        <f>IF(ISNA(MATCH(A350,Data!B:B,0)),"",INDEX(Data!J:J,MATCH(A350,Data!B:B,1))) &amp; ""</f>
        <v/>
      </c>
      <c r="Q350" s="126" t="str">
        <f>IF(S350="T",Charts!$X$7,IF(ISNA(MATCH(A350,Data!B:B,0)),"",INDEX(Data!K:K,MATCH(A350,Data!B:B,1)))) &amp; ""</f>
        <v/>
      </c>
      <c r="R350" s="134"/>
      <c r="S350" s="134"/>
      <c r="T350" s="127" t="str">
        <f>IF(ISNA(MATCH(A350,Data!B:B,0)),"",INDEX(Data!#REF!,MATCH(A350,Data!B:B,1))) &amp; ""</f>
        <v/>
      </c>
      <c r="AF350" s="24" t="str">
        <f>IF(C350="","",INDEX(Workouts!B:B,MATCH(C350,Workouts!A:A,0)))</f>
        <v/>
      </c>
      <c r="AG350" s="24" t="str">
        <f>IF(SUMIF(Data!B:B,A350,Data!D:D)=0,"",SUMIF(Data!B:B,A350,Data!D:D))</f>
        <v/>
      </c>
      <c r="AH350" s="25" t="str">
        <f>IF(C350="","",INDEX(Workouts!C:C,MATCH(C350,Workouts!A:A,0)))</f>
        <v/>
      </c>
      <c r="AI350" s="68" t="str">
        <f>IF(SUMIF(Data!B:B,A350,Data!F:F)=0,"",SUMIF(Data!B:B,A350,Data!F:F))</f>
        <v/>
      </c>
      <c r="AJ350" s="68">
        <f>AJ349+ (IF(AH350="",0,AH350)-AJ349)/Charts!$X$5</f>
        <v>3.075013618891338E-22</v>
      </c>
      <c r="AK350" s="68">
        <f>AK349+ (IF(AI350="",0,AI350)-AK349)/Charts!$X$5</f>
        <v>3.075013618891338E-22</v>
      </c>
      <c r="AL350" s="68">
        <f>AL349+ (IF(AH350="",0,AH350)-AL349)/Charts!$X$6</f>
        <v>1.2542721218103207E-2</v>
      </c>
      <c r="AM350" s="68">
        <f>AM349+ (IF(AI350="",0,AI350)-AM349)/Charts!$X$6</f>
        <v>1.2542721218103207E-2</v>
      </c>
      <c r="AN350" s="68" t="str">
        <f t="shared" si="78"/>
        <v>0</v>
      </c>
      <c r="AO350" s="68" t="str">
        <f t="shared" si="79"/>
        <v>0</v>
      </c>
      <c r="AP350" s="69" t="str">
        <f>IF(C350="","",INDEX(Workouts!D:D,MATCH(C350,Workouts!A:A,0)))</f>
        <v/>
      </c>
      <c r="AQ350" s="69" t="str">
        <f>IF(ISNA(MATCH(A350,Data!B:B,0)),"",INDEX(Data!G:G,MATCH(A350,Data!B:B,1)))</f>
        <v/>
      </c>
    </row>
    <row r="351" spans="1:43" s="1" customFormat="1" x14ac:dyDescent="0.2">
      <c r="A351" s="125">
        <f t="shared" si="77"/>
        <v>44546</v>
      </c>
      <c r="B351" s="126" t="str">
        <f t="shared" si="76"/>
        <v>Thu</v>
      </c>
      <c r="C351" s="140"/>
      <c r="D351" s="128" t="str">
        <f t="shared" si="68"/>
        <v/>
      </c>
      <c r="E351" s="129" t="str">
        <f t="shared" si="69"/>
        <v/>
      </c>
      <c r="F351" s="130" t="str">
        <f>IF(SUMIF(Data!B:B,A351,Data!C:C)=0,"",SUMIF(Data!B:B,A351,Data!C:C))</f>
        <v/>
      </c>
      <c r="G351" s="126" t="str">
        <f>IF(OR(S351="T",S351="RUN",SUMIF(Data!B:B,A351,Data!E:E)=0),"",SUMIF(Data!B:B,A351,Data!E:E))</f>
        <v/>
      </c>
      <c r="H351" s="126" t="str">
        <f t="shared" si="70"/>
        <v/>
      </c>
      <c r="I351" s="131" t="str">
        <f t="shared" si="71"/>
        <v>0 (0)</v>
      </c>
      <c r="J351" s="131" t="str">
        <f t="shared" si="72"/>
        <v>0 (0)</v>
      </c>
      <c r="K351" s="131" t="str">
        <f t="shared" si="73"/>
        <v>0 (0)</v>
      </c>
      <c r="L351" s="132" t="str">
        <f t="shared" si="74"/>
        <v/>
      </c>
      <c r="M351" s="131" t="str">
        <f t="shared" si="75"/>
        <v/>
      </c>
      <c r="N351" s="126" t="str">
        <f>IF(ISNA(MATCH(A351,Data!B:B,0)),"",INDEX(Data!H:H,MATCH(A351,Data!B:B,1))) &amp; ""</f>
        <v/>
      </c>
      <c r="O351" s="126" t="str">
        <f>IF(ISNA(MATCH(A351,Data!B:B,0)),"",INDEX(Data!I:I,MATCH(A351,Data!B:B,1))) &amp; ""</f>
        <v/>
      </c>
      <c r="P351" s="133" t="str">
        <f>IF(ISNA(MATCH(A351,Data!B:B,0)),"",INDEX(Data!J:J,MATCH(A351,Data!B:B,1))) &amp; ""</f>
        <v/>
      </c>
      <c r="Q351" s="126" t="str">
        <f>IF(S351="T",Charts!$X$7,IF(ISNA(MATCH(A351,Data!B:B,0)),"",INDEX(Data!K:K,MATCH(A351,Data!B:B,1)))) &amp; ""</f>
        <v/>
      </c>
      <c r="R351" s="134"/>
      <c r="S351" s="134"/>
      <c r="T351" s="127" t="str">
        <f>IF(ISNA(MATCH(A351,Data!B:B,0)),"",INDEX(Data!#REF!,MATCH(A351,Data!B:B,1))) &amp; ""</f>
        <v/>
      </c>
      <c r="AF351" s="24" t="str">
        <f>IF(C351="","",INDEX(Workouts!B:B,MATCH(C351,Workouts!A:A,0)))</f>
        <v/>
      </c>
      <c r="AG351" s="24" t="str">
        <f>IF(SUMIF(Data!B:B,A351,Data!D:D)=0,"",SUMIF(Data!B:B,A351,Data!D:D))</f>
        <v/>
      </c>
      <c r="AH351" s="25" t="str">
        <f>IF(C351="","",INDEX(Workouts!C:C,MATCH(C351,Workouts!A:A,0)))</f>
        <v/>
      </c>
      <c r="AI351" s="68" t="str">
        <f>IF(SUMIF(Data!B:B,A351,Data!F:F)=0,"",SUMIF(Data!B:B,A351,Data!F:F))</f>
        <v/>
      </c>
      <c r="AJ351" s="68">
        <f>AJ350+ (IF(AH351="",0,AH351)-AJ350)/Charts!$X$5</f>
        <v>2.6357259590497184E-22</v>
      </c>
      <c r="AK351" s="68">
        <f>AK350+ (IF(AI351="",0,AI351)-AK350)/Charts!$X$5</f>
        <v>2.6357259590497184E-22</v>
      </c>
      <c r="AL351" s="68">
        <f>AL350+ (IF(AH351="",0,AH351)-AL350)/Charts!$X$6</f>
        <v>1.2244084998624559E-2</v>
      </c>
      <c r="AM351" s="68">
        <f>AM350+ (IF(AI351="",0,AI351)-AM350)/Charts!$X$6</f>
        <v>1.2244084998624559E-2</v>
      </c>
      <c r="AN351" s="68" t="str">
        <f t="shared" si="78"/>
        <v>0</v>
      </c>
      <c r="AO351" s="68" t="str">
        <f t="shared" si="79"/>
        <v>0</v>
      </c>
      <c r="AP351" s="69" t="str">
        <f>IF(C351="","",INDEX(Workouts!D:D,MATCH(C351,Workouts!A:A,0)))</f>
        <v/>
      </c>
      <c r="AQ351" s="69" t="str">
        <f>IF(ISNA(MATCH(A351,Data!B:B,0)),"",INDEX(Data!G:G,MATCH(A351,Data!B:B,1)))</f>
        <v/>
      </c>
    </row>
    <row r="352" spans="1:43" s="1" customFormat="1" x14ac:dyDescent="0.2">
      <c r="A352" s="125">
        <f t="shared" si="77"/>
        <v>44547</v>
      </c>
      <c r="B352" s="126" t="str">
        <f t="shared" si="76"/>
        <v>Fri</v>
      </c>
      <c r="C352" s="140"/>
      <c r="D352" s="128" t="str">
        <f t="shared" si="68"/>
        <v/>
      </c>
      <c r="E352" s="129" t="str">
        <f t="shared" si="69"/>
        <v/>
      </c>
      <c r="F352" s="130" t="str">
        <f>IF(SUMIF(Data!B:B,A352,Data!C:C)=0,"",SUMIF(Data!B:B,A352,Data!C:C))</f>
        <v/>
      </c>
      <c r="G352" s="126" t="str">
        <f>IF(OR(S352="T",S352="RUN",SUMIF(Data!B:B,A352,Data!E:E)=0),"",SUMIF(Data!B:B,A352,Data!E:E))</f>
        <v/>
      </c>
      <c r="H352" s="126" t="str">
        <f t="shared" si="70"/>
        <v/>
      </c>
      <c r="I352" s="131" t="str">
        <f t="shared" si="71"/>
        <v>0 (0)</v>
      </c>
      <c r="J352" s="131" t="str">
        <f t="shared" si="72"/>
        <v>0 (0)</v>
      </c>
      <c r="K352" s="131" t="str">
        <f t="shared" si="73"/>
        <v>0 (0)</v>
      </c>
      <c r="L352" s="132" t="str">
        <f t="shared" si="74"/>
        <v/>
      </c>
      <c r="M352" s="131" t="str">
        <f t="shared" si="75"/>
        <v/>
      </c>
      <c r="N352" s="126" t="str">
        <f>IF(ISNA(MATCH(A352,Data!B:B,0)),"",INDEX(Data!H:H,MATCH(A352,Data!B:B,1))) &amp; ""</f>
        <v/>
      </c>
      <c r="O352" s="126" t="str">
        <f>IF(ISNA(MATCH(A352,Data!B:B,0)),"",INDEX(Data!I:I,MATCH(A352,Data!B:B,1))) &amp; ""</f>
        <v/>
      </c>
      <c r="P352" s="133" t="str">
        <f>IF(ISNA(MATCH(A352,Data!B:B,0)),"",INDEX(Data!J:J,MATCH(A352,Data!B:B,1))) &amp; ""</f>
        <v/>
      </c>
      <c r="Q352" s="126" t="str">
        <f>IF(S352="T",Charts!$X$7,IF(ISNA(MATCH(A352,Data!B:B,0)),"",INDEX(Data!K:K,MATCH(A352,Data!B:B,1)))) &amp; ""</f>
        <v/>
      </c>
      <c r="R352" s="134"/>
      <c r="S352" s="134"/>
      <c r="T352" s="127" t="str">
        <f>IF(ISNA(MATCH(A352,Data!B:B,0)),"",INDEX(Data!#REF!,MATCH(A352,Data!B:B,1))) &amp; ""</f>
        <v/>
      </c>
      <c r="AF352" s="24" t="str">
        <f>IF(C352="","",INDEX(Workouts!B:B,MATCH(C352,Workouts!A:A,0)))</f>
        <v/>
      </c>
      <c r="AG352" s="24" t="str">
        <f>IF(SUMIF(Data!B:B,A352,Data!D:D)=0,"",SUMIF(Data!B:B,A352,Data!D:D))</f>
        <v/>
      </c>
      <c r="AH352" s="25" t="str">
        <f>IF(C352="","",INDEX(Workouts!C:C,MATCH(C352,Workouts!A:A,0)))</f>
        <v/>
      </c>
      <c r="AI352" s="68" t="str">
        <f>IF(SUMIF(Data!B:B,A352,Data!F:F)=0,"",SUMIF(Data!B:B,A352,Data!F:F))</f>
        <v/>
      </c>
      <c r="AJ352" s="68">
        <f>AJ351+ (IF(AH352="",0,AH352)-AJ351)/Charts!$X$5</f>
        <v>2.2591936791854728E-22</v>
      </c>
      <c r="AK352" s="68">
        <f>AK351+ (IF(AI352="",0,AI352)-AK351)/Charts!$X$5</f>
        <v>2.2591936791854728E-22</v>
      </c>
      <c r="AL352" s="68">
        <f>AL351+ (IF(AH352="",0,AH352)-AL351)/Charts!$X$6</f>
        <v>1.1952559165323975E-2</v>
      </c>
      <c r="AM352" s="68">
        <f>AM351+ (IF(AI352="",0,AI352)-AM351)/Charts!$X$6</f>
        <v>1.1952559165323975E-2</v>
      </c>
      <c r="AN352" s="68" t="str">
        <f t="shared" si="78"/>
        <v>0</v>
      </c>
      <c r="AO352" s="68" t="str">
        <f t="shared" si="79"/>
        <v>0</v>
      </c>
      <c r="AP352" s="69" t="str">
        <f>IF(C352="","",INDEX(Workouts!D:D,MATCH(C352,Workouts!A:A,0)))</f>
        <v/>
      </c>
      <c r="AQ352" s="69" t="str">
        <f>IF(ISNA(MATCH(A352,Data!B:B,0)),"",INDEX(Data!G:G,MATCH(A352,Data!B:B,1)))</f>
        <v/>
      </c>
    </row>
    <row r="353" spans="1:43" s="1" customFormat="1" x14ac:dyDescent="0.2">
      <c r="A353" s="125">
        <f t="shared" si="77"/>
        <v>44548</v>
      </c>
      <c r="B353" s="126" t="str">
        <f t="shared" si="76"/>
        <v>Sat</v>
      </c>
      <c r="C353" s="140"/>
      <c r="D353" s="128" t="str">
        <f t="shared" si="68"/>
        <v/>
      </c>
      <c r="E353" s="129" t="str">
        <f t="shared" si="69"/>
        <v/>
      </c>
      <c r="F353" s="130" t="str">
        <f>IF(SUMIF(Data!B:B,A353,Data!C:C)=0,"",SUMIF(Data!B:B,A353,Data!C:C))</f>
        <v/>
      </c>
      <c r="G353" s="126" t="str">
        <f>IF(OR(S353="T",S353="RUN",SUMIF(Data!B:B,A353,Data!E:E)=0),"",SUMIF(Data!B:B,A353,Data!E:E))</f>
        <v/>
      </c>
      <c r="H353" s="126" t="str">
        <f t="shared" si="70"/>
        <v/>
      </c>
      <c r="I353" s="131" t="str">
        <f t="shared" si="71"/>
        <v>0 (0)</v>
      </c>
      <c r="J353" s="131" t="str">
        <f t="shared" si="72"/>
        <v>0 (0)</v>
      </c>
      <c r="K353" s="131" t="str">
        <f t="shared" si="73"/>
        <v>0 (0)</v>
      </c>
      <c r="L353" s="132" t="str">
        <f t="shared" si="74"/>
        <v/>
      </c>
      <c r="M353" s="131" t="str">
        <f t="shared" si="75"/>
        <v/>
      </c>
      <c r="N353" s="126" t="str">
        <f>IF(ISNA(MATCH(A353,Data!B:B,0)),"",INDEX(Data!H:H,MATCH(A353,Data!B:B,1))) &amp; ""</f>
        <v/>
      </c>
      <c r="O353" s="126" t="str">
        <f>IF(ISNA(MATCH(A353,Data!B:B,0)),"",INDEX(Data!I:I,MATCH(A353,Data!B:B,1))) &amp; ""</f>
        <v/>
      </c>
      <c r="P353" s="133" t="str">
        <f>IF(ISNA(MATCH(A353,Data!B:B,0)),"",INDEX(Data!J:J,MATCH(A353,Data!B:B,1))) &amp; ""</f>
        <v/>
      </c>
      <c r="Q353" s="126" t="str">
        <f>IF(S353="T",Charts!$X$7,IF(ISNA(MATCH(A353,Data!B:B,0)),"",INDEX(Data!K:K,MATCH(A353,Data!B:B,1)))) &amp; ""</f>
        <v/>
      </c>
      <c r="R353" s="134"/>
      <c r="S353" s="134"/>
      <c r="T353" s="127" t="str">
        <f>IF(ISNA(MATCH(A353,Data!B:B,0)),"",INDEX(Data!#REF!,MATCH(A353,Data!B:B,1))) &amp; ""</f>
        <v/>
      </c>
      <c r="AF353" s="24" t="str">
        <f>IF(C353="","",INDEX(Workouts!B:B,MATCH(C353,Workouts!A:A,0)))</f>
        <v/>
      </c>
      <c r="AG353" s="24" t="str">
        <f>IF(SUMIF(Data!B:B,A353,Data!D:D)=0,"",SUMIF(Data!B:B,A353,Data!D:D))</f>
        <v/>
      </c>
      <c r="AH353" s="25" t="str">
        <f>IF(C353="","",INDEX(Workouts!C:C,MATCH(C353,Workouts!A:A,0)))</f>
        <v/>
      </c>
      <c r="AI353" s="68" t="str">
        <f>IF(SUMIF(Data!B:B,A353,Data!F:F)=0,"",SUMIF(Data!B:B,A353,Data!F:F))</f>
        <v/>
      </c>
      <c r="AJ353" s="68">
        <f>AJ352+ (IF(AH353="",0,AH353)-AJ352)/Charts!$X$5</f>
        <v>1.9364517250161196E-22</v>
      </c>
      <c r="AK353" s="68">
        <f>AK352+ (IF(AI353="",0,AI353)-AK352)/Charts!$X$5</f>
        <v>1.9364517250161196E-22</v>
      </c>
      <c r="AL353" s="68">
        <f>AL352+ (IF(AH353="",0,AH353)-AL352)/Charts!$X$6</f>
        <v>1.1667974423292451E-2</v>
      </c>
      <c r="AM353" s="68">
        <f>AM352+ (IF(AI353="",0,AI353)-AM352)/Charts!$X$6</f>
        <v>1.1667974423292451E-2</v>
      </c>
      <c r="AN353" s="68" t="str">
        <f t="shared" si="78"/>
        <v>0</v>
      </c>
      <c r="AO353" s="68" t="str">
        <f t="shared" si="79"/>
        <v>0</v>
      </c>
      <c r="AP353" s="69" t="str">
        <f>IF(C353="","",INDEX(Workouts!D:D,MATCH(C353,Workouts!A:A,0)))</f>
        <v/>
      </c>
      <c r="AQ353" s="69" t="str">
        <f>IF(ISNA(MATCH(A353,Data!B:B,0)),"",INDEX(Data!G:G,MATCH(A353,Data!B:B,1)))</f>
        <v/>
      </c>
    </row>
    <row r="354" spans="1:43" s="1" customFormat="1" x14ac:dyDescent="0.2">
      <c r="A354" s="125">
        <f t="shared" si="77"/>
        <v>44549</v>
      </c>
      <c r="B354" s="126" t="str">
        <f t="shared" si="76"/>
        <v>Sun</v>
      </c>
      <c r="C354" s="140"/>
      <c r="D354" s="128" t="str">
        <f t="shared" si="68"/>
        <v/>
      </c>
      <c r="E354" s="129" t="str">
        <f t="shared" si="69"/>
        <v/>
      </c>
      <c r="F354" s="130" t="str">
        <f>IF(SUMIF(Data!B:B,A354,Data!C:C)=0,"",SUMIF(Data!B:B,A354,Data!C:C))</f>
        <v/>
      </c>
      <c r="G354" s="126" t="str">
        <f>IF(OR(S354="T",S354="RUN",SUMIF(Data!B:B,A354,Data!E:E)=0),"",SUMIF(Data!B:B,A354,Data!E:E))</f>
        <v/>
      </c>
      <c r="H354" s="126" t="str">
        <f t="shared" si="70"/>
        <v/>
      </c>
      <c r="I354" s="131" t="str">
        <f t="shared" si="71"/>
        <v>0 (0)</v>
      </c>
      <c r="J354" s="131" t="str">
        <f t="shared" si="72"/>
        <v>0 (0)</v>
      </c>
      <c r="K354" s="131" t="str">
        <f t="shared" si="73"/>
        <v>0 (0)</v>
      </c>
      <c r="L354" s="132" t="str">
        <f t="shared" si="74"/>
        <v/>
      </c>
      <c r="M354" s="131" t="str">
        <f t="shared" si="75"/>
        <v/>
      </c>
      <c r="N354" s="126" t="str">
        <f>IF(ISNA(MATCH(A354,Data!B:B,0)),"",INDEX(Data!H:H,MATCH(A354,Data!B:B,1))) &amp; ""</f>
        <v/>
      </c>
      <c r="O354" s="126" t="str">
        <f>IF(ISNA(MATCH(A354,Data!B:B,0)),"",INDEX(Data!I:I,MATCH(A354,Data!B:B,1))) &amp; ""</f>
        <v/>
      </c>
      <c r="P354" s="133" t="str">
        <f>IF(ISNA(MATCH(A354,Data!B:B,0)),"",INDEX(Data!J:J,MATCH(A354,Data!B:B,1))) &amp; ""</f>
        <v/>
      </c>
      <c r="Q354" s="126" t="str">
        <f>IF(S354="T",Charts!$X$7,IF(ISNA(MATCH(A354,Data!B:B,0)),"",INDEX(Data!K:K,MATCH(A354,Data!B:B,1)))) &amp; ""</f>
        <v/>
      </c>
      <c r="R354" s="134"/>
      <c r="S354" s="134"/>
      <c r="T354" s="127" t="str">
        <f>IF(ISNA(MATCH(A354,Data!B:B,0)),"",INDEX(Data!#REF!,MATCH(A354,Data!B:B,1))) &amp; ""</f>
        <v/>
      </c>
      <c r="AF354" s="24" t="str">
        <f>IF(C354="","",INDEX(Workouts!B:B,MATCH(C354,Workouts!A:A,0)))</f>
        <v/>
      </c>
      <c r="AG354" s="24" t="str">
        <f>IF(SUMIF(Data!B:B,A354,Data!D:D)=0,"",SUMIF(Data!B:B,A354,Data!D:D))</f>
        <v/>
      </c>
      <c r="AH354" s="25" t="str">
        <f>IF(C354="","",INDEX(Workouts!C:C,MATCH(C354,Workouts!A:A,0)))</f>
        <v/>
      </c>
      <c r="AI354" s="68" t="str">
        <f>IF(SUMIF(Data!B:B,A354,Data!F:F)=0,"",SUMIF(Data!B:B,A354,Data!F:F))</f>
        <v/>
      </c>
      <c r="AJ354" s="68">
        <f>AJ353+ (IF(AH354="",0,AH354)-AJ353)/Charts!$X$5</f>
        <v>1.6598157642995311E-22</v>
      </c>
      <c r="AK354" s="68">
        <f>AK353+ (IF(AI354="",0,AI354)-AK353)/Charts!$X$5</f>
        <v>1.6598157642995311E-22</v>
      </c>
      <c r="AL354" s="68">
        <f>AL353+ (IF(AH354="",0,AH354)-AL353)/Charts!$X$6</f>
        <v>1.1390165508452154E-2</v>
      </c>
      <c r="AM354" s="68">
        <f>AM353+ (IF(AI354="",0,AI354)-AM353)/Charts!$X$6</f>
        <v>1.1390165508452154E-2</v>
      </c>
      <c r="AN354" s="68" t="str">
        <f t="shared" si="78"/>
        <v>0</v>
      </c>
      <c r="AO354" s="68" t="str">
        <f t="shared" si="79"/>
        <v>0</v>
      </c>
      <c r="AP354" s="69" t="str">
        <f>IF(C354="","",INDEX(Workouts!D:D,MATCH(C354,Workouts!A:A,0)))</f>
        <v/>
      </c>
      <c r="AQ354" s="69" t="str">
        <f>IF(ISNA(MATCH(A354,Data!B:B,0)),"",INDEX(Data!G:G,MATCH(A354,Data!B:B,1)))</f>
        <v/>
      </c>
    </row>
    <row r="355" spans="1:43" s="1" customFormat="1" x14ac:dyDescent="0.2">
      <c r="A355" s="125">
        <f t="shared" si="77"/>
        <v>44550</v>
      </c>
      <c r="B355" s="126" t="str">
        <f t="shared" si="76"/>
        <v>Mon</v>
      </c>
      <c r="C355" s="140"/>
      <c r="D355" s="128" t="str">
        <f t="shared" si="68"/>
        <v/>
      </c>
      <c r="E355" s="129" t="str">
        <f t="shared" si="69"/>
        <v/>
      </c>
      <c r="F355" s="130" t="str">
        <f>IF(SUMIF(Data!B:B,A355,Data!C:C)=0,"",SUMIF(Data!B:B,A355,Data!C:C))</f>
        <v/>
      </c>
      <c r="G355" s="126" t="str">
        <f>IF(OR(S355="T",S355="RUN",SUMIF(Data!B:B,A355,Data!E:E)=0),"",SUMIF(Data!B:B,A355,Data!E:E))</f>
        <v/>
      </c>
      <c r="H355" s="126" t="str">
        <f t="shared" si="70"/>
        <v/>
      </c>
      <c r="I355" s="131" t="str">
        <f t="shared" si="71"/>
        <v>0 (0)</v>
      </c>
      <c r="J355" s="131" t="str">
        <f t="shared" si="72"/>
        <v>0 (0)</v>
      </c>
      <c r="K355" s="131" t="str">
        <f t="shared" si="73"/>
        <v>0 (0)</v>
      </c>
      <c r="L355" s="132" t="str">
        <f t="shared" si="74"/>
        <v/>
      </c>
      <c r="M355" s="131" t="str">
        <f t="shared" si="75"/>
        <v/>
      </c>
      <c r="N355" s="126" t="str">
        <f>IF(ISNA(MATCH(A355,Data!B:B,0)),"",INDEX(Data!H:H,MATCH(A355,Data!B:B,1))) &amp; ""</f>
        <v/>
      </c>
      <c r="O355" s="126" t="str">
        <f>IF(ISNA(MATCH(A355,Data!B:B,0)),"",INDEX(Data!I:I,MATCH(A355,Data!B:B,1))) &amp; ""</f>
        <v/>
      </c>
      <c r="P355" s="133" t="str">
        <f>IF(ISNA(MATCH(A355,Data!B:B,0)),"",INDEX(Data!J:J,MATCH(A355,Data!B:B,1))) &amp; ""</f>
        <v/>
      </c>
      <c r="Q355" s="126" t="str">
        <f>IF(S355="T",Charts!$X$7,IF(ISNA(MATCH(A355,Data!B:B,0)),"",INDEX(Data!K:K,MATCH(A355,Data!B:B,1)))) &amp; ""</f>
        <v/>
      </c>
      <c r="R355" s="134"/>
      <c r="S355" s="134"/>
      <c r="T355" s="127" t="str">
        <f>IF(ISNA(MATCH(A355,Data!B:B,0)),"",INDEX(Data!#REF!,MATCH(A355,Data!B:B,1))) &amp; ""</f>
        <v/>
      </c>
      <c r="AF355" s="24" t="str">
        <f>IF(C355="","",INDEX(Workouts!B:B,MATCH(C355,Workouts!A:A,0)))</f>
        <v/>
      </c>
      <c r="AG355" s="24" t="str">
        <f>IF(SUMIF(Data!B:B,A355,Data!D:D)=0,"",SUMIF(Data!B:B,A355,Data!D:D))</f>
        <v/>
      </c>
      <c r="AH355" s="25" t="str">
        <f>IF(C355="","",INDEX(Workouts!C:C,MATCH(C355,Workouts!A:A,0)))</f>
        <v/>
      </c>
      <c r="AI355" s="68" t="str">
        <f>IF(SUMIF(Data!B:B,A355,Data!F:F)=0,"",SUMIF(Data!B:B,A355,Data!F:F))</f>
        <v/>
      </c>
      <c r="AJ355" s="68">
        <f>AJ354+ (IF(AH355="",0,AH355)-AJ354)/Charts!$X$5</f>
        <v>1.4226992265424553E-22</v>
      </c>
      <c r="AK355" s="68">
        <f>AK354+ (IF(AI355="",0,AI355)-AK354)/Charts!$X$5</f>
        <v>1.4226992265424553E-22</v>
      </c>
      <c r="AL355" s="68">
        <f>AL354+ (IF(AH355="",0,AH355)-AL354)/Charts!$X$6</f>
        <v>1.1118971091584245E-2</v>
      </c>
      <c r="AM355" s="68">
        <f>AM354+ (IF(AI355="",0,AI355)-AM354)/Charts!$X$6</f>
        <v>1.1118971091584245E-2</v>
      </c>
      <c r="AN355" s="68" t="str">
        <f t="shared" si="78"/>
        <v>0</v>
      </c>
      <c r="AO355" s="68" t="str">
        <f t="shared" si="79"/>
        <v>0</v>
      </c>
      <c r="AP355" s="69" t="str">
        <f>IF(C355="","",INDEX(Workouts!D:D,MATCH(C355,Workouts!A:A,0)))</f>
        <v/>
      </c>
      <c r="AQ355" s="69" t="str">
        <f>IF(ISNA(MATCH(A355,Data!B:B,0)),"",INDEX(Data!G:G,MATCH(A355,Data!B:B,1)))</f>
        <v/>
      </c>
    </row>
    <row r="356" spans="1:43" s="1" customFormat="1" x14ac:dyDescent="0.2">
      <c r="A356" s="125">
        <f t="shared" si="77"/>
        <v>44551</v>
      </c>
      <c r="B356" s="126" t="str">
        <f t="shared" si="76"/>
        <v>Tue</v>
      </c>
      <c r="C356" s="140"/>
      <c r="D356" s="128" t="str">
        <f t="shared" si="68"/>
        <v/>
      </c>
      <c r="E356" s="129" t="str">
        <f t="shared" si="69"/>
        <v/>
      </c>
      <c r="F356" s="130" t="str">
        <f>IF(SUMIF(Data!B:B,A356,Data!C:C)=0,"",SUMIF(Data!B:B,A356,Data!C:C))</f>
        <v/>
      </c>
      <c r="G356" s="126" t="str">
        <f>IF(OR(S356="T",S356="RUN",SUMIF(Data!B:B,A356,Data!E:E)=0),"",SUMIF(Data!B:B,A356,Data!E:E))</f>
        <v/>
      </c>
      <c r="H356" s="126" t="str">
        <f t="shared" si="70"/>
        <v/>
      </c>
      <c r="I356" s="131" t="str">
        <f t="shared" si="71"/>
        <v>0 (0)</v>
      </c>
      <c r="J356" s="131" t="str">
        <f t="shared" si="72"/>
        <v>0 (0)</v>
      </c>
      <c r="K356" s="131" t="str">
        <f t="shared" si="73"/>
        <v>0 (0)</v>
      </c>
      <c r="L356" s="132" t="str">
        <f t="shared" si="74"/>
        <v/>
      </c>
      <c r="M356" s="131" t="str">
        <f t="shared" si="75"/>
        <v/>
      </c>
      <c r="N356" s="126" t="str">
        <f>IF(ISNA(MATCH(A356,Data!B:B,0)),"",INDEX(Data!H:H,MATCH(A356,Data!B:B,1))) &amp; ""</f>
        <v/>
      </c>
      <c r="O356" s="126" t="str">
        <f>IF(ISNA(MATCH(A356,Data!B:B,0)),"",INDEX(Data!I:I,MATCH(A356,Data!B:B,1))) &amp; ""</f>
        <v/>
      </c>
      <c r="P356" s="133" t="str">
        <f>IF(ISNA(MATCH(A356,Data!B:B,0)),"",INDEX(Data!J:J,MATCH(A356,Data!B:B,1))) &amp; ""</f>
        <v/>
      </c>
      <c r="Q356" s="126" t="str">
        <f>IF(S356="T",Charts!$X$7,IF(ISNA(MATCH(A356,Data!B:B,0)),"",INDEX(Data!K:K,MATCH(A356,Data!B:B,1)))) &amp; ""</f>
        <v/>
      </c>
      <c r="R356" s="134"/>
      <c r="S356" s="134"/>
      <c r="T356" s="127" t="str">
        <f>IF(ISNA(MATCH(A356,Data!B:B,0)),"",INDEX(Data!#REF!,MATCH(A356,Data!B:B,1))) &amp; ""</f>
        <v/>
      </c>
      <c r="AF356" s="24" t="str">
        <f>IF(C356="","",INDEX(Workouts!B:B,MATCH(C356,Workouts!A:A,0)))</f>
        <v/>
      </c>
      <c r="AG356" s="24" t="str">
        <f>IF(SUMIF(Data!B:B,A356,Data!D:D)=0,"",SUMIF(Data!B:B,A356,Data!D:D))</f>
        <v/>
      </c>
      <c r="AH356" s="25" t="str">
        <f>IF(C356="","",INDEX(Workouts!C:C,MATCH(C356,Workouts!A:A,0)))</f>
        <v/>
      </c>
      <c r="AI356" s="68" t="str">
        <f>IF(SUMIF(Data!B:B,A356,Data!F:F)=0,"",SUMIF(Data!B:B,A356,Data!F:F))</f>
        <v/>
      </c>
      <c r="AJ356" s="68">
        <f>AJ355+ (IF(AH356="",0,AH356)-AJ355)/Charts!$X$5</f>
        <v>1.2194564798935332E-22</v>
      </c>
      <c r="AK356" s="68">
        <f>AK355+ (IF(AI356="",0,AI356)-AK355)/Charts!$X$5</f>
        <v>1.2194564798935332E-22</v>
      </c>
      <c r="AL356" s="68">
        <f>AL355+ (IF(AH356="",0,AH356)-AL355)/Charts!$X$6</f>
        <v>1.0854233684641763E-2</v>
      </c>
      <c r="AM356" s="68">
        <f>AM355+ (IF(AI356="",0,AI356)-AM355)/Charts!$X$6</f>
        <v>1.0854233684641763E-2</v>
      </c>
      <c r="AN356" s="68" t="str">
        <f t="shared" si="78"/>
        <v>0</v>
      </c>
      <c r="AO356" s="68" t="str">
        <f t="shared" si="79"/>
        <v>0</v>
      </c>
      <c r="AP356" s="69" t="str">
        <f>IF(C356="","",INDEX(Workouts!D:D,MATCH(C356,Workouts!A:A,0)))</f>
        <v/>
      </c>
      <c r="AQ356" s="69" t="str">
        <f>IF(ISNA(MATCH(A356,Data!B:B,0)),"",INDEX(Data!G:G,MATCH(A356,Data!B:B,1)))</f>
        <v/>
      </c>
    </row>
    <row r="357" spans="1:43" s="1" customFormat="1" x14ac:dyDescent="0.2">
      <c r="A357" s="125">
        <f t="shared" si="77"/>
        <v>44552</v>
      </c>
      <c r="B357" s="126" t="str">
        <f t="shared" si="76"/>
        <v>Wed</v>
      </c>
      <c r="C357" s="140"/>
      <c r="D357" s="128" t="str">
        <f t="shared" si="68"/>
        <v/>
      </c>
      <c r="E357" s="129" t="str">
        <f t="shared" si="69"/>
        <v/>
      </c>
      <c r="F357" s="130" t="str">
        <f>IF(SUMIF(Data!B:B,A357,Data!C:C)=0,"",SUMIF(Data!B:B,A357,Data!C:C))</f>
        <v/>
      </c>
      <c r="G357" s="126" t="str">
        <f>IF(OR(S357="T",S357="RUN",SUMIF(Data!B:B,A357,Data!E:E)=0),"",SUMIF(Data!B:B,A357,Data!E:E))</f>
        <v/>
      </c>
      <c r="H357" s="126" t="str">
        <f t="shared" si="70"/>
        <v/>
      </c>
      <c r="I357" s="131" t="str">
        <f t="shared" si="71"/>
        <v>0 (0)</v>
      </c>
      <c r="J357" s="131" t="str">
        <f t="shared" si="72"/>
        <v>0 (0)</v>
      </c>
      <c r="K357" s="131" t="str">
        <f t="shared" si="73"/>
        <v>0 (0)</v>
      </c>
      <c r="L357" s="132" t="str">
        <f t="shared" si="74"/>
        <v/>
      </c>
      <c r="M357" s="131" t="str">
        <f t="shared" si="75"/>
        <v/>
      </c>
      <c r="N357" s="126" t="str">
        <f>IF(ISNA(MATCH(A357,Data!B:B,0)),"",INDEX(Data!H:H,MATCH(A357,Data!B:B,1))) &amp; ""</f>
        <v/>
      </c>
      <c r="O357" s="126" t="str">
        <f>IF(ISNA(MATCH(A357,Data!B:B,0)),"",INDEX(Data!I:I,MATCH(A357,Data!B:B,1))) &amp; ""</f>
        <v/>
      </c>
      <c r="P357" s="133" t="str">
        <f>IF(ISNA(MATCH(A357,Data!B:B,0)),"",INDEX(Data!J:J,MATCH(A357,Data!B:B,1))) &amp; ""</f>
        <v/>
      </c>
      <c r="Q357" s="126" t="str">
        <f>IF(S357="T",Charts!$X$7,IF(ISNA(MATCH(A357,Data!B:B,0)),"",INDEX(Data!K:K,MATCH(A357,Data!B:B,1)))) &amp; ""</f>
        <v/>
      </c>
      <c r="R357" s="134"/>
      <c r="S357" s="134"/>
      <c r="T357" s="127" t="str">
        <f>IF(ISNA(MATCH(A357,Data!B:B,0)),"",INDEX(Data!#REF!,MATCH(A357,Data!B:B,1))) &amp; ""</f>
        <v/>
      </c>
      <c r="AF357" s="24" t="str">
        <f>IF(C357="","",INDEX(Workouts!B:B,MATCH(C357,Workouts!A:A,0)))</f>
        <v/>
      </c>
      <c r="AG357" s="24" t="str">
        <f>IF(SUMIF(Data!B:B,A357,Data!D:D)=0,"",SUMIF(Data!B:B,A357,Data!D:D))</f>
        <v/>
      </c>
      <c r="AH357" s="25" t="str">
        <f>IF(C357="","",INDEX(Workouts!C:C,MATCH(C357,Workouts!A:A,0)))</f>
        <v/>
      </c>
      <c r="AI357" s="68" t="str">
        <f>IF(SUMIF(Data!B:B,A357,Data!F:F)=0,"",SUMIF(Data!B:B,A357,Data!F:F))</f>
        <v/>
      </c>
      <c r="AJ357" s="68">
        <f>AJ356+ (IF(AH357="",0,AH357)-AJ356)/Charts!$X$5</f>
        <v>1.0452484113373142E-22</v>
      </c>
      <c r="AK357" s="68">
        <f>AK356+ (IF(AI357="",0,AI357)-AK356)/Charts!$X$5</f>
        <v>1.0452484113373142E-22</v>
      </c>
      <c r="AL357" s="68">
        <f>AL356+ (IF(AH357="",0,AH357)-AL356)/Charts!$X$6</f>
        <v>1.059579954929315E-2</v>
      </c>
      <c r="AM357" s="68">
        <f>AM356+ (IF(AI357="",0,AI357)-AM356)/Charts!$X$6</f>
        <v>1.059579954929315E-2</v>
      </c>
      <c r="AN357" s="68" t="str">
        <f t="shared" si="78"/>
        <v>0</v>
      </c>
      <c r="AO357" s="68" t="str">
        <f t="shared" si="79"/>
        <v>0</v>
      </c>
      <c r="AP357" s="69" t="str">
        <f>IF(C357="","",INDEX(Workouts!D:D,MATCH(C357,Workouts!A:A,0)))</f>
        <v/>
      </c>
      <c r="AQ357" s="69" t="str">
        <f>IF(ISNA(MATCH(A357,Data!B:B,0)),"",INDEX(Data!G:G,MATCH(A357,Data!B:B,1)))</f>
        <v/>
      </c>
    </row>
    <row r="358" spans="1:43" s="1" customFormat="1" x14ac:dyDescent="0.2">
      <c r="A358" s="125">
        <f t="shared" si="77"/>
        <v>44553</v>
      </c>
      <c r="B358" s="126" t="str">
        <f t="shared" si="76"/>
        <v>Thu</v>
      </c>
      <c r="C358" s="140"/>
      <c r="D358" s="128" t="str">
        <f t="shared" si="68"/>
        <v/>
      </c>
      <c r="E358" s="129" t="str">
        <f t="shared" si="69"/>
        <v/>
      </c>
      <c r="F358" s="130" t="str">
        <f>IF(SUMIF(Data!B:B,A358,Data!C:C)=0,"",SUMIF(Data!B:B,A358,Data!C:C))</f>
        <v/>
      </c>
      <c r="G358" s="126" t="str">
        <f>IF(OR(S358="T",S358="RUN",SUMIF(Data!B:B,A358,Data!E:E)=0),"",SUMIF(Data!B:B,A358,Data!E:E))</f>
        <v/>
      </c>
      <c r="H358" s="126" t="str">
        <f t="shared" si="70"/>
        <v/>
      </c>
      <c r="I358" s="131" t="str">
        <f t="shared" si="71"/>
        <v>0 (0)</v>
      </c>
      <c r="J358" s="131" t="str">
        <f t="shared" si="72"/>
        <v>0 (0)</v>
      </c>
      <c r="K358" s="131" t="str">
        <f t="shared" si="73"/>
        <v>0 (0)</v>
      </c>
      <c r="L358" s="132" t="str">
        <f t="shared" si="74"/>
        <v/>
      </c>
      <c r="M358" s="131" t="str">
        <f t="shared" si="75"/>
        <v/>
      </c>
      <c r="N358" s="126" t="str">
        <f>IF(ISNA(MATCH(A358,Data!B:B,0)),"",INDEX(Data!H:H,MATCH(A358,Data!B:B,1))) &amp; ""</f>
        <v/>
      </c>
      <c r="O358" s="126" t="str">
        <f>IF(ISNA(MATCH(A358,Data!B:B,0)),"",INDEX(Data!I:I,MATCH(A358,Data!B:B,1))) &amp; ""</f>
        <v/>
      </c>
      <c r="P358" s="133" t="str">
        <f>IF(ISNA(MATCH(A358,Data!B:B,0)),"",INDEX(Data!J:J,MATCH(A358,Data!B:B,1))) &amp; ""</f>
        <v/>
      </c>
      <c r="Q358" s="126" t="str">
        <f>IF(S358="T",Charts!$X$7,IF(ISNA(MATCH(A358,Data!B:B,0)),"",INDEX(Data!K:K,MATCH(A358,Data!B:B,1)))) &amp; ""</f>
        <v/>
      </c>
      <c r="R358" s="134"/>
      <c r="S358" s="134"/>
      <c r="T358" s="127" t="str">
        <f>IF(ISNA(MATCH(A358,Data!B:B,0)),"",INDEX(Data!#REF!,MATCH(A358,Data!B:B,1))) &amp; ""</f>
        <v/>
      </c>
      <c r="AF358" s="24" t="str">
        <f>IF(C358="","",INDEX(Workouts!B:B,MATCH(C358,Workouts!A:A,0)))</f>
        <v/>
      </c>
      <c r="AG358" s="24" t="str">
        <f>IF(SUMIF(Data!B:B,A358,Data!D:D)=0,"",SUMIF(Data!B:B,A358,Data!D:D))</f>
        <v/>
      </c>
      <c r="AH358" s="25" t="str">
        <f>IF(C358="","",INDEX(Workouts!C:C,MATCH(C358,Workouts!A:A,0)))</f>
        <v/>
      </c>
      <c r="AI358" s="68" t="str">
        <f>IF(SUMIF(Data!B:B,A358,Data!F:F)=0,"",SUMIF(Data!B:B,A358,Data!F:F))</f>
        <v/>
      </c>
      <c r="AJ358" s="68">
        <f>AJ357+ (IF(AH358="",0,AH358)-AJ357)/Charts!$X$5</f>
        <v>8.9592720971769784E-23</v>
      </c>
      <c r="AK358" s="68">
        <f>AK357+ (IF(AI358="",0,AI358)-AK357)/Charts!$X$5</f>
        <v>8.9592720971769784E-23</v>
      </c>
      <c r="AL358" s="68">
        <f>AL357+ (IF(AH358="",0,AH358)-AL357)/Charts!$X$6</f>
        <v>1.0343518607643314E-2</v>
      </c>
      <c r="AM358" s="68">
        <f>AM357+ (IF(AI358="",0,AI358)-AM357)/Charts!$X$6</f>
        <v>1.0343518607643314E-2</v>
      </c>
      <c r="AN358" s="68" t="str">
        <f t="shared" si="78"/>
        <v>0</v>
      </c>
      <c r="AO358" s="68" t="str">
        <f t="shared" si="79"/>
        <v>0</v>
      </c>
      <c r="AP358" s="69" t="str">
        <f>IF(C358="","",INDEX(Workouts!D:D,MATCH(C358,Workouts!A:A,0)))</f>
        <v/>
      </c>
      <c r="AQ358" s="69" t="str">
        <f>IF(ISNA(MATCH(A358,Data!B:B,0)),"",INDEX(Data!G:G,MATCH(A358,Data!B:B,1)))</f>
        <v/>
      </c>
    </row>
    <row r="359" spans="1:43" s="1" customFormat="1" x14ac:dyDescent="0.2">
      <c r="A359" s="125">
        <f t="shared" si="77"/>
        <v>44554</v>
      </c>
      <c r="B359" s="126" t="str">
        <f t="shared" si="76"/>
        <v>Fri</v>
      </c>
      <c r="C359" s="140"/>
      <c r="D359" s="128" t="str">
        <f t="shared" si="68"/>
        <v/>
      </c>
      <c r="E359" s="129" t="str">
        <f t="shared" si="69"/>
        <v/>
      </c>
      <c r="F359" s="130" t="str">
        <f>IF(SUMIF(Data!B:B,A359,Data!C:C)=0,"",SUMIF(Data!B:B,A359,Data!C:C))</f>
        <v/>
      </c>
      <c r="G359" s="126" t="str">
        <f>IF(OR(S359="T",S359="RUN",SUMIF(Data!B:B,A359,Data!E:E)=0),"",SUMIF(Data!B:B,A359,Data!E:E))</f>
        <v/>
      </c>
      <c r="H359" s="126" t="str">
        <f t="shared" si="70"/>
        <v/>
      </c>
      <c r="I359" s="131" t="str">
        <f t="shared" si="71"/>
        <v>0 (0)</v>
      </c>
      <c r="J359" s="131" t="str">
        <f t="shared" si="72"/>
        <v>0 (0)</v>
      </c>
      <c r="K359" s="131" t="str">
        <f t="shared" si="73"/>
        <v>0 (0)</v>
      </c>
      <c r="L359" s="132" t="str">
        <f t="shared" si="74"/>
        <v/>
      </c>
      <c r="M359" s="131" t="str">
        <f t="shared" si="75"/>
        <v/>
      </c>
      <c r="N359" s="126" t="str">
        <f>IF(ISNA(MATCH(A359,Data!B:B,0)),"",INDEX(Data!H:H,MATCH(A359,Data!B:B,1))) &amp; ""</f>
        <v/>
      </c>
      <c r="O359" s="126" t="str">
        <f>IF(ISNA(MATCH(A359,Data!B:B,0)),"",INDEX(Data!I:I,MATCH(A359,Data!B:B,1))) &amp; ""</f>
        <v/>
      </c>
      <c r="P359" s="133" t="str">
        <f>IF(ISNA(MATCH(A359,Data!B:B,0)),"",INDEX(Data!J:J,MATCH(A359,Data!B:B,1))) &amp; ""</f>
        <v/>
      </c>
      <c r="Q359" s="126" t="str">
        <f>IF(S359="T",Charts!$X$7,IF(ISNA(MATCH(A359,Data!B:B,0)),"",INDEX(Data!K:K,MATCH(A359,Data!B:B,1)))) &amp; ""</f>
        <v/>
      </c>
      <c r="R359" s="134"/>
      <c r="S359" s="134"/>
      <c r="T359" s="127" t="str">
        <f>IF(ISNA(MATCH(A359,Data!B:B,0)),"",INDEX(Data!#REF!,MATCH(A359,Data!B:B,1))) &amp; ""</f>
        <v/>
      </c>
      <c r="AF359" s="24" t="str">
        <f>IF(C359="","",INDEX(Workouts!B:B,MATCH(C359,Workouts!A:A,0)))</f>
        <v/>
      </c>
      <c r="AG359" s="24" t="str">
        <f>IF(SUMIF(Data!B:B,A359,Data!D:D)=0,"",SUMIF(Data!B:B,A359,Data!D:D))</f>
        <v/>
      </c>
      <c r="AH359" s="25" t="str">
        <f>IF(C359="","",INDEX(Workouts!C:C,MATCH(C359,Workouts!A:A,0)))</f>
        <v/>
      </c>
      <c r="AI359" s="68" t="str">
        <f>IF(SUMIF(Data!B:B,A359,Data!F:F)=0,"",SUMIF(Data!B:B,A359,Data!F:F))</f>
        <v/>
      </c>
      <c r="AJ359" s="68">
        <f>AJ358+ (IF(AH359="",0,AH359)-AJ358)/Charts!$X$5</f>
        <v>7.6793760832945531E-23</v>
      </c>
      <c r="AK359" s="68">
        <f>AK358+ (IF(AI359="",0,AI359)-AK358)/Charts!$X$5</f>
        <v>7.6793760832945531E-23</v>
      </c>
      <c r="AL359" s="68">
        <f>AL358+ (IF(AH359="",0,AH359)-AL358)/Charts!$X$6</f>
        <v>1.0097244355080378E-2</v>
      </c>
      <c r="AM359" s="68">
        <f>AM358+ (IF(AI359="",0,AI359)-AM358)/Charts!$X$6</f>
        <v>1.0097244355080378E-2</v>
      </c>
      <c r="AN359" s="68" t="str">
        <f t="shared" si="78"/>
        <v>0</v>
      </c>
      <c r="AO359" s="68" t="str">
        <f t="shared" si="79"/>
        <v>0</v>
      </c>
      <c r="AP359" s="69" t="str">
        <f>IF(C359="","",INDEX(Workouts!D:D,MATCH(C359,Workouts!A:A,0)))</f>
        <v/>
      </c>
      <c r="AQ359" s="69" t="str">
        <f>IF(ISNA(MATCH(A359,Data!B:B,0)),"",INDEX(Data!G:G,MATCH(A359,Data!B:B,1)))</f>
        <v/>
      </c>
    </row>
    <row r="360" spans="1:43" s="1" customFormat="1" x14ac:dyDescent="0.2">
      <c r="A360" s="125">
        <f t="shared" si="77"/>
        <v>44555</v>
      </c>
      <c r="B360" s="126" t="str">
        <f t="shared" si="76"/>
        <v>Sat</v>
      </c>
      <c r="C360" s="140"/>
      <c r="D360" s="128" t="str">
        <f t="shared" si="68"/>
        <v/>
      </c>
      <c r="E360" s="129" t="str">
        <f t="shared" si="69"/>
        <v/>
      </c>
      <c r="F360" s="130" t="str">
        <f>IF(SUMIF(Data!B:B,A360,Data!C:C)=0,"",SUMIF(Data!B:B,A360,Data!C:C))</f>
        <v/>
      </c>
      <c r="G360" s="126" t="str">
        <f>IF(OR(S360="T",S360="RUN",SUMIF(Data!B:B,A360,Data!E:E)=0),"",SUMIF(Data!B:B,A360,Data!E:E))</f>
        <v/>
      </c>
      <c r="H360" s="126" t="str">
        <f t="shared" si="70"/>
        <v/>
      </c>
      <c r="I360" s="131" t="str">
        <f t="shared" si="71"/>
        <v>0 (0)</v>
      </c>
      <c r="J360" s="131" t="str">
        <f t="shared" si="72"/>
        <v>0 (0)</v>
      </c>
      <c r="K360" s="131" t="str">
        <f t="shared" si="73"/>
        <v>0 (0)</v>
      </c>
      <c r="L360" s="132" t="str">
        <f t="shared" si="74"/>
        <v/>
      </c>
      <c r="M360" s="131" t="str">
        <f t="shared" si="75"/>
        <v/>
      </c>
      <c r="N360" s="126" t="str">
        <f>IF(ISNA(MATCH(A360,Data!B:B,0)),"",INDEX(Data!H:H,MATCH(A360,Data!B:B,1))) &amp; ""</f>
        <v/>
      </c>
      <c r="O360" s="126" t="str">
        <f>IF(ISNA(MATCH(A360,Data!B:B,0)),"",INDEX(Data!I:I,MATCH(A360,Data!B:B,1))) &amp; ""</f>
        <v/>
      </c>
      <c r="P360" s="133" t="str">
        <f>IF(ISNA(MATCH(A360,Data!B:B,0)),"",INDEX(Data!J:J,MATCH(A360,Data!B:B,1))) &amp; ""</f>
        <v/>
      </c>
      <c r="Q360" s="126" t="str">
        <f>IF(S360="T",Charts!$X$7,IF(ISNA(MATCH(A360,Data!B:B,0)),"",INDEX(Data!K:K,MATCH(A360,Data!B:B,1)))) &amp; ""</f>
        <v/>
      </c>
      <c r="R360" s="134"/>
      <c r="S360" s="134"/>
      <c r="T360" s="127" t="str">
        <f>IF(ISNA(MATCH(A360,Data!B:B,0)),"",INDEX(Data!#REF!,MATCH(A360,Data!B:B,1))) &amp; ""</f>
        <v/>
      </c>
      <c r="AF360" s="24" t="str">
        <f>IF(C360="","",INDEX(Workouts!B:B,MATCH(C360,Workouts!A:A,0)))</f>
        <v/>
      </c>
      <c r="AG360" s="24" t="str">
        <f>IF(SUMIF(Data!B:B,A360,Data!D:D)=0,"",SUMIF(Data!B:B,A360,Data!D:D))</f>
        <v/>
      </c>
      <c r="AH360" s="25" t="str">
        <f>IF(C360="","",INDEX(Workouts!C:C,MATCH(C360,Workouts!A:A,0)))</f>
        <v/>
      </c>
      <c r="AI360" s="68" t="str">
        <f>IF(SUMIF(Data!B:B,A360,Data!F:F)=0,"",SUMIF(Data!B:B,A360,Data!F:F))</f>
        <v/>
      </c>
      <c r="AJ360" s="68">
        <f>AJ359+ (IF(AH360="",0,AH360)-AJ359)/Charts!$X$5</f>
        <v>6.5823223571096169E-23</v>
      </c>
      <c r="AK360" s="68">
        <f>AK359+ (IF(AI360="",0,AI360)-AK359)/Charts!$X$5</f>
        <v>6.5823223571096169E-23</v>
      </c>
      <c r="AL360" s="68">
        <f>AL359+ (IF(AH360="",0,AH360)-AL359)/Charts!$X$6</f>
        <v>9.8568337751975127E-3</v>
      </c>
      <c r="AM360" s="68">
        <f>AM359+ (IF(AI360="",0,AI360)-AM359)/Charts!$X$6</f>
        <v>9.8568337751975127E-3</v>
      </c>
      <c r="AN360" s="68" t="str">
        <f t="shared" si="78"/>
        <v>0</v>
      </c>
      <c r="AO360" s="68" t="str">
        <f t="shared" si="79"/>
        <v>0</v>
      </c>
      <c r="AP360" s="69" t="str">
        <f>IF(C360="","",INDEX(Workouts!D:D,MATCH(C360,Workouts!A:A,0)))</f>
        <v/>
      </c>
      <c r="AQ360" s="69" t="str">
        <f>IF(ISNA(MATCH(A360,Data!B:B,0)),"",INDEX(Data!G:G,MATCH(A360,Data!B:B,1)))</f>
        <v/>
      </c>
    </row>
    <row r="361" spans="1:43" s="1" customFormat="1" x14ac:dyDescent="0.2">
      <c r="A361" s="125">
        <f t="shared" si="77"/>
        <v>44556</v>
      </c>
      <c r="B361" s="126" t="str">
        <f t="shared" si="76"/>
        <v>Sun</v>
      </c>
      <c r="C361" s="140"/>
      <c r="D361" s="128" t="str">
        <f t="shared" si="68"/>
        <v/>
      </c>
      <c r="E361" s="129" t="str">
        <f t="shared" si="69"/>
        <v/>
      </c>
      <c r="F361" s="130" t="str">
        <f>IF(SUMIF(Data!B:B,A361,Data!C:C)=0,"",SUMIF(Data!B:B,A361,Data!C:C))</f>
        <v/>
      </c>
      <c r="G361" s="126" t="str">
        <f>IF(OR(S361="T",S361="RUN",SUMIF(Data!B:B,A361,Data!E:E)=0),"",SUMIF(Data!B:B,A361,Data!E:E))</f>
        <v/>
      </c>
      <c r="H361" s="126" t="str">
        <f t="shared" si="70"/>
        <v/>
      </c>
      <c r="I361" s="131" t="str">
        <f t="shared" si="71"/>
        <v>0 (0)</v>
      </c>
      <c r="J361" s="131" t="str">
        <f t="shared" si="72"/>
        <v>0 (0)</v>
      </c>
      <c r="K361" s="131" t="str">
        <f t="shared" si="73"/>
        <v>0 (0)</v>
      </c>
      <c r="L361" s="132" t="str">
        <f t="shared" si="74"/>
        <v/>
      </c>
      <c r="M361" s="131" t="str">
        <f t="shared" si="75"/>
        <v/>
      </c>
      <c r="N361" s="126" t="str">
        <f>IF(ISNA(MATCH(A361,Data!B:B,0)),"",INDEX(Data!H:H,MATCH(A361,Data!B:B,1))) &amp; ""</f>
        <v/>
      </c>
      <c r="O361" s="126" t="str">
        <f>IF(ISNA(MATCH(A361,Data!B:B,0)),"",INDEX(Data!I:I,MATCH(A361,Data!B:B,1))) &amp; ""</f>
        <v/>
      </c>
      <c r="P361" s="133" t="str">
        <f>IF(ISNA(MATCH(A361,Data!B:B,0)),"",INDEX(Data!J:J,MATCH(A361,Data!B:B,1))) &amp; ""</f>
        <v/>
      </c>
      <c r="Q361" s="126" t="str">
        <f>IF(S361="T",Charts!$X$7,IF(ISNA(MATCH(A361,Data!B:B,0)),"",INDEX(Data!K:K,MATCH(A361,Data!B:B,1)))) &amp; ""</f>
        <v/>
      </c>
      <c r="R361" s="134"/>
      <c r="S361" s="134"/>
      <c r="T361" s="127" t="str">
        <f>IF(ISNA(MATCH(A361,Data!B:B,0)),"",INDEX(Data!#REF!,MATCH(A361,Data!B:B,1))) &amp; ""</f>
        <v/>
      </c>
      <c r="AF361" s="24" t="str">
        <f>IF(C361="","",INDEX(Workouts!B:B,MATCH(C361,Workouts!A:A,0)))</f>
        <v/>
      </c>
      <c r="AG361" s="24" t="str">
        <f>IF(SUMIF(Data!B:B,A361,Data!D:D)=0,"",SUMIF(Data!B:B,A361,Data!D:D))</f>
        <v/>
      </c>
      <c r="AH361" s="25" t="str">
        <f>IF(C361="","",INDEX(Workouts!C:C,MATCH(C361,Workouts!A:A,0)))</f>
        <v/>
      </c>
      <c r="AI361" s="68" t="str">
        <f>IF(SUMIF(Data!B:B,A361,Data!F:F)=0,"",SUMIF(Data!B:B,A361,Data!F:F))</f>
        <v/>
      </c>
      <c r="AJ361" s="68">
        <f>AJ360+ (IF(AH361="",0,AH361)-AJ360)/Charts!$X$5</f>
        <v>5.6419905918082427E-23</v>
      </c>
      <c r="AK361" s="68">
        <f>AK360+ (IF(AI361="",0,AI361)-AK360)/Charts!$X$5</f>
        <v>5.6419905918082427E-23</v>
      </c>
      <c r="AL361" s="68">
        <f>AL360+ (IF(AH361="",0,AH361)-AL360)/Charts!$X$6</f>
        <v>9.6221472567404286E-3</v>
      </c>
      <c r="AM361" s="68">
        <f>AM360+ (IF(AI361="",0,AI361)-AM360)/Charts!$X$6</f>
        <v>9.6221472567404286E-3</v>
      </c>
      <c r="AN361" s="68" t="str">
        <f t="shared" si="78"/>
        <v>0</v>
      </c>
      <c r="AO361" s="68" t="str">
        <f t="shared" si="79"/>
        <v>0</v>
      </c>
      <c r="AP361" s="69" t="str">
        <f>IF(C361="","",INDEX(Workouts!D:D,MATCH(C361,Workouts!A:A,0)))</f>
        <v/>
      </c>
      <c r="AQ361" s="69" t="str">
        <f>IF(ISNA(MATCH(A361,Data!B:B,0)),"",INDEX(Data!G:G,MATCH(A361,Data!B:B,1)))</f>
        <v/>
      </c>
    </row>
    <row r="362" spans="1:43" s="1" customFormat="1" x14ac:dyDescent="0.2">
      <c r="A362" s="125">
        <f t="shared" si="77"/>
        <v>44557</v>
      </c>
      <c r="B362" s="126" t="str">
        <f t="shared" si="76"/>
        <v>Mon</v>
      </c>
      <c r="C362" s="140"/>
      <c r="D362" s="128" t="str">
        <f t="shared" si="68"/>
        <v/>
      </c>
      <c r="E362" s="129" t="str">
        <f t="shared" si="69"/>
        <v/>
      </c>
      <c r="F362" s="130" t="str">
        <f>IF(SUMIF(Data!B:B,A362,Data!C:C)=0,"",SUMIF(Data!B:B,A362,Data!C:C))</f>
        <v/>
      </c>
      <c r="G362" s="126" t="str">
        <f>IF(OR(S362="T",S362="RUN",SUMIF(Data!B:B,A362,Data!E:E)=0),"",SUMIF(Data!B:B,A362,Data!E:E))</f>
        <v/>
      </c>
      <c r="H362" s="126" t="str">
        <f t="shared" si="70"/>
        <v/>
      </c>
      <c r="I362" s="131" t="str">
        <f t="shared" si="71"/>
        <v>0 (0)</v>
      </c>
      <c r="J362" s="131" t="str">
        <f t="shared" si="72"/>
        <v>0 (0)</v>
      </c>
      <c r="K362" s="131" t="str">
        <f t="shared" si="73"/>
        <v>0 (0)</v>
      </c>
      <c r="L362" s="132" t="str">
        <f t="shared" si="74"/>
        <v/>
      </c>
      <c r="M362" s="131" t="str">
        <f t="shared" si="75"/>
        <v/>
      </c>
      <c r="N362" s="126" t="str">
        <f>IF(ISNA(MATCH(A362,Data!B:B,0)),"",INDEX(Data!H:H,MATCH(A362,Data!B:B,1))) &amp; ""</f>
        <v/>
      </c>
      <c r="O362" s="126" t="str">
        <f>IF(ISNA(MATCH(A362,Data!B:B,0)),"",INDEX(Data!I:I,MATCH(A362,Data!B:B,1))) &amp; ""</f>
        <v/>
      </c>
      <c r="P362" s="133" t="str">
        <f>IF(ISNA(MATCH(A362,Data!B:B,0)),"",INDEX(Data!J:J,MATCH(A362,Data!B:B,1))) &amp; ""</f>
        <v/>
      </c>
      <c r="Q362" s="126" t="str">
        <f>IF(S362="T",Charts!$X$7,IF(ISNA(MATCH(A362,Data!B:B,0)),"",INDEX(Data!K:K,MATCH(A362,Data!B:B,1)))) &amp; ""</f>
        <v/>
      </c>
      <c r="R362" s="134"/>
      <c r="S362" s="134"/>
      <c r="T362" s="127" t="str">
        <f>IF(ISNA(MATCH(A362,Data!B:B,0)),"",INDEX(Data!#REF!,MATCH(A362,Data!B:B,1))) &amp; ""</f>
        <v/>
      </c>
      <c r="AF362" s="24" t="str">
        <f>IF(C362="","",INDEX(Workouts!B:B,MATCH(C362,Workouts!A:A,0)))</f>
        <v/>
      </c>
      <c r="AG362" s="24" t="str">
        <f>IF(SUMIF(Data!B:B,A362,Data!D:D)=0,"",SUMIF(Data!B:B,A362,Data!D:D))</f>
        <v/>
      </c>
      <c r="AH362" s="25" t="str">
        <f>IF(C362="","",INDEX(Workouts!C:C,MATCH(C362,Workouts!A:A,0)))</f>
        <v/>
      </c>
      <c r="AI362" s="68" t="str">
        <f>IF(SUMIF(Data!B:B,A362,Data!F:F)=0,"",SUMIF(Data!B:B,A362,Data!F:F))</f>
        <v/>
      </c>
      <c r="AJ362" s="68">
        <f>AJ361+ (IF(AH362="",0,AH362)-AJ361)/Charts!$X$5</f>
        <v>4.8359919358356366E-23</v>
      </c>
      <c r="AK362" s="68">
        <f>AK361+ (IF(AI362="",0,AI362)-AK361)/Charts!$X$5</f>
        <v>4.8359919358356366E-23</v>
      </c>
      <c r="AL362" s="68">
        <f>AL361+ (IF(AH362="",0,AH362)-AL361)/Charts!$X$6</f>
        <v>9.3930485125323232E-3</v>
      </c>
      <c r="AM362" s="68">
        <f>AM361+ (IF(AI362="",0,AI362)-AM361)/Charts!$X$6</f>
        <v>9.3930485125323232E-3</v>
      </c>
      <c r="AN362" s="68" t="str">
        <f t="shared" si="78"/>
        <v>0</v>
      </c>
      <c r="AO362" s="68" t="str">
        <f t="shared" si="79"/>
        <v>0</v>
      </c>
      <c r="AP362" s="69" t="str">
        <f>IF(C362="","",INDEX(Workouts!D:D,MATCH(C362,Workouts!A:A,0)))</f>
        <v/>
      </c>
      <c r="AQ362" s="69" t="str">
        <f>IF(ISNA(MATCH(A362,Data!B:B,0)),"",INDEX(Data!G:G,MATCH(A362,Data!B:B,1)))</f>
        <v/>
      </c>
    </row>
    <row r="363" spans="1:43" s="1" customFormat="1" x14ac:dyDescent="0.2">
      <c r="A363" s="125">
        <f t="shared" si="77"/>
        <v>44558</v>
      </c>
      <c r="B363" s="126" t="str">
        <f t="shared" si="76"/>
        <v>Tue</v>
      </c>
      <c r="C363" s="140"/>
      <c r="D363" s="128" t="str">
        <f t="shared" si="68"/>
        <v/>
      </c>
      <c r="E363" s="129" t="str">
        <f t="shared" si="69"/>
        <v/>
      </c>
      <c r="F363" s="130" t="str">
        <f>IF(SUMIF(Data!B:B,A363,Data!C:C)=0,"",SUMIF(Data!B:B,A363,Data!C:C))</f>
        <v/>
      </c>
      <c r="G363" s="126" t="str">
        <f>IF(OR(S363="T",S363="RUN",SUMIF(Data!B:B,A363,Data!E:E)=0),"",SUMIF(Data!B:B,A363,Data!E:E))</f>
        <v/>
      </c>
      <c r="H363" s="126" t="str">
        <f t="shared" si="70"/>
        <v/>
      </c>
      <c r="I363" s="131" t="str">
        <f t="shared" si="71"/>
        <v>0 (0)</v>
      </c>
      <c r="J363" s="131" t="str">
        <f t="shared" si="72"/>
        <v>0 (0)</v>
      </c>
      <c r="K363" s="131" t="str">
        <f t="shared" si="73"/>
        <v>0 (0)</v>
      </c>
      <c r="L363" s="132" t="str">
        <f t="shared" si="74"/>
        <v/>
      </c>
      <c r="M363" s="131" t="str">
        <f t="shared" si="75"/>
        <v/>
      </c>
      <c r="N363" s="126" t="str">
        <f>IF(ISNA(MATCH(A363,Data!B:B,0)),"",INDEX(Data!H:H,MATCH(A363,Data!B:B,1))) &amp; ""</f>
        <v/>
      </c>
      <c r="O363" s="126" t="str">
        <f>IF(ISNA(MATCH(A363,Data!B:B,0)),"",INDEX(Data!I:I,MATCH(A363,Data!B:B,1))) &amp; ""</f>
        <v/>
      </c>
      <c r="P363" s="133" t="str">
        <f>IF(ISNA(MATCH(A363,Data!B:B,0)),"",INDEX(Data!J:J,MATCH(A363,Data!B:B,1))) &amp; ""</f>
        <v/>
      </c>
      <c r="Q363" s="126" t="str">
        <f>IF(S363="T",Charts!$X$7,IF(ISNA(MATCH(A363,Data!B:B,0)),"",INDEX(Data!K:K,MATCH(A363,Data!B:B,1)))) &amp; ""</f>
        <v/>
      </c>
      <c r="R363" s="134"/>
      <c r="S363" s="134"/>
      <c r="T363" s="127" t="str">
        <f>IF(ISNA(MATCH(A363,Data!B:B,0)),"",INDEX(Data!#REF!,MATCH(A363,Data!B:B,1))) &amp; ""</f>
        <v/>
      </c>
      <c r="AF363" s="24" t="str">
        <f>IF(C363="","",INDEX(Workouts!B:B,MATCH(C363,Workouts!A:A,0)))</f>
        <v/>
      </c>
      <c r="AG363" s="24" t="str">
        <f>IF(SUMIF(Data!B:B,A363,Data!D:D)=0,"",SUMIF(Data!B:B,A363,Data!D:D))</f>
        <v/>
      </c>
      <c r="AH363" s="25" t="str">
        <f>IF(C363="","",INDEX(Workouts!C:C,MATCH(C363,Workouts!A:A,0)))</f>
        <v/>
      </c>
      <c r="AI363" s="68" t="str">
        <f>IF(SUMIF(Data!B:B,A363,Data!F:F)=0,"",SUMIF(Data!B:B,A363,Data!F:F))</f>
        <v/>
      </c>
      <c r="AJ363" s="68">
        <f>AJ362+ (IF(AH363="",0,AH363)-AJ362)/Charts!$X$5</f>
        <v>4.1451359450019742E-23</v>
      </c>
      <c r="AK363" s="68">
        <f>AK362+ (IF(AI363="",0,AI363)-AK362)/Charts!$X$5</f>
        <v>4.1451359450019742E-23</v>
      </c>
      <c r="AL363" s="68">
        <f>AL362+ (IF(AH363="",0,AH363)-AL362)/Charts!$X$6</f>
        <v>9.169404500329173E-3</v>
      </c>
      <c r="AM363" s="68">
        <f>AM362+ (IF(AI363="",0,AI363)-AM362)/Charts!$X$6</f>
        <v>9.169404500329173E-3</v>
      </c>
      <c r="AN363" s="68" t="str">
        <f t="shared" si="78"/>
        <v>0</v>
      </c>
      <c r="AO363" s="68" t="str">
        <f t="shared" si="79"/>
        <v>0</v>
      </c>
      <c r="AP363" s="69" t="str">
        <f>IF(C363="","",INDEX(Workouts!D:D,MATCH(C363,Workouts!A:A,0)))</f>
        <v/>
      </c>
      <c r="AQ363" s="69" t="str">
        <f>IF(ISNA(MATCH(A363,Data!B:B,0)),"",INDEX(Data!G:G,MATCH(A363,Data!B:B,1)))</f>
        <v/>
      </c>
    </row>
    <row r="364" spans="1:43" s="1" customFormat="1" x14ac:dyDescent="0.2">
      <c r="A364" s="125">
        <f t="shared" si="77"/>
        <v>44559</v>
      </c>
      <c r="B364" s="126" t="str">
        <f t="shared" si="76"/>
        <v>Wed</v>
      </c>
      <c r="C364" s="140"/>
      <c r="D364" s="128" t="str">
        <f t="shared" si="68"/>
        <v/>
      </c>
      <c r="E364" s="129" t="str">
        <f t="shared" si="69"/>
        <v/>
      </c>
      <c r="F364" s="130" t="str">
        <f>IF(SUMIF(Data!B:B,A364,Data!C:C)=0,"",SUMIF(Data!B:B,A364,Data!C:C))</f>
        <v/>
      </c>
      <c r="G364" s="126" t="str">
        <f>IF(OR(S364="T",S364="RUN",SUMIF(Data!B:B,A364,Data!E:E)=0),"",SUMIF(Data!B:B,A364,Data!E:E))</f>
        <v/>
      </c>
      <c r="H364" s="126" t="str">
        <f t="shared" si="70"/>
        <v/>
      </c>
      <c r="I364" s="131" t="str">
        <f t="shared" si="71"/>
        <v>0 (0)</v>
      </c>
      <c r="J364" s="131" t="str">
        <f t="shared" si="72"/>
        <v>0 (0)</v>
      </c>
      <c r="K364" s="131" t="str">
        <f t="shared" si="73"/>
        <v>0 (0)</v>
      </c>
      <c r="L364" s="132" t="str">
        <f t="shared" si="74"/>
        <v/>
      </c>
      <c r="M364" s="131" t="str">
        <f t="shared" si="75"/>
        <v/>
      </c>
      <c r="N364" s="126" t="str">
        <f>IF(ISNA(MATCH(A364,Data!B:B,0)),"",INDEX(Data!H:H,MATCH(A364,Data!B:B,1))) &amp; ""</f>
        <v/>
      </c>
      <c r="O364" s="126" t="str">
        <f>IF(ISNA(MATCH(A364,Data!B:B,0)),"",INDEX(Data!I:I,MATCH(A364,Data!B:B,1))) &amp; ""</f>
        <v/>
      </c>
      <c r="P364" s="133" t="str">
        <f>IF(ISNA(MATCH(A364,Data!B:B,0)),"",INDEX(Data!J:J,MATCH(A364,Data!B:B,1))) &amp; ""</f>
        <v/>
      </c>
      <c r="Q364" s="126" t="str">
        <f>IF(S364="T",Charts!$X$7,IF(ISNA(MATCH(A364,Data!B:B,0)),"",INDEX(Data!K:K,MATCH(A364,Data!B:B,1)))) &amp; ""</f>
        <v/>
      </c>
      <c r="R364" s="134"/>
      <c r="S364" s="134"/>
      <c r="T364" s="127" t="str">
        <f>IF(ISNA(MATCH(A364,Data!B:B,0)),"",INDEX(Data!#REF!,MATCH(A364,Data!B:B,1))) &amp; ""</f>
        <v/>
      </c>
      <c r="AF364" s="24" t="str">
        <f>IF(C364="","",INDEX(Workouts!B:B,MATCH(C364,Workouts!A:A,0)))</f>
        <v/>
      </c>
      <c r="AG364" s="24" t="str">
        <f>IF(SUMIF(Data!B:B,A364,Data!D:D)=0,"",SUMIF(Data!B:B,A364,Data!D:D))</f>
        <v/>
      </c>
      <c r="AH364" s="25" t="str">
        <f>IF(C364="","",INDEX(Workouts!C:C,MATCH(C364,Workouts!A:A,0)))</f>
        <v/>
      </c>
      <c r="AI364" s="68" t="str">
        <f>IF(SUMIF(Data!B:B,A364,Data!F:F)=0,"",SUMIF(Data!B:B,A364,Data!F:F))</f>
        <v/>
      </c>
      <c r="AJ364" s="68">
        <f>AJ363+ (IF(AH364="",0,AH364)-AJ363)/Charts!$X$5</f>
        <v>3.5529736671445493E-23</v>
      </c>
      <c r="AK364" s="68">
        <f>AK363+ (IF(AI364="",0,AI364)-AK363)/Charts!$X$5</f>
        <v>3.5529736671445493E-23</v>
      </c>
      <c r="AL364" s="68">
        <f>AL363+ (IF(AH364="",0,AH364)-AL363)/Charts!$X$6</f>
        <v>8.951085345559431E-3</v>
      </c>
      <c r="AM364" s="68">
        <f>AM363+ (IF(AI364="",0,AI364)-AM363)/Charts!$X$6</f>
        <v>8.951085345559431E-3</v>
      </c>
      <c r="AN364" s="68" t="str">
        <f t="shared" si="78"/>
        <v>0</v>
      </c>
      <c r="AO364" s="68" t="str">
        <f t="shared" si="79"/>
        <v>0</v>
      </c>
      <c r="AP364" s="69" t="str">
        <f>IF(C364="","",INDEX(Workouts!D:D,MATCH(C364,Workouts!A:A,0)))</f>
        <v/>
      </c>
      <c r="AQ364" s="69" t="str">
        <f>IF(ISNA(MATCH(A364,Data!B:B,0)),"",INDEX(Data!G:G,MATCH(A364,Data!B:B,1)))</f>
        <v/>
      </c>
    </row>
    <row r="365" spans="1:43" s="1" customFormat="1" x14ac:dyDescent="0.2">
      <c r="A365" s="125">
        <f t="shared" si="77"/>
        <v>44560</v>
      </c>
      <c r="B365" s="126" t="str">
        <f t="shared" si="76"/>
        <v>Thu</v>
      </c>
      <c r="C365" s="140"/>
      <c r="D365" s="128" t="str">
        <f t="shared" si="68"/>
        <v/>
      </c>
      <c r="E365" s="129" t="str">
        <f t="shared" si="69"/>
        <v/>
      </c>
      <c r="F365" s="130" t="str">
        <f>IF(SUMIF(Data!B:B,A365,Data!C:C)=0,"",SUMIF(Data!B:B,A365,Data!C:C))</f>
        <v/>
      </c>
      <c r="G365" s="126" t="str">
        <f>IF(OR(S365="T",S365="RUN",SUMIF(Data!B:B,A365,Data!E:E)=0),"",SUMIF(Data!B:B,A365,Data!E:E))</f>
        <v/>
      </c>
      <c r="H365" s="126" t="str">
        <f t="shared" si="70"/>
        <v/>
      </c>
      <c r="I365" s="131" t="str">
        <f t="shared" si="71"/>
        <v>0 (0)</v>
      </c>
      <c r="J365" s="131" t="str">
        <f t="shared" si="72"/>
        <v>0 (0)</v>
      </c>
      <c r="K365" s="131" t="str">
        <f t="shared" si="73"/>
        <v>0 (0)</v>
      </c>
      <c r="L365" s="132" t="str">
        <f t="shared" si="74"/>
        <v/>
      </c>
      <c r="M365" s="131" t="str">
        <f t="shared" si="75"/>
        <v/>
      </c>
      <c r="N365" s="126" t="str">
        <f>IF(ISNA(MATCH(A365,Data!B:B,0)),"",INDEX(Data!H:H,MATCH(A365,Data!B:B,1))) &amp; ""</f>
        <v/>
      </c>
      <c r="O365" s="126" t="str">
        <f>IF(ISNA(MATCH(A365,Data!B:B,0)),"",INDEX(Data!I:I,MATCH(A365,Data!B:B,1))) &amp; ""</f>
        <v/>
      </c>
      <c r="P365" s="133" t="str">
        <f>IF(ISNA(MATCH(A365,Data!B:B,0)),"",INDEX(Data!J:J,MATCH(A365,Data!B:B,1))) &amp; ""</f>
        <v/>
      </c>
      <c r="Q365" s="126" t="str">
        <f>IF(S365="T",Charts!$X$7,IF(ISNA(MATCH(A365,Data!B:B,0)),"",INDEX(Data!K:K,MATCH(A365,Data!B:B,1)))) &amp; ""</f>
        <v/>
      </c>
      <c r="R365" s="134"/>
      <c r="S365" s="134"/>
      <c r="T365" s="127" t="str">
        <f>IF(ISNA(MATCH(A365,Data!B:B,0)),"",INDEX(Data!#REF!,MATCH(A365,Data!B:B,1))) &amp; ""</f>
        <v/>
      </c>
      <c r="AF365" s="24" t="str">
        <f>IF(C365="","",INDEX(Workouts!B:B,MATCH(C365,Workouts!A:A,0)))</f>
        <v/>
      </c>
      <c r="AG365" s="24" t="str">
        <f>IF(SUMIF(Data!B:B,A365,Data!D:D)=0,"",SUMIF(Data!B:B,A365,Data!D:D))</f>
        <v/>
      </c>
      <c r="AH365" s="25" t="str">
        <f>IF(C365="","",INDEX(Workouts!C:C,MATCH(C365,Workouts!A:A,0)))</f>
        <v/>
      </c>
      <c r="AI365" s="68" t="str">
        <f>IF(SUMIF(Data!B:B,A365,Data!F:F)=0,"",SUMIF(Data!B:B,A365,Data!F:F))</f>
        <v/>
      </c>
      <c r="AJ365" s="68">
        <f>AJ364+ (IF(AH365="",0,AH365)-AJ364)/Charts!$X$5</f>
        <v>3.0454060004096136E-23</v>
      </c>
      <c r="AK365" s="68">
        <f>AK364+ (IF(AI365="",0,AI365)-AK364)/Charts!$X$5</f>
        <v>3.0454060004096136E-23</v>
      </c>
      <c r="AL365" s="68">
        <f>AL364+ (IF(AH365="",0,AH365)-AL364)/Charts!$X$6</f>
        <v>8.7379642659032534E-3</v>
      </c>
      <c r="AM365" s="68">
        <f>AM364+ (IF(AI365="",0,AI365)-AM364)/Charts!$X$6</f>
        <v>8.7379642659032534E-3</v>
      </c>
      <c r="AN365" s="68" t="str">
        <f t="shared" si="78"/>
        <v>0</v>
      </c>
      <c r="AO365" s="68" t="str">
        <f t="shared" si="79"/>
        <v>0</v>
      </c>
      <c r="AP365" s="69" t="str">
        <f>IF(C365="","",INDEX(Workouts!D:D,MATCH(C365,Workouts!A:A,0)))</f>
        <v/>
      </c>
      <c r="AQ365" s="69" t="str">
        <f>IF(ISNA(MATCH(A365,Data!B:B,0)),"",INDEX(Data!G:G,MATCH(A365,Data!B:B,1)))</f>
        <v/>
      </c>
    </row>
    <row r="366" spans="1:43" s="1" customFormat="1" x14ac:dyDescent="0.2">
      <c r="A366" s="125">
        <f t="shared" si="77"/>
        <v>44561</v>
      </c>
      <c r="B366" s="126" t="str">
        <f>TEXT(A366,"ddd")</f>
        <v>Fri</v>
      </c>
      <c r="C366" s="140"/>
      <c r="D366" s="128" t="str">
        <f t="shared" si="68"/>
        <v/>
      </c>
      <c r="E366" s="129" t="str">
        <f t="shared" si="69"/>
        <v/>
      </c>
      <c r="F366" s="130" t="str">
        <f>IF(SUMIF(Data!B:B,A366,Data!C:C)=0,"",SUMIF(Data!B:B,A366,Data!C:C))</f>
        <v/>
      </c>
      <c r="G366" s="126" t="str">
        <f>IF(OR(S366="T",S366="RUN",SUMIF(Data!B:B,A366,Data!E:E)=0),"",SUMIF(Data!B:B,A366,Data!E:E))</f>
        <v/>
      </c>
      <c r="H366" s="126" t="str">
        <f t="shared" si="70"/>
        <v/>
      </c>
      <c r="I366" s="131" t="str">
        <f t="shared" si="71"/>
        <v>0 (0)</v>
      </c>
      <c r="J366" s="131" t="str">
        <f t="shared" si="72"/>
        <v>0 (0)</v>
      </c>
      <c r="K366" s="131" t="str">
        <f t="shared" si="73"/>
        <v>0 (0)</v>
      </c>
      <c r="L366" s="132" t="str">
        <f t="shared" si="74"/>
        <v/>
      </c>
      <c r="M366" s="131" t="str">
        <f t="shared" si="75"/>
        <v/>
      </c>
      <c r="N366" s="126" t="str">
        <f>IF(ISNA(MATCH(A366,Data!B:B,0)),"",INDEX(Data!H:H,MATCH(A366,Data!B:B,1))) &amp; ""</f>
        <v/>
      </c>
      <c r="O366" s="126" t="str">
        <f>IF(ISNA(MATCH(A366,Data!B:B,0)),"",INDEX(Data!I:I,MATCH(A366,Data!B:B,1))) &amp; ""</f>
        <v/>
      </c>
      <c r="P366" s="133" t="str">
        <f>IF(ISNA(MATCH(A366,Data!B:B,0)),"",INDEX(Data!J:J,MATCH(A366,Data!B:B,1))) &amp; ""</f>
        <v/>
      </c>
      <c r="Q366" s="126" t="str">
        <f>IF(S366="T",Charts!$X$7,IF(ISNA(MATCH(A366,Data!B:B,0)),"",INDEX(Data!K:K,MATCH(A366,Data!B:B,1)))) &amp; ""</f>
        <v/>
      </c>
      <c r="R366" s="134"/>
      <c r="S366" s="134"/>
      <c r="T366" s="127" t="str">
        <f>IF(ISNA(MATCH(A366,Data!B:B,0)),"",INDEX(Data!#REF!,MATCH(A366,Data!B:B,1))) &amp; ""</f>
        <v/>
      </c>
      <c r="AF366" s="24" t="str">
        <f>IF(C366="","",INDEX(Workouts!B:B,MATCH(C366,Workouts!A:A,0)))</f>
        <v/>
      </c>
      <c r="AG366" s="24" t="str">
        <f>IF(SUMIF(Data!B:B,A366,Data!D:D)=0,"",SUMIF(Data!B:B,A366,Data!D:D))</f>
        <v/>
      </c>
      <c r="AH366" s="25" t="str">
        <f>IF(C366="","",INDEX(Workouts!C:C,MATCH(C366,Workouts!A:A,0)))</f>
        <v/>
      </c>
      <c r="AI366" s="68" t="str">
        <f>IF(SUMIF(Data!B:B,A366,Data!F:F)=0,"",SUMIF(Data!B:B,A366,Data!F:F))</f>
        <v/>
      </c>
      <c r="AJ366" s="68">
        <f>AJ365+ (IF(AH366="",0,AH366)-AJ365)/Charts!$X$5</f>
        <v>2.6103480003510973E-23</v>
      </c>
      <c r="AK366" s="68">
        <f>AK365+ (IF(AI366="",0,AI366)-AK365)/Charts!$X$5</f>
        <v>2.6103480003510973E-23</v>
      </c>
      <c r="AL366" s="68">
        <f>AL365+ (IF(AH366="",0,AH366)-AL365)/Charts!$X$6</f>
        <v>8.5299174976674608E-3</v>
      </c>
      <c r="AM366" s="68">
        <f>AM365+ (IF(AI366="",0,AI366)-AM365)/Charts!$X$6</f>
        <v>8.5299174976674608E-3</v>
      </c>
      <c r="AN366" s="68" t="str">
        <f t="shared" si="78"/>
        <v>0</v>
      </c>
      <c r="AO366" s="68" t="str">
        <f t="shared" si="79"/>
        <v>0</v>
      </c>
      <c r="AP366" s="69" t="str">
        <f>IF(C366="","",INDEX(Workouts!D:D,MATCH(C366,Workouts!A:A,0)))</f>
        <v/>
      </c>
      <c r="AQ366" s="69" t="str">
        <f>IF(ISNA(MATCH(A366,Data!B:B,0)),"",INDEX(Data!G:G,MATCH(A366,Data!B:B,1)))</f>
        <v/>
      </c>
    </row>
    <row r="367" spans="1:43" x14ac:dyDescent="0.2">
      <c r="E367" s="16" t="str">
        <f t="shared" ref="E367:E385" si="80">IF(AG367&lt;&gt;"",F367/AG367*60,"")</f>
        <v/>
      </c>
      <c r="G367" s="15"/>
      <c r="H367" s="15" t="str">
        <f t="shared" ref="H367:H384" si="81">IF(G367&lt;&gt;"",INT(G367/F367),"")</f>
        <v/>
      </c>
      <c r="AH367" s="15"/>
      <c r="AJ367" s="15"/>
      <c r="AL367" s="15"/>
      <c r="AP367" s="15"/>
    </row>
    <row r="368" spans="1:43" x14ac:dyDescent="0.2">
      <c r="E368" s="16" t="str">
        <f t="shared" si="80"/>
        <v/>
      </c>
      <c r="G368" s="15"/>
      <c r="H368" s="15" t="str">
        <f t="shared" si="81"/>
        <v/>
      </c>
      <c r="AH368" s="15"/>
      <c r="AJ368" s="15"/>
      <c r="AL368" s="15"/>
      <c r="AP368" s="15"/>
    </row>
    <row r="369" spans="5:42" x14ac:dyDescent="0.2">
      <c r="E369" s="16" t="str">
        <f t="shared" si="80"/>
        <v/>
      </c>
      <c r="G369" s="15"/>
      <c r="H369" s="15" t="str">
        <f t="shared" si="81"/>
        <v/>
      </c>
      <c r="AH369" s="15"/>
      <c r="AJ369" s="15"/>
      <c r="AL369" s="15"/>
      <c r="AP369" s="15"/>
    </row>
    <row r="370" spans="5:42" x14ac:dyDescent="0.2">
      <c r="E370" s="16" t="str">
        <f t="shared" si="80"/>
        <v/>
      </c>
      <c r="G370" s="15"/>
      <c r="H370" s="15" t="str">
        <f t="shared" si="81"/>
        <v/>
      </c>
      <c r="AH370" s="15"/>
      <c r="AJ370" s="15"/>
      <c r="AL370" s="15"/>
      <c r="AP370" s="15"/>
    </row>
    <row r="371" spans="5:42" x14ac:dyDescent="0.2">
      <c r="E371" s="16" t="str">
        <f t="shared" si="80"/>
        <v/>
      </c>
      <c r="G371" s="15"/>
      <c r="H371" s="15" t="str">
        <f t="shared" si="81"/>
        <v/>
      </c>
      <c r="AH371" s="15"/>
      <c r="AJ371" s="15"/>
      <c r="AL371" s="15"/>
      <c r="AP371" s="15"/>
    </row>
    <row r="372" spans="5:42" x14ac:dyDescent="0.2">
      <c r="E372" s="16" t="str">
        <f t="shared" si="80"/>
        <v/>
      </c>
      <c r="G372" s="15"/>
      <c r="H372" s="15" t="str">
        <f t="shared" si="81"/>
        <v/>
      </c>
      <c r="AH372" s="15"/>
      <c r="AJ372" s="15"/>
      <c r="AL372" s="15"/>
      <c r="AP372" s="15"/>
    </row>
    <row r="373" spans="5:42" x14ac:dyDescent="0.2">
      <c r="E373" s="16" t="str">
        <f t="shared" si="80"/>
        <v/>
      </c>
      <c r="G373" s="15"/>
      <c r="H373" s="15" t="str">
        <f t="shared" si="81"/>
        <v/>
      </c>
      <c r="AH373" s="15"/>
      <c r="AJ373" s="15"/>
      <c r="AL373" s="15"/>
      <c r="AP373" s="15"/>
    </row>
    <row r="374" spans="5:42" x14ac:dyDescent="0.2">
      <c r="E374" s="16" t="str">
        <f t="shared" si="80"/>
        <v/>
      </c>
      <c r="G374" s="15"/>
      <c r="H374" s="15" t="str">
        <f t="shared" si="81"/>
        <v/>
      </c>
      <c r="AH374" s="15"/>
      <c r="AJ374" s="15"/>
      <c r="AL374" s="15"/>
      <c r="AP374" s="15"/>
    </row>
    <row r="375" spans="5:42" x14ac:dyDescent="0.2">
      <c r="E375" s="16" t="str">
        <f t="shared" si="80"/>
        <v/>
      </c>
      <c r="G375" s="15"/>
      <c r="H375" s="15" t="str">
        <f t="shared" si="81"/>
        <v/>
      </c>
      <c r="AH375" s="15"/>
      <c r="AJ375" s="15"/>
      <c r="AL375" s="15"/>
      <c r="AP375" s="15"/>
    </row>
    <row r="376" spans="5:42" x14ac:dyDescent="0.2">
      <c r="E376" s="16" t="str">
        <f t="shared" si="80"/>
        <v/>
      </c>
      <c r="G376" s="15"/>
      <c r="H376" s="15" t="str">
        <f t="shared" si="81"/>
        <v/>
      </c>
      <c r="AH376" s="15"/>
      <c r="AJ376" s="15"/>
      <c r="AL376" s="15"/>
      <c r="AP376" s="15"/>
    </row>
    <row r="377" spans="5:42" x14ac:dyDescent="0.2">
      <c r="E377" s="16" t="str">
        <f t="shared" si="80"/>
        <v/>
      </c>
      <c r="G377" s="15"/>
      <c r="H377" s="15" t="str">
        <f t="shared" si="81"/>
        <v/>
      </c>
      <c r="AH377" s="15"/>
      <c r="AJ377" s="15"/>
      <c r="AL377" s="15"/>
      <c r="AP377" s="15"/>
    </row>
    <row r="378" spans="5:42" x14ac:dyDescent="0.2">
      <c r="E378" s="16" t="str">
        <f t="shared" si="80"/>
        <v/>
      </c>
      <c r="G378" s="15"/>
      <c r="H378" s="15" t="str">
        <f t="shared" si="81"/>
        <v/>
      </c>
      <c r="AH378" s="15"/>
      <c r="AJ378" s="15"/>
      <c r="AL378" s="15"/>
      <c r="AP378" s="15"/>
    </row>
    <row r="379" spans="5:42" x14ac:dyDescent="0.2">
      <c r="E379" s="16" t="str">
        <f t="shared" si="80"/>
        <v/>
      </c>
      <c r="G379" s="15"/>
      <c r="H379" s="15" t="str">
        <f t="shared" si="81"/>
        <v/>
      </c>
      <c r="AH379" s="15"/>
      <c r="AJ379" s="15"/>
      <c r="AL379" s="15"/>
      <c r="AP379" s="15"/>
    </row>
    <row r="380" spans="5:42" x14ac:dyDescent="0.2">
      <c r="E380" s="16" t="str">
        <f t="shared" si="80"/>
        <v/>
      </c>
      <c r="G380" s="15"/>
      <c r="H380" s="15" t="str">
        <f t="shared" si="81"/>
        <v/>
      </c>
      <c r="AH380" s="15"/>
      <c r="AJ380" s="15"/>
      <c r="AL380" s="15"/>
      <c r="AP380" s="15"/>
    </row>
    <row r="381" spans="5:42" x14ac:dyDescent="0.2">
      <c r="E381" s="16" t="str">
        <f t="shared" si="80"/>
        <v/>
      </c>
      <c r="G381" s="15"/>
      <c r="H381" s="15" t="str">
        <f t="shared" si="81"/>
        <v/>
      </c>
      <c r="AH381" s="15"/>
      <c r="AJ381" s="15"/>
      <c r="AL381" s="15"/>
      <c r="AP381" s="15"/>
    </row>
    <row r="382" spans="5:42" x14ac:dyDescent="0.2">
      <c r="E382" s="16" t="str">
        <f t="shared" si="80"/>
        <v/>
      </c>
      <c r="G382" s="15"/>
      <c r="H382" s="15" t="str">
        <f t="shared" si="81"/>
        <v/>
      </c>
      <c r="AH382" s="15"/>
      <c r="AJ382" s="15"/>
      <c r="AL382" s="15"/>
      <c r="AP382" s="15"/>
    </row>
    <row r="383" spans="5:42" x14ac:dyDescent="0.2">
      <c r="E383" s="16" t="str">
        <f t="shared" si="80"/>
        <v/>
      </c>
      <c r="G383" s="15"/>
      <c r="H383" s="15" t="str">
        <f t="shared" si="81"/>
        <v/>
      </c>
      <c r="AH383" s="15"/>
      <c r="AJ383" s="15"/>
      <c r="AL383" s="15"/>
      <c r="AP383" s="15"/>
    </row>
    <row r="384" spans="5:42" x14ac:dyDescent="0.2">
      <c r="E384" s="16" t="str">
        <f t="shared" si="80"/>
        <v/>
      </c>
      <c r="G384" s="15"/>
      <c r="H384" s="15" t="str">
        <f t="shared" si="81"/>
        <v/>
      </c>
      <c r="AH384" s="15"/>
      <c r="AJ384" s="15"/>
      <c r="AL384" s="15"/>
      <c r="AP384" s="15"/>
    </row>
    <row r="385" spans="5:42" x14ac:dyDescent="0.2">
      <c r="E385" s="16" t="str">
        <f t="shared" si="80"/>
        <v/>
      </c>
      <c r="G385" s="15"/>
      <c r="H385" s="15" t="str">
        <f t="shared" ref="H385:H448" si="82">IF(G385&lt;&gt;"",INT(G385/F385),"")</f>
        <v/>
      </c>
      <c r="AH385" s="15"/>
      <c r="AJ385" s="15"/>
      <c r="AL385" s="15"/>
      <c r="AP385" s="15"/>
    </row>
    <row r="386" spans="5:42" x14ac:dyDescent="0.2">
      <c r="E386" s="16" t="str">
        <f t="shared" ref="E386:E449" si="83">IF(AG386&lt;&gt;"",F386/AG386*60,"")</f>
        <v/>
      </c>
      <c r="G386" s="15"/>
      <c r="H386" s="15" t="str">
        <f t="shared" si="82"/>
        <v/>
      </c>
      <c r="AH386" s="15"/>
      <c r="AJ386" s="15"/>
      <c r="AL386" s="15"/>
      <c r="AP386" s="15"/>
    </row>
    <row r="387" spans="5:42" x14ac:dyDescent="0.2">
      <c r="E387" s="16" t="str">
        <f t="shared" si="83"/>
        <v/>
      </c>
      <c r="G387" s="15"/>
      <c r="H387" s="15" t="str">
        <f t="shared" si="82"/>
        <v/>
      </c>
      <c r="AH387" s="15"/>
      <c r="AJ387" s="15"/>
      <c r="AL387" s="15"/>
      <c r="AP387" s="15"/>
    </row>
    <row r="388" spans="5:42" x14ac:dyDescent="0.2">
      <c r="E388" s="16" t="str">
        <f t="shared" si="83"/>
        <v/>
      </c>
      <c r="G388" s="15"/>
      <c r="H388" s="15" t="str">
        <f t="shared" si="82"/>
        <v/>
      </c>
      <c r="AH388" s="15"/>
      <c r="AJ388" s="15"/>
      <c r="AL388" s="15"/>
      <c r="AP388" s="15"/>
    </row>
    <row r="389" spans="5:42" x14ac:dyDescent="0.2">
      <c r="E389" s="16" t="str">
        <f t="shared" si="83"/>
        <v/>
      </c>
      <c r="G389" s="15"/>
      <c r="H389" s="15" t="str">
        <f t="shared" si="82"/>
        <v/>
      </c>
      <c r="AH389" s="15"/>
      <c r="AJ389" s="15"/>
      <c r="AL389" s="15"/>
      <c r="AP389" s="15"/>
    </row>
    <row r="390" spans="5:42" x14ac:dyDescent="0.2">
      <c r="E390" s="16" t="str">
        <f t="shared" si="83"/>
        <v/>
      </c>
      <c r="G390" s="15"/>
      <c r="H390" s="15" t="str">
        <f t="shared" si="82"/>
        <v/>
      </c>
      <c r="AH390" s="15"/>
      <c r="AJ390" s="15"/>
      <c r="AL390" s="15"/>
      <c r="AP390" s="15"/>
    </row>
    <row r="391" spans="5:42" x14ac:dyDescent="0.2">
      <c r="E391" s="16" t="str">
        <f t="shared" si="83"/>
        <v/>
      </c>
      <c r="G391" s="15"/>
      <c r="H391" s="15" t="str">
        <f t="shared" si="82"/>
        <v/>
      </c>
      <c r="AH391" s="15"/>
      <c r="AJ391" s="15"/>
      <c r="AL391" s="15"/>
      <c r="AP391" s="15"/>
    </row>
    <row r="392" spans="5:42" x14ac:dyDescent="0.2">
      <c r="E392" s="16" t="str">
        <f t="shared" si="83"/>
        <v/>
      </c>
      <c r="G392" s="15"/>
      <c r="H392" s="15" t="str">
        <f t="shared" si="82"/>
        <v/>
      </c>
      <c r="AH392" s="15"/>
      <c r="AJ392" s="15"/>
      <c r="AL392" s="15"/>
      <c r="AP392" s="15"/>
    </row>
    <row r="393" spans="5:42" x14ac:dyDescent="0.2">
      <c r="E393" s="16" t="str">
        <f t="shared" si="83"/>
        <v/>
      </c>
      <c r="G393" s="15"/>
      <c r="H393" s="15" t="str">
        <f t="shared" si="82"/>
        <v/>
      </c>
      <c r="AH393" s="15"/>
      <c r="AJ393" s="15"/>
      <c r="AL393" s="15"/>
      <c r="AP393" s="15"/>
    </row>
    <row r="394" spans="5:42" x14ac:dyDescent="0.2">
      <c r="E394" s="16" t="str">
        <f t="shared" si="83"/>
        <v/>
      </c>
      <c r="G394" s="15"/>
      <c r="H394" s="15" t="str">
        <f t="shared" si="82"/>
        <v/>
      </c>
      <c r="AH394" s="15"/>
      <c r="AJ394" s="15"/>
      <c r="AL394" s="15"/>
      <c r="AP394" s="15"/>
    </row>
    <row r="395" spans="5:42" x14ac:dyDescent="0.2">
      <c r="E395" s="16" t="str">
        <f t="shared" si="83"/>
        <v/>
      </c>
      <c r="G395" s="15"/>
      <c r="H395" s="15" t="str">
        <f t="shared" si="82"/>
        <v/>
      </c>
      <c r="AH395" s="15"/>
      <c r="AJ395" s="15"/>
      <c r="AL395" s="15"/>
      <c r="AP395" s="15"/>
    </row>
    <row r="396" spans="5:42" x14ac:dyDescent="0.2">
      <c r="E396" s="16" t="str">
        <f t="shared" si="83"/>
        <v/>
      </c>
      <c r="G396" s="15"/>
      <c r="H396" s="15" t="str">
        <f t="shared" si="82"/>
        <v/>
      </c>
      <c r="AH396" s="15"/>
      <c r="AJ396" s="15"/>
      <c r="AL396" s="15"/>
      <c r="AP396" s="15"/>
    </row>
    <row r="397" spans="5:42" x14ac:dyDescent="0.2">
      <c r="E397" s="16" t="str">
        <f t="shared" si="83"/>
        <v/>
      </c>
      <c r="G397" s="15"/>
      <c r="H397" s="15" t="str">
        <f t="shared" si="82"/>
        <v/>
      </c>
      <c r="AH397" s="15"/>
      <c r="AJ397" s="15"/>
      <c r="AL397" s="15"/>
      <c r="AP397" s="15"/>
    </row>
    <row r="398" spans="5:42" x14ac:dyDescent="0.2">
      <c r="E398" s="16" t="str">
        <f t="shared" si="83"/>
        <v/>
      </c>
      <c r="G398" s="15"/>
      <c r="H398" s="15" t="str">
        <f t="shared" si="82"/>
        <v/>
      </c>
      <c r="AH398" s="15"/>
      <c r="AJ398" s="15"/>
      <c r="AL398" s="15"/>
      <c r="AP398" s="15"/>
    </row>
    <row r="399" spans="5:42" x14ac:dyDescent="0.2">
      <c r="E399" s="16" t="str">
        <f t="shared" si="83"/>
        <v/>
      </c>
      <c r="G399" s="15"/>
      <c r="H399" s="15" t="str">
        <f t="shared" si="82"/>
        <v/>
      </c>
      <c r="AH399" s="15"/>
      <c r="AJ399" s="15"/>
      <c r="AL399" s="15"/>
      <c r="AP399" s="15"/>
    </row>
    <row r="400" spans="5:42" x14ac:dyDescent="0.2">
      <c r="E400" s="16" t="str">
        <f t="shared" si="83"/>
        <v/>
      </c>
      <c r="G400" s="15"/>
      <c r="H400" s="15" t="str">
        <f t="shared" si="82"/>
        <v/>
      </c>
      <c r="AH400" s="15"/>
      <c r="AJ400" s="15"/>
      <c r="AL400" s="15"/>
      <c r="AP400" s="15"/>
    </row>
    <row r="401" spans="5:42" x14ac:dyDescent="0.2">
      <c r="E401" s="16" t="str">
        <f t="shared" si="83"/>
        <v/>
      </c>
      <c r="G401" s="15"/>
      <c r="H401" s="15" t="str">
        <f t="shared" si="82"/>
        <v/>
      </c>
      <c r="AH401" s="15"/>
      <c r="AJ401" s="15"/>
      <c r="AL401" s="15"/>
      <c r="AP401" s="15"/>
    </row>
    <row r="402" spans="5:42" x14ac:dyDescent="0.2">
      <c r="E402" s="16" t="str">
        <f t="shared" si="83"/>
        <v/>
      </c>
      <c r="G402" s="15"/>
      <c r="H402" s="15" t="str">
        <f t="shared" si="82"/>
        <v/>
      </c>
      <c r="AH402" s="15"/>
      <c r="AJ402" s="15"/>
      <c r="AL402" s="15"/>
      <c r="AP402" s="15"/>
    </row>
    <row r="403" spans="5:42" x14ac:dyDescent="0.2">
      <c r="E403" s="16" t="str">
        <f t="shared" si="83"/>
        <v/>
      </c>
      <c r="G403" s="15"/>
      <c r="H403" s="15" t="str">
        <f t="shared" si="82"/>
        <v/>
      </c>
      <c r="AH403" s="15"/>
      <c r="AJ403" s="15"/>
      <c r="AL403" s="15"/>
      <c r="AP403" s="15"/>
    </row>
    <row r="404" spans="5:42" x14ac:dyDescent="0.2">
      <c r="E404" s="16" t="str">
        <f t="shared" si="83"/>
        <v/>
      </c>
      <c r="G404" s="15"/>
      <c r="H404" s="15" t="str">
        <f t="shared" si="82"/>
        <v/>
      </c>
      <c r="AH404" s="15"/>
      <c r="AJ404" s="15"/>
      <c r="AL404" s="15"/>
      <c r="AP404" s="15"/>
    </row>
    <row r="405" spans="5:42" x14ac:dyDescent="0.2">
      <c r="E405" s="16" t="str">
        <f t="shared" si="83"/>
        <v/>
      </c>
      <c r="G405" s="15"/>
      <c r="H405" s="15" t="str">
        <f t="shared" si="82"/>
        <v/>
      </c>
      <c r="AH405" s="15"/>
      <c r="AJ405" s="15"/>
      <c r="AL405" s="15"/>
      <c r="AP405" s="15"/>
    </row>
    <row r="406" spans="5:42" x14ac:dyDescent="0.2">
      <c r="E406" s="16" t="str">
        <f t="shared" si="83"/>
        <v/>
      </c>
      <c r="G406" s="15"/>
      <c r="H406" s="15" t="str">
        <f t="shared" si="82"/>
        <v/>
      </c>
      <c r="AH406" s="15"/>
      <c r="AJ406" s="15"/>
      <c r="AL406" s="15"/>
      <c r="AP406" s="15"/>
    </row>
    <row r="407" spans="5:42" x14ac:dyDescent="0.2">
      <c r="E407" s="16" t="str">
        <f t="shared" si="83"/>
        <v/>
      </c>
      <c r="G407" s="15"/>
      <c r="H407" s="15" t="str">
        <f t="shared" si="82"/>
        <v/>
      </c>
      <c r="AH407" s="15"/>
      <c r="AJ407" s="15"/>
      <c r="AL407" s="15"/>
      <c r="AP407" s="15"/>
    </row>
    <row r="408" spans="5:42" x14ac:dyDescent="0.2">
      <c r="E408" s="16" t="str">
        <f t="shared" si="83"/>
        <v/>
      </c>
      <c r="G408" s="15"/>
      <c r="H408" s="15" t="str">
        <f t="shared" si="82"/>
        <v/>
      </c>
      <c r="AH408" s="15"/>
      <c r="AJ408" s="15"/>
      <c r="AL408" s="15"/>
      <c r="AP408" s="15"/>
    </row>
    <row r="409" spans="5:42" x14ac:dyDescent="0.2">
      <c r="E409" s="16" t="str">
        <f t="shared" si="83"/>
        <v/>
      </c>
      <c r="G409" s="15"/>
      <c r="H409" s="15" t="str">
        <f t="shared" si="82"/>
        <v/>
      </c>
      <c r="AH409" s="15"/>
      <c r="AJ409" s="15"/>
      <c r="AL409" s="15"/>
      <c r="AP409" s="15"/>
    </row>
    <row r="410" spans="5:42" x14ac:dyDescent="0.2">
      <c r="E410" s="16" t="str">
        <f t="shared" si="83"/>
        <v/>
      </c>
      <c r="G410" s="15"/>
      <c r="H410" s="15" t="str">
        <f t="shared" si="82"/>
        <v/>
      </c>
      <c r="AH410" s="15"/>
      <c r="AJ410" s="15"/>
      <c r="AL410" s="15"/>
      <c r="AP410" s="15"/>
    </row>
    <row r="411" spans="5:42" x14ac:dyDescent="0.2">
      <c r="E411" s="16" t="str">
        <f t="shared" si="83"/>
        <v/>
      </c>
      <c r="G411" s="15"/>
      <c r="H411" s="15" t="str">
        <f t="shared" si="82"/>
        <v/>
      </c>
      <c r="AH411" s="15"/>
      <c r="AJ411" s="15"/>
      <c r="AL411" s="15"/>
      <c r="AP411" s="15"/>
    </row>
    <row r="412" spans="5:42" x14ac:dyDescent="0.2">
      <c r="E412" s="16" t="str">
        <f t="shared" si="83"/>
        <v/>
      </c>
      <c r="G412" s="15"/>
      <c r="H412" s="15" t="str">
        <f t="shared" si="82"/>
        <v/>
      </c>
      <c r="AH412" s="15"/>
      <c r="AJ412" s="15"/>
      <c r="AL412" s="15"/>
      <c r="AP412" s="15"/>
    </row>
    <row r="413" spans="5:42" x14ac:dyDescent="0.2">
      <c r="E413" s="16" t="str">
        <f t="shared" si="83"/>
        <v/>
      </c>
      <c r="G413" s="15"/>
      <c r="H413" s="15" t="str">
        <f t="shared" si="82"/>
        <v/>
      </c>
      <c r="AH413" s="15"/>
      <c r="AJ413" s="15"/>
      <c r="AL413" s="15"/>
      <c r="AP413" s="15"/>
    </row>
    <row r="414" spans="5:42" x14ac:dyDescent="0.2">
      <c r="E414" s="16" t="str">
        <f t="shared" si="83"/>
        <v/>
      </c>
      <c r="G414" s="15"/>
      <c r="H414" s="15" t="str">
        <f t="shared" si="82"/>
        <v/>
      </c>
      <c r="AH414" s="15"/>
      <c r="AJ414" s="15"/>
      <c r="AL414" s="15"/>
      <c r="AP414" s="15"/>
    </row>
    <row r="415" spans="5:42" x14ac:dyDescent="0.2">
      <c r="E415" s="16" t="str">
        <f t="shared" si="83"/>
        <v/>
      </c>
      <c r="G415" s="15"/>
      <c r="H415" s="15" t="str">
        <f t="shared" si="82"/>
        <v/>
      </c>
      <c r="AH415" s="15"/>
      <c r="AJ415" s="15"/>
      <c r="AL415" s="15"/>
      <c r="AP415" s="15"/>
    </row>
    <row r="416" spans="5:42" x14ac:dyDescent="0.2">
      <c r="E416" s="16" t="str">
        <f t="shared" si="83"/>
        <v/>
      </c>
      <c r="G416" s="15"/>
      <c r="H416" s="15" t="str">
        <f t="shared" si="82"/>
        <v/>
      </c>
      <c r="AH416" s="15"/>
      <c r="AJ416" s="15"/>
      <c r="AL416" s="15"/>
      <c r="AP416" s="15"/>
    </row>
    <row r="417" spans="5:42" x14ac:dyDescent="0.2">
      <c r="E417" s="16" t="str">
        <f t="shared" si="83"/>
        <v/>
      </c>
      <c r="G417" s="15"/>
      <c r="H417" s="15" t="str">
        <f t="shared" si="82"/>
        <v/>
      </c>
      <c r="AH417" s="15"/>
      <c r="AJ417" s="15"/>
      <c r="AL417" s="15"/>
      <c r="AP417" s="15"/>
    </row>
    <row r="418" spans="5:42" x14ac:dyDescent="0.2">
      <c r="E418" s="16" t="str">
        <f t="shared" si="83"/>
        <v/>
      </c>
      <c r="G418" s="15"/>
      <c r="H418" s="15" t="str">
        <f t="shared" si="82"/>
        <v/>
      </c>
      <c r="AH418" s="15"/>
      <c r="AJ418" s="15"/>
      <c r="AL418" s="15"/>
      <c r="AP418" s="15"/>
    </row>
    <row r="419" spans="5:42" x14ac:dyDescent="0.2">
      <c r="E419" s="16" t="str">
        <f t="shared" si="83"/>
        <v/>
      </c>
      <c r="G419" s="15"/>
      <c r="H419" s="15" t="str">
        <f t="shared" si="82"/>
        <v/>
      </c>
      <c r="AH419" s="15"/>
      <c r="AJ419" s="15"/>
      <c r="AL419" s="15"/>
      <c r="AP419" s="15"/>
    </row>
    <row r="420" spans="5:42" x14ac:dyDescent="0.2">
      <c r="E420" s="16" t="str">
        <f t="shared" si="83"/>
        <v/>
      </c>
      <c r="G420" s="15"/>
      <c r="H420" s="15" t="str">
        <f t="shared" si="82"/>
        <v/>
      </c>
      <c r="AH420" s="15"/>
      <c r="AJ420" s="15"/>
      <c r="AL420" s="15"/>
      <c r="AP420" s="15"/>
    </row>
    <row r="421" spans="5:42" x14ac:dyDescent="0.2">
      <c r="E421" s="16" t="str">
        <f t="shared" si="83"/>
        <v/>
      </c>
      <c r="G421" s="15"/>
      <c r="H421" s="15" t="str">
        <f t="shared" si="82"/>
        <v/>
      </c>
      <c r="AH421" s="15"/>
      <c r="AJ421" s="15"/>
      <c r="AL421" s="15"/>
      <c r="AP421" s="15"/>
    </row>
    <row r="422" spans="5:42" x14ac:dyDescent="0.2">
      <c r="E422" s="16" t="str">
        <f t="shared" si="83"/>
        <v/>
      </c>
      <c r="G422" s="15"/>
      <c r="H422" s="15" t="str">
        <f t="shared" si="82"/>
        <v/>
      </c>
      <c r="AH422" s="15"/>
      <c r="AJ422" s="15"/>
      <c r="AL422" s="15"/>
      <c r="AP422" s="15"/>
    </row>
    <row r="423" spans="5:42" x14ac:dyDescent="0.2">
      <c r="E423" s="16" t="str">
        <f t="shared" si="83"/>
        <v/>
      </c>
      <c r="G423" s="15"/>
      <c r="H423" s="15" t="str">
        <f t="shared" si="82"/>
        <v/>
      </c>
      <c r="AH423" s="15"/>
      <c r="AJ423" s="15"/>
      <c r="AL423" s="15"/>
      <c r="AP423" s="15"/>
    </row>
    <row r="424" spans="5:42" x14ac:dyDescent="0.2">
      <c r="E424" s="16" t="str">
        <f t="shared" si="83"/>
        <v/>
      </c>
      <c r="G424" s="15"/>
      <c r="H424" s="15" t="str">
        <f t="shared" si="82"/>
        <v/>
      </c>
      <c r="AH424" s="15"/>
      <c r="AJ424" s="15"/>
      <c r="AL424" s="15"/>
      <c r="AP424" s="15"/>
    </row>
    <row r="425" spans="5:42" x14ac:dyDescent="0.2">
      <c r="E425" s="16" t="str">
        <f t="shared" si="83"/>
        <v/>
      </c>
      <c r="G425" s="15"/>
      <c r="H425" s="15" t="str">
        <f t="shared" si="82"/>
        <v/>
      </c>
      <c r="AH425" s="15"/>
      <c r="AJ425" s="15"/>
      <c r="AL425" s="15"/>
      <c r="AP425" s="15"/>
    </row>
    <row r="426" spans="5:42" x14ac:dyDescent="0.2">
      <c r="E426" s="16" t="str">
        <f t="shared" si="83"/>
        <v/>
      </c>
      <c r="G426" s="15"/>
      <c r="H426" s="15" t="str">
        <f t="shared" si="82"/>
        <v/>
      </c>
      <c r="AH426" s="15"/>
      <c r="AJ426" s="15"/>
      <c r="AL426" s="15"/>
      <c r="AP426" s="15"/>
    </row>
    <row r="427" spans="5:42" x14ac:dyDescent="0.2">
      <c r="E427" s="16" t="str">
        <f t="shared" si="83"/>
        <v/>
      </c>
      <c r="G427" s="15"/>
      <c r="H427" s="15" t="str">
        <f t="shared" si="82"/>
        <v/>
      </c>
      <c r="AH427" s="15"/>
      <c r="AJ427" s="15"/>
      <c r="AL427" s="15"/>
      <c r="AP427" s="15"/>
    </row>
    <row r="428" spans="5:42" x14ac:dyDescent="0.2">
      <c r="E428" s="16" t="str">
        <f t="shared" si="83"/>
        <v/>
      </c>
      <c r="G428" s="15"/>
      <c r="H428" s="15" t="str">
        <f t="shared" si="82"/>
        <v/>
      </c>
      <c r="AH428" s="15"/>
      <c r="AJ428" s="15"/>
      <c r="AL428" s="15"/>
      <c r="AP428" s="15"/>
    </row>
    <row r="429" spans="5:42" x14ac:dyDescent="0.2">
      <c r="E429" s="16" t="str">
        <f t="shared" si="83"/>
        <v/>
      </c>
      <c r="G429" s="15"/>
      <c r="H429" s="15" t="str">
        <f t="shared" si="82"/>
        <v/>
      </c>
      <c r="AH429" s="15"/>
      <c r="AJ429" s="15"/>
      <c r="AL429" s="15"/>
      <c r="AP429" s="15"/>
    </row>
    <row r="430" spans="5:42" x14ac:dyDescent="0.2">
      <c r="E430" s="16" t="str">
        <f t="shared" si="83"/>
        <v/>
      </c>
      <c r="G430" s="15"/>
      <c r="H430" s="15" t="str">
        <f t="shared" si="82"/>
        <v/>
      </c>
      <c r="AH430" s="15"/>
      <c r="AJ430" s="15"/>
      <c r="AL430" s="15"/>
      <c r="AP430" s="15"/>
    </row>
    <row r="431" spans="5:42" x14ac:dyDescent="0.2">
      <c r="E431" s="16" t="str">
        <f t="shared" si="83"/>
        <v/>
      </c>
      <c r="G431" s="15"/>
      <c r="H431" s="15" t="str">
        <f t="shared" si="82"/>
        <v/>
      </c>
      <c r="AH431" s="15"/>
      <c r="AJ431" s="15"/>
      <c r="AL431" s="15"/>
      <c r="AP431" s="15"/>
    </row>
    <row r="432" spans="5:42" x14ac:dyDescent="0.2">
      <c r="E432" s="16" t="str">
        <f t="shared" si="83"/>
        <v/>
      </c>
      <c r="G432" s="15"/>
      <c r="H432" s="15" t="str">
        <f t="shared" si="82"/>
        <v/>
      </c>
      <c r="AH432" s="15"/>
      <c r="AJ432" s="15"/>
      <c r="AL432" s="15"/>
      <c r="AP432" s="15"/>
    </row>
    <row r="433" spans="5:42" x14ac:dyDescent="0.2">
      <c r="E433" s="16" t="str">
        <f t="shared" si="83"/>
        <v/>
      </c>
      <c r="G433" s="15"/>
      <c r="H433" s="15" t="str">
        <f t="shared" si="82"/>
        <v/>
      </c>
      <c r="AH433" s="15"/>
      <c r="AJ433" s="15"/>
      <c r="AL433" s="15"/>
      <c r="AP433" s="15"/>
    </row>
    <row r="434" spans="5:42" x14ac:dyDescent="0.2">
      <c r="E434" s="16" t="str">
        <f t="shared" si="83"/>
        <v/>
      </c>
      <c r="G434" s="15"/>
      <c r="H434" s="15" t="str">
        <f t="shared" si="82"/>
        <v/>
      </c>
      <c r="AH434" s="15"/>
      <c r="AJ434" s="15"/>
      <c r="AL434" s="15"/>
      <c r="AP434" s="15"/>
    </row>
    <row r="435" spans="5:42" x14ac:dyDescent="0.2">
      <c r="E435" s="16" t="str">
        <f t="shared" si="83"/>
        <v/>
      </c>
      <c r="G435" s="15"/>
      <c r="H435" s="15" t="str">
        <f t="shared" si="82"/>
        <v/>
      </c>
      <c r="AH435" s="15"/>
      <c r="AJ435" s="15"/>
      <c r="AL435" s="15"/>
      <c r="AP435" s="15"/>
    </row>
    <row r="436" spans="5:42" x14ac:dyDescent="0.2">
      <c r="E436" s="16" t="str">
        <f t="shared" si="83"/>
        <v/>
      </c>
      <c r="G436" s="15"/>
      <c r="H436" s="15" t="str">
        <f t="shared" si="82"/>
        <v/>
      </c>
      <c r="AH436" s="15"/>
      <c r="AJ436" s="15"/>
      <c r="AL436" s="15"/>
      <c r="AP436" s="15"/>
    </row>
    <row r="437" spans="5:42" x14ac:dyDescent="0.2">
      <c r="E437" s="16" t="str">
        <f t="shared" si="83"/>
        <v/>
      </c>
      <c r="G437" s="15"/>
      <c r="H437" s="15" t="str">
        <f t="shared" si="82"/>
        <v/>
      </c>
      <c r="AH437" s="15"/>
      <c r="AJ437" s="15"/>
      <c r="AL437" s="15"/>
      <c r="AP437" s="15"/>
    </row>
    <row r="438" spans="5:42" x14ac:dyDescent="0.2">
      <c r="E438" s="16" t="str">
        <f t="shared" si="83"/>
        <v/>
      </c>
      <c r="G438" s="15"/>
      <c r="H438" s="15" t="str">
        <f t="shared" si="82"/>
        <v/>
      </c>
      <c r="AH438" s="15"/>
      <c r="AJ438" s="15"/>
      <c r="AL438" s="15"/>
      <c r="AP438" s="15"/>
    </row>
    <row r="439" spans="5:42" x14ac:dyDescent="0.2">
      <c r="E439" s="16" t="str">
        <f t="shared" si="83"/>
        <v/>
      </c>
      <c r="G439" s="15"/>
      <c r="H439" s="15" t="str">
        <f t="shared" si="82"/>
        <v/>
      </c>
      <c r="AH439" s="15"/>
      <c r="AJ439" s="15"/>
      <c r="AL439" s="15"/>
      <c r="AP439" s="15"/>
    </row>
    <row r="440" spans="5:42" x14ac:dyDescent="0.2">
      <c r="E440" s="16" t="str">
        <f t="shared" si="83"/>
        <v/>
      </c>
      <c r="G440" s="15"/>
      <c r="H440" s="15" t="str">
        <f t="shared" si="82"/>
        <v/>
      </c>
      <c r="AH440" s="15"/>
      <c r="AJ440" s="15"/>
      <c r="AL440" s="15"/>
      <c r="AP440" s="15"/>
    </row>
    <row r="441" spans="5:42" x14ac:dyDescent="0.2">
      <c r="E441" s="16" t="str">
        <f t="shared" si="83"/>
        <v/>
      </c>
      <c r="G441" s="15"/>
      <c r="H441" s="15" t="str">
        <f t="shared" si="82"/>
        <v/>
      </c>
      <c r="AH441" s="15"/>
      <c r="AJ441" s="15"/>
      <c r="AL441" s="15"/>
      <c r="AP441" s="15"/>
    </row>
    <row r="442" spans="5:42" x14ac:dyDescent="0.2">
      <c r="E442" s="16" t="str">
        <f t="shared" si="83"/>
        <v/>
      </c>
      <c r="G442" s="15"/>
      <c r="H442" s="15" t="str">
        <f t="shared" si="82"/>
        <v/>
      </c>
      <c r="AH442" s="15"/>
      <c r="AJ442" s="15"/>
      <c r="AL442" s="15"/>
      <c r="AP442" s="15"/>
    </row>
    <row r="443" spans="5:42" x14ac:dyDescent="0.2">
      <c r="E443" s="16" t="str">
        <f t="shared" si="83"/>
        <v/>
      </c>
      <c r="G443" s="15"/>
      <c r="H443" s="15" t="str">
        <f t="shared" si="82"/>
        <v/>
      </c>
      <c r="AH443" s="15"/>
      <c r="AJ443" s="15"/>
      <c r="AL443" s="15"/>
      <c r="AP443" s="15"/>
    </row>
    <row r="444" spans="5:42" x14ac:dyDescent="0.2">
      <c r="E444" s="16" t="str">
        <f t="shared" si="83"/>
        <v/>
      </c>
      <c r="G444" s="15"/>
      <c r="H444" s="15" t="str">
        <f t="shared" si="82"/>
        <v/>
      </c>
      <c r="AH444" s="15"/>
      <c r="AJ444" s="15"/>
      <c r="AL444" s="15"/>
      <c r="AP444" s="15"/>
    </row>
    <row r="445" spans="5:42" x14ac:dyDescent="0.2">
      <c r="E445" s="16" t="str">
        <f t="shared" si="83"/>
        <v/>
      </c>
      <c r="G445" s="15"/>
      <c r="H445" s="15" t="str">
        <f t="shared" si="82"/>
        <v/>
      </c>
      <c r="AH445" s="15"/>
      <c r="AJ445" s="15"/>
      <c r="AL445" s="15"/>
      <c r="AP445" s="15"/>
    </row>
    <row r="446" spans="5:42" x14ac:dyDescent="0.2">
      <c r="E446" s="16" t="str">
        <f t="shared" si="83"/>
        <v/>
      </c>
      <c r="G446" s="15"/>
      <c r="H446" s="15" t="str">
        <f t="shared" si="82"/>
        <v/>
      </c>
      <c r="AH446" s="15"/>
      <c r="AJ446" s="15"/>
      <c r="AL446" s="15"/>
      <c r="AP446" s="15"/>
    </row>
    <row r="447" spans="5:42" x14ac:dyDescent="0.2">
      <c r="E447" s="16" t="str">
        <f t="shared" si="83"/>
        <v/>
      </c>
      <c r="G447" s="15"/>
      <c r="H447" s="15" t="str">
        <f t="shared" si="82"/>
        <v/>
      </c>
      <c r="AH447" s="15"/>
      <c r="AJ447" s="15"/>
      <c r="AL447" s="15"/>
      <c r="AP447" s="15"/>
    </row>
    <row r="448" spans="5:42" x14ac:dyDescent="0.2">
      <c r="E448" s="16" t="str">
        <f t="shared" si="83"/>
        <v/>
      </c>
      <c r="G448" s="15"/>
      <c r="H448" s="15" t="str">
        <f t="shared" si="82"/>
        <v/>
      </c>
      <c r="AH448" s="15"/>
      <c r="AJ448" s="15"/>
      <c r="AL448" s="15"/>
      <c r="AP448" s="15"/>
    </row>
    <row r="449" spans="5:42" x14ac:dyDescent="0.2">
      <c r="E449" s="16" t="str">
        <f t="shared" si="83"/>
        <v/>
      </c>
      <c r="G449" s="15"/>
      <c r="H449" s="15" t="str">
        <f t="shared" ref="H449:H512" si="84">IF(G449&lt;&gt;"",INT(G449/F449),"")</f>
        <v/>
      </c>
      <c r="AH449" s="15"/>
      <c r="AJ449" s="15"/>
      <c r="AL449" s="15"/>
      <c r="AP449" s="15"/>
    </row>
    <row r="450" spans="5:42" x14ac:dyDescent="0.2">
      <c r="E450" s="16" t="str">
        <f t="shared" ref="E450:E513" si="85">IF(AG450&lt;&gt;"",F450/AG450*60,"")</f>
        <v/>
      </c>
      <c r="G450" s="15"/>
      <c r="H450" s="15" t="str">
        <f t="shared" si="84"/>
        <v/>
      </c>
      <c r="AH450" s="15"/>
      <c r="AJ450" s="15"/>
      <c r="AL450" s="15"/>
      <c r="AP450" s="15"/>
    </row>
    <row r="451" spans="5:42" x14ac:dyDescent="0.2">
      <c r="E451" s="16" t="str">
        <f t="shared" si="85"/>
        <v/>
      </c>
      <c r="G451" s="15"/>
      <c r="H451" s="15" t="str">
        <f t="shared" si="84"/>
        <v/>
      </c>
      <c r="AH451" s="15"/>
      <c r="AJ451" s="15"/>
      <c r="AL451" s="15"/>
      <c r="AP451" s="15"/>
    </row>
    <row r="452" spans="5:42" x14ac:dyDescent="0.2">
      <c r="E452" s="16" t="str">
        <f t="shared" si="85"/>
        <v/>
      </c>
      <c r="G452" s="15"/>
      <c r="H452" s="15" t="str">
        <f t="shared" si="84"/>
        <v/>
      </c>
      <c r="AH452" s="15"/>
      <c r="AJ452" s="15"/>
      <c r="AL452" s="15"/>
      <c r="AP452" s="15"/>
    </row>
    <row r="453" spans="5:42" x14ac:dyDescent="0.2">
      <c r="E453" s="16" t="str">
        <f t="shared" si="85"/>
        <v/>
      </c>
      <c r="G453" s="15"/>
      <c r="H453" s="15" t="str">
        <f t="shared" si="84"/>
        <v/>
      </c>
      <c r="AH453" s="15"/>
      <c r="AJ453" s="15"/>
      <c r="AL453" s="15"/>
      <c r="AP453" s="15"/>
    </row>
    <row r="454" spans="5:42" x14ac:dyDescent="0.2">
      <c r="E454" s="16" t="str">
        <f t="shared" si="85"/>
        <v/>
      </c>
      <c r="G454" s="15"/>
      <c r="H454" s="15" t="str">
        <f t="shared" si="84"/>
        <v/>
      </c>
      <c r="AH454" s="15"/>
      <c r="AJ454" s="15"/>
      <c r="AL454" s="15"/>
      <c r="AP454" s="15"/>
    </row>
    <row r="455" spans="5:42" x14ac:dyDescent="0.2">
      <c r="E455" s="16" t="str">
        <f t="shared" si="85"/>
        <v/>
      </c>
      <c r="G455" s="15"/>
      <c r="H455" s="15" t="str">
        <f t="shared" si="84"/>
        <v/>
      </c>
      <c r="AH455" s="15"/>
      <c r="AJ455" s="15"/>
      <c r="AL455" s="15"/>
      <c r="AP455" s="15"/>
    </row>
    <row r="456" spans="5:42" x14ac:dyDescent="0.2">
      <c r="E456" s="16" t="str">
        <f t="shared" si="85"/>
        <v/>
      </c>
      <c r="G456" s="15"/>
      <c r="H456" s="15" t="str">
        <f t="shared" si="84"/>
        <v/>
      </c>
      <c r="AH456" s="15"/>
      <c r="AJ456" s="15"/>
      <c r="AL456" s="15"/>
      <c r="AP456" s="15"/>
    </row>
    <row r="457" spans="5:42" x14ac:dyDescent="0.2">
      <c r="E457" s="16" t="str">
        <f t="shared" si="85"/>
        <v/>
      </c>
      <c r="G457" s="15"/>
      <c r="H457" s="15" t="str">
        <f t="shared" si="84"/>
        <v/>
      </c>
      <c r="AH457" s="15"/>
      <c r="AJ457" s="15"/>
      <c r="AL457" s="15"/>
      <c r="AP457" s="15"/>
    </row>
    <row r="458" spans="5:42" x14ac:dyDescent="0.2">
      <c r="E458" s="16" t="str">
        <f t="shared" si="85"/>
        <v/>
      </c>
      <c r="G458" s="15"/>
      <c r="H458" s="15" t="str">
        <f t="shared" si="84"/>
        <v/>
      </c>
      <c r="AH458" s="15"/>
      <c r="AJ458" s="15"/>
      <c r="AL458" s="15"/>
      <c r="AP458" s="15"/>
    </row>
    <row r="459" spans="5:42" x14ac:dyDescent="0.2">
      <c r="E459" s="16" t="str">
        <f t="shared" si="85"/>
        <v/>
      </c>
      <c r="G459" s="15"/>
      <c r="H459" s="15" t="str">
        <f t="shared" si="84"/>
        <v/>
      </c>
      <c r="AH459" s="15"/>
      <c r="AJ459" s="15"/>
      <c r="AL459" s="15"/>
      <c r="AP459" s="15"/>
    </row>
    <row r="460" spans="5:42" x14ac:dyDescent="0.2">
      <c r="E460" s="16" t="str">
        <f t="shared" si="85"/>
        <v/>
      </c>
      <c r="G460" s="15"/>
      <c r="H460" s="15" t="str">
        <f t="shared" si="84"/>
        <v/>
      </c>
      <c r="AH460" s="15"/>
      <c r="AJ460" s="15"/>
      <c r="AL460" s="15"/>
      <c r="AP460" s="15"/>
    </row>
    <row r="461" spans="5:42" x14ac:dyDescent="0.2">
      <c r="E461" s="16" t="str">
        <f t="shared" si="85"/>
        <v/>
      </c>
      <c r="G461" s="15"/>
      <c r="H461" s="15" t="str">
        <f t="shared" si="84"/>
        <v/>
      </c>
      <c r="AH461" s="15"/>
      <c r="AJ461" s="15"/>
      <c r="AL461" s="15"/>
      <c r="AP461" s="15"/>
    </row>
    <row r="462" spans="5:42" x14ac:dyDescent="0.2">
      <c r="E462" s="16" t="str">
        <f t="shared" si="85"/>
        <v/>
      </c>
      <c r="G462" s="15"/>
      <c r="H462" s="15" t="str">
        <f t="shared" si="84"/>
        <v/>
      </c>
      <c r="AH462" s="15"/>
      <c r="AJ462" s="15"/>
      <c r="AL462" s="15"/>
      <c r="AP462" s="15"/>
    </row>
    <row r="463" spans="5:42" x14ac:dyDescent="0.2">
      <c r="E463" s="16" t="str">
        <f t="shared" si="85"/>
        <v/>
      </c>
      <c r="G463" s="15"/>
      <c r="H463" s="15" t="str">
        <f t="shared" si="84"/>
        <v/>
      </c>
      <c r="AH463" s="15"/>
      <c r="AJ463" s="15"/>
      <c r="AL463" s="15"/>
      <c r="AP463" s="15"/>
    </row>
    <row r="464" spans="5:42" x14ac:dyDescent="0.2">
      <c r="E464" s="16" t="str">
        <f t="shared" si="85"/>
        <v/>
      </c>
      <c r="G464" s="15"/>
      <c r="H464" s="15" t="str">
        <f t="shared" si="84"/>
        <v/>
      </c>
      <c r="AH464" s="15"/>
      <c r="AJ464" s="15"/>
      <c r="AL464" s="15"/>
      <c r="AP464" s="15"/>
    </row>
    <row r="465" spans="5:42" x14ac:dyDescent="0.2">
      <c r="E465" s="16" t="str">
        <f t="shared" si="85"/>
        <v/>
      </c>
      <c r="G465" s="15"/>
      <c r="H465" s="15" t="str">
        <f t="shared" si="84"/>
        <v/>
      </c>
      <c r="AH465" s="15"/>
      <c r="AJ465" s="15"/>
      <c r="AL465" s="15"/>
      <c r="AP465" s="15"/>
    </row>
    <row r="466" spans="5:42" x14ac:dyDescent="0.2">
      <c r="E466" s="16" t="str">
        <f t="shared" si="85"/>
        <v/>
      </c>
      <c r="G466" s="15"/>
      <c r="H466" s="15" t="str">
        <f t="shared" si="84"/>
        <v/>
      </c>
      <c r="AH466" s="15"/>
      <c r="AJ466" s="15"/>
      <c r="AL466" s="15"/>
      <c r="AP466" s="15"/>
    </row>
    <row r="467" spans="5:42" x14ac:dyDescent="0.2">
      <c r="E467" s="16" t="str">
        <f t="shared" si="85"/>
        <v/>
      </c>
      <c r="G467" s="15"/>
      <c r="H467" s="15" t="str">
        <f t="shared" si="84"/>
        <v/>
      </c>
      <c r="AH467" s="15"/>
      <c r="AJ467" s="15"/>
      <c r="AL467" s="15"/>
      <c r="AP467" s="15"/>
    </row>
    <row r="468" spans="5:42" x14ac:dyDescent="0.2">
      <c r="E468" s="16" t="str">
        <f t="shared" si="85"/>
        <v/>
      </c>
      <c r="G468" s="15"/>
      <c r="H468" s="15" t="str">
        <f t="shared" si="84"/>
        <v/>
      </c>
      <c r="AH468" s="15"/>
      <c r="AJ468" s="15"/>
      <c r="AL468" s="15"/>
      <c r="AP468" s="15"/>
    </row>
    <row r="469" spans="5:42" x14ac:dyDescent="0.2">
      <c r="E469" s="16" t="str">
        <f t="shared" si="85"/>
        <v/>
      </c>
      <c r="G469" s="15"/>
      <c r="H469" s="15" t="str">
        <f t="shared" si="84"/>
        <v/>
      </c>
      <c r="AH469" s="15"/>
      <c r="AJ469" s="15"/>
      <c r="AL469" s="15"/>
      <c r="AP469" s="15"/>
    </row>
    <row r="470" spans="5:42" x14ac:dyDescent="0.2">
      <c r="E470" s="16" t="str">
        <f t="shared" si="85"/>
        <v/>
      </c>
      <c r="G470" s="15"/>
      <c r="H470" s="15" t="str">
        <f t="shared" si="84"/>
        <v/>
      </c>
      <c r="AH470" s="15"/>
      <c r="AJ470" s="15"/>
      <c r="AL470" s="15"/>
      <c r="AP470" s="15"/>
    </row>
    <row r="471" spans="5:42" x14ac:dyDescent="0.2">
      <c r="E471" s="16" t="str">
        <f t="shared" si="85"/>
        <v/>
      </c>
      <c r="G471" s="15"/>
      <c r="H471" s="15" t="str">
        <f t="shared" si="84"/>
        <v/>
      </c>
      <c r="AH471" s="15"/>
      <c r="AJ471" s="15"/>
      <c r="AL471" s="15"/>
      <c r="AP471" s="15"/>
    </row>
    <row r="472" spans="5:42" x14ac:dyDescent="0.2">
      <c r="E472" s="16" t="str">
        <f t="shared" si="85"/>
        <v/>
      </c>
      <c r="G472" s="15"/>
      <c r="H472" s="15" t="str">
        <f t="shared" si="84"/>
        <v/>
      </c>
      <c r="AH472" s="15"/>
      <c r="AJ472" s="15"/>
      <c r="AL472" s="15"/>
      <c r="AP472" s="15"/>
    </row>
    <row r="473" spans="5:42" x14ac:dyDescent="0.2">
      <c r="E473" s="16" t="str">
        <f t="shared" si="85"/>
        <v/>
      </c>
      <c r="G473" s="15"/>
      <c r="H473" s="15" t="str">
        <f t="shared" si="84"/>
        <v/>
      </c>
      <c r="AH473" s="15"/>
      <c r="AJ473" s="15"/>
      <c r="AL473" s="15"/>
      <c r="AP473" s="15"/>
    </row>
    <row r="474" spans="5:42" x14ac:dyDescent="0.2">
      <c r="E474" s="16" t="str">
        <f t="shared" si="85"/>
        <v/>
      </c>
      <c r="G474" s="15"/>
      <c r="H474" s="15" t="str">
        <f t="shared" si="84"/>
        <v/>
      </c>
      <c r="AH474" s="15"/>
      <c r="AJ474" s="15"/>
      <c r="AL474" s="15"/>
      <c r="AP474" s="15"/>
    </row>
    <row r="475" spans="5:42" x14ac:dyDescent="0.2">
      <c r="E475" s="16" t="str">
        <f t="shared" si="85"/>
        <v/>
      </c>
      <c r="G475" s="15"/>
      <c r="H475" s="15" t="str">
        <f t="shared" si="84"/>
        <v/>
      </c>
      <c r="AH475" s="15"/>
      <c r="AJ475" s="15"/>
      <c r="AL475" s="15"/>
      <c r="AP475" s="15"/>
    </row>
    <row r="476" spans="5:42" x14ac:dyDescent="0.2">
      <c r="E476" s="16" t="str">
        <f t="shared" si="85"/>
        <v/>
      </c>
      <c r="G476" s="15"/>
      <c r="H476" s="15" t="str">
        <f t="shared" si="84"/>
        <v/>
      </c>
      <c r="AH476" s="15"/>
      <c r="AJ476" s="15"/>
      <c r="AL476" s="15"/>
      <c r="AP476" s="15"/>
    </row>
    <row r="477" spans="5:42" x14ac:dyDescent="0.2">
      <c r="E477" s="16" t="str">
        <f t="shared" si="85"/>
        <v/>
      </c>
      <c r="G477" s="15"/>
      <c r="H477" s="15" t="str">
        <f t="shared" si="84"/>
        <v/>
      </c>
      <c r="AH477" s="15"/>
      <c r="AJ477" s="15"/>
      <c r="AL477" s="15"/>
      <c r="AP477" s="15"/>
    </row>
    <row r="478" spans="5:42" x14ac:dyDescent="0.2">
      <c r="E478" s="16" t="str">
        <f t="shared" si="85"/>
        <v/>
      </c>
      <c r="G478" s="15"/>
      <c r="H478" s="15" t="str">
        <f t="shared" si="84"/>
        <v/>
      </c>
      <c r="AH478" s="15"/>
      <c r="AJ478" s="15"/>
      <c r="AL478" s="15"/>
      <c r="AP478" s="15"/>
    </row>
    <row r="479" spans="5:42" x14ac:dyDescent="0.2">
      <c r="E479" s="16" t="str">
        <f t="shared" si="85"/>
        <v/>
      </c>
      <c r="G479" s="15"/>
      <c r="H479" s="15" t="str">
        <f t="shared" si="84"/>
        <v/>
      </c>
      <c r="AH479" s="15"/>
      <c r="AJ479" s="15"/>
      <c r="AL479" s="15"/>
      <c r="AP479" s="15"/>
    </row>
    <row r="480" spans="5:42" x14ac:dyDescent="0.2">
      <c r="E480" s="16" t="str">
        <f t="shared" si="85"/>
        <v/>
      </c>
      <c r="G480" s="15"/>
      <c r="H480" s="15" t="str">
        <f t="shared" si="84"/>
        <v/>
      </c>
      <c r="AH480" s="15"/>
      <c r="AJ480" s="15"/>
      <c r="AL480" s="15"/>
      <c r="AP480" s="15"/>
    </row>
    <row r="481" spans="5:42" x14ac:dyDescent="0.2">
      <c r="E481" s="16" t="str">
        <f t="shared" si="85"/>
        <v/>
      </c>
      <c r="G481" s="15"/>
      <c r="H481" s="15" t="str">
        <f t="shared" si="84"/>
        <v/>
      </c>
      <c r="AH481" s="15"/>
      <c r="AJ481" s="15"/>
      <c r="AL481" s="15"/>
      <c r="AP481" s="15"/>
    </row>
    <row r="482" spans="5:42" x14ac:dyDescent="0.2">
      <c r="E482" s="16" t="str">
        <f t="shared" si="85"/>
        <v/>
      </c>
      <c r="G482" s="15"/>
      <c r="H482" s="15" t="str">
        <f t="shared" si="84"/>
        <v/>
      </c>
      <c r="AH482" s="15"/>
      <c r="AJ482" s="15"/>
      <c r="AL482" s="15"/>
      <c r="AP482" s="15"/>
    </row>
    <row r="483" spans="5:42" x14ac:dyDescent="0.2">
      <c r="E483" s="16" t="str">
        <f t="shared" si="85"/>
        <v/>
      </c>
      <c r="G483" s="15"/>
      <c r="H483" s="15" t="str">
        <f t="shared" si="84"/>
        <v/>
      </c>
      <c r="AH483" s="15"/>
      <c r="AJ483" s="15"/>
      <c r="AL483" s="15"/>
      <c r="AP483" s="15"/>
    </row>
    <row r="484" spans="5:42" x14ac:dyDescent="0.2">
      <c r="E484" s="16" t="str">
        <f t="shared" si="85"/>
        <v/>
      </c>
      <c r="G484" s="15"/>
      <c r="H484" s="15" t="str">
        <f t="shared" si="84"/>
        <v/>
      </c>
      <c r="AH484" s="15"/>
      <c r="AJ484" s="15"/>
      <c r="AL484" s="15"/>
      <c r="AP484" s="15"/>
    </row>
    <row r="485" spans="5:42" x14ac:dyDescent="0.2">
      <c r="E485" s="16" t="str">
        <f t="shared" si="85"/>
        <v/>
      </c>
      <c r="G485" s="15"/>
      <c r="H485" s="15" t="str">
        <f t="shared" si="84"/>
        <v/>
      </c>
      <c r="AH485" s="15"/>
      <c r="AJ485" s="15"/>
      <c r="AL485" s="15"/>
      <c r="AP485" s="15"/>
    </row>
    <row r="486" spans="5:42" x14ac:dyDescent="0.2">
      <c r="E486" s="16" t="str">
        <f t="shared" si="85"/>
        <v/>
      </c>
      <c r="G486" s="15"/>
      <c r="H486" s="15" t="str">
        <f t="shared" si="84"/>
        <v/>
      </c>
      <c r="AH486" s="15"/>
      <c r="AJ486" s="15"/>
      <c r="AL486" s="15"/>
      <c r="AP486" s="15"/>
    </row>
    <row r="487" spans="5:42" x14ac:dyDescent="0.2">
      <c r="E487" s="16" t="str">
        <f t="shared" si="85"/>
        <v/>
      </c>
      <c r="G487" s="15"/>
      <c r="H487" s="15" t="str">
        <f t="shared" si="84"/>
        <v/>
      </c>
      <c r="AH487" s="15"/>
      <c r="AJ487" s="15"/>
      <c r="AL487" s="15"/>
      <c r="AP487" s="15"/>
    </row>
    <row r="488" spans="5:42" x14ac:dyDescent="0.2">
      <c r="E488" s="16" t="str">
        <f t="shared" si="85"/>
        <v/>
      </c>
      <c r="G488" s="15"/>
      <c r="H488" s="15" t="str">
        <f t="shared" si="84"/>
        <v/>
      </c>
      <c r="AH488" s="15"/>
      <c r="AJ488" s="15"/>
      <c r="AL488" s="15"/>
      <c r="AP488" s="15"/>
    </row>
    <row r="489" spans="5:42" x14ac:dyDescent="0.2">
      <c r="E489" s="16" t="str">
        <f t="shared" si="85"/>
        <v/>
      </c>
      <c r="G489" s="15"/>
      <c r="H489" s="15" t="str">
        <f t="shared" si="84"/>
        <v/>
      </c>
      <c r="AH489" s="15"/>
      <c r="AJ489" s="15"/>
      <c r="AL489" s="15"/>
      <c r="AP489" s="15"/>
    </row>
    <row r="490" spans="5:42" x14ac:dyDescent="0.2">
      <c r="E490" s="16" t="str">
        <f t="shared" si="85"/>
        <v/>
      </c>
      <c r="G490" s="15"/>
      <c r="H490" s="15" t="str">
        <f t="shared" si="84"/>
        <v/>
      </c>
      <c r="AH490" s="15"/>
      <c r="AJ490" s="15"/>
      <c r="AL490" s="15"/>
      <c r="AP490" s="15"/>
    </row>
    <row r="491" spans="5:42" x14ac:dyDescent="0.2">
      <c r="E491" s="16" t="str">
        <f t="shared" si="85"/>
        <v/>
      </c>
      <c r="G491" s="15"/>
      <c r="H491" s="15" t="str">
        <f t="shared" si="84"/>
        <v/>
      </c>
      <c r="AH491" s="15"/>
      <c r="AJ491" s="15"/>
      <c r="AL491" s="15"/>
      <c r="AP491" s="15"/>
    </row>
    <row r="492" spans="5:42" x14ac:dyDescent="0.2">
      <c r="E492" s="16" t="str">
        <f t="shared" si="85"/>
        <v/>
      </c>
      <c r="G492" s="15"/>
      <c r="H492" s="15" t="str">
        <f t="shared" si="84"/>
        <v/>
      </c>
      <c r="AH492" s="15"/>
      <c r="AJ492" s="15"/>
      <c r="AL492" s="15"/>
      <c r="AP492" s="15"/>
    </row>
    <row r="493" spans="5:42" x14ac:dyDescent="0.2">
      <c r="E493" s="16" t="str">
        <f t="shared" si="85"/>
        <v/>
      </c>
      <c r="G493" s="15"/>
      <c r="H493" s="15" t="str">
        <f t="shared" si="84"/>
        <v/>
      </c>
      <c r="AH493" s="15"/>
      <c r="AJ493" s="15"/>
      <c r="AL493" s="15"/>
      <c r="AP493" s="15"/>
    </row>
    <row r="494" spans="5:42" x14ac:dyDescent="0.2">
      <c r="E494" s="16" t="str">
        <f t="shared" si="85"/>
        <v/>
      </c>
      <c r="G494" s="15"/>
      <c r="H494" s="15" t="str">
        <f t="shared" si="84"/>
        <v/>
      </c>
      <c r="AH494" s="15"/>
      <c r="AJ494" s="15"/>
      <c r="AL494" s="15"/>
      <c r="AP494" s="15"/>
    </row>
    <row r="495" spans="5:42" x14ac:dyDescent="0.2">
      <c r="E495" s="16" t="str">
        <f t="shared" si="85"/>
        <v/>
      </c>
      <c r="G495" s="15"/>
      <c r="H495" s="15" t="str">
        <f t="shared" si="84"/>
        <v/>
      </c>
      <c r="AH495" s="15"/>
      <c r="AJ495" s="15"/>
      <c r="AL495" s="15"/>
      <c r="AP495" s="15"/>
    </row>
    <row r="496" spans="5:42" x14ac:dyDescent="0.2">
      <c r="E496" s="16" t="str">
        <f t="shared" si="85"/>
        <v/>
      </c>
      <c r="G496" s="15"/>
      <c r="H496" s="15" t="str">
        <f t="shared" si="84"/>
        <v/>
      </c>
      <c r="AH496" s="15"/>
      <c r="AJ496" s="15"/>
      <c r="AL496" s="15"/>
      <c r="AP496" s="15"/>
    </row>
    <row r="497" spans="5:42" x14ac:dyDescent="0.2">
      <c r="E497" s="16" t="str">
        <f t="shared" si="85"/>
        <v/>
      </c>
      <c r="G497" s="15"/>
      <c r="H497" s="15" t="str">
        <f t="shared" si="84"/>
        <v/>
      </c>
      <c r="AH497" s="15"/>
      <c r="AJ497" s="15"/>
      <c r="AL497" s="15"/>
      <c r="AP497" s="15"/>
    </row>
    <row r="498" spans="5:42" x14ac:dyDescent="0.2">
      <c r="E498" s="16" t="str">
        <f t="shared" si="85"/>
        <v/>
      </c>
      <c r="G498" s="15"/>
      <c r="H498" s="15" t="str">
        <f t="shared" si="84"/>
        <v/>
      </c>
      <c r="AH498" s="15"/>
      <c r="AJ498" s="15"/>
      <c r="AL498" s="15"/>
      <c r="AP498" s="15"/>
    </row>
    <row r="499" spans="5:42" x14ac:dyDescent="0.2">
      <c r="E499" s="16" t="str">
        <f t="shared" si="85"/>
        <v/>
      </c>
      <c r="G499" s="15"/>
      <c r="H499" s="15" t="str">
        <f t="shared" si="84"/>
        <v/>
      </c>
      <c r="AH499" s="15"/>
      <c r="AJ499" s="15"/>
      <c r="AL499" s="15"/>
      <c r="AP499" s="15"/>
    </row>
    <row r="500" spans="5:42" x14ac:dyDescent="0.2">
      <c r="E500" s="16" t="str">
        <f t="shared" si="85"/>
        <v/>
      </c>
      <c r="G500" s="15"/>
      <c r="H500" s="15" t="str">
        <f t="shared" si="84"/>
        <v/>
      </c>
      <c r="AH500" s="15"/>
      <c r="AJ500" s="15"/>
      <c r="AL500" s="15"/>
      <c r="AP500" s="15"/>
    </row>
    <row r="501" spans="5:42" x14ac:dyDescent="0.2">
      <c r="E501" s="16" t="str">
        <f t="shared" si="85"/>
        <v/>
      </c>
      <c r="G501" s="15"/>
      <c r="H501" s="15" t="str">
        <f t="shared" si="84"/>
        <v/>
      </c>
      <c r="AH501" s="15"/>
      <c r="AJ501" s="15"/>
      <c r="AL501" s="15"/>
      <c r="AP501" s="15"/>
    </row>
    <row r="502" spans="5:42" x14ac:dyDescent="0.2">
      <c r="E502" s="16" t="str">
        <f t="shared" si="85"/>
        <v/>
      </c>
      <c r="G502" s="15"/>
      <c r="H502" s="15" t="str">
        <f t="shared" si="84"/>
        <v/>
      </c>
      <c r="AH502" s="15"/>
      <c r="AJ502" s="15"/>
      <c r="AL502" s="15"/>
      <c r="AP502" s="15"/>
    </row>
    <row r="503" spans="5:42" x14ac:dyDescent="0.2">
      <c r="E503" s="16" t="str">
        <f t="shared" si="85"/>
        <v/>
      </c>
      <c r="G503" s="15"/>
      <c r="H503" s="15" t="str">
        <f t="shared" si="84"/>
        <v/>
      </c>
      <c r="AH503" s="15"/>
      <c r="AJ503" s="15"/>
      <c r="AL503" s="15"/>
      <c r="AP503" s="15"/>
    </row>
    <row r="504" spans="5:42" x14ac:dyDescent="0.2">
      <c r="E504" s="16" t="str">
        <f t="shared" si="85"/>
        <v/>
      </c>
      <c r="G504" s="15"/>
      <c r="H504" s="15" t="str">
        <f t="shared" si="84"/>
        <v/>
      </c>
      <c r="AH504" s="15"/>
      <c r="AJ504" s="15"/>
      <c r="AL504" s="15"/>
      <c r="AP504" s="15"/>
    </row>
    <row r="505" spans="5:42" x14ac:dyDescent="0.2">
      <c r="E505" s="16" t="str">
        <f t="shared" si="85"/>
        <v/>
      </c>
      <c r="G505" s="15"/>
      <c r="H505" s="15" t="str">
        <f t="shared" si="84"/>
        <v/>
      </c>
      <c r="AH505" s="15"/>
      <c r="AJ505" s="15"/>
      <c r="AL505" s="15"/>
      <c r="AP505" s="15"/>
    </row>
    <row r="506" spans="5:42" x14ac:dyDescent="0.2">
      <c r="E506" s="16" t="str">
        <f t="shared" si="85"/>
        <v/>
      </c>
      <c r="G506" s="15"/>
      <c r="H506" s="15" t="str">
        <f t="shared" si="84"/>
        <v/>
      </c>
      <c r="AH506" s="15"/>
      <c r="AJ506" s="15"/>
      <c r="AL506" s="15"/>
      <c r="AP506" s="15"/>
    </row>
    <row r="507" spans="5:42" x14ac:dyDescent="0.2">
      <c r="E507" s="16" t="str">
        <f t="shared" si="85"/>
        <v/>
      </c>
      <c r="G507" s="15"/>
      <c r="H507" s="15" t="str">
        <f t="shared" si="84"/>
        <v/>
      </c>
      <c r="AH507" s="15"/>
      <c r="AJ507" s="15"/>
      <c r="AL507" s="15"/>
      <c r="AP507" s="15"/>
    </row>
    <row r="508" spans="5:42" x14ac:dyDescent="0.2">
      <c r="E508" s="16" t="str">
        <f t="shared" si="85"/>
        <v/>
      </c>
      <c r="G508" s="15"/>
      <c r="H508" s="15" t="str">
        <f t="shared" si="84"/>
        <v/>
      </c>
      <c r="AH508" s="15"/>
      <c r="AJ508" s="15"/>
      <c r="AL508" s="15"/>
      <c r="AP508" s="15"/>
    </row>
    <row r="509" spans="5:42" x14ac:dyDescent="0.2">
      <c r="E509" s="16" t="str">
        <f t="shared" si="85"/>
        <v/>
      </c>
      <c r="G509" s="15"/>
      <c r="H509" s="15" t="str">
        <f t="shared" si="84"/>
        <v/>
      </c>
      <c r="AH509" s="15"/>
      <c r="AJ509" s="15"/>
      <c r="AL509" s="15"/>
      <c r="AP509" s="15"/>
    </row>
    <row r="510" spans="5:42" x14ac:dyDescent="0.2">
      <c r="E510" s="16" t="str">
        <f t="shared" si="85"/>
        <v/>
      </c>
      <c r="G510" s="15"/>
      <c r="H510" s="15" t="str">
        <f t="shared" si="84"/>
        <v/>
      </c>
      <c r="AH510" s="15"/>
      <c r="AJ510" s="15"/>
      <c r="AL510" s="15"/>
      <c r="AP510" s="15"/>
    </row>
    <row r="511" spans="5:42" x14ac:dyDescent="0.2">
      <c r="E511" s="16" t="str">
        <f t="shared" si="85"/>
        <v/>
      </c>
      <c r="G511" s="15"/>
      <c r="H511" s="15" t="str">
        <f t="shared" si="84"/>
        <v/>
      </c>
      <c r="AH511" s="15"/>
      <c r="AJ511" s="15"/>
      <c r="AL511" s="15"/>
      <c r="AP511" s="15"/>
    </row>
    <row r="512" spans="5:42" x14ac:dyDescent="0.2">
      <c r="E512" s="16" t="str">
        <f t="shared" si="85"/>
        <v/>
      </c>
      <c r="G512" s="15"/>
      <c r="H512" s="15" t="str">
        <f t="shared" si="84"/>
        <v/>
      </c>
      <c r="AH512" s="15"/>
      <c r="AJ512" s="15"/>
      <c r="AL512" s="15"/>
      <c r="AP512" s="15"/>
    </row>
    <row r="513" spans="5:42" x14ac:dyDescent="0.2">
      <c r="E513" s="16" t="str">
        <f t="shared" si="85"/>
        <v/>
      </c>
      <c r="G513" s="15"/>
      <c r="H513" s="15" t="str">
        <f t="shared" ref="H513:H520" si="86">IF(G513&lt;&gt;"",INT(G513/F513),"")</f>
        <v/>
      </c>
      <c r="AH513" s="15"/>
      <c r="AJ513" s="15"/>
      <c r="AL513" s="15"/>
      <c r="AP513" s="15"/>
    </row>
    <row r="514" spans="5:42" x14ac:dyDescent="0.2">
      <c r="E514" s="16" t="str">
        <f t="shared" ref="E514:E520" si="87">IF(AG514&lt;&gt;"",F514/AG514*60,"")</f>
        <v/>
      </c>
      <c r="G514" s="15"/>
      <c r="H514" s="15" t="str">
        <f t="shared" si="86"/>
        <v/>
      </c>
      <c r="AH514" s="15"/>
      <c r="AJ514" s="15"/>
      <c r="AL514" s="15"/>
      <c r="AP514" s="15"/>
    </row>
    <row r="515" spans="5:42" x14ac:dyDescent="0.2">
      <c r="E515" s="16" t="str">
        <f t="shared" si="87"/>
        <v/>
      </c>
      <c r="G515" s="15"/>
      <c r="H515" s="15" t="str">
        <f t="shared" si="86"/>
        <v/>
      </c>
      <c r="AH515" s="15"/>
      <c r="AJ515" s="15"/>
      <c r="AL515" s="15"/>
      <c r="AP515" s="15"/>
    </row>
    <row r="516" spans="5:42" x14ac:dyDescent="0.2">
      <c r="E516" s="16" t="str">
        <f t="shared" si="87"/>
        <v/>
      </c>
      <c r="G516" s="15"/>
      <c r="H516" s="15" t="str">
        <f t="shared" si="86"/>
        <v/>
      </c>
      <c r="AH516" s="15"/>
      <c r="AJ516" s="15"/>
      <c r="AL516" s="15"/>
      <c r="AP516" s="15"/>
    </row>
    <row r="517" spans="5:42" x14ac:dyDescent="0.2">
      <c r="E517" s="16" t="str">
        <f t="shared" si="87"/>
        <v/>
      </c>
      <c r="G517" s="15"/>
      <c r="H517" s="15" t="str">
        <f t="shared" si="86"/>
        <v/>
      </c>
      <c r="AH517" s="15"/>
      <c r="AJ517" s="15"/>
      <c r="AL517" s="15"/>
      <c r="AP517" s="15"/>
    </row>
    <row r="518" spans="5:42" x14ac:dyDescent="0.2">
      <c r="E518" s="16" t="str">
        <f t="shared" si="87"/>
        <v/>
      </c>
      <c r="G518" s="15"/>
      <c r="H518" s="15" t="str">
        <f t="shared" si="86"/>
        <v/>
      </c>
      <c r="AH518" s="15"/>
      <c r="AJ518" s="15"/>
      <c r="AL518" s="15"/>
      <c r="AP518" s="15"/>
    </row>
    <row r="519" spans="5:42" x14ac:dyDescent="0.2">
      <c r="E519" s="16" t="str">
        <f t="shared" si="87"/>
        <v/>
      </c>
      <c r="G519" s="15"/>
      <c r="H519" s="15" t="str">
        <f t="shared" si="86"/>
        <v/>
      </c>
      <c r="AH519" s="15"/>
      <c r="AJ519" s="15"/>
      <c r="AL519" s="15"/>
      <c r="AP519" s="15"/>
    </row>
    <row r="520" spans="5:42" x14ac:dyDescent="0.2">
      <c r="E520" s="16" t="str">
        <f t="shared" si="87"/>
        <v/>
      </c>
      <c r="G520" s="15"/>
      <c r="H520" s="15" t="str">
        <f t="shared" si="86"/>
        <v/>
      </c>
      <c r="AH520" s="15"/>
      <c r="AJ520" s="15"/>
      <c r="AL520" s="15"/>
      <c r="AP520" s="15"/>
    </row>
  </sheetData>
  <phoneticPr fontId="0" type="noConversion"/>
  <conditionalFormatting sqref="A2:T2 H307:T366 H306:S306 H300:S300 H301:T305 H297:S298 H299:T299 H292:S293 H294:T296 H285:S288 H289:T291 H283:S283 H284:T284 H281:S281 H282:T282 H274:S274 H275:T280 H270:S271 H272:T273 H262:S262 H263:T269 H251:S251 H252:T261 H248:S248 H249:T250 H239:S239 H240:T247 H225:S230 H231:T238 H222:S223 H224:T224 H215:S215 H216:T221 H211:S211 H212:T214 H208:S208 H209:T210 H205:S205 H206:T207 H201:S203 H204:T204 H194:S195 H196:T200 H187:S187 H188:T193 H179:S181 H182:T186 H173:S174 H175:T178 H166:S166 H167:T172 H159:S160 H161:T165 H151:S153 H154:T158 H146:S146 H147:T150 H131:S131 H132:T145 H124:S124 H125:T130 H117:S117 H118:T123 H114:S114 H115:T116 H90:S90 H91:T92 H82:S83 H84:T89 H76:S76 H77:T81 H74:S74 H75:T75 H93:S93 H94:T109 H110:S110 H111:T113 A3:F366 H3:T73">
    <cfRule type="expression" dxfId="1" priority="2">
      <formula>$A2-TODAY()=0</formula>
    </cfRule>
  </conditionalFormatting>
  <conditionalFormatting sqref="G3:G366">
    <cfRule type="expression" dxfId="0" priority="1">
      <formula>$A3-TODAY()=0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9"/>
  <sheetViews>
    <sheetView workbookViewId="0">
      <selection activeCell="B19" sqref="B19"/>
    </sheetView>
  </sheetViews>
  <sheetFormatPr defaultRowHeight="12.75" x14ac:dyDescent="0.2"/>
  <cols>
    <col min="1" max="1" width="11.5703125" bestFit="1" customWidth="1"/>
    <col min="2" max="2" width="23.42578125" bestFit="1" customWidth="1"/>
    <col min="4" max="4" width="9.140625" style="3"/>
    <col min="6" max="8" width="9.140625" style="3"/>
    <col min="23" max="23" width="13.140625" bestFit="1" customWidth="1"/>
  </cols>
  <sheetData>
    <row r="1" spans="1:25" ht="27" customHeight="1" x14ac:dyDescent="0.2">
      <c r="A1" s="30" t="s">
        <v>250</v>
      </c>
      <c r="B1" s="31"/>
      <c r="C1" s="28" t="s">
        <v>38</v>
      </c>
      <c r="D1" s="29" t="s">
        <v>7</v>
      </c>
      <c r="E1" s="30" t="s">
        <v>10</v>
      </c>
      <c r="F1" s="32" t="s">
        <v>34</v>
      </c>
      <c r="G1" s="32" t="s">
        <v>1</v>
      </c>
      <c r="H1" s="57"/>
    </row>
    <row r="2" spans="1:25" x14ac:dyDescent="0.2">
      <c r="A2" t="s">
        <v>27</v>
      </c>
      <c r="B2" t="s">
        <v>28</v>
      </c>
      <c r="C2">
        <f>COUNTIF('Ride Log'!$S$2:$S$499,$A2)</f>
        <v>0</v>
      </c>
      <c r="D2" s="6">
        <f>SUMIF('Ride Log'!$S$2:$S$499,$A2,'Ride Log'!$F$2:$F$499)</f>
        <v>0</v>
      </c>
      <c r="E2" s="6">
        <f>SUMIF('Ride Log'!$S$2:$S$499,$A2,'Ride Log'!$G$2:$G$499)</f>
        <v>0</v>
      </c>
      <c r="F2" s="6">
        <f>SUMIF('Ride Log'!$S$2:$S$499,$A2,'Ride Log'!$AG$2:$AG$499)/60</f>
        <v>0</v>
      </c>
      <c r="G2" s="6">
        <f>SUMIF('Ride Log'!$S$2:$S$499,$A2,'Ride Log'!$AI$2:$AI$499)</f>
        <v>0</v>
      </c>
      <c r="H2" s="6"/>
      <c r="W2" s="5" t="s">
        <v>51</v>
      </c>
      <c r="X2">
        <v>61</v>
      </c>
    </row>
    <row r="3" spans="1:25" x14ac:dyDescent="0.2">
      <c r="A3" s="1" t="s">
        <v>48</v>
      </c>
      <c r="B3" s="1" t="s">
        <v>58</v>
      </c>
      <c r="C3">
        <f>COUNTIF('Ride Log'!$S$2:$S$499,$A3)</f>
        <v>0</v>
      </c>
      <c r="D3" s="6">
        <f>SUMIF('Ride Log'!$S$2:$S$499,$A3,'Ride Log'!$F$2:$F$499)</f>
        <v>0</v>
      </c>
      <c r="E3" s="6">
        <f>SUMIF('Ride Log'!$S$2:$S$499,$A3,'Ride Log'!$G$2:$G$499)</f>
        <v>0</v>
      </c>
      <c r="F3" s="6">
        <f>SUMIF('Ride Log'!$S$2:$S$499,$A3,'Ride Log'!$AG$2:$AG$499)/60</f>
        <v>0</v>
      </c>
      <c r="G3" s="6">
        <f>SUMIF('Ride Log'!$S$2:$S$499,$A3,'Ride Log'!$AI$2:$AI$499)</f>
        <v>0</v>
      </c>
      <c r="H3" s="6"/>
      <c r="W3" s="5" t="s">
        <v>52</v>
      </c>
      <c r="X3">
        <v>55</v>
      </c>
    </row>
    <row r="4" spans="1:25" x14ac:dyDescent="0.2">
      <c r="A4" t="s">
        <v>29</v>
      </c>
      <c r="B4" t="s">
        <v>30</v>
      </c>
      <c r="C4">
        <f>COUNTIF('Ride Log'!$S$2:$S$499,$A4)</f>
        <v>0</v>
      </c>
      <c r="D4" s="6">
        <f>SUMIF('Ride Log'!$S$2:$S$499,$A4,'Ride Log'!$F$2:$F$499)</f>
        <v>0</v>
      </c>
      <c r="E4" s="6">
        <f>SUMIF('Ride Log'!$S$2:$S$499,$A4,'Ride Log'!$G$2:$G$499)</f>
        <v>0</v>
      </c>
      <c r="F4" s="6">
        <f>SUMIF('Ride Log'!$S$2:$S$499,$A4,'Ride Log'!$AG$2:$AG$499)/60</f>
        <v>0</v>
      </c>
      <c r="G4" s="6">
        <f>SUMIF('Ride Log'!$S$2:$S$499,$A4,'Ride Log'!$AI$2:$AI$499)</f>
        <v>0</v>
      </c>
      <c r="H4" s="6"/>
      <c r="W4" s="5" t="s">
        <v>55</v>
      </c>
      <c r="X4" s="3">
        <v>0</v>
      </c>
    </row>
    <row r="5" spans="1:25" x14ac:dyDescent="0.2">
      <c r="A5" t="s">
        <v>19</v>
      </c>
      <c r="B5" t="s">
        <v>26</v>
      </c>
      <c r="C5">
        <f>COUNTIF('Ride Log'!$S$2:$S$499,$A5)</f>
        <v>0</v>
      </c>
      <c r="D5" s="6">
        <f>SUMIF('Ride Log'!$S$2:$S$499,$A5,'Ride Log'!$F$2:$F$499)</f>
        <v>0</v>
      </c>
      <c r="E5" s="6">
        <f>SUMIF('Ride Log'!$S$2:$S$499,$A5,'Ride Log'!$G$2:$G$499)</f>
        <v>0</v>
      </c>
      <c r="F5" s="6">
        <f>SUMIF('Ride Log'!$S$2:$S$499,$A5,'Ride Log'!$AG$2:$AG$499)/60</f>
        <v>0</v>
      </c>
      <c r="G5" s="6">
        <f>SUMIF('Ride Log'!$S$2:$S$499,$A5,'Ride Log'!$AI$2:$AI$499)</f>
        <v>0</v>
      </c>
      <c r="H5" s="6"/>
      <c r="W5" s="5" t="s">
        <v>53</v>
      </c>
      <c r="X5">
        <v>7</v>
      </c>
    </row>
    <row r="6" spans="1:25" x14ac:dyDescent="0.2">
      <c r="A6" t="s">
        <v>64</v>
      </c>
      <c r="B6" t="s">
        <v>62</v>
      </c>
      <c r="C6">
        <f>COUNTIF('Ride Log'!$S$2:$S$499,$A6)</f>
        <v>0</v>
      </c>
      <c r="D6" s="6">
        <f>SUMIF('Ride Log'!$S$2:$S$499,$A6,'Ride Log'!$F$2:$F$499)</f>
        <v>0</v>
      </c>
      <c r="E6" s="6">
        <f>SUMIF('Ride Log'!$S$2:$S$499,$A6,'Ride Log'!$G$2:$G$499)</f>
        <v>0</v>
      </c>
      <c r="F6" s="6">
        <f>SUMIF('Ride Log'!$S$2:$S$499,$A6,'Ride Log'!$AG$2:$AG$499)/60</f>
        <v>0</v>
      </c>
      <c r="G6" s="6">
        <f>SUMIF('Ride Log'!$S$2:$S$499,$A6,'Ride Log'!$AI$2:$AI$499)</f>
        <v>0</v>
      </c>
      <c r="H6" s="6"/>
      <c r="W6" s="5" t="s">
        <v>54</v>
      </c>
      <c r="X6">
        <v>42</v>
      </c>
    </row>
    <row r="7" spans="1:25" x14ac:dyDescent="0.2">
      <c r="A7" t="s">
        <v>46</v>
      </c>
      <c r="B7" t="s">
        <v>63</v>
      </c>
      <c r="C7">
        <f>COUNTIF('Ride Log'!$S$2:$S$499,$A7)</f>
        <v>0</v>
      </c>
      <c r="D7" s="6">
        <f>SUMIF('Ride Log'!$S$2:$S$499,$A7,'Ride Log'!$F$2:$F$499)</f>
        <v>0</v>
      </c>
      <c r="E7" s="6">
        <f>SUMIF('Ride Log'!$S$2:$S$499,$A7,'Ride Log'!$G$2:$G$499)</f>
        <v>0</v>
      </c>
      <c r="F7" s="6">
        <f>SUMIF('Ride Log'!$S$2:$S$499,$A7,'Ride Log'!$AG$2:$AG$499)/60</f>
        <v>0</v>
      </c>
      <c r="G7" s="6">
        <f>SUMIF('Ride Log'!$S$2:$S$499,$A7,'Ride Log'!$AI$2:$AI$499)</f>
        <v>0</v>
      </c>
      <c r="H7" s="6"/>
      <c r="W7" s="5" t="s">
        <v>152</v>
      </c>
      <c r="X7">
        <v>72</v>
      </c>
    </row>
    <row r="8" spans="1:25" x14ac:dyDescent="0.2">
      <c r="A8" t="s">
        <v>21</v>
      </c>
      <c r="B8" t="s">
        <v>33</v>
      </c>
      <c r="C8">
        <f>COUNTIF('Ride Log'!$S$2:$S$499,$A8)</f>
        <v>0</v>
      </c>
      <c r="D8" s="6">
        <f>SUMIF('Ride Log'!$S$2:$S$499,$A8,'Ride Log'!$F$2:$F$499)</f>
        <v>0</v>
      </c>
      <c r="E8" s="6">
        <f>SUMIF('Ride Log'!$S$2:$S$499,$A8,'Ride Log'!$G$2:$G$499)</f>
        <v>0</v>
      </c>
      <c r="F8" s="6">
        <f>SUMIF('Ride Log'!$S$2:$S$499,$A8,'Ride Log'!$AG$2:$AG$499)/60</f>
        <v>0</v>
      </c>
      <c r="G8" s="6">
        <f>SUMIF('Ride Log'!$S$2:$S$499,$A8,'Ride Log'!$AI$2:$AI$499)</f>
        <v>0</v>
      </c>
      <c r="H8" s="6"/>
    </row>
    <row r="9" spans="1:25" x14ac:dyDescent="0.2">
      <c r="A9" t="s">
        <v>24</v>
      </c>
      <c r="B9" t="s">
        <v>25</v>
      </c>
      <c r="C9">
        <f>COUNTIF('Ride Log'!$S$2:$S$499,$A9)</f>
        <v>0</v>
      </c>
      <c r="D9" s="6">
        <f>SUMIF('Ride Log'!$S$2:$S$499,$A9,'Ride Log'!$F$2:$F$499)</f>
        <v>0</v>
      </c>
      <c r="E9" s="6">
        <f>SUMIF('Ride Log'!$S$2:$S$499,$A9,'Ride Log'!$G$2:$G$499)</f>
        <v>0</v>
      </c>
      <c r="F9" s="6">
        <f>SUMIF('Ride Log'!$S$2:$S$499,$A9,'Ride Log'!$AG$2:$AG$499)/60</f>
        <v>0</v>
      </c>
      <c r="G9" s="6">
        <f>SUMIF('Ride Log'!$S$2:$S$499,$A9,'Ride Log'!$AI$2:$AI$499)</f>
        <v>0</v>
      </c>
      <c r="H9" s="6"/>
    </row>
    <row r="10" spans="1:25" x14ac:dyDescent="0.2">
      <c r="A10" t="s">
        <v>22</v>
      </c>
      <c r="B10" t="s">
        <v>23</v>
      </c>
      <c r="C10">
        <f>COUNTIF('Ride Log'!$S$2:$S$499,$A10)</f>
        <v>0</v>
      </c>
      <c r="D10" s="6">
        <f>SUMIF('Ride Log'!$S$2:$S$499,$A10,'Ride Log'!$F$2:$F$499)</f>
        <v>0</v>
      </c>
      <c r="E10" s="6">
        <f>SUMIF('Ride Log'!$S$2:$S$499,$A10,'Ride Log'!$G$2:$G$499)</f>
        <v>0</v>
      </c>
      <c r="F10" s="6">
        <f>SUMIF('Ride Log'!$S$2:$S$499,$A10,'Ride Log'!$AG$2:$AG$499)/60</f>
        <v>0</v>
      </c>
      <c r="G10" s="6">
        <f>SUMIF('Ride Log'!$S$2:$S$499,$A10,'Ride Log'!$AI$2:$AI$499)</f>
        <v>0</v>
      </c>
      <c r="H10" s="6"/>
      <c r="W10" s="1" t="s">
        <v>61</v>
      </c>
      <c r="X10" s="3">
        <f>MAX('Ride Log'!AK2:AK366)</f>
        <v>61</v>
      </c>
      <c r="Y10" s="43">
        <f>INDEX('Ride Log'!A2:A366,MATCH(MAX('Ride Log'!AK2:AK366),'Ride Log'!AK2:AK366,0))</f>
        <v>44197</v>
      </c>
    </row>
    <row r="11" spans="1:25" x14ac:dyDescent="0.2">
      <c r="A11" t="s">
        <v>18</v>
      </c>
      <c r="B11" t="s">
        <v>20</v>
      </c>
      <c r="C11">
        <f>COUNTIF('Ride Log'!$S$2:$S$499,$A11)</f>
        <v>0</v>
      </c>
      <c r="D11" s="6">
        <f>SUMIF('Ride Log'!$S$2:$S$499,$A11,'Ride Log'!$F$2:$F$499)</f>
        <v>0</v>
      </c>
      <c r="E11" s="6">
        <f>SUMIF('Ride Log'!$S$2:$S$499,$A11,'Ride Log'!$G$2:$G$499)</f>
        <v>0</v>
      </c>
      <c r="F11" s="6">
        <f>SUMIF('Ride Log'!$S$2:$S$499,$A11,'Ride Log'!$AG$2:$AG$499)/60</f>
        <v>0</v>
      </c>
      <c r="G11" s="6">
        <f>SUMIF('Ride Log'!$S$2:$S$499,$A11,'Ride Log'!$AI$2:$AI$499)</f>
        <v>0</v>
      </c>
      <c r="H11" s="6"/>
      <c r="W11" s="1" t="s">
        <v>60</v>
      </c>
      <c r="X11" s="3">
        <f>MAX('Ride Log'!AM2:AM366)</f>
        <v>55</v>
      </c>
      <c r="Y11" s="43">
        <f>INDEX('Ride Log'!A2:A366,MATCH(MAX('Ride Log'!AM2:AM366),'Ride Log'!AM2:AM366,0))</f>
        <v>44197</v>
      </c>
    </row>
    <row r="12" spans="1:25" x14ac:dyDescent="0.2">
      <c r="A12" t="s">
        <v>57</v>
      </c>
      <c r="B12" t="s">
        <v>56</v>
      </c>
      <c r="C12">
        <f>COUNTIF('Ride Log'!$S$2:$S$499,$A12)</f>
        <v>0</v>
      </c>
      <c r="D12" s="6">
        <f>SUMIF('Ride Log'!$S$2:$S$499,$A12,'Ride Log'!$F$2:$F$499)</f>
        <v>0</v>
      </c>
      <c r="E12" s="6">
        <f>SUMIF('Ride Log'!$S$2:$S$499,$A12,'Ride Log'!$G$2:$G$499)</f>
        <v>0</v>
      </c>
      <c r="F12" s="6">
        <f>SUMIF('Ride Log'!$S$2:$S$499,$A12,'Ride Log'!$AG$2:$AG$499)/60</f>
        <v>0</v>
      </c>
      <c r="G12" s="6">
        <f>SUMIF('Ride Log'!$S$2:$S$499,$A12,'Ride Log'!$AI$2:$AI$499)</f>
        <v>0</v>
      </c>
      <c r="H12" s="6"/>
    </row>
    <row r="13" spans="1:25" x14ac:dyDescent="0.2">
      <c r="A13" s="1" t="s">
        <v>363</v>
      </c>
      <c r="B13" s="1" t="s">
        <v>364</v>
      </c>
      <c r="C13">
        <f>COUNTIF('Ride Log'!$S$2:$S$499,$A13)</f>
        <v>0</v>
      </c>
      <c r="D13" s="6">
        <f>SUMIF('Ride Log'!$S$2:$S$499,$A13,'Ride Log'!$F$2:$F$499)</f>
        <v>0</v>
      </c>
      <c r="E13" s="6">
        <f>SUMIF('Ride Log'!$S$2:$S$499,$A13,'Ride Log'!$G$2:$G$499)</f>
        <v>0</v>
      </c>
      <c r="F13" s="6">
        <f>SUMIF('Ride Log'!$S$2:$S$499,$A13,'Ride Log'!$AG$2:$AG$499)/60</f>
        <v>0</v>
      </c>
      <c r="G13" s="6">
        <f>SUMIF('Ride Log'!$S$2:$S$499,$A13,'Ride Log'!$AI$2:$AI$499)</f>
        <v>0</v>
      </c>
      <c r="H13" s="6"/>
    </row>
    <row r="14" spans="1:25" x14ac:dyDescent="0.2">
      <c r="A14" t="s">
        <v>32</v>
      </c>
      <c r="B14" t="s">
        <v>31</v>
      </c>
      <c r="C14">
        <f>COUNTIF('Ride Log'!$S$2:$S$499,$A14)</f>
        <v>0</v>
      </c>
      <c r="D14" s="6">
        <f>SUMIF('Ride Log'!$S$2:$S$499,$A14,'Ride Log'!$F$2:$F$499)</f>
        <v>0</v>
      </c>
      <c r="E14" s="6">
        <f>SUMIF('Ride Log'!$S$2:$S$499,$A14,'Ride Log'!$G$2:$G$499)</f>
        <v>0</v>
      </c>
      <c r="F14" s="6">
        <f>SUMIF('Ride Log'!$S$2:$S$499,$A14,'Ride Log'!$AG$2:$AG$499)/60</f>
        <v>0</v>
      </c>
      <c r="G14" s="6">
        <f>SUMIF('Ride Log'!$S$2:$S$499,$A14,'Ride Log'!$AI$2:$AI$499)</f>
        <v>0</v>
      </c>
      <c r="H14" s="6"/>
    </row>
    <row r="15" spans="1:25" x14ac:dyDescent="0.2">
      <c r="A15" t="s">
        <v>17</v>
      </c>
      <c r="B15" t="s">
        <v>59</v>
      </c>
      <c r="C15">
        <f>COUNTIF('Ride Log'!$S$2:$S$499,$A15)</f>
        <v>0</v>
      </c>
      <c r="D15" s="6">
        <f>SUMIF('Ride Log'!$S$2:$S$499,$A15,'Ride Log'!$F$2:$F$499)</f>
        <v>0</v>
      </c>
      <c r="E15" s="6">
        <f>SUMIF('Ride Log'!$S$2:$S$499,$A15,'Ride Log'!$G$2:$G$499)</f>
        <v>0</v>
      </c>
      <c r="F15" s="6">
        <f>SUMIF('Ride Log'!$S$2:$S$499,$A15,'Ride Log'!$AG$2:$AG$499)/60</f>
        <v>0</v>
      </c>
      <c r="G15" s="6">
        <f>SUMIF('Ride Log'!$S$2:$S$499,$A15,'Ride Log'!$AI$2:$AI$499)</f>
        <v>0</v>
      </c>
      <c r="H15" s="56"/>
    </row>
    <row r="16" spans="1:25" ht="13.5" thickBot="1" x14ac:dyDescent="0.25">
      <c r="A16" s="4" t="s">
        <v>45</v>
      </c>
      <c r="B16" s="4" t="s">
        <v>44</v>
      </c>
      <c r="C16" s="4">
        <f>COUNTIF('Ride Log'!$S$2:$S$499,$A16)</f>
        <v>0</v>
      </c>
      <c r="D16" s="7">
        <f>SUMIF('Ride Log'!$S$2:$S$499,$A16,'Ride Log'!$F$2:$F$499)</f>
        <v>0</v>
      </c>
      <c r="E16" s="7">
        <f>SUMIF('Ride Log'!$S$2:$S$499,$A16,'Ride Log'!$G$2:$G$499)</f>
        <v>0</v>
      </c>
      <c r="F16" s="7">
        <f>SUMIF('Ride Log'!$S$2:$S$499,$A16,'Ride Log'!$AG$2:$AG$499)/60</f>
        <v>0</v>
      </c>
      <c r="G16" s="7">
        <f>SUMIF('Ride Log'!$S$2:$S$499,$A16,'Ride Log'!$AI$2:$AI$499)</f>
        <v>0</v>
      </c>
      <c r="H16" s="8"/>
    </row>
    <row r="17" spans="1:9" x14ac:dyDescent="0.2">
      <c r="C17" s="5">
        <f>SUM(C2:C15)</f>
        <v>0</v>
      </c>
      <c r="D17" s="8">
        <f>SUM(D2:D15)</f>
        <v>0</v>
      </c>
      <c r="E17" s="8">
        <f>SUM(E2:E15)</f>
        <v>0</v>
      </c>
      <c r="F17" s="8">
        <f>SUM(F2:F15)</f>
        <v>0</v>
      </c>
      <c r="G17" s="8">
        <f>SUM(G2:G15)</f>
        <v>0</v>
      </c>
      <c r="H17" s="6"/>
    </row>
    <row r="18" spans="1:9" x14ac:dyDescent="0.2">
      <c r="D18" s="6"/>
      <c r="E18" s="6"/>
      <c r="F18" s="6"/>
      <c r="G18" s="6"/>
      <c r="H18" s="8"/>
    </row>
    <row r="19" spans="1:9" x14ac:dyDescent="0.2">
      <c r="A19" s="5"/>
      <c r="B19" s="5"/>
      <c r="C19" s="5"/>
      <c r="D19" s="8"/>
      <c r="E19" s="8"/>
      <c r="F19" s="8"/>
      <c r="G19" s="8"/>
      <c r="H19" s="8"/>
    </row>
    <row r="20" spans="1:9" x14ac:dyDescent="0.2">
      <c r="A20" s="5" t="s">
        <v>3</v>
      </c>
      <c r="C20" s="5">
        <f>SUM(C5,C6,C8,C9,C14,C15,C11,C10,C7,C4,C2)</f>
        <v>0</v>
      </c>
      <c r="D20" s="8"/>
      <c r="E20" s="8"/>
      <c r="F20" s="8"/>
      <c r="G20" s="8"/>
      <c r="H20" s="8"/>
    </row>
    <row r="21" spans="1:9" x14ac:dyDescent="0.2">
      <c r="A21" s="5" t="s">
        <v>2</v>
      </c>
      <c r="B21" s="1" t="s">
        <v>37</v>
      </c>
      <c r="C21" s="5">
        <f>SUM(C2,C4,C7,C10,C11)</f>
        <v>0</v>
      </c>
      <c r="D21" s="8">
        <f>SUM(D2,D4,D7,D10,D11)</f>
        <v>0</v>
      </c>
      <c r="E21" s="8">
        <f>SUM(E2,E4,E7,E10,E11)</f>
        <v>0</v>
      </c>
      <c r="F21" s="9">
        <f>SUM(F2,F4,F7,F10,F11)</f>
        <v>0</v>
      </c>
      <c r="G21" s="8">
        <f>SUM(G2,G4,G7,G10,G11)</f>
        <v>0</v>
      </c>
    </row>
    <row r="22" spans="1:9" x14ac:dyDescent="0.2">
      <c r="H22" s="6"/>
      <c r="I22" s="13"/>
    </row>
    <row r="23" spans="1:9" x14ac:dyDescent="0.2">
      <c r="A23" t="s">
        <v>14</v>
      </c>
      <c r="C23">
        <f>COUNTIF('Ride Log'!$R$2:$R$499,$A23)</f>
        <v>0</v>
      </c>
      <c r="D23" s="6">
        <f>SUMIF('Ride Log'!$R$2:$R$499,$A23,'Ride Log'!$F$2:$F$499)</f>
        <v>0</v>
      </c>
      <c r="E23" s="6">
        <f>SUMIF('Ride Log'!$R$2:$R$499,$A23,'Ride Log'!$G$2:$G$499)</f>
        <v>0</v>
      </c>
      <c r="F23" s="6">
        <f>SUMIF('Ride Log'!$R$2:$R$499,$A23,'Ride Log'!$AG$2:$AG$499)/60</f>
        <v>0</v>
      </c>
      <c r="G23" s="6">
        <f>SUMIF('Ride Log'!$R$2:$R$499,$A23,'Ride Log'!$AI$2:$AI$499)</f>
        <v>0</v>
      </c>
      <c r="H23" s="6"/>
    </row>
    <row r="24" spans="1:9" x14ac:dyDescent="0.2">
      <c r="A24" t="s">
        <v>35</v>
      </c>
      <c r="C24">
        <f>COUNTIF('Ride Log'!$R$2:$R$499,$A24)</f>
        <v>0</v>
      </c>
      <c r="D24" s="6">
        <f>SUMIF('Ride Log'!$R$2:$R$499,$A24,'Ride Log'!$F$2:$F$499)</f>
        <v>0</v>
      </c>
      <c r="E24" s="6">
        <f>SUMIF('Ride Log'!$R$2:$R$499,$A24,'Ride Log'!$G$2:$G$499)</f>
        <v>0</v>
      </c>
      <c r="F24" s="6">
        <f>SUMIF('Ride Log'!$R$2:$R$499,$A24,'Ride Log'!$AG$2:$AG$499)/60</f>
        <v>0</v>
      </c>
      <c r="G24" s="6">
        <f>SUMIF('Ride Log'!$R$2:$R$499,$A24,'Ride Log'!$AI$2:$AI$499)</f>
        <v>0</v>
      </c>
      <c r="H24" s="6"/>
    </row>
    <row r="25" spans="1:9" x14ac:dyDescent="0.2">
      <c r="A25" t="s">
        <v>36</v>
      </c>
      <c r="C25">
        <f>COUNTIF('Ride Log'!$R$2:$R$499,$A25)</f>
        <v>0</v>
      </c>
      <c r="D25" s="6">
        <f>SUMIF('Ride Log'!$R$2:$R$499,$A25,'Ride Log'!$F$2:$F$499)</f>
        <v>0</v>
      </c>
      <c r="E25" s="6">
        <f>SUMIF('Ride Log'!$R$2:$R$499,$A25,'Ride Log'!$G$2:$G$499)</f>
        <v>0</v>
      </c>
      <c r="F25" s="6">
        <f>SUMIF('Ride Log'!$R$2:$R$499,$A25,'Ride Log'!$AG$2:$AG$499)/60</f>
        <v>0</v>
      </c>
      <c r="G25" s="6">
        <f>SUMIF('Ride Log'!$R$2:$R$499,$A25,'Ride Log'!$AI$2:$AI$499)</f>
        <v>0</v>
      </c>
      <c r="H25" s="6"/>
    </row>
    <row r="26" spans="1:9" x14ac:dyDescent="0.2">
      <c r="A26" s="1" t="s">
        <v>16</v>
      </c>
      <c r="C26">
        <f>COUNTIF('Ride Log'!$R$2:$R$499,$A26)</f>
        <v>0</v>
      </c>
      <c r="D26" s="6">
        <f>SUMIF('Ride Log'!$R$2:$R$499,$A26,'Ride Log'!$F$2:$F$499)</f>
        <v>0</v>
      </c>
      <c r="E26" s="6">
        <f>SUMIF('Ride Log'!$R$2:$R$499,$A26,'Ride Log'!$G$2:$G$499)</f>
        <v>0</v>
      </c>
      <c r="F26" s="6">
        <f>SUMIF('Ride Log'!$R$2:$R$499,$A26,'Ride Log'!$AG$2:$AG$499)/60</f>
        <v>0</v>
      </c>
      <c r="G26" s="6">
        <f>SUMIF('Ride Log'!$R$2:$R$499,$A26,'Ride Log'!$AI$2:$AI$499)</f>
        <v>0</v>
      </c>
      <c r="H26" s="6"/>
    </row>
    <row r="27" spans="1:9" x14ac:dyDescent="0.2">
      <c r="D27" s="6"/>
      <c r="E27" s="6"/>
      <c r="F27" s="6"/>
      <c r="G27" s="6"/>
    </row>
    <row r="29" spans="1:9" ht="27.75" customHeight="1" x14ac:dyDescent="0.2"/>
    <row r="30" spans="1:9" ht="38.25" x14ac:dyDescent="0.2">
      <c r="A30" s="30" t="s">
        <v>0</v>
      </c>
      <c r="B30" s="31"/>
      <c r="C30" s="28" t="s">
        <v>4</v>
      </c>
      <c r="D30" s="29" t="s">
        <v>7</v>
      </c>
      <c r="E30" s="30" t="s">
        <v>10</v>
      </c>
      <c r="F30" s="32" t="s">
        <v>34</v>
      </c>
      <c r="G30" s="32" t="s">
        <v>1</v>
      </c>
      <c r="H30" s="32" t="s">
        <v>80</v>
      </c>
    </row>
    <row r="31" spans="1:9" x14ac:dyDescent="0.2">
      <c r="A31">
        <v>1</v>
      </c>
      <c r="B31" s="11">
        <v>44193</v>
      </c>
      <c r="C31" s="147">
        <f>COUNTIF(Data!$B$2:$B$500,"&gt;="&amp;B31)-COUNTIF(Data!$B$2:$B$500,"&gt;="&amp;B32)</f>
        <v>0</v>
      </c>
      <c r="D31" s="147">
        <f>SUMIF('Ride Log'!$A$2:$A$499,"&gt;="&amp;B31,'Ride Log'!$F$2:$F$499)-SUMIF('Ride Log'!$A$2:$A$499,"&gt;="&amp;B32,'Ride Log'!$F$2:$F$499)</f>
        <v>0</v>
      </c>
      <c r="E31" s="147">
        <f>SUMIF('Ride Log'!$A$2:$A$499,"&gt;="&amp;B31,'Ride Log'!$G$2:$G$499)-SUMIF('Ride Log'!$A$2:$A$499,"&gt;="&amp;B32,'Ride Log'!$G$2:$G$499)</f>
        <v>0</v>
      </c>
      <c r="F31" s="148">
        <f>(SUMIF('Ride Log'!$A$2:$A$499,"&gt;="&amp;B31,'Ride Log'!$AG$2:$AG$499)-SUMIF('Ride Log'!$A$2:$A$499,"&gt;="&amp;B32,'Ride Log'!$AG$2:$AG$499))/60</f>
        <v>0</v>
      </c>
      <c r="G31" s="147">
        <f>SUMIF('Ride Log'!$A$2:$A$499,"&gt;="&amp;B31,'Ride Log'!$AI$2:$AI$499)-SUMIF('Ride Log'!$A$2:$A$499,"&gt;="&amp;B32,'Ride Log'!$AI$2:$AI$499)</f>
        <v>0</v>
      </c>
      <c r="H31" s="147">
        <f>SUMIF('Ride Log'!$A$2:$A$499,"&gt;="&amp;B31,'Ride Log'!$AH$2:$AH$499)-SUMIF('Ride Log'!$A$2:$A$499,"&gt;="&amp;B32,'Ride Log'!$AH$2:$AH$499)</f>
        <v>0</v>
      </c>
    </row>
    <row r="32" spans="1:9" x14ac:dyDescent="0.2">
      <c r="A32">
        <f>A31+1</f>
        <v>2</v>
      </c>
      <c r="B32" s="11">
        <f>B31+7</f>
        <v>44200</v>
      </c>
      <c r="C32" s="147">
        <f>COUNTIF(Data!$B$2:$B$500,"&gt;="&amp;B32)-COUNTIF(Data!$B$2:$B$500,"&gt;="&amp;B33)</f>
        <v>0</v>
      </c>
      <c r="D32" s="147">
        <f>SUMIF('Ride Log'!$A$2:$A$499,"&gt;="&amp;B32,'Ride Log'!$F$2:$F$499)-SUMIF('Ride Log'!$A$2:$A$499,"&gt;="&amp;B33,'Ride Log'!$F$2:$F$499)</f>
        <v>0</v>
      </c>
      <c r="E32" s="147">
        <f>SUMIF('Ride Log'!$A$2:$A$499,"&gt;="&amp;B32,'Ride Log'!$G$2:$G$499)-SUMIF('Ride Log'!$A$2:$A$499,"&gt;="&amp;B33,'Ride Log'!$G$2:$G$499)</f>
        <v>0</v>
      </c>
      <c r="F32" s="148">
        <f>(SUMIF('Ride Log'!$A$2:$A$499,"&gt;="&amp;B32,'Ride Log'!$AG$2:$AG$499)-SUMIF('Ride Log'!$A$2:$A$499,"&gt;="&amp;B33,'Ride Log'!$AG$2:$AG$499))/60</f>
        <v>0</v>
      </c>
      <c r="G32" s="147">
        <f>SUMIF('Ride Log'!$A$2:$A$499,"&gt;="&amp;B32,'Ride Log'!$AI$2:$AI$499)-SUMIF('Ride Log'!$A$2:$A$499,"&gt;="&amp;B33,'Ride Log'!$AI$2:$AI$499)</f>
        <v>0</v>
      </c>
      <c r="H32" s="147">
        <f>SUMIF('Ride Log'!$A$2:$A$499,"&gt;="&amp;B32,'Ride Log'!$AH$2:$AH$499)-SUMIF('Ride Log'!$A$2:$A$499,"&gt;="&amp;B33,'Ride Log'!$AH$2:$AH$499)</f>
        <v>0</v>
      </c>
    </row>
    <row r="33" spans="1:9" x14ac:dyDescent="0.2">
      <c r="A33">
        <f t="shared" ref="A33:A83" si="0">A32+1</f>
        <v>3</v>
      </c>
      <c r="B33" s="11">
        <f t="shared" ref="B33:B83" si="1">B32+7</f>
        <v>44207</v>
      </c>
      <c r="C33" s="147">
        <f>COUNTIF(Data!$B$2:$B$500,"&gt;="&amp;B33)-COUNTIF(Data!$B$2:$B$500,"&gt;="&amp;B34)</f>
        <v>0</v>
      </c>
      <c r="D33" s="147">
        <f>SUMIF('Ride Log'!$A$2:$A$499,"&gt;="&amp;B33,'Ride Log'!$F$2:$F$499)-SUMIF('Ride Log'!$A$2:$A$499,"&gt;="&amp;B34,'Ride Log'!$F$2:$F$499)</f>
        <v>0</v>
      </c>
      <c r="E33" s="147">
        <f>SUMIF('Ride Log'!$A$2:$A$499,"&gt;="&amp;B33,'Ride Log'!$G$2:$G$499)-SUMIF('Ride Log'!$A$2:$A$499,"&gt;="&amp;B34,'Ride Log'!$G$2:$G$499)</f>
        <v>0</v>
      </c>
      <c r="F33" s="148">
        <f>(SUMIF('Ride Log'!$A$2:$A$499,"&gt;="&amp;B33,'Ride Log'!$AG$2:$AG$499)-SUMIF('Ride Log'!$A$2:$A$499,"&gt;="&amp;B34,'Ride Log'!$AG$2:$AG$499))/60</f>
        <v>0</v>
      </c>
      <c r="G33" s="147">
        <f>SUMIF('Ride Log'!$A$2:$A$499,"&gt;="&amp;B33,'Ride Log'!$AI$2:$AI$499)-SUMIF('Ride Log'!$A$2:$A$499,"&gt;="&amp;B34,'Ride Log'!$AI$2:$AI$499)</f>
        <v>0</v>
      </c>
      <c r="H33" s="147">
        <f>SUMIF('Ride Log'!$A$2:$A$499,"&gt;="&amp;B33,'Ride Log'!$AH$2:$AH$499)-SUMIF('Ride Log'!$A$2:$A$499,"&gt;="&amp;B34,'Ride Log'!$AH$2:$AH$499)</f>
        <v>0</v>
      </c>
    </row>
    <row r="34" spans="1:9" x14ac:dyDescent="0.2">
      <c r="A34">
        <f t="shared" si="0"/>
        <v>4</v>
      </c>
      <c r="B34" s="11">
        <f t="shared" si="1"/>
        <v>44214</v>
      </c>
      <c r="C34" s="147">
        <f>COUNTIF(Data!$B$2:$B$500,"&gt;="&amp;B34)-COUNTIF(Data!$B$2:$B$500,"&gt;="&amp;B35)</f>
        <v>0</v>
      </c>
      <c r="D34" s="147">
        <f>SUMIF('Ride Log'!$A$2:$A$499,"&gt;="&amp;B34,'Ride Log'!$F$2:$F$499)-SUMIF('Ride Log'!$A$2:$A$499,"&gt;="&amp;B35,'Ride Log'!$F$2:$F$499)</f>
        <v>0</v>
      </c>
      <c r="E34" s="147">
        <f>SUMIF('Ride Log'!$A$2:$A$499,"&gt;="&amp;B34,'Ride Log'!$G$2:$G$499)-SUMIF('Ride Log'!$A$2:$A$499,"&gt;="&amp;B35,'Ride Log'!$G$2:$G$499)</f>
        <v>0</v>
      </c>
      <c r="F34" s="148">
        <f>(SUMIF('Ride Log'!$A$2:$A$499,"&gt;="&amp;B34,'Ride Log'!$AG$2:$AG$499)-SUMIF('Ride Log'!$A$2:$A$499,"&gt;="&amp;B35,'Ride Log'!$AG$2:$AG$499))/60</f>
        <v>0</v>
      </c>
      <c r="G34" s="147">
        <f>SUMIF('Ride Log'!$A$2:$A$499,"&gt;="&amp;B34,'Ride Log'!$AI$2:$AI$499)-SUMIF('Ride Log'!$A$2:$A$499,"&gt;="&amp;B35,'Ride Log'!$AI$2:$AI$499)</f>
        <v>0</v>
      </c>
      <c r="H34" s="147">
        <f>SUMIF('Ride Log'!$A$2:$A$499,"&gt;="&amp;B34,'Ride Log'!$AH$2:$AH$499)-SUMIF('Ride Log'!$A$2:$A$499,"&gt;="&amp;B35,'Ride Log'!$AH$2:$AH$499)</f>
        <v>0</v>
      </c>
    </row>
    <row r="35" spans="1:9" x14ac:dyDescent="0.2">
      <c r="A35">
        <f t="shared" si="0"/>
        <v>5</v>
      </c>
      <c r="B35" s="11">
        <f t="shared" si="1"/>
        <v>44221</v>
      </c>
      <c r="C35" s="147">
        <f>COUNTIF(Data!$B$2:$B$500,"&gt;="&amp;B35)-COUNTIF(Data!$B$2:$B$500,"&gt;="&amp;B36)</f>
        <v>0</v>
      </c>
      <c r="D35" s="147">
        <f>SUMIF('Ride Log'!$A$2:$A$499,"&gt;="&amp;B35,'Ride Log'!$F$2:$F$499)-SUMIF('Ride Log'!$A$2:$A$499,"&gt;="&amp;B36,'Ride Log'!$F$2:$F$499)</f>
        <v>0</v>
      </c>
      <c r="E35" s="147">
        <f>SUMIF('Ride Log'!$A$2:$A$499,"&gt;="&amp;B35,'Ride Log'!$G$2:$G$499)-SUMIF('Ride Log'!$A$2:$A$499,"&gt;="&amp;B36,'Ride Log'!$G$2:$G$499)</f>
        <v>0</v>
      </c>
      <c r="F35" s="148">
        <f>(SUMIF('Ride Log'!$A$2:$A$499,"&gt;="&amp;B35,'Ride Log'!$AG$2:$AG$499)-SUMIF('Ride Log'!$A$2:$A$499,"&gt;="&amp;B36,'Ride Log'!$AG$2:$AG$499))/60</f>
        <v>0</v>
      </c>
      <c r="G35" s="147">
        <f>SUMIF('Ride Log'!$A$2:$A$499,"&gt;="&amp;B35,'Ride Log'!$AI$2:$AI$499)-SUMIF('Ride Log'!$A$2:$A$499,"&gt;="&amp;B36,'Ride Log'!$AI$2:$AI$499)</f>
        <v>0</v>
      </c>
      <c r="H35" s="147">
        <f>SUMIF('Ride Log'!$A$2:$A$499,"&gt;="&amp;B35,'Ride Log'!$AH$2:$AH$499)-SUMIF('Ride Log'!$A$2:$A$499,"&gt;="&amp;B36,'Ride Log'!$AH$2:$AH$499)</f>
        <v>0</v>
      </c>
    </row>
    <row r="36" spans="1:9" x14ac:dyDescent="0.2">
      <c r="A36">
        <f t="shared" si="0"/>
        <v>6</v>
      </c>
      <c r="B36" s="11">
        <f t="shared" si="1"/>
        <v>44228</v>
      </c>
      <c r="C36" s="147">
        <f>COUNTIF(Data!$B$2:$B$500,"&gt;="&amp;B36)-COUNTIF(Data!$B$2:$B$500,"&gt;="&amp;B37)</f>
        <v>0</v>
      </c>
      <c r="D36" s="147">
        <f>SUMIF('Ride Log'!$A$2:$A$499,"&gt;="&amp;B36,'Ride Log'!$F$2:$F$499)-SUMIF('Ride Log'!$A$2:$A$499,"&gt;="&amp;B37,'Ride Log'!$F$2:$F$499)</f>
        <v>0</v>
      </c>
      <c r="E36" s="147">
        <f>SUMIF('Ride Log'!$A$2:$A$499,"&gt;="&amp;B36,'Ride Log'!$G$2:$G$499)-SUMIF('Ride Log'!$A$2:$A$499,"&gt;="&amp;B37,'Ride Log'!$G$2:$G$499)</f>
        <v>0</v>
      </c>
      <c r="F36" s="148">
        <f>(SUMIF('Ride Log'!$A$2:$A$499,"&gt;="&amp;B36,'Ride Log'!$AG$2:$AG$499)-SUMIF('Ride Log'!$A$2:$A$499,"&gt;="&amp;B37,'Ride Log'!$AG$2:$AG$499))/60</f>
        <v>0</v>
      </c>
      <c r="G36" s="147">
        <f>SUMIF('Ride Log'!$A$2:$A$499,"&gt;="&amp;B36,'Ride Log'!$AI$2:$AI$499)-SUMIF('Ride Log'!$A$2:$A$499,"&gt;="&amp;B37,'Ride Log'!$AI$2:$AI$499)</f>
        <v>0</v>
      </c>
      <c r="H36" s="147">
        <f>SUMIF('Ride Log'!$A$2:$A$499,"&gt;="&amp;B36,'Ride Log'!$AH$2:$AH$499)-SUMIF('Ride Log'!$A$2:$A$499,"&gt;="&amp;B37,'Ride Log'!$AH$2:$AH$499)</f>
        <v>0</v>
      </c>
      <c r="I36" s="10"/>
    </row>
    <row r="37" spans="1:9" x14ac:dyDescent="0.2">
      <c r="A37">
        <f t="shared" si="0"/>
        <v>7</v>
      </c>
      <c r="B37" s="11">
        <f t="shared" si="1"/>
        <v>44235</v>
      </c>
      <c r="C37" s="147">
        <f>COUNTIF(Data!$B$2:$B$500,"&gt;="&amp;B37)-COUNTIF(Data!$B$2:$B$500,"&gt;="&amp;B38)</f>
        <v>0</v>
      </c>
      <c r="D37" s="147">
        <f>SUMIF('Ride Log'!$A$2:$A$499,"&gt;="&amp;B37,'Ride Log'!$F$2:$F$499)-SUMIF('Ride Log'!$A$2:$A$499,"&gt;="&amp;B38,'Ride Log'!$F$2:$F$499)</f>
        <v>0</v>
      </c>
      <c r="E37" s="147">
        <f>SUMIF('Ride Log'!$A$2:$A$499,"&gt;="&amp;B37,'Ride Log'!$G$2:$G$499)-SUMIF('Ride Log'!$A$2:$A$499,"&gt;="&amp;B38,'Ride Log'!$G$2:$G$499)</f>
        <v>0</v>
      </c>
      <c r="F37" s="148">
        <f>(SUMIF('Ride Log'!$A$2:$A$499,"&gt;="&amp;B37,'Ride Log'!$AG$2:$AG$499)-SUMIF('Ride Log'!$A$2:$A$499,"&gt;="&amp;B38,'Ride Log'!$AG$2:$AG$499))/60</f>
        <v>0</v>
      </c>
      <c r="G37" s="147">
        <f>SUMIF('Ride Log'!$A$2:$A$499,"&gt;="&amp;B37,'Ride Log'!$AI$2:$AI$499)-SUMIF('Ride Log'!$A$2:$A$499,"&gt;="&amp;B38,'Ride Log'!$AI$2:$AI$499)</f>
        <v>0</v>
      </c>
      <c r="H37" s="147">
        <f>SUMIF('Ride Log'!$A$2:$A$499,"&gt;="&amp;B37,'Ride Log'!$AH$2:$AH$499)-SUMIF('Ride Log'!$A$2:$A$499,"&gt;="&amp;B38,'Ride Log'!$AH$2:$AH$499)</f>
        <v>0</v>
      </c>
      <c r="I37" s="3"/>
    </row>
    <row r="38" spans="1:9" x14ac:dyDescent="0.2">
      <c r="A38">
        <f t="shared" si="0"/>
        <v>8</v>
      </c>
      <c r="B38" s="11">
        <f t="shared" si="1"/>
        <v>44242</v>
      </c>
      <c r="C38" s="147">
        <f>COUNTIF(Data!$B$2:$B$500,"&gt;="&amp;B38)-COUNTIF(Data!$B$2:$B$500,"&gt;="&amp;B39)</f>
        <v>0</v>
      </c>
      <c r="D38" s="147">
        <f>SUMIF('Ride Log'!$A$2:$A$499,"&gt;="&amp;B38,'Ride Log'!$F$2:$F$499)-SUMIF('Ride Log'!$A$2:$A$499,"&gt;="&amp;B39,'Ride Log'!$F$2:$F$499)</f>
        <v>0</v>
      </c>
      <c r="E38" s="147">
        <f>SUMIF('Ride Log'!$A$2:$A$499,"&gt;="&amp;B38,'Ride Log'!$G$2:$G$499)-SUMIF('Ride Log'!$A$2:$A$499,"&gt;="&amp;B39,'Ride Log'!$G$2:$G$499)</f>
        <v>0</v>
      </c>
      <c r="F38" s="148">
        <f>(SUMIF('Ride Log'!$A$2:$A$499,"&gt;="&amp;B38,'Ride Log'!$AG$2:$AG$499)-SUMIF('Ride Log'!$A$2:$A$499,"&gt;="&amp;B39,'Ride Log'!$AG$2:$AG$499))/60</f>
        <v>0</v>
      </c>
      <c r="G38" s="147">
        <f>SUMIF('Ride Log'!$A$2:$A$499,"&gt;="&amp;B38,'Ride Log'!$AI$2:$AI$499)-SUMIF('Ride Log'!$A$2:$A$499,"&gt;="&amp;B39,'Ride Log'!$AI$2:$AI$499)</f>
        <v>0</v>
      </c>
      <c r="H38" s="147">
        <f>SUMIF('Ride Log'!$A$2:$A$499,"&gt;="&amp;B38,'Ride Log'!$AH$2:$AH$499)-SUMIF('Ride Log'!$A$2:$A$499,"&gt;="&amp;B39,'Ride Log'!$AH$2:$AH$499)</f>
        <v>0</v>
      </c>
      <c r="I38" s="3"/>
    </row>
    <row r="39" spans="1:9" x14ac:dyDescent="0.2">
      <c r="A39">
        <f t="shared" si="0"/>
        <v>9</v>
      </c>
      <c r="B39" s="11">
        <f t="shared" si="1"/>
        <v>44249</v>
      </c>
      <c r="C39" s="147">
        <f>COUNTIF(Data!$B$2:$B$500,"&gt;="&amp;B39)-COUNTIF(Data!$B$2:$B$500,"&gt;="&amp;B40)</f>
        <v>0</v>
      </c>
      <c r="D39" s="147">
        <f>SUMIF('Ride Log'!$A$2:$A$499,"&gt;="&amp;B39,'Ride Log'!$F$2:$F$499)-SUMIF('Ride Log'!$A$2:$A$499,"&gt;="&amp;B40,'Ride Log'!$F$2:$F$499)</f>
        <v>0</v>
      </c>
      <c r="E39" s="147">
        <f>SUMIF('Ride Log'!$A$2:$A$499,"&gt;="&amp;B39,'Ride Log'!$G$2:$G$499)-SUMIF('Ride Log'!$A$2:$A$499,"&gt;="&amp;B40,'Ride Log'!$G$2:$G$499)</f>
        <v>0</v>
      </c>
      <c r="F39" s="148">
        <f>(SUMIF('Ride Log'!$A$2:$A$499,"&gt;="&amp;B39,'Ride Log'!$AG$2:$AG$499)-SUMIF('Ride Log'!$A$2:$A$499,"&gt;="&amp;B40,'Ride Log'!$AG$2:$AG$499))/60</f>
        <v>0</v>
      </c>
      <c r="G39" s="147">
        <f>SUMIF('Ride Log'!$A$2:$A$499,"&gt;="&amp;B39,'Ride Log'!$AI$2:$AI$499)-SUMIF('Ride Log'!$A$2:$A$499,"&gt;="&amp;B40,'Ride Log'!$AI$2:$AI$499)</f>
        <v>0</v>
      </c>
      <c r="H39" s="147">
        <f>SUMIF('Ride Log'!$A$2:$A$499,"&gt;="&amp;B39,'Ride Log'!$AH$2:$AH$499)-SUMIF('Ride Log'!$A$2:$A$499,"&gt;="&amp;B40,'Ride Log'!$AH$2:$AH$499)</f>
        <v>0</v>
      </c>
      <c r="I39" s="3"/>
    </row>
    <row r="40" spans="1:9" x14ac:dyDescent="0.2">
      <c r="A40">
        <f t="shared" si="0"/>
        <v>10</v>
      </c>
      <c r="B40" s="11">
        <f t="shared" si="1"/>
        <v>44256</v>
      </c>
      <c r="C40" s="147">
        <f>COUNTIF(Data!$B$2:$B$500,"&gt;="&amp;B40)-COUNTIF(Data!$B$2:$B$500,"&gt;="&amp;B41)</f>
        <v>0</v>
      </c>
      <c r="D40" s="147">
        <f>SUMIF('Ride Log'!$A$2:$A$499,"&gt;="&amp;B40,'Ride Log'!$F$2:$F$499)-SUMIF('Ride Log'!$A$2:$A$499,"&gt;="&amp;B41,'Ride Log'!$F$2:$F$499)</f>
        <v>0</v>
      </c>
      <c r="E40" s="147">
        <f>SUMIF('Ride Log'!$A$2:$A$499,"&gt;="&amp;B40,'Ride Log'!$G$2:$G$499)-SUMIF('Ride Log'!$A$2:$A$499,"&gt;="&amp;B41,'Ride Log'!$G$2:$G$499)</f>
        <v>0</v>
      </c>
      <c r="F40" s="148">
        <f>(SUMIF('Ride Log'!$A$2:$A$499,"&gt;="&amp;B40,'Ride Log'!$AG$2:$AG$499)-SUMIF('Ride Log'!$A$2:$A$499,"&gt;="&amp;B41,'Ride Log'!$AG$2:$AG$499))/60</f>
        <v>0</v>
      </c>
      <c r="G40" s="147">
        <f>SUMIF('Ride Log'!$A$2:$A$499,"&gt;="&amp;B40,'Ride Log'!$AI$2:$AI$499)-SUMIF('Ride Log'!$A$2:$A$499,"&gt;="&amp;B41,'Ride Log'!$AI$2:$AI$499)</f>
        <v>0</v>
      </c>
      <c r="H40" s="147">
        <f>SUMIF('Ride Log'!$A$2:$A$499,"&gt;="&amp;B40,'Ride Log'!$AH$2:$AH$499)-SUMIF('Ride Log'!$A$2:$A$499,"&gt;="&amp;B41,'Ride Log'!$AH$2:$AH$499)</f>
        <v>0</v>
      </c>
      <c r="I40" s="3"/>
    </row>
    <row r="41" spans="1:9" x14ac:dyDescent="0.2">
      <c r="A41">
        <f t="shared" si="0"/>
        <v>11</v>
      </c>
      <c r="B41" s="11">
        <f t="shared" si="1"/>
        <v>44263</v>
      </c>
      <c r="C41" s="147">
        <f>COUNTIF(Data!$B$2:$B$500,"&gt;="&amp;B41)-COUNTIF(Data!$B$2:$B$500,"&gt;="&amp;B42)</f>
        <v>0</v>
      </c>
      <c r="D41" s="147">
        <f>SUMIF('Ride Log'!$A$2:$A$499,"&gt;="&amp;B41,'Ride Log'!$F$2:$F$499)-SUMIF('Ride Log'!$A$2:$A$499,"&gt;="&amp;B42,'Ride Log'!$F$2:$F$499)</f>
        <v>0</v>
      </c>
      <c r="E41" s="147">
        <f>SUMIF('Ride Log'!$A$2:$A$499,"&gt;="&amp;B41,'Ride Log'!$G$2:$G$499)-SUMIF('Ride Log'!$A$2:$A$499,"&gt;="&amp;B42,'Ride Log'!$G$2:$G$499)</f>
        <v>0</v>
      </c>
      <c r="F41" s="148">
        <f>(SUMIF('Ride Log'!$A$2:$A$499,"&gt;="&amp;B41,'Ride Log'!$AG$2:$AG$499)-SUMIF('Ride Log'!$A$2:$A$499,"&gt;="&amp;B42,'Ride Log'!$AG$2:$AG$499))/60</f>
        <v>0</v>
      </c>
      <c r="G41" s="147">
        <f>SUMIF('Ride Log'!$A$2:$A$499,"&gt;="&amp;B41,'Ride Log'!$AI$2:$AI$499)-SUMIF('Ride Log'!$A$2:$A$499,"&gt;="&amp;B42,'Ride Log'!$AI$2:$AI$499)</f>
        <v>0</v>
      </c>
      <c r="H41" s="147">
        <f>SUMIF('Ride Log'!$A$2:$A$499,"&gt;="&amp;B41,'Ride Log'!$AH$2:$AH$499)-SUMIF('Ride Log'!$A$2:$A$499,"&gt;="&amp;B42,'Ride Log'!$AH$2:$AH$499)</f>
        <v>0</v>
      </c>
      <c r="I41" s="3"/>
    </row>
    <row r="42" spans="1:9" x14ac:dyDescent="0.2">
      <c r="A42">
        <f t="shared" si="0"/>
        <v>12</v>
      </c>
      <c r="B42" s="11">
        <f t="shared" si="1"/>
        <v>44270</v>
      </c>
      <c r="C42" s="147">
        <f>COUNTIF(Data!$B$2:$B$500,"&gt;="&amp;B42)-COUNTIF(Data!$B$2:$B$500,"&gt;="&amp;B43)</f>
        <v>0</v>
      </c>
      <c r="D42" s="147">
        <f>SUMIF('Ride Log'!$A$2:$A$499,"&gt;="&amp;B42,'Ride Log'!$F$2:$F$499)-SUMIF('Ride Log'!$A$2:$A$499,"&gt;="&amp;B43,'Ride Log'!$F$2:$F$499)</f>
        <v>0</v>
      </c>
      <c r="E42" s="147">
        <f>SUMIF('Ride Log'!$A$2:$A$499,"&gt;="&amp;B42,'Ride Log'!$G$2:$G$499)-SUMIF('Ride Log'!$A$2:$A$499,"&gt;="&amp;B43,'Ride Log'!$G$2:$G$499)</f>
        <v>0</v>
      </c>
      <c r="F42" s="148">
        <f>(SUMIF('Ride Log'!$A$2:$A$499,"&gt;="&amp;B42,'Ride Log'!$AG$2:$AG$499)-SUMIF('Ride Log'!$A$2:$A$499,"&gt;="&amp;B43,'Ride Log'!$AG$2:$AG$499))/60</f>
        <v>0</v>
      </c>
      <c r="G42" s="147">
        <f>SUMIF('Ride Log'!$A$2:$A$499,"&gt;="&amp;B42,'Ride Log'!$AI$2:$AI$499)-SUMIF('Ride Log'!$A$2:$A$499,"&gt;="&amp;B43,'Ride Log'!$AI$2:$AI$499)</f>
        <v>0</v>
      </c>
      <c r="H42" s="147">
        <f>SUMIF('Ride Log'!$A$2:$A$499,"&gt;="&amp;B42,'Ride Log'!$AH$2:$AH$499)-SUMIF('Ride Log'!$A$2:$A$499,"&gt;="&amp;B43,'Ride Log'!$AH$2:$AH$499)</f>
        <v>0</v>
      </c>
      <c r="I42" s="3"/>
    </row>
    <row r="43" spans="1:9" x14ac:dyDescent="0.2">
      <c r="A43">
        <f t="shared" si="0"/>
        <v>13</v>
      </c>
      <c r="B43" s="11">
        <f t="shared" si="1"/>
        <v>44277</v>
      </c>
      <c r="C43" s="147">
        <f>COUNTIF(Data!$B$2:$B$500,"&gt;="&amp;B43)-COUNTIF(Data!$B$2:$B$500,"&gt;="&amp;B44)</f>
        <v>0</v>
      </c>
      <c r="D43" s="147">
        <f>SUMIF('Ride Log'!$A$2:$A$499,"&gt;="&amp;B43,'Ride Log'!$F$2:$F$499)-SUMIF('Ride Log'!$A$2:$A$499,"&gt;="&amp;B44,'Ride Log'!$F$2:$F$499)</f>
        <v>0</v>
      </c>
      <c r="E43" s="147">
        <f>SUMIF('Ride Log'!$A$2:$A$499,"&gt;="&amp;B43,'Ride Log'!$G$2:$G$499)-SUMIF('Ride Log'!$A$2:$A$499,"&gt;="&amp;B44,'Ride Log'!$G$2:$G$499)</f>
        <v>0</v>
      </c>
      <c r="F43" s="148">
        <f>(SUMIF('Ride Log'!$A$2:$A$499,"&gt;="&amp;B43,'Ride Log'!$AG$2:$AG$499)-SUMIF('Ride Log'!$A$2:$A$499,"&gt;="&amp;B44,'Ride Log'!$AG$2:$AG$499))/60</f>
        <v>0</v>
      </c>
      <c r="G43" s="147">
        <f>SUMIF('Ride Log'!$A$2:$A$499,"&gt;="&amp;B43,'Ride Log'!$AI$2:$AI$499)-SUMIF('Ride Log'!$A$2:$A$499,"&gt;="&amp;B44,'Ride Log'!$AI$2:$AI$499)</f>
        <v>0</v>
      </c>
      <c r="H43" s="147">
        <f>SUMIF('Ride Log'!$A$2:$A$499,"&gt;="&amp;B43,'Ride Log'!$AH$2:$AH$499)-SUMIF('Ride Log'!$A$2:$A$499,"&gt;="&amp;B44,'Ride Log'!$AH$2:$AH$499)</f>
        <v>0</v>
      </c>
      <c r="I43" s="3"/>
    </row>
    <row r="44" spans="1:9" x14ac:dyDescent="0.2">
      <c r="A44">
        <f t="shared" si="0"/>
        <v>14</v>
      </c>
      <c r="B44" s="11">
        <f t="shared" si="1"/>
        <v>44284</v>
      </c>
      <c r="C44" s="147">
        <f>COUNTIF(Data!$B$2:$B$500,"&gt;="&amp;B44)-COUNTIF(Data!$B$2:$B$500,"&gt;="&amp;B45)</f>
        <v>0</v>
      </c>
      <c r="D44" s="147">
        <f>SUMIF('Ride Log'!$A$2:$A$499,"&gt;="&amp;B44,'Ride Log'!$F$2:$F$499)-SUMIF('Ride Log'!$A$2:$A$499,"&gt;="&amp;B45,'Ride Log'!$F$2:$F$499)</f>
        <v>0</v>
      </c>
      <c r="E44" s="147">
        <f>SUMIF('Ride Log'!$A$2:$A$499,"&gt;="&amp;B44,'Ride Log'!$G$2:$G$499)-SUMIF('Ride Log'!$A$2:$A$499,"&gt;="&amp;B45,'Ride Log'!$G$2:$G$499)</f>
        <v>0</v>
      </c>
      <c r="F44" s="148">
        <f>(SUMIF('Ride Log'!$A$2:$A$499,"&gt;="&amp;B44,'Ride Log'!$AG$2:$AG$499)-SUMIF('Ride Log'!$A$2:$A$499,"&gt;="&amp;B45,'Ride Log'!$AG$2:$AG$499))/60</f>
        <v>0</v>
      </c>
      <c r="G44" s="147">
        <f>SUMIF('Ride Log'!$A$2:$A$499,"&gt;="&amp;B44,'Ride Log'!$AI$2:$AI$499)-SUMIF('Ride Log'!$A$2:$A$499,"&gt;="&amp;B45,'Ride Log'!$AI$2:$AI$499)</f>
        <v>0</v>
      </c>
      <c r="H44" s="147">
        <f>SUMIF('Ride Log'!$A$2:$A$499,"&gt;="&amp;B44,'Ride Log'!$AH$2:$AH$499)-SUMIF('Ride Log'!$A$2:$A$499,"&gt;="&amp;B45,'Ride Log'!$AH$2:$AH$499)</f>
        <v>0</v>
      </c>
      <c r="I44" s="3"/>
    </row>
    <row r="45" spans="1:9" x14ac:dyDescent="0.2">
      <c r="A45">
        <f t="shared" si="0"/>
        <v>15</v>
      </c>
      <c r="B45" s="11">
        <f t="shared" si="1"/>
        <v>44291</v>
      </c>
      <c r="C45" s="147">
        <f>COUNTIF(Data!$B$2:$B$500,"&gt;="&amp;B45)-COUNTIF(Data!$B$2:$B$500,"&gt;="&amp;B46)</f>
        <v>0</v>
      </c>
      <c r="D45" s="147">
        <f>SUMIF('Ride Log'!$A$2:$A$499,"&gt;="&amp;B45,'Ride Log'!$F$2:$F$499)-SUMIF('Ride Log'!$A$2:$A$499,"&gt;="&amp;B46,'Ride Log'!$F$2:$F$499)</f>
        <v>0</v>
      </c>
      <c r="E45" s="147">
        <f>SUMIF('Ride Log'!$A$2:$A$499,"&gt;="&amp;B45,'Ride Log'!$G$2:$G$499)-SUMIF('Ride Log'!$A$2:$A$499,"&gt;="&amp;B46,'Ride Log'!$G$2:$G$499)</f>
        <v>0</v>
      </c>
      <c r="F45" s="148">
        <f>(SUMIF('Ride Log'!$A$2:$A$499,"&gt;="&amp;B45,'Ride Log'!$AG$2:$AG$499)-SUMIF('Ride Log'!$A$2:$A$499,"&gt;="&amp;B46,'Ride Log'!$AG$2:$AG$499))/60</f>
        <v>0</v>
      </c>
      <c r="G45" s="147">
        <f>SUMIF('Ride Log'!$A$2:$A$499,"&gt;="&amp;B45,'Ride Log'!$AI$2:$AI$499)-SUMIF('Ride Log'!$A$2:$A$499,"&gt;="&amp;B46,'Ride Log'!$AI$2:$AI$499)</f>
        <v>0</v>
      </c>
      <c r="H45" s="147">
        <f>SUMIF('Ride Log'!$A$2:$A$499,"&gt;="&amp;B45,'Ride Log'!$AH$2:$AH$499)-SUMIF('Ride Log'!$A$2:$A$499,"&gt;="&amp;B46,'Ride Log'!$AH$2:$AH$499)</f>
        <v>0</v>
      </c>
      <c r="I45" s="3"/>
    </row>
    <row r="46" spans="1:9" x14ac:dyDescent="0.2">
      <c r="A46">
        <f t="shared" si="0"/>
        <v>16</v>
      </c>
      <c r="B46" s="11">
        <f t="shared" si="1"/>
        <v>44298</v>
      </c>
      <c r="C46" s="147">
        <f>COUNTIF(Data!$B$2:$B$500,"&gt;="&amp;B46)-COUNTIF(Data!$B$2:$B$500,"&gt;="&amp;B47)</f>
        <v>0</v>
      </c>
      <c r="D46" s="147">
        <f>SUMIF('Ride Log'!$A$2:$A$499,"&gt;="&amp;B46,'Ride Log'!$F$2:$F$499)-SUMIF('Ride Log'!$A$2:$A$499,"&gt;="&amp;B47,'Ride Log'!$F$2:$F$499)</f>
        <v>0</v>
      </c>
      <c r="E46" s="147">
        <f>SUMIF('Ride Log'!$A$2:$A$499,"&gt;="&amp;B46,'Ride Log'!$G$2:$G$499)-SUMIF('Ride Log'!$A$2:$A$499,"&gt;="&amp;B47,'Ride Log'!$G$2:$G$499)</f>
        <v>0</v>
      </c>
      <c r="F46" s="148">
        <f>(SUMIF('Ride Log'!$A$2:$A$499,"&gt;="&amp;B46,'Ride Log'!$AG$2:$AG$499)-SUMIF('Ride Log'!$A$2:$A$499,"&gt;="&amp;B47,'Ride Log'!$AG$2:$AG$499))/60</f>
        <v>0</v>
      </c>
      <c r="G46" s="147">
        <f>SUMIF('Ride Log'!$A$2:$A$499,"&gt;="&amp;B46,'Ride Log'!$AI$2:$AI$499)-SUMIF('Ride Log'!$A$2:$A$499,"&gt;="&amp;B47,'Ride Log'!$AI$2:$AI$499)</f>
        <v>0</v>
      </c>
      <c r="H46" s="147">
        <f>SUMIF('Ride Log'!$A$2:$A$499,"&gt;="&amp;B46,'Ride Log'!$AH$2:$AH$499)-SUMIF('Ride Log'!$A$2:$A$499,"&gt;="&amp;B47,'Ride Log'!$AH$2:$AH$499)</f>
        <v>0</v>
      </c>
      <c r="I46" s="3"/>
    </row>
    <row r="47" spans="1:9" x14ac:dyDescent="0.2">
      <c r="A47">
        <f t="shared" si="0"/>
        <v>17</v>
      </c>
      <c r="B47" s="11">
        <f t="shared" si="1"/>
        <v>44305</v>
      </c>
      <c r="C47" s="147">
        <f>COUNTIF(Data!$B$2:$B$500,"&gt;="&amp;B47)-COUNTIF(Data!$B$2:$B$500,"&gt;="&amp;B48)</f>
        <v>0</v>
      </c>
      <c r="D47" s="147">
        <f>SUMIF('Ride Log'!$A$2:$A$499,"&gt;="&amp;B47,'Ride Log'!$F$2:$F$499)-SUMIF('Ride Log'!$A$2:$A$499,"&gt;="&amp;B48,'Ride Log'!$F$2:$F$499)</f>
        <v>0</v>
      </c>
      <c r="E47" s="147">
        <f>SUMIF('Ride Log'!$A$2:$A$499,"&gt;="&amp;B47,'Ride Log'!$G$2:$G$499)-SUMIF('Ride Log'!$A$2:$A$499,"&gt;="&amp;B48,'Ride Log'!$G$2:$G$499)</f>
        <v>0</v>
      </c>
      <c r="F47" s="148">
        <f>(SUMIF('Ride Log'!$A$2:$A$499,"&gt;="&amp;B47,'Ride Log'!$AG$2:$AG$499)-SUMIF('Ride Log'!$A$2:$A$499,"&gt;="&amp;B48,'Ride Log'!$AG$2:$AG$499))/60</f>
        <v>0</v>
      </c>
      <c r="G47" s="147">
        <f>SUMIF('Ride Log'!$A$2:$A$499,"&gt;="&amp;B47,'Ride Log'!$AI$2:$AI$499)-SUMIF('Ride Log'!$A$2:$A$499,"&gt;="&amp;B48,'Ride Log'!$AI$2:$AI$499)</f>
        <v>0</v>
      </c>
      <c r="H47" s="147">
        <f>SUMIF('Ride Log'!$A$2:$A$499,"&gt;="&amp;B47,'Ride Log'!$AH$2:$AH$499)-SUMIF('Ride Log'!$A$2:$A$499,"&gt;="&amp;B48,'Ride Log'!$AH$2:$AH$499)</f>
        <v>0</v>
      </c>
      <c r="I47" s="3"/>
    </row>
    <row r="48" spans="1:9" x14ac:dyDescent="0.2">
      <c r="A48">
        <f t="shared" si="0"/>
        <v>18</v>
      </c>
      <c r="B48" s="11">
        <f t="shared" si="1"/>
        <v>44312</v>
      </c>
      <c r="C48" s="147">
        <f>COUNTIF(Data!$B$2:$B$500,"&gt;="&amp;B48)-COUNTIF(Data!$B$2:$B$500,"&gt;="&amp;B49)</f>
        <v>0</v>
      </c>
      <c r="D48" s="147">
        <f>SUMIF('Ride Log'!$A$2:$A$499,"&gt;="&amp;B48,'Ride Log'!$F$2:$F$499)-SUMIF('Ride Log'!$A$2:$A$499,"&gt;="&amp;B49,'Ride Log'!$F$2:$F$499)</f>
        <v>0</v>
      </c>
      <c r="E48" s="147">
        <f>SUMIF('Ride Log'!$A$2:$A$499,"&gt;="&amp;B48,'Ride Log'!$G$2:$G$499)-SUMIF('Ride Log'!$A$2:$A$499,"&gt;="&amp;B49,'Ride Log'!$G$2:$G$499)</f>
        <v>0</v>
      </c>
      <c r="F48" s="148">
        <f>(SUMIF('Ride Log'!$A$2:$A$499,"&gt;="&amp;B48,'Ride Log'!$AG$2:$AG$499)-SUMIF('Ride Log'!$A$2:$A$499,"&gt;="&amp;B49,'Ride Log'!$AG$2:$AG$499))/60</f>
        <v>0</v>
      </c>
      <c r="G48" s="147">
        <f>SUMIF('Ride Log'!$A$2:$A$499,"&gt;="&amp;B48,'Ride Log'!$AI$2:$AI$499)-SUMIF('Ride Log'!$A$2:$A$499,"&gt;="&amp;B49,'Ride Log'!$AI$2:$AI$499)</f>
        <v>0</v>
      </c>
      <c r="H48" s="147">
        <f>SUMIF('Ride Log'!$A$2:$A$499,"&gt;="&amp;B48,'Ride Log'!$AH$2:$AH$499)-SUMIF('Ride Log'!$A$2:$A$499,"&gt;="&amp;B49,'Ride Log'!$AH$2:$AH$499)</f>
        <v>0</v>
      </c>
      <c r="I48" s="3"/>
    </row>
    <row r="49" spans="1:9" x14ac:dyDescent="0.2">
      <c r="A49">
        <f t="shared" si="0"/>
        <v>19</v>
      </c>
      <c r="B49" s="11">
        <f t="shared" si="1"/>
        <v>44319</v>
      </c>
      <c r="C49" s="147">
        <f>COUNTIF(Data!$B$2:$B$500,"&gt;="&amp;B49)-COUNTIF(Data!$B$2:$B$500,"&gt;="&amp;B50)</f>
        <v>0</v>
      </c>
      <c r="D49" s="147">
        <f>SUMIF('Ride Log'!$A$2:$A$499,"&gt;="&amp;B49,'Ride Log'!$F$2:$F$499)-SUMIF('Ride Log'!$A$2:$A$499,"&gt;="&amp;B50,'Ride Log'!$F$2:$F$499)</f>
        <v>0</v>
      </c>
      <c r="E49" s="147">
        <f>SUMIF('Ride Log'!$A$2:$A$499,"&gt;="&amp;B49,'Ride Log'!$G$2:$G$499)-SUMIF('Ride Log'!$A$2:$A$499,"&gt;="&amp;B50,'Ride Log'!$G$2:$G$499)</f>
        <v>0</v>
      </c>
      <c r="F49" s="148">
        <f>(SUMIF('Ride Log'!$A$2:$A$499,"&gt;="&amp;B49,'Ride Log'!$AG$2:$AG$499)-SUMIF('Ride Log'!$A$2:$A$499,"&gt;="&amp;B50,'Ride Log'!$AG$2:$AG$499))/60</f>
        <v>0</v>
      </c>
      <c r="G49" s="147">
        <f>SUMIF('Ride Log'!$A$2:$A$499,"&gt;="&amp;B49,'Ride Log'!$AI$2:$AI$499)-SUMIF('Ride Log'!$A$2:$A$499,"&gt;="&amp;B50,'Ride Log'!$AI$2:$AI$499)</f>
        <v>0</v>
      </c>
      <c r="H49" s="147">
        <f>SUMIF('Ride Log'!$A$2:$A$499,"&gt;="&amp;B49,'Ride Log'!$AH$2:$AH$499)-SUMIF('Ride Log'!$A$2:$A$499,"&gt;="&amp;B50,'Ride Log'!$AH$2:$AH$499)</f>
        <v>0</v>
      </c>
      <c r="I49" s="3"/>
    </row>
    <row r="50" spans="1:9" x14ac:dyDescent="0.2">
      <c r="A50">
        <f t="shared" si="0"/>
        <v>20</v>
      </c>
      <c r="B50" s="11">
        <f t="shared" si="1"/>
        <v>44326</v>
      </c>
      <c r="C50" s="147">
        <f>COUNTIF(Data!$B$2:$B$500,"&gt;="&amp;B50)-COUNTIF(Data!$B$2:$B$500,"&gt;="&amp;B51)</f>
        <v>0</v>
      </c>
      <c r="D50" s="147">
        <f>SUMIF('Ride Log'!$A$2:$A$499,"&gt;="&amp;B50,'Ride Log'!$F$2:$F$499)-SUMIF('Ride Log'!$A$2:$A$499,"&gt;="&amp;B51,'Ride Log'!$F$2:$F$499)</f>
        <v>0</v>
      </c>
      <c r="E50" s="147">
        <f>SUMIF('Ride Log'!$A$2:$A$499,"&gt;="&amp;B50,'Ride Log'!$G$2:$G$499)-SUMIF('Ride Log'!$A$2:$A$499,"&gt;="&amp;B51,'Ride Log'!$G$2:$G$499)</f>
        <v>0</v>
      </c>
      <c r="F50" s="148">
        <f>(SUMIF('Ride Log'!$A$2:$A$499,"&gt;="&amp;B50,'Ride Log'!$AG$2:$AG$499)-SUMIF('Ride Log'!$A$2:$A$499,"&gt;="&amp;B51,'Ride Log'!$AG$2:$AG$499))/60</f>
        <v>0</v>
      </c>
      <c r="G50" s="147">
        <f>SUMIF('Ride Log'!$A$2:$A$499,"&gt;="&amp;B50,'Ride Log'!$AI$2:$AI$499)-SUMIF('Ride Log'!$A$2:$A$499,"&gt;="&amp;B51,'Ride Log'!$AI$2:$AI$499)</f>
        <v>0</v>
      </c>
      <c r="H50" s="147">
        <f>SUMIF('Ride Log'!$A$2:$A$499,"&gt;="&amp;B50,'Ride Log'!$AH$2:$AH$499)-SUMIF('Ride Log'!$A$2:$A$499,"&gt;="&amp;B51,'Ride Log'!$AH$2:$AH$499)</f>
        <v>0</v>
      </c>
      <c r="I50" s="3"/>
    </row>
    <row r="51" spans="1:9" x14ac:dyDescent="0.2">
      <c r="A51">
        <f t="shared" si="0"/>
        <v>21</v>
      </c>
      <c r="B51" s="11">
        <f t="shared" si="1"/>
        <v>44333</v>
      </c>
      <c r="C51" s="147">
        <f>COUNTIF(Data!$B$2:$B$500,"&gt;="&amp;B51)-COUNTIF(Data!$B$2:$B$500,"&gt;="&amp;B52)</f>
        <v>0</v>
      </c>
      <c r="D51" s="147">
        <f>SUMIF('Ride Log'!$A$2:$A$499,"&gt;="&amp;B51,'Ride Log'!$F$2:$F$499)-SUMIF('Ride Log'!$A$2:$A$499,"&gt;="&amp;B52,'Ride Log'!$F$2:$F$499)</f>
        <v>0</v>
      </c>
      <c r="E51" s="147">
        <f>SUMIF('Ride Log'!$A$2:$A$499,"&gt;="&amp;B51,'Ride Log'!$G$2:$G$499)-SUMIF('Ride Log'!$A$2:$A$499,"&gt;="&amp;B52,'Ride Log'!$G$2:$G$499)</f>
        <v>0</v>
      </c>
      <c r="F51" s="148">
        <f>(SUMIF('Ride Log'!$A$2:$A$499,"&gt;="&amp;B51,'Ride Log'!$AG$2:$AG$499)-SUMIF('Ride Log'!$A$2:$A$499,"&gt;="&amp;B52,'Ride Log'!$AG$2:$AG$499))/60</f>
        <v>0</v>
      </c>
      <c r="G51" s="147">
        <f>SUMIF('Ride Log'!$A$2:$A$499,"&gt;="&amp;B51,'Ride Log'!$AI$2:$AI$499)-SUMIF('Ride Log'!$A$2:$A$499,"&gt;="&amp;B52,'Ride Log'!$AI$2:$AI$499)</f>
        <v>0</v>
      </c>
      <c r="H51" s="147">
        <f>SUMIF('Ride Log'!$A$2:$A$499,"&gt;="&amp;B51,'Ride Log'!$AH$2:$AH$499)-SUMIF('Ride Log'!$A$2:$A$499,"&gt;="&amp;B52,'Ride Log'!$AH$2:$AH$499)</f>
        <v>0</v>
      </c>
      <c r="I51" s="3"/>
    </row>
    <row r="52" spans="1:9" x14ac:dyDescent="0.2">
      <c r="A52">
        <f t="shared" si="0"/>
        <v>22</v>
      </c>
      <c r="B52" s="11">
        <f t="shared" si="1"/>
        <v>44340</v>
      </c>
      <c r="C52" s="147">
        <f>COUNTIF(Data!$B$2:$B$500,"&gt;="&amp;B52)-COUNTIF(Data!$B$2:$B$500,"&gt;="&amp;B53)</f>
        <v>0</v>
      </c>
      <c r="D52" s="147">
        <f>SUMIF('Ride Log'!$A$2:$A$499,"&gt;="&amp;B52,'Ride Log'!$F$2:$F$499)-SUMIF('Ride Log'!$A$2:$A$499,"&gt;="&amp;B53,'Ride Log'!$F$2:$F$499)</f>
        <v>0</v>
      </c>
      <c r="E52" s="147">
        <f>SUMIF('Ride Log'!$A$2:$A$499,"&gt;="&amp;B52,'Ride Log'!$G$2:$G$499)-SUMIF('Ride Log'!$A$2:$A$499,"&gt;="&amp;B53,'Ride Log'!$G$2:$G$499)</f>
        <v>0</v>
      </c>
      <c r="F52" s="148">
        <f>(SUMIF('Ride Log'!$A$2:$A$499,"&gt;="&amp;B52,'Ride Log'!$AG$2:$AG$499)-SUMIF('Ride Log'!$A$2:$A$499,"&gt;="&amp;B53,'Ride Log'!$AG$2:$AG$499))/60</f>
        <v>0</v>
      </c>
      <c r="G52" s="147">
        <f>SUMIF('Ride Log'!$A$2:$A$499,"&gt;="&amp;B52,'Ride Log'!$AI$2:$AI$499)-SUMIF('Ride Log'!$A$2:$A$499,"&gt;="&amp;B53,'Ride Log'!$AI$2:$AI$499)</f>
        <v>0</v>
      </c>
      <c r="H52" s="147">
        <f>SUMIF('Ride Log'!$A$2:$A$499,"&gt;="&amp;B52,'Ride Log'!$AH$2:$AH$499)-SUMIF('Ride Log'!$A$2:$A$499,"&gt;="&amp;B53,'Ride Log'!$AH$2:$AH$499)</f>
        <v>0</v>
      </c>
      <c r="I52" s="3"/>
    </row>
    <row r="53" spans="1:9" x14ac:dyDescent="0.2">
      <c r="A53">
        <f t="shared" si="0"/>
        <v>23</v>
      </c>
      <c r="B53" s="11">
        <f t="shared" si="1"/>
        <v>44347</v>
      </c>
      <c r="C53" s="147">
        <f>COUNTIF(Data!$B$2:$B$500,"&gt;="&amp;B53)-COUNTIF(Data!$B$2:$B$500,"&gt;="&amp;B54)</f>
        <v>0</v>
      </c>
      <c r="D53" s="147">
        <f>SUMIF('Ride Log'!$A$2:$A$499,"&gt;="&amp;B53,'Ride Log'!$F$2:$F$499)-SUMIF('Ride Log'!$A$2:$A$499,"&gt;="&amp;B54,'Ride Log'!$F$2:$F$499)</f>
        <v>0</v>
      </c>
      <c r="E53" s="147">
        <f>SUMIF('Ride Log'!$A$2:$A$499,"&gt;="&amp;B53,'Ride Log'!$G$2:$G$499)-SUMIF('Ride Log'!$A$2:$A$499,"&gt;="&amp;B54,'Ride Log'!$G$2:$G$499)</f>
        <v>0</v>
      </c>
      <c r="F53" s="148">
        <f>(SUMIF('Ride Log'!$A$2:$A$499,"&gt;="&amp;B53,'Ride Log'!$AG$2:$AG$499)-SUMIF('Ride Log'!$A$2:$A$499,"&gt;="&amp;B54,'Ride Log'!$AG$2:$AG$499))/60</f>
        <v>0</v>
      </c>
      <c r="G53" s="147">
        <f>SUMIF('Ride Log'!$A$2:$A$499,"&gt;="&amp;B53,'Ride Log'!$AI$2:$AI$499)-SUMIF('Ride Log'!$A$2:$A$499,"&gt;="&amp;B54,'Ride Log'!$AI$2:$AI$499)</f>
        <v>0</v>
      </c>
      <c r="H53" s="147">
        <f>SUMIF('Ride Log'!$A$2:$A$499,"&gt;="&amp;B53,'Ride Log'!$AH$2:$AH$499)-SUMIF('Ride Log'!$A$2:$A$499,"&gt;="&amp;B54,'Ride Log'!$AH$2:$AH$499)</f>
        <v>0</v>
      </c>
      <c r="I53" s="3"/>
    </row>
    <row r="54" spans="1:9" x14ac:dyDescent="0.2">
      <c r="A54">
        <f t="shared" si="0"/>
        <v>24</v>
      </c>
      <c r="B54" s="11">
        <f t="shared" si="1"/>
        <v>44354</v>
      </c>
      <c r="C54" s="147">
        <f>COUNTIF(Data!$B$2:$B$500,"&gt;="&amp;B54)-COUNTIF(Data!$B$2:$B$500,"&gt;="&amp;B55)</f>
        <v>0</v>
      </c>
      <c r="D54" s="147">
        <f>SUMIF('Ride Log'!$A$2:$A$499,"&gt;="&amp;B54,'Ride Log'!$F$2:$F$499)-SUMIF('Ride Log'!$A$2:$A$499,"&gt;="&amp;B55,'Ride Log'!$F$2:$F$499)</f>
        <v>0</v>
      </c>
      <c r="E54" s="147">
        <f>SUMIF('Ride Log'!$A$2:$A$499,"&gt;="&amp;B54,'Ride Log'!$G$2:$G$499)-SUMIF('Ride Log'!$A$2:$A$499,"&gt;="&amp;B55,'Ride Log'!$G$2:$G$499)</f>
        <v>0</v>
      </c>
      <c r="F54" s="148">
        <f>(SUMIF('Ride Log'!$A$2:$A$499,"&gt;="&amp;B54,'Ride Log'!$AG$2:$AG$499)-SUMIF('Ride Log'!$A$2:$A$499,"&gt;="&amp;B55,'Ride Log'!$AG$2:$AG$499))/60</f>
        <v>0</v>
      </c>
      <c r="G54" s="147">
        <f>SUMIF('Ride Log'!$A$2:$A$499,"&gt;="&amp;B54,'Ride Log'!$AI$2:$AI$499)-SUMIF('Ride Log'!$A$2:$A$499,"&gt;="&amp;B55,'Ride Log'!$AI$2:$AI$499)</f>
        <v>0</v>
      </c>
      <c r="H54" s="147">
        <f>SUMIF('Ride Log'!$A$2:$A$499,"&gt;="&amp;B54,'Ride Log'!$AH$2:$AH$499)-SUMIF('Ride Log'!$A$2:$A$499,"&gt;="&amp;B55,'Ride Log'!$AH$2:$AH$499)</f>
        <v>0</v>
      </c>
      <c r="I54" s="3"/>
    </row>
    <row r="55" spans="1:9" x14ac:dyDescent="0.2">
      <c r="A55">
        <f t="shared" si="0"/>
        <v>25</v>
      </c>
      <c r="B55" s="11">
        <f t="shared" si="1"/>
        <v>44361</v>
      </c>
      <c r="C55" s="147">
        <f>COUNTIF(Data!$B$2:$B$500,"&gt;="&amp;B55)-COUNTIF(Data!$B$2:$B$500,"&gt;="&amp;B56)</f>
        <v>0</v>
      </c>
      <c r="D55" s="147">
        <f>SUMIF('Ride Log'!$A$2:$A$499,"&gt;="&amp;B55,'Ride Log'!$F$2:$F$499)-SUMIF('Ride Log'!$A$2:$A$499,"&gt;="&amp;B56,'Ride Log'!$F$2:$F$499)</f>
        <v>0</v>
      </c>
      <c r="E55" s="147">
        <f>SUMIF('Ride Log'!$A$2:$A$499,"&gt;="&amp;B55,'Ride Log'!$G$2:$G$499)-SUMIF('Ride Log'!$A$2:$A$499,"&gt;="&amp;B56,'Ride Log'!$G$2:$G$499)</f>
        <v>0</v>
      </c>
      <c r="F55" s="148">
        <f>(SUMIF('Ride Log'!$A$2:$A$499,"&gt;="&amp;B55,'Ride Log'!$AG$2:$AG$499)-SUMIF('Ride Log'!$A$2:$A$499,"&gt;="&amp;B56,'Ride Log'!$AG$2:$AG$499))/60</f>
        <v>0</v>
      </c>
      <c r="G55" s="147">
        <f>SUMIF('Ride Log'!$A$2:$A$499,"&gt;="&amp;B55,'Ride Log'!$AI$2:$AI$499)-SUMIF('Ride Log'!$A$2:$A$499,"&gt;="&amp;B56,'Ride Log'!$AI$2:$AI$499)</f>
        <v>0</v>
      </c>
      <c r="H55" s="147">
        <f>SUMIF('Ride Log'!$A$2:$A$499,"&gt;="&amp;B55,'Ride Log'!$AH$2:$AH$499)-SUMIF('Ride Log'!$A$2:$A$499,"&gt;="&amp;B56,'Ride Log'!$AH$2:$AH$499)</f>
        <v>0</v>
      </c>
      <c r="I55" s="3"/>
    </row>
    <row r="56" spans="1:9" x14ac:dyDescent="0.2">
      <c r="A56">
        <f t="shared" si="0"/>
        <v>26</v>
      </c>
      <c r="B56" s="11">
        <f t="shared" si="1"/>
        <v>44368</v>
      </c>
      <c r="C56" s="147">
        <f>COUNTIF(Data!$B$2:$B$500,"&gt;="&amp;B56)-COUNTIF(Data!$B$2:$B$500,"&gt;="&amp;B57)</f>
        <v>0</v>
      </c>
      <c r="D56" s="147">
        <f>SUMIF('Ride Log'!$A$2:$A$499,"&gt;="&amp;B56,'Ride Log'!$F$2:$F$499)-SUMIF('Ride Log'!$A$2:$A$499,"&gt;="&amp;B57,'Ride Log'!$F$2:$F$499)</f>
        <v>0</v>
      </c>
      <c r="E56" s="147">
        <f>SUMIF('Ride Log'!$A$2:$A$499,"&gt;="&amp;B56,'Ride Log'!$G$2:$G$499)-SUMIF('Ride Log'!$A$2:$A$499,"&gt;="&amp;B57,'Ride Log'!$G$2:$G$499)</f>
        <v>0</v>
      </c>
      <c r="F56" s="148">
        <f>(SUMIF('Ride Log'!$A$2:$A$499,"&gt;="&amp;B56,'Ride Log'!$AG$2:$AG$499)-SUMIF('Ride Log'!$A$2:$A$499,"&gt;="&amp;B57,'Ride Log'!$AG$2:$AG$499))/60</f>
        <v>0</v>
      </c>
      <c r="G56" s="147">
        <f>SUMIF('Ride Log'!$A$2:$A$499,"&gt;="&amp;B56,'Ride Log'!$AI$2:$AI$499)-SUMIF('Ride Log'!$A$2:$A$499,"&gt;="&amp;B57,'Ride Log'!$AI$2:$AI$499)</f>
        <v>0</v>
      </c>
      <c r="H56" s="147">
        <f>SUMIF('Ride Log'!$A$2:$A$499,"&gt;="&amp;B56,'Ride Log'!$AH$2:$AH$499)-SUMIF('Ride Log'!$A$2:$A$499,"&gt;="&amp;B57,'Ride Log'!$AH$2:$AH$499)</f>
        <v>0</v>
      </c>
      <c r="I56" s="3"/>
    </row>
    <row r="57" spans="1:9" x14ac:dyDescent="0.2">
      <c r="A57">
        <f t="shared" si="0"/>
        <v>27</v>
      </c>
      <c r="B57" s="11">
        <f t="shared" si="1"/>
        <v>44375</v>
      </c>
      <c r="C57" s="147">
        <f>COUNTIF(Data!$B$2:$B$500,"&gt;="&amp;B57)-COUNTIF(Data!$B$2:$B$500,"&gt;="&amp;B58)</f>
        <v>0</v>
      </c>
      <c r="D57" s="147">
        <f>SUMIF('Ride Log'!$A$2:$A$499,"&gt;="&amp;B57,'Ride Log'!$F$2:$F$499)-SUMIF('Ride Log'!$A$2:$A$499,"&gt;="&amp;B58,'Ride Log'!$F$2:$F$499)</f>
        <v>0</v>
      </c>
      <c r="E57" s="147">
        <f>SUMIF('Ride Log'!$A$2:$A$499,"&gt;="&amp;B57,'Ride Log'!$G$2:$G$499)-SUMIF('Ride Log'!$A$2:$A$499,"&gt;="&amp;B58,'Ride Log'!$G$2:$G$499)</f>
        <v>0</v>
      </c>
      <c r="F57" s="148">
        <f>(SUMIF('Ride Log'!$A$2:$A$499,"&gt;="&amp;B57,'Ride Log'!$AG$2:$AG$499)-SUMIF('Ride Log'!$A$2:$A$499,"&gt;="&amp;B58,'Ride Log'!$AG$2:$AG$499))/60</f>
        <v>0</v>
      </c>
      <c r="G57" s="147">
        <f>SUMIF('Ride Log'!$A$2:$A$499,"&gt;="&amp;B57,'Ride Log'!$AI$2:$AI$499)-SUMIF('Ride Log'!$A$2:$A$499,"&gt;="&amp;B58,'Ride Log'!$AI$2:$AI$499)</f>
        <v>0</v>
      </c>
      <c r="H57" s="147">
        <f>SUMIF('Ride Log'!$A$2:$A$499,"&gt;="&amp;B57,'Ride Log'!$AH$2:$AH$499)-SUMIF('Ride Log'!$A$2:$A$499,"&gt;="&amp;B58,'Ride Log'!$AH$2:$AH$499)</f>
        <v>0</v>
      </c>
      <c r="I57" s="3"/>
    </row>
    <row r="58" spans="1:9" x14ac:dyDescent="0.2">
      <c r="A58">
        <f t="shared" si="0"/>
        <v>28</v>
      </c>
      <c r="B58" s="11">
        <f t="shared" si="1"/>
        <v>44382</v>
      </c>
      <c r="C58" s="147">
        <f>COUNTIF(Data!$B$2:$B$500,"&gt;="&amp;B58)-COUNTIF(Data!$B$2:$B$500,"&gt;="&amp;B59)</f>
        <v>0</v>
      </c>
      <c r="D58" s="147">
        <f>SUMIF('Ride Log'!$A$2:$A$499,"&gt;="&amp;B58,'Ride Log'!$F$2:$F$499)-SUMIF('Ride Log'!$A$2:$A$499,"&gt;="&amp;B59,'Ride Log'!$F$2:$F$499)</f>
        <v>0</v>
      </c>
      <c r="E58" s="147">
        <f>SUMIF('Ride Log'!$A$2:$A$499,"&gt;="&amp;B58,'Ride Log'!$G$2:$G$499)-SUMIF('Ride Log'!$A$2:$A$499,"&gt;="&amp;B59,'Ride Log'!$G$2:$G$499)</f>
        <v>0</v>
      </c>
      <c r="F58" s="148">
        <f>(SUMIF('Ride Log'!$A$2:$A$499,"&gt;="&amp;B58,'Ride Log'!$AG$2:$AG$499)-SUMIF('Ride Log'!$A$2:$A$499,"&gt;="&amp;B59,'Ride Log'!$AG$2:$AG$499))/60</f>
        <v>0</v>
      </c>
      <c r="G58" s="147">
        <f>SUMIF('Ride Log'!$A$2:$A$499,"&gt;="&amp;B58,'Ride Log'!$AI$2:$AI$499)-SUMIF('Ride Log'!$A$2:$A$499,"&gt;="&amp;B59,'Ride Log'!$AI$2:$AI$499)</f>
        <v>0</v>
      </c>
      <c r="H58" s="147">
        <f>SUMIF('Ride Log'!$A$2:$A$499,"&gt;="&amp;B58,'Ride Log'!$AH$2:$AH$499)-SUMIF('Ride Log'!$A$2:$A$499,"&gt;="&amp;B59,'Ride Log'!$AH$2:$AH$499)</f>
        <v>0</v>
      </c>
      <c r="I58" s="3"/>
    </row>
    <row r="59" spans="1:9" x14ac:dyDescent="0.2">
      <c r="A59">
        <f t="shared" si="0"/>
        <v>29</v>
      </c>
      <c r="B59" s="11">
        <f t="shared" si="1"/>
        <v>44389</v>
      </c>
      <c r="C59" s="147">
        <f>COUNTIF(Data!$B$2:$B$500,"&gt;="&amp;B59)-COUNTIF(Data!$B$2:$B$500,"&gt;="&amp;B60)</f>
        <v>0</v>
      </c>
      <c r="D59" s="147">
        <f>SUMIF('Ride Log'!$A$2:$A$499,"&gt;="&amp;B59,'Ride Log'!$F$2:$F$499)-SUMIF('Ride Log'!$A$2:$A$499,"&gt;="&amp;B60,'Ride Log'!$F$2:$F$499)</f>
        <v>0</v>
      </c>
      <c r="E59" s="147">
        <f>SUMIF('Ride Log'!$A$2:$A$499,"&gt;="&amp;B59,'Ride Log'!$G$2:$G$499)-SUMIF('Ride Log'!$A$2:$A$499,"&gt;="&amp;B60,'Ride Log'!$G$2:$G$499)</f>
        <v>0</v>
      </c>
      <c r="F59" s="148">
        <f>(SUMIF('Ride Log'!$A$2:$A$499,"&gt;="&amp;B59,'Ride Log'!$AG$2:$AG$499)-SUMIF('Ride Log'!$A$2:$A$499,"&gt;="&amp;B60,'Ride Log'!$AG$2:$AG$499))/60</f>
        <v>0</v>
      </c>
      <c r="G59" s="147">
        <f>SUMIF('Ride Log'!$A$2:$A$499,"&gt;="&amp;B59,'Ride Log'!$AI$2:$AI$499)-SUMIF('Ride Log'!$A$2:$A$499,"&gt;="&amp;B60,'Ride Log'!$AI$2:$AI$499)</f>
        <v>0</v>
      </c>
      <c r="H59" s="147">
        <f>SUMIF('Ride Log'!$A$2:$A$499,"&gt;="&amp;B59,'Ride Log'!$AH$2:$AH$499)-SUMIF('Ride Log'!$A$2:$A$499,"&gt;="&amp;B60,'Ride Log'!$AH$2:$AH$499)</f>
        <v>0</v>
      </c>
      <c r="I59" s="3"/>
    </row>
    <row r="60" spans="1:9" x14ac:dyDescent="0.2">
      <c r="A60">
        <f t="shared" si="0"/>
        <v>30</v>
      </c>
      <c r="B60" s="11">
        <f t="shared" si="1"/>
        <v>44396</v>
      </c>
      <c r="C60" s="147">
        <f>COUNTIF(Data!$B$2:$B$500,"&gt;="&amp;B60)-COUNTIF(Data!$B$2:$B$500,"&gt;="&amp;B61)</f>
        <v>0</v>
      </c>
      <c r="D60" s="147">
        <f>SUMIF('Ride Log'!$A$2:$A$499,"&gt;="&amp;B60,'Ride Log'!$F$2:$F$499)-SUMIF('Ride Log'!$A$2:$A$499,"&gt;="&amp;B61,'Ride Log'!$F$2:$F$499)</f>
        <v>0</v>
      </c>
      <c r="E60" s="147">
        <f>SUMIF('Ride Log'!$A$2:$A$499,"&gt;="&amp;B60,'Ride Log'!$G$2:$G$499)-SUMIF('Ride Log'!$A$2:$A$499,"&gt;="&amp;B61,'Ride Log'!$G$2:$G$499)</f>
        <v>0</v>
      </c>
      <c r="F60" s="148">
        <f>(SUMIF('Ride Log'!$A$2:$A$499,"&gt;="&amp;B60,'Ride Log'!$AG$2:$AG$499)-SUMIF('Ride Log'!$A$2:$A$499,"&gt;="&amp;B61,'Ride Log'!$AG$2:$AG$499))/60</f>
        <v>0</v>
      </c>
      <c r="G60" s="147">
        <f>SUMIF('Ride Log'!$A$2:$A$499,"&gt;="&amp;B60,'Ride Log'!$AI$2:$AI$499)-SUMIF('Ride Log'!$A$2:$A$499,"&gt;="&amp;B61,'Ride Log'!$AI$2:$AI$499)</f>
        <v>0</v>
      </c>
      <c r="H60" s="147">
        <f>SUMIF('Ride Log'!$A$2:$A$499,"&gt;="&amp;B60,'Ride Log'!$AH$2:$AH$499)-SUMIF('Ride Log'!$A$2:$A$499,"&gt;="&amp;B61,'Ride Log'!$AH$2:$AH$499)</f>
        <v>0</v>
      </c>
      <c r="I60" s="3"/>
    </row>
    <row r="61" spans="1:9" x14ac:dyDescent="0.2">
      <c r="A61">
        <f t="shared" si="0"/>
        <v>31</v>
      </c>
      <c r="B61" s="11">
        <f t="shared" si="1"/>
        <v>44403</v>
      </c>
      <c r="C61" s="147">
        <f>COUNTIF(Data!$B$2:$B$500,"&gt;="&amp;B61)-COUNTIF(Data!$B$2:$B$500,"&gt;="&amp;B62)</f>
        <v>0</v>
      </c>
      <c r="D61" s="147">
        <f>SUMIF('Ride Log'!$A$2:$A$499,"&gt;="&amp;B61,'Ride Log'!$F$2:$F$499)-SUMIF('Ride Log'!$A$2:$A$499,"&gt;="&amp;B62,'Ride Log'!$F$2:$F$499)</f>
        <v>0</v>
      </c>
      <c r="E61" s="147">
        <f>SUMIF('Ride Log'!$A$2:$A$499,"&gt;="&amp;B61,'Ride Log'!$G$2:$G$499)-SUMIF('Ride Log'!$A$2:$A$499,"&gt;="&amp;B62,'Ride Log'!$G$2:$G$499)</f>
        <v>0</v>
      </c>
      <c r="F61" s="148">
        <f>(SUMIF('Ride Log'!$A$2:$A$499,"&gt;="&amp;B61,'Ride Log'!$AG$2:$AG$499)-SUMIF('Ride Log'!$A$2:$A$499,"&gt;="&amp;B62,'Ride Log'!$AG$2:$AG$499))/60</f>
        <v>0</v>
      </c>
      <c r="G61" s="147">
        <f>SUMIF('Ride Log'!$A$2:$A$499,"&gt;="&amp;B61,'Ride Log'!$AI$2:$AI$499)-SUMIF('Ride Log'!$A$2:$A$499,"&gt;="&amp;B62,'Ride Log'!$AI$2:$AI$499)</f>
        <v>0</v>
      </c>
      <c r="H61" s="147">
        <f>SUMIF('Ride Log'!$A$2:$A$499,"&gt;="&amp;B61,'Ride Log'!$AH$2:$AH$499)-SUMIF('Ride Log'!$A$2:$A$499,"&gt;="&amp;B62,'Ride Log'!$AH$2:$AH$499)</f>
        <v>0</v>
      </c>
      <c r="I61" s="3"/>
    </row>
    <row r="62" spans="1:9" x14ac:dyDescent="0.2">
      <c r="A62">
        <f t="shared" si="0"/>
        <v>32</v>
      </c>
      <c r="B62" s="11">
        <f t="shared" si="1"/>
        <v>44410</v>
      </c>
      <c r="C62" s="147">
        <f>COUNTIF(Data!$B$2:$B$500,"&gt;="&amp;B62)-COUNTIF(Data!$B$2:$B$500,"&gt;="&amp;B63)</f>
        <v>0</v>
      </c>
      <c r="D62" s="147">
        <f>SUMIF('Ride Log'!$A$2:$A$499,"&gt;="&amp;B62,'Ride Log'!$F$2:$F$499)-SUMIF('Ride Log'!$A$2:$A$499,"&gt;="&amp;B63,'Ride Log'!$F$2:$F$499)</f>
        <v>0</v>
      </c>
      <c r="E62" s="147">
        <f>SUMIF('Ride Log'!$A$2:$A$499,"&gt;="&amp;B62,'Ride Log'!$G$2:$G$499)-SUMIF('Ride Log'!$A$2:$A$499,"&gt;="&amp;B63,'Ride Log'!$G$2:$G$499)</f>
        <v>0</v>
      </c>
      <c r="F62" s="148">
        <f>(SUMIF('Ride Log'!$A$2:$A$499,"&gt;="&amp;B62,'Ride Log'!$AG$2:$AG$499)-SUMIF('Ride Log'!$A$2:$A$499,"&gt;="&amp;B63,'Ride Log'!$AG$2:$AG$499))/60</f>
        <v>0</v>
      </c>
      <c r="G62" s="147">
        <f>SUMIF('Ride Log'!$A$2:$A$499,"&gt;="&amp;B62,'Ride Log'!$AI$2:$AI$499)-SUMIF('Ride Log'!$A$2:$A$499,"&gt;="&amp;B63,'Ride Log'!$AI$2:$AI$499)</f>
        <v>0</v>
      </c>
      <c r="H62" s="147">
        <f>SUMIF('Ride Log'!$A$2:$A$499,"&gt;="&amp;B62,'Ride Log'!$AH$2:$AH$499)-SUMIF('Ride Log'!$A$2:$A$499,"&gt;="&amp;B63,'Ride Log'!$AH$2:$AH$499)</f>
        <v>0</v>
      </c>
      <c r="I62" s="3"/>
    </row>
    <row r="63" spans="1:9" x14ac:dyDescent="0.2">
      <c r="A63">
        <f t="shared" si="0"/>
        <v>33</v>
      </c>
      <c r="B63" s="11">
        <f t="shared" si="1"/>
        <v>44417</v>
      </c>
      <c r="C63" s="147">
        <f>COUNTIF(Data!$B$2:$B$500,"&gt;="&amp;B63)-COUNTIF(Data!$B$2:$B$500,"&gt;="&amp;B64)</f>
        <v>0</v>
      </c>
      <c r="D63" s="147">
        <f>SUMIF('Ride Log'!$A$2:$A$499,"&gt;="&amp;B63,'Ride Log'!$F$2:$F$499)-SUMIF('Ride Log'!$A$2:$A$499,"&gt;="&amp;B64,'Ride Log'!$F$2:$F$499)</f>
        <v>0</v>
      </c>
      <c r="E63" s="147">
        <f>SUMIF('Ride Log'!$A$2:$A$499,"&gt;="&amp;B63,'Ride Log'!$G$2:$G$499)-SUMIF('Ride Log'!$A$2:$A$499,"&gt;="&amp;B64,'Ride Log'!$G$2:$G$499)</f>
        <v>0</v>
      </c>
      <c r="F63" s="148">
        <f>(SUMIF('Ride Log'!$A$2:$A$499,"&gt;="&amp;B63,'Ride Log'!$AG$2:$AG$499)-SUMIF('Ride Log'!$A$2:$A$499,"&gt;="&amp;B64,'Ride Log'!$AG$2:$AG$499))/60</f>
        <v>0</v>
      </c>
      <c r="G63" s="147">
        <f>SUMIF('Ride Log'!$A$2:$A$499,"&gt;="&amp;B63,'Ride Log'!$AI$2:$AI$499)-SUMIF('Ride Log'!$A$2:$A$499,"&gt;="&amp;B64,'Ride Log'!$AI$2:$AI$499)</f>
        <v>0</v>
      </c>
      <c r="H63" s="147">
        <f>SUMIF('Ride Log'!$A$2:$A$499,"&gt;="&amp;B63,'Ride Log'!$AH$2:$AH$499)-SUMIF('Ride Log'!$A$2:$A$499,"&gt;="&amp;B64,'Ride Log'!$AH$2:$AH$499)</f>
        <v>0</v>
      </c>
      <c r="I63" s="3"/>
    </row>
    <row r="64" spans="1:9" x14ac:dyDescent="0.2">
      <c r="A64">
        <f t="shared" si="0"/>
        <v>34</v>
      </c>
      <c r="B64" s="11">
        <f t="shared" si="1"/>
        <v>44424</v>
      </c>
      <c r="C64" s="147">
        <f>COUNTIF(Data!$B$2:$B$500,"&gt;="&amp;B64)-COUNTIF(Data!$B$2:$B$500,"&gt;="&amp;B65)</f>
        <v>0</v>
      </c>
      <c r="D64" s="147">
        <f>SUMIF('Ride Log'!$A$2:$A$499,"&gt;="&amp;B64,'Ride Log'!$F$2:$F$499)-SUMIF('Ride Log'!$A$2:$A$499,"&gt;="&amp;B65,'Ride Log'!$F$2:$F$499)</f>
        <v>0</v>
      </c>
      <c r="E64" s="147">
        <f>SUMIF('Ride Log'!$A$2:$A$499,"&gt;="&amp;B64,'Ride Log'!$G$2:$G$499)-SUMIF('Ride Log'!$A$2:$A$499,"&gt;="&amp;B65,'Ride Log'!$G$2:$G$499)</f>
        <v>0</v>
      </c>
      <c r="F64" s="148">
        <f>(SUMIF('Ride Log'!$A$2:$A$499,"&gt;="&amp;B64,'Ride Log'!$AG$2:$AG$499)-SUMIF('Ride Log'!$A$2:$A$499,"&gt;="&amp;B65,'Ride Log'!$AG$2:$AG$499))/60</f>
        <v>0</v>
      </c>
      <c r="G64" s="147">
        <f>SUMIF('Ride Log'!$A$2:$A$499,"&gt;="&amp;B64,'Ride Log'!$AI$2:$AI$499)-SUMIF('Ride Log'!$A$2:$A$499,"&gt;="&amp;B65,'Ride Log'!$AI$2:$AI$499)</f>
        <v>0</v>
      </c>
      <c r="H64" s="147">
        <f>SUMIF('Ride Log'!$A$2:$A$499,"&gt;="&amp;B64,'Ride Log'!$AH$2:$AH$499)-SUMIF('Ride Log'!$A$2:$A$499,"&gt;="&amp;B65,'Ride Log'!$AH$2:$AH$499)</f>
        <v>0</v>
      </c>
      <c r="I64" s="3"/>
    </row>
    <row r="65" spans="1:9" x14ac:dyDescent="0.2">
      <c r="A65">
        <f t="shared" si="0"/>
        <v>35</v>
      </c>
      <c r="B65" s="11">
        <f t="shared" si="1"/>
        <v>44431</v>
      </c>
      <c r="C65" s="147">
        <f>COUNTIF(Data!$B$2:$B$500,"&gt;="&amp;B65)-COUNTIF(Data!$B$2:$B$500,"&gt;="&amp;B66)</f>
        <v>0</v>
      </c>
      <c r="D65" s="147">
        <f>SUMIF('Ride Log'!$A$2:$A$499,"&gt;="&amp;B65,'Ride Log'!$F$2:$F$499)-SUMIF('Ride Log'!$A$2:$A$499,"&gt;="&amp;B66,'Ride Log'!$F$2:$F$499)</f>
        <v>0</v>
      </c>
      <c r="E65" s="147">
        <f>SUMIF('Ride Log'!$A$2:$A$499,"&gt;="&amp;B65,'Ride Log'!$G$2:$G$499)-SUMIF('Ride Log'!$A$2:$A$499,"&gt;="&amp;B66,'Ride Log'!$G$2:$G$499)</f>
        <v>0</v>
      </c>
      <c r="F65" s="148">
        <f>(SUMIF('Ride Log'!$A$2:$A$499,"&gt;="&amp;B65,'Ride Log'!$AG$2:$AG$499)-SUMIF('Ride Log'!$A$2:$A$499,"&gt;="&amp;B66,'Ride Log'!$AG$2:$AG$499))/60</f>
        <v>0</v>
      </c>
      <c r="G65" s="147">
        <f>SUMIF('Ride Log'!$A$2:$A$499,"&gt;="&amp;B65,'Ride Log'!$AI$2:$AI$499)-SUMIF('Ride Log'!$A$2:$A$499,"&gt;="&amp;B66,'Ride Log'!$AI$2:$AI$499)</f>
        <v>0</v>
      </c>
      <c r="H65" s="147">
        <f>SUMIF('Ride Log'!$A$2:$A$499,"&gt;="&amp;B65,'Ride Log'!$AH$2:$AH$499)-SUMIF('Ride Log'!$A$2:$A$499,"&gt;="&amp;B66,'Ride Log'!$AH$2:$AH$499)</f>
        <v>0</v>
      </c>
      <c r="I65" s="3"/>
    </row>
    <row r="66" spans="1:9" x14ac:dyDescent="0.2">
      <c r="A66">
        <f t="shared" si="0"/>
        <v>36</v>
      </c>
      <c r="B66" s="11">
        <f t="shared" si="1"/>
        <v>44438</v>
      </c>
      <c r="C66" s="147">
        <f>COUNTIF(Data!$B$2:$B$500,"&gt;="&amp;B66)-COUNTIF(Data!$B$2:$B$500,"&gt;="&amp;B67)</f>
        <v>0</v>
      </c>
      <c r="D66" s="147">
        <f>SUMIF('Ride Log'!$A$2:$A$499,"&gt;="&amp;B66,'Ride Log'!$F$2:$F$499)-SUMIF('Ride Log'!$A$2:$A$499,"&gt;="&amp;B67,'Ride Log'!$F$2:$F$499)</f>
        <v>0</v>
      </c>
      <c r="E66" s="147">
        <f>SUMIF('Ride Log'!$A$2:$A$499,"&gt;="&amp;B66,'Ride Log'!$G$2:$G$499)-SUMIF('Ride Log'!$A$2:$A$499,"&gt;="&amp;B67,'Ride Log'!$G$2:$G$499)</f>
        <v>0</v>
      </c>
      <c r="F66" s="148">
        <f>(SUMIF('Ride Log'!$A$2:$A$499,"&gt;="&amp;B66,'Ride Log'!$AG$2:$AG$499)-SUMIF('Ride Log'!$A$2:$A$499,"&gt;="&amp;B67,'Ride Log'!$AG$2:$AG$499))/60</f>
        <v>0</v>
      </c>
      <c r="G66" s="147">
        <f>SUMIF('Ride Log'!$A$2:$A$499,"&gt;="&amp;B66,'Ride Log'!$AI$2:$AI$499)-SUMIF('Ride Log'!$A$2:$A$499,"&gt;="&amp;B67,'Ride Log'!$AI$2:$AI$499)</f>
        <v>0</v>
      </c>
      <c r="H66" s="147">
        <f>SUMIF('Ride Log'!$A$2:$A$499,"&gt;="&amp;B66,'Ride Log'!$AH$2:$AH$499)-SUMIF('Ride Log'!$A$2:$A$499,"&gt;="&amp;B67,'Ride Log'!$AH$2:$AH$499)</f>
        <v>0</v>
      </c>
      <c r="I66" s="3"/>
    </row>
    <row r="67" spans="1:9" x14ac:dyDescent="0.2">
      <c r="A67">
        <f t="shared" si="0"/>
        <v>37</v>
      </c>
      <c r="B67" s="11">
        <f t="shared" si="1"/>
        <v>44445</v>
      </c>
      <c r="C67" s="147">
        <f>COUNTIF(Data!$B$2:$B$500,"&gt;="&amp;B67)-COUNTIF(Data!$B$2:$B$500,"&gt;="&amp;B68)</f>
        <v>0</v>
      </c>
      <c r="D67" s="147">
        <f>SUMIF('Ride Log'!$A$2:$A$499,"&gt;="&amp;B67,'Ride Log'!$F$2:$F$499)-SUMIF('Ride Log'!$A$2:$A$499,"&gt;="&amp;B68,'Ride Log'!$F$2:$F$499)</f>
        <v>0</v>
      </c>
      <c r="E67" s="147">
        <f>SUMIF('Ride Log'!$A$2:$A$499,"&gt;="&amp;B67,'Ride Log'!$G$2:$G$499)-SUMIF('Ride Log'!$A$2:$A$499,"&gt;="&amp;B68,'Ride Log'!$G$2:$G$499)</f>
        <v>0</v>
      </c>
      <c r="F67" s="148">
        <f>(SUMIF('Ride Log'!$A$2:$A$499,"&gt;="&amp;B67,'Ride Log'!$AG$2:$AG$499)-SUMIF('Ride Log'!$A$2:$A$499,"&gt;="&amp;B68,'Ride Log'!$AG$2:$AG$499))/60</f>
        <v>0</v>
      </c>
      <c r="G67" s="147">
        <f>SUMIF('Ride Log'!$A$2:$A$499,"&gt;="&amp;B67,'Ride Log'!$AI$2:$AI$499)-SUMIF('Ride Log'!$A$2:$A$499,"&gt;="&amp;B68,'Ride Log'!$AI$2:$AI$499)</f>
        <v>0</v>
      </c>
      <c r="H67" s="147">
        <f>SUMIF('Ride Log'!$A$2:$A$499,"&gt;="&amp;B67,'Ride Log'!$AH$2:$AH$499)-SUMIF('Ride Log'!$A$2:$A$499,"&gt;="&amp;B68,'Ride Log'!$AH$2:$AH$499)</f>
        <v>0</v>
      </c>
      <c r="I67" s="3"/>
    </row>
    <row r="68" spans="1:9" x14ac:dyDescent="0.2">
      <c r="A68">
        <f t="shared" si="0"/>
        <v>38</v>
      </c>
      <c r="B68" s="11">
        <f t="shared" si="1"/>
        <v>44452</v>
      </c>
      <c r="C68" s="147">
        <f>COUNTIF(Data!$B$2:$B$500,"&gt;="&amp;B68)-COUNTIF(Data!$B$2:$B$500,"&gt;="&amp;B69)</f>
        <v>0</v>
      </c>
      <c r="D68" s="147">
        <f>SUMIF('Ride Log'!$A$2:$A$499,"&gt;="&amp;B68,'Ride Log'!$F$2:$F$499)-SUMIF('Ride Log'!$A$2:$A$499,"&gt;="&amp;B69,'Ride Log'!$F$2:$F$499)</f>
        <v>0</v>
      </c>
      <c r="E68" s="147">
        <f>SUMIF('Ride Log'!$A$2:$A$499,"&gt;="&amp;B68,'Ride Log'!$G$2:$G$499)-SUMIF('Ride Log'!$A$2:$A$499,"&gt;="&amp;B69,'Ride Log'!$G$2:$G$499)</f>
        <v>0</v>
      </c>
      <c r="F68" s="148">
        <f>(SUMIF('Ride Log'!$A$2:$A$499,"&gt;="&amp;B68,'Ride Log'!$AG$2:$AG$499)-SUMIF('Ride Log'!$A$2:$A$499,"&gt;="&amp;B69,'Ride Log'!$AG$2:$AG$499))/60</f>
        <v>0</v>
      </c>
      <c r="G68" s="147">
        <f>SUMIF('Ride Log'!$A$2:$A$499,"&gt;="&amp;B68,'Ride Log'!$AI$2:$AI$499)-SUMIF('Ride Log'!$A$2:$A$499,"&gt;="&amp;B69,'Ride Log'!$AI$2:$AI$499)</f>
        <v>0</v>
      </c>
      <c r="H68" s="147">
        <f>SUMIF('Ride Log'!$A$2:$A$499,"&gt;="&amp;B68,'Ride Log'!$AH$2:$AH$499)-SUMIF('Ride Log'!$A$2:$A$499,"&gt;="&amp;B69,'Ride Log'!$AH$2:$AH$499)</f>
        <v>0</v>
      </c>
      <c r="I68" s="3"/>
    </row>
    <row r="69" spans="1:9" x14ac:dyDescent="0.2">
      <c r="A69">
        <f t="shared" si="0"/>
        <v>39</v>
      </c>
      <c r="B69" s="11">
        <f t="shared" si="1"/>
        <v>44459</v>
      </c>
      <c r="C69" s="147">
        <f>COUNTIF(Data!$B$2:$B$500,"&gt;="&amp;B69)-COUNTIF(Data!$B$2:$B$500,"&gt;="&amp;B70)</f>
        <v>0</v>
      </c>
      <c r="D69" s="147">
        <f>SUMIF('Ride Log'!$A$2:$A$499,"&gt;="&amp;B69,'Ride Log'!$F$2:$F$499)-SUMIF('Ride Log'!$A$2:$A$499,"&gt;="&amp;B70,'Ride Log'!$F$2:$F$499)</f>
        <v>0</v>
      </c>
      <c r="E69" s="147">
        <f>SUMIF('Ride Log'!$A$2:$A$499,"&gt;="&amp;B69,'Ride Log'!$G$2:$G$499)-SUMIF('Ride Log'!$A$2:$A$499,"&gt;="&amp;B70,'Ride Log'!$G$2:$G$499)</f>
        <v>0</v>
      </c>
      <c r="F69" s="148">
        <f>(SUMIF('Ride Log'!$A$2:$A$499,"&gt;="&amp;B69,'Ride Log'!$AG$2:$AG$499)-SUMIF('Ride Log'!$A$2:$A$499,"&gt;="&amp;B70,'Ride Log'!$AG$2:$AG$499))/60</f>
        <v>0</v>
      </c>
      <c r="G69" s="147">
        <f>SUMIF('Ride Log'!$A$2:$A$499,"&gt;="&amp;B69,'Ride Log'!$AI$2:$AI$499)-SUMIF('Ride Log'!$A$2:$A$499,"&gt;="&amp;B70,'Ride Log'!$AI$2:$AI$499)</f>
        <v>0</v>
      </c>
      <c r="H69" s="147">
        <f>SUMIF('Ride Log'!$A$2:$A$499,"&gt;="&amp;B69,'Ride Log'!$AH$2:$AH$499)-SUMIF('Ride Log'!$A$2:$A$499,"&gt;="&amp;B70,'Ride Log'!$AH$2:$AH$499)</f>
        <v>0</v>
      </c>
      <c r="I69" s="3"/>
    </row>
    <row r="70" spans="1:9" x14ac:dyDescent="0.2">
      <c r="A70">
        <f t="shared" si="0"/>
        <v>40</v>
      </c>
      <c r="B70" s="11">
        <f t="shared" si="1"/>
        <v>44466</v>
      </c>
      <c r="C70" s="147">
        <f>COUNTIF(Data!$B$2:$B$500,"&gt;="&amp;B70)-COUNTIF(Data!$B$2:$B$500,"&gt;="&amp;B71)</f>
        <v>0</v>
      </c>
      <c r="D70" s="147">
        <f>SUMIF('Ride Log'!$A$2:$A$499,"&gt;="&amp;B70,'Ride Log'!$F$2:$F$499)-SUMIF('Ride Log'!$A$2:$A$499,"&gt;="&amp;B71,'Ride Log'!$F$2:$F$499)</f>
        <v>0</v>
      </c>
      <c r="E70" s="147">
        <f>SUMIF('Ride Log'!$A$2:$A$499,"&gt;="&amp;B70,'Ride Log'!$G$2:$G$499)-SUMIF('Ride Log'!$A$2:$A$499,"&gt;="&amp;B71,'Ride Log'!$G$2:$G$499)</f>
        <v>0</v>
      </c>
      <c r="F70" s="148">
        <f>(SUMIF('Ride Log'!$A$2:$A$499,"&gt;="&amp;B70,'Ride Log'!$AG$2:$AG$499)-SUMIF('Ride Log'!$A$2:$A$499,"&gt;="&amp;B71,'Ride Log'!$AG$2:$AG$499))/60</f>
        <v>0</v>
      </c>
      <c r="G70" s="147">
        <f>SUMIF('Ride Log'!$A$2:$A$499,"&gt;="&amp;B70,'Ride Log'!$AI$2:$AI$499)-SUMIF('Ride Log'!$A$2:$A$499,"&gt;="&amp;B71,'Ride Log'!$AI$2:$AI$499)</f>
        <v>0</v>
      </c>
      <c r="H70" s="147">
        <f>SUMIF('Ride Log'!$A$2:$A$499,"&gt;="&amp;B70,'Ride Log'!$AH$2:$AH$499)-SUMIF('Ride Log'!$A$2:$A$499,"&gt;="&amp;B71,'Ride Log'!$AH$2:$AH$499)</f>
        <v>0</v>
      </c>
      <c r="I70" s="3"/>
    </row>
    <row r="71" spans="1:9" x14ac:dyDescent="0.2">
      <c r="A71">
        <f t="shared" si="0"/>
        <v>41</v>
      </c>
      <c r="B71" s="11">
        <f t="shared" si="1"/>
        <v>44473</v>
      </c>
      <c r="C71" s="147">
        <f>COUNTIF(Data!$B$2:$B$500,"&gt;="&amp;B71)-COUNTIF(Data!$B$2:$B$500,"&gt;="&amp;B72)</f>
        <v>0</v>
      </c>
      <c r="D71" s="147">
        <f>SUMIF('Ride Log'!$A$2:$A$499,"&gt;="&amp;B71,'Ride Log'!$F$2:$F$499)-SUMIF('Ride Log'!$A$2:$A$499,"&gt;="&amp;B72,'Ride Log'!$F$2:$F$499)</f>
        <v>0</v>
      </c>
      <c r="E71" s="147">
        <f>SUMIF('Ride Log'!$A$2:$A$499,"&gt;="&amp;B71,'Ride Log'!$G$2:$G$499)-SUMIF('Ride Log'!$A$2:$A$499,"&gt;="&amp;B72,'Ride Log'!$G$2:$G$499)</f>
        <v>0</v>
      </c>
      <c r="F71" s="148">
        <f>(SUMIF('Ride Log'!$A$2:$A$499,"&gt;="&amp;B71,'Ride Log'!$AG$2:$AG$499)-SUMIF('Ride Log'!$A$2:$A$499,"&gt;="&amp;B72,'Ride Log'!$AG$2:$AG$499))/60</f>
        <v>0</v>
      </c>
      <c r="G71" s="147">
        <f>SUMIF('Ride Log'!$A$2:$A$499,"&gt;="&amp;B71,'Ride Log'!$AI$2:$AI$499)-SUMIF('Ride Log'!$A$2:$A$499,"&gt;="&amp;B72,'Ride Log'!$AI$2:$AI$499)</f>
        <v>0</v>
      </c>
      <c r="H71" s="147">
        <f>SUMIF('Ride Log'!$A$2:$A$499,"&gt;="&amp;B71,'Ride Log'!$AH$2:$AH$499)-SUMIF('Ride Log'!$A$2:$A$499,"&gt;="&amp;B72,'Ride Log'!$AH$2:$AH$499)</f>
        <v>0</v>
      </c>
      <c r="I71" s="3"/>
    </row>
    <row r="72" spans="1:9" x14ac:dyDescent="0.2">
      <c r="A72">
        <f t="shared" si="0"/>
        <v>42</v>
      </c>
      <c r="B72" s="11">
        <f t="shared" si="1"/>
        <v>44480</v>
      </c>
      <c r="C72" s="147">
        <f>COUNTIF(Data!$B$2:$B$500,"&gt;="&amp;B72)-COUNTIF(Data!$B$2:$B$500,"&gt;="&amp;B73)</f>
        <v>0</v>
      </c>
      <c r="D72" s="147">
        <f>SUMIF('Ride Log'!$A$2:$A$499,"&gt;="&amp;B72,'Ride Log'!$F$2:$F$499)-SUMIF('Ride Log'!$A$2:$A$499,"&gt;="&amp;B73,'Ride Log'!$F$2:$F$499)</f>
        <v>0</v>
      </c>
      <c r="E72" s="147">
        <f>SUMIF('Ride Log'!$A$2:$A$499,"&gt;="&amp;B72,'Ride Log'!$G$2:$G$499)-SUMIF('Ride Log'!$A$2:$A$499,"&gt;="&amp;B73,'Ride Log'!$G$2:$G$499)</f>
        <v>0</v>
      </c>
      <c r="F72" s="148">
        <f>(SUMIF('Ride Log'!$A$2:$A$499,"&gt;="&amp;B72,'Ride Log'!$AG$2:$AG$499)-SUMIF('Ride Log'!$A$2:$A$499,"&gt;="&amp;B73,'Ride Log'!$AG$2:$AG$499))/60</f>
        <v>0</v>
      </c>
      <c r="G72" s="147">
        <f>SUMIF('Ride Log'!$A$2:$A$499,"&gt;="&amp;B72,'Ride Log'!$AI$2:$AI$499)-SUMIF('Ride Log'!$A$2:$A$499,"&gt;="&amp;B73,'Ride Log'!$AI$2:$AI$499)</f>
        <v>0</v>
      </c>
      <c r="H72" s="147">
        <f>SUMIF('Ride Log'!$A$2:$A$499,"&gt;="&amp;B72,'Ride Log'!$AH$2:$AH$499)-SUMIF('Ride Log'!$A$2:$A$499,"&gt;="&amp;B73,'Ride Log'!$AH$2:$AH$499)</f>
        <v>0</v>
      </c>
      <c r="I72" s="3"/>
    </row>
    <row r="73" spans="1:9" x14ac:dyDescent="0.2">
      <c r="A73">
        <f t="shared" si="0"/>
        <v>43</v>
      </c>
      <c r="B73" s="11">
        <f t="shared" si="1"/>
        <v>44487</v>
      </c>
      <c r="C73" s="147">
        <f>COUNTIF(Data!$B$2:$B$500,"&gt;="&amp;B73)-COUNTIF(Data!$B$2:$B$500,"&gt;="&amp;B74)</f>
        <v>0</v>
      </c>
      <c r="D73" s="147">
        <f>SUMIF('Ride Log'!$A$2:$A$499,"&gt;="&amp;B73,'Ride Log'!$F$2:$F$499)-SUMIF('Ride Log'!$A$2:$A$499,"&gt;="&amp;B74,'Ride Log'!$F$2:$F$499)</f>
        <v>0</v>
      </c>
      <c r="E73" s="147">
        <f>SUMIF('Ride Log'!$A$2:$A$499,"&gt;="&amp;B73,'Ride Log'!$G$2:$G$499)-SUMIF('Ride Log'!$A$2:$A$499,"&gt;="&amp;B74,'Ride Log'!$G$2:$G$499)</f>
        <v>0</v>
      </c>
      <c r="F73" s="148">
        <f>(SUMIF('Ride Log'!$A$2:$A$499,"&gt;="&amp;B73,'Ride Log'!$AG$2:$AG$499)-SUMIF('Ride Log'!$A$2:$A$499,"&gt;="&amp;B74,'Ride Log'!$AG$2:$AG$499))/60</f>
        <v>0</v>
      </c>
      <c r="G73" s="147">
        <f>SUMIF('Ride Log'!$A$2:$A$499,"&gt;="&amp;B73,'Ride Log'!$AI$2:$AI$499)-SUMIF('Ride Log'!$A$2:$A$499,"&gt;="&amp;B74,'Ride Log'!$AI$2:$AI$499)</f>
        <v>0</v>
      </c>
      <c r="H73" s="147">
        <f>SUMIF('Ride Log'!$A$2:$A$499,"&gt;="&amp;B73,'Ride Log'!$AH$2:$AH$499)-SUMIF('Ride Log'!$A$2:$A$499,"&gt;="&amp;B74,'Ride Log'!$AH$2:$AH$499)</f>
        <v>0</v>
      </c>
      <c r="I73" s="3"/>
    </row>
    <row r="74" spans="1:9" x14ac:dyDescent="0.2">
      <c r="A74">
        <f t="shared" si="0"/>
        <v>44</v>
      </c>
      <c r="B74" s="11">
        <f t="shared" si="1"/>
        <v>44494</v>
      </c>
      <c r="C74" s="147">
        <f>COUNTIF(Data!$B$2:$B$500,"&gt;="&amp;B74)-COUNTIF(Data!$B$2:$B$500,"&gt;="&amp;B75)</f>
        <v>0</v>
      </c>
      <c r="D74" s="147">
        <f>SUMIF('Ride Log'!$A$2:$A$499,"&gt;="&amp;B74,'Ride Log'!$F$2:$F$499)-SUMIF('Ride Log'!$A$2:$A$499,"&gt;="&amp;B75,'Ride Log'!$F$2:$F$499)</f>
        <v>0</v>
      </c>
      <c r="E74" s="147">
        <f>SUMIF('Ride Log'!$A$2:$A$499,"&gt;="&amp;B74,'Ride Log'!$G$2:$G$499)-SUMIF('Ride Log'!$A$2:$A$499,"&gt;="&amp;B75,'Ride Log'!$G$2:$G$499)</f>
        <v>0</v>
      </c>
      <c r="F74" s="148">
        <f>(SUMIF('Ride Log'!$A$2:$A$499,"&gt;="&amp;B74,'Ride Log'!$AG$2:$AG$499)-SUMIF('Ride Log'!$A$2:$A$499,"&gt;="&amp;B75,'Ride Log'!$AG$2:$AG$499))/60</f>
        <v>0</v>
      </c>
      <c r="G74" s="147">
        <f>SUMIF('Ride Log'!$A$2:$A$499,"&gt;="&amp;B74,'Ride Log'!$AI$2:$AI$499)-SUMIF('Ride Log'!$A$2:$A$499,"&gt;="&amp;B75,'Ride Log'!$AI$2:$AI$499)</f>
        <v>0</v>
      </c>
      <c r="H74" s="147">
        <f>SUMIF('Ride Log'!$A$2:$A$499,"&gt;="&amp;B74,'Ride Log'!$AH$2:$AH$499)-SUMIF('Ride Log'!$A$2:$A$499,"&gt;="&amp;B75,'Ride Log'!$AH$2:$AH$499)</f>
        <v>0</v>
      </c>
      <c r="I74" s="3"/>
    </row>
    <row r="75" spans="1:9" x14ac:dyDescent="0.2">
      <c r="A75">
        <f t="shared" si="0"/>
        <v>45</v>
      </c>
      <c r="B75" s="11">
        <f t="shared" si="1"/>
        <v>44501</v>
      </c>
      <c r="C75" s="147">
        <f>COUNTIF(Data!$B$2:$B$500,"&gt;="&amp;B75)-COUNTIF(Data!$B$2:$B$500,"&gt;="&amp;B76)</f>
        <v>0</v>
      </c>
      <c r="D75" s="147">
        <f>SUMIF('Ride Log'!$A$2:$A$499,"&gt;="&amp;B75,'Ride Log'!$F$2:$F$499)-SUMIF('Ride Log'!$A$2:$A$499,"&gt;="&amp;B76,'Ride Log'!$F$2:$F$499)</f>
        <v>0</v>
      </c>
      <c r="E75" s="147">
        <f>SUMIF('Ride Log'!$A$2:$A$499,"&gt;="&amp;B75,'Ride Log'!$G$2:$G$499)-SUMIF('Ride Log'!$A$2:$A$499,"&gt;="&amp;B76,'Ride Log'!$G$2:$G$499)</f>
        <v>0</v>
      </c>
      <c r="F75" s="148">
        <f>(SUMIF('Ride Log'!$A$2:$A$499,"&gt;="&amp;B75,'Ride Log'!$AG$2:$AG$499)-SUMIF('Ride Log'!$A$2:$A$499,"&gt;="&amp;B76,'Ride Log'!$AG$2:$AG$499))/60</f>
        <v>0</v>
      </c>
      <c r="G75" s="147">
        <f>SUMIF('Ride Log'!$A$2:$A$499,"&gt;="&amp;B75,'Ride Log'!$AI$2:$AI$499)-SUMIF('Ride Log'!$A$2:$A$499,"&gt;="&amp;B76,'Ride Log'!$AI$2:$AI$499)</f>
        <v>0</v>
      </c>
      <c r="H75" s="147">
        <f>SUMIF('Ride Log'!$A$2:$A$499,"&gt;="&amp;B75,'Ride Log'!$AH$2:$AH$499)-SUMIF('Ride Log'!$A$2:$A$499,"&gt;="&amp;B76,'Ride Log'!$AH$2:$AH$499)</f>
        <v>0</v>
      </c>
      <c r="I75" s="3"/>
    </row>
    <row r="76" spans="1:9" x14ac:dyDescent="0.2">
      <c r="A76">
        <f t="shared" si="0"/>
        <v>46</v>
      </c>
      <c r="B76" s="11">
        <f t="shared" si="1"/>
        <v>44508</v>
      </c>
      <c r="C76" s="147">
        <f>COUNTIF(Data!$B$2:$B$500,"&gt;="&amp;B76)-COUNTIF(Data!$B$2:$B$500,"&gt;="&amp;B77)</f>
        <v>0</v>
      </c>
      <c r="D76" s="147">
        <f>SUMIF('Ride Log'!$A$2:$A$499,"&gt;="&amp;B76,'Ride Log'!$F$2:$F$499)-SUMIF('Ride Log'!$A$2:$A$499,"&gt;="&amp;B77,'Ride Log'!$F$2:$F$499)</f>
        <v>0</v>
      </c>
      <c r="E76" s="147">
        <f>SUMIF('Ride Log'!$A$2:$A$499,"&gt;="&amp;B76,'Ride Log'!$G$2:$G$499)-SUMIF('Ride Log'!$A$2:$A$499,"&gt;="&amp;B77,'Ride Log'!$G$2:$G$499)</f>
        <v>0</v>
      </c>
      <c r="F76" s="148">
        <f>(SUMIF('Ride Log'!$A$2:$A$499,"&gt;="&amp;B76,'Ride Log'!$AG$2:$AG$499)-SUMIF('Ride Log'!$A$2:$A$499,"&gt;="&amp;B77,'Ride Log'!$AG$2:$AG$499))/60</f>
        <v>0</v>
      </c>
      <c r="G76" s="147">
        <f>SUMIF('Ride Log'!$A$2:$A$499,"&gt;="&amp;B76,'Ride Log'!$AI$2:$AI$499)-SUMIF('Ride Log'!$A$2:$A$499,"&gt;="&amp;B77,'Ride Log'!$AI$2:$AI$499)</f>
        <v>0</v>
      </c>
      <c r="H76" s="147">
        <f>SUMIF('Ride Log'!$A$2:$A$499,"&gt;="&amp;B76,'Ride Log'!$AH$2:$AH$499)-SUMIF('Ride Log'!$A$2:$A$499,"&gt;="&amp;B77,'Ride Log'!$AH$2:$AH$499)</f>
        <v>0</v>
      </c>
      <c r="I76" s="3"/>
    </row>
    <row r="77" spans="1:9" x14ac:dyDescent="0.2">
      <c r="A77">
        <f t="shared" si="0"/>
        <v>47</v>
      </c>
      <c r="B77" s="11">
        <f t="shared" si="1"/>
        <v>44515</v>
      </c>
      <c r="C77" s="147">
        <f>COUNTIF(Data!$B$2:$B$500,"&gt;="&amp;B77)-COUNTIF(Data!$B$2:$B$500,"&gt;="&amp;B78)</f>
        <v>0</v>
      </c>
      <c r="D77" s="147">
        <f>SUMIF('Ride Log'!$A$2:$A$499,"&gt;="&amp;B77,'Ride Log'!$F$2:$F$499)-SUMIF('Ride Log'!$A$2:$A$499,"&gt;="&amp;B78,'Ride Log'!$F$2:$F$499)</f>
        <v>0</v>
      </c>
      <c r="E77" s="147">
        <f>SUMIF('Ride Log'!$A$2:$A$499,"&gt;="&amp;B77,'Ride Log'!$G$2:$G$499)-SUMIF('Ride Log'!$A$2:$A$499,"&gt;="&amp;B78,'Ride Log'!$G$2:$G$499)</f>
        <v>0</v>
      </c>
      <c r="F77" s="148">
        <f>(SUMIF('Ride Log'!$A$2:$A$499,"&gt;="&amp;B77,'Ride Log'!$AG$2:$AG$499)-SUMIF('Ride Log'!$A$2:$A$499,"&gt;="&amp;B78,'Ride Log'!$AG$2:$AG$499))/60</f>
        <v>0</v>
      </c>
      <c r="G77" s="147">
        <f>SUMIF('Ride Log'!$A$2:$A$499,"&gt;="&amp;B77,'Ride Log'!$AI$2:$AI$499)-SUMIF('Ride Log'!$A$2:$A$499,"&gt;="&amp;B78,'Ride Log'!$AI$2:$AI$499)</f>
        <v>0</v>
      </c>
      <c r="H77" s="147">
        <f>SUMIF('Ride Log'!$A$2:$A$499,"&gt;="&amp;B77,'Ride Log'!$AH$2:$AH$499)-SUMIF('Ride Log'!$A$2:$A$499,"&gt;="&amp;B78,'Ride Log'!$AH$2:$AH$499)</f>
        <v>0</v>
      </c>
      <c r="I77" s="3"/>
    </row>
    <row r="78" spans="1:9" x14ac:dyDescent="0.2">
      <c r="A78">
        <f t="shared" si="0"/>
        <v>48</v>
      </c>
      <c r="B78" s="11">
        <f t="shared" si="1"/>
        <v>44522</v>
      </c>
      <c r="C78" s="147">
        <f>COUNTIF(Data!$B$2:$B$500,"&gt;="&amp;B78)-COUNTIF(Data!$B$2:$B$500,"&gt;="&amp;B79)</f>
        <v>0</v>
      </c>
      <c r="D78" s="147">
        <f>SUMIF('Ride Log'!$A$2:$A$499,"&gt;="&amp;B78,'Ride Log'!$F$2:$F$499)-SUMIF('Ride Log'!$A$2:$A$499,"&gt;="&amp;B79,'Ride Log'!$F$2:$F$499)</f>
        <v>0</v>
      </c>
      <c r="E78" s="147">
        <f>SUMIF('Ride Log'!$A$2:$A$499,"&gt;="&amp;B78,'Ride Log'!$G$2:$G$499)-SUMIF('Ride Log'!$A$2:$A$499,"&gt;="&amp;B79,'Ride Log'!$G$2:$G$499)</f>
        <v>0</v>
      </c>
      <c r="F78" s="148">
        <f>(SUMIF('Ride Log'!$A$2:$A$499,"&gt;="&amp;B78,'Ride Log'!$AG$2:$AG$499)-SUMIF('Ride Log'!$A$2:$A$499,"&gt;="&amp;B79,'Ride Log'!$AG$2:$AG$499))/60</f>
        <v>0</v>
      </c>
      <c r="G78" s="147">
        <f>SUMIF('Ride Log'!$A$2:$A$499,"&gt;="&amp;B78,'Ride Log'!$AI$2:$AI$499)-SUMIF('Ride Log'!$A$2:$A$499,"&gt;="&amp;B79,'Ride Log'!$AI$2:$AI$499)</f>
        <v>0</v>
      </c>
      <c r="H78" s="147">
        <f>SUMIF('Ride Log'!$A$2:$A$499,"&gt;="&amp;B78,'Ride Log'!$AH$2:$AH$499)-SUMIF('Ride Log'!$A$2:$A$499,"&gt;="&amp;B79,'Ride Log'!$AH$2:$AH$499)</f>
        <v>0</v>
      </c>
      <c r="I78" s="3"/>
    </row>
    <row r="79" spans="1:9" x14ac:dyDescent="0.2">
      <c r="A79">
        <f t="shared" si="0"/>
        <v>49</v>
      </c>
      <c r="B79" s="11">
        <f t="shared" si="1"/>
        <v>44529</v>
      </c>
      <c r="C79" s="147">
        <f>COUNTIF(Data!$B$2:$B$500,"&gt;="&amp;B79)-COUNTIF(Data!$B$2:$B$500,"&gt;="&amp;B80)</f>
        <v>0</v>
      </c>
      <c r="D79" s="147">
        <f>SUMIF('Ride Log'!$A$2:$A$499,"&gt;="&amp;B79,'Ride Log'!$F$2:$F$499)-SUMIF('Ride Log'!$A$2:$A$499,"&gt;="&amp;B80,'Ride Log'!$F$2:$F$499)</f>
        <v>0</v>
      </c>
      <c r="E79" s="147">
        <f>SUMIF('Ride Log'!$A$2:$A$499,"&gt;="&amp;B79,'Ride Log'!$G$2:$G$499)-SUMIF('Ride Log'!$A$2:$A$499,"&gt;="&amp;B80,'Ride Log'!$G$2:$G$499)</f>
        <v>0</v>
      </c>
      <c r="F79" s="148">
        <f>(SUMIF('Ride Log'!$A$2:$A$499,"&gt;="&amp;B79,'Ride Log'!$AG$2:$AG$499)-SUMIF('Ride Log'!$A$2:$A$499,"&gt;="&amp;B80,'Ride Log'!$AG$2:$AG$499))/60</f>
        <v>0</v>
      </c>
      <c r="G79" s="147">
        <f>SUMIF('Ride Log'!$A$2:$A$499,"&gt;="&amp;B79,'Ride Log'!$AI$2:$AI$499)-SUMIF('Ride Log'!$A$2:$A$499,"&gt;="&amp;B80,'Ride Log'!$AI$2:$AI$499)</f>
        <v>0</v>
      </c>
      <c r="H79" s="147">
        <f>SUMIF('Ride Log'!$A$2:$A$499,"&gt;="&amp;B79,'Ride Log'!$AH$2:$AH$499)-SUMIF('Ride Log'!$A$2:$A$499,"&gt;="&amp;B80,'Ride Log'!$AH$2:$AH$499)</f>
        <v>0</v>
      </c>
      <c r="I79" s="3"/>
    </row>
    <row r="80" spans="1:9" x14ac:dyDescent="0.2">
      <c r="A80">
        <f t="shared" si="0"/>
        <v>50</v>
      </c>
      <c r="B80" s="11">
        <f t="shared" si="1"/>
        <v>44536</v>
      </c>
      <c r="C80" s="147">
        <f>COUNTIF(Data!$B$2:$B$500,"&gt;="&amp;B80)-COUNTIF(Data!$B$2:$B$500,"&gt;="&amp;B81)</f>
        <v>0</v>
      </c>
      <c r="D80" s="147">
        <f>SUMIF('Ride Log'!$A$2:$A$499,"&gt;="&amp;B80,'Ride Log'!$F$2:$F$499)-SUMIF('Ride Log'!$A$2:$A$499,"&gt;="&amp;B81,'Ride Log'!$F$2:$F$499)</f>
        <v>0</v>
      </c>
      <c r="E80" s="147">
        <f>SUMIF('Ride Log'!$A$2:$A$499,"&gt;="&amp;B80,'Ride Log'!$G$2:$G$499)-SUMIF('Ride Log'!$A$2:$A$499,"&gt;="&amp;B81,'Ride Log'!$G$2:$G$499)</f>
        <v>0</v>
      </c>
      <c r="F80" s="148">
        <f>(SUMIF('Ride Log'!$A$2:$A$499,"&gt;="&amp;B80,'Ride Log'!$AG$2:$AG$499)-SUMIF('Ride Log'!$A$2:$A$499,"&gt;="&amp;B81,'Ride Log'!$AG$2:$AG$499))/60</f>
        <v>0</v>
      </c>
      <c r="G80" s="147">
        <f>SUMIF('Ride Log'!$A$2:$A$499,"&gt;="&amp;B80,'Ride Log'!$AI$2:$AI$499)-SUMIF('Ride Log'!$A$2:$A$499,"&gt;="&amp;B81,'Ride Log'!$AI$2:$AI$499)</f>
        <v>0</v>
      </c>
      <c r="H80" s="147">
        <f>SUMIF('Ride Log'!$A$2:$A$499,"&gt;="&amp;B80,'Ride Log'!$AH$2:$AH$499)-SUMIF('Ride Log'!$A$2:$A$499,"&gt;="&amp;B81,'Ride Log'!$AH$2:$AH$499)</f>
        <v>0</v>
      </c>
      <c r="I80" s="3"/>
    </row>
    <row r="81" spans="1:9" x14ac:dyDescent="0.2">
      <c r="A81">
        <f t="shared" si="0"/>
        <v>51</v>
      </c>
      <c r="B81" s="11">
        <f t="shared" si="1"/>
        <v>44543</v>
      </c>
      <c r="C81" s="147">
        <f>COUNTIF(Data!$B$2:$B$500,"&gt;="&amp;B81)-COUNTIF(Data!$B$2:$B$500,"&gt;="&amp;B82)</f>
        <v>0</v>
      </c>
      <c r="D81" s="147">
        <f>SUMIF('Ride Log'!$A$2:$A$499,"&gt;="&amp;B81,'Ride Log'!$F$2:$F$499)-SUMIF('Ride Log'!$A$2:$A$499,"&gt;="&amp;B82,'Ride Log'!$F$2:$F$499)</f>
        <v>0</v>
      </c>
      <c r="E81" s="147">
        <f>SUMIF('Ride Log'!$A$2:$A$499,"&gt;="&amp;B81,'Ride Log'!$G$2:$G$499)-SUMIF('Ride Log'!$A$2:$A$499,"&gt;="&amp;B82,'Ride Log'!$G$2:$G$499)</f>
        <v>0</v>
      </c>
      <c r="F81" s="148">
        <f>(SUMIF('Ride Log'!$A$2:$A$499,"&gt;="&amp;B81,'Ride Log'!$AG$2:$AG$499)-SUMIF('Ride Log'!$A$2:$A$499,"&gt;="&amp;B82,'Ride Log'!$AG$2:$AG$499))/60</f>
        <v>0</v>
      </c>
      <c r="G81" s="147">
        <f>SUMIF('Ride Log'!$A$2:$A$499,"&gt;="&amp;B81,'Ride Log'!$AI$2:$AI$499)-SUMIF('Ride Log'!$A$2:$A$499,"&gt;="&amp;B82,'Ride Log'!$AI$2:$AI$499)</f>
        <v>0</v>
      </c>
      <c r="H81" s="147">
        <f>SUMIF('Ride Log'!$A$2:$A$499,"&gt;="&amp;B81,'Ride Log'!$AH$2:$AH$499)-SUMIF('Ride Log'!$A$2:$A$499,"&gt;="&amp;B82,'Ride Log'!$AH$2:$AH$499)</f>
        <v>0</v>
      </c>
      <c r="I81" s="3"/>
    </row>
    <row r="82" spans="1:9" x14ac:dyDescent="0.2">
      <c r="A82">
        <f t="shared" si="0"/>
        <v>52</v>
      </c>
      <c r="B82" s="11">
        <f t="shared" si="1"/>
        <v>44550</v>
      </c>
      <c r="C82" s="147">
        <f>COUNTIF(Data!$B$2:$B$500,"&gt;="&amp;B82)-COUNTIF(Data!$B$2:$B$500,"&gt;="&amp;B83)</f>
        <v>0</v>
      </c>
      <c r="D82" s="147">
        <f>SUMIF('Ride Log'!$A$2:$A$499,"&gt;="&amp;B82,'Ride Log'!$F$2:$F$499)-SUMIF('Ride Log'!$A$2:$A$499,"&gt;="&amp;B83,'Ride Log'!$F$2:$F$499)</f>
        <v>0</v>
      </c>
      <c r="E82" s="147">
        <f>SUMIF('Ride Log'!$A$2:$A$499,"&gt;="&amp;B82,'Ride Log'!$G$2:$G$499)-SUMIF('Ride Log'!$A$2:$A$499,"&gt;="&amp;B83,'Ride Log'!$G$2:$G$499)</f>
        <v>0</v>
      </c>
      <c r="F82" s="148">
        <f>(SUMIF('Ride Log'!$A$2:$A$499,"&gt;="&amp;B82,'Ride Log'!$AG$2:$AG$499)-SUMIF('Ride Log'!$A$2:$A$499,"&gt;="&amp;B83,'Ride Log'!$AG$2:$AG$499))/60</f>
        <v>0</v>
      </c>
      <c r="G82" s="147">
        <f>SUMIF('Ride Log'!$A$2:$A$499,"&gt;="&amp;B82,'Ride Log'!$AI$2:$AI$499)-SUMIF('Ride Log'!$A$2:$A$499,"&gt;="&amp;B83,'Ride Log'!$AI$2:$AI$499)</f>
        <v>0</v>
      </c>
      <c r="H82" s="147">
        <f>SUMIF('Ride Log'!$A$2:$A$499,"&gt;="&amp;B82,'Ride Log'!$AH$2:$AH$499)-SUMIF('Ride Log'!$A$2:$A$499,"&gt;="&amp;B83,'Ride Log'!$AH$2:$AH$499)</f>
        <v>0</v>
      </c>
      <c r="I82" s="3"/>
    </row>
    <row r="83" spans="1:9" ht="13.5" thickBot="1" x14ac:dyDescent="0.25">
      <c r="A83" s="4">
        <f t="shared" si="0"/>
        <v>53</v>
      </c>
      <c r="B83" s="12">
        <f t="shared" si="1"/>
        <v>44557</v>
      </c>
      <c r="C83" s="149">
        <f>COUNTIF(Data!$B$2:$B$500,"&gt;="&amp;B83)-COUNTIF(Data!$B$2:$B$500,"&gt;="&amp;B84)</f>
        <v>0</v>
      </c>
      <c r="D83" s="149">
        <f>SUMIF('Ride Log'!$A$2:$A$499,"&gt;="&amp;B83,'Ride Log'!$F$2:$F$499)-SUMIF('Ride Log'!$A$2:$A$499,"&gt;="&amp;B84,'Ride Log'!$F$2:$F$499)</f>
        <v>0</v>
      </c>
      <c r="E83" s="149">
        <f>SUMIF('Ride Log'!$A$2:$A$499,"&gt;="&amp;B83,'Ride Log'!$G$2:$G$499)-SUMIF('Ride Log'!$A$2:$A$499,"&gt;="&amp;B84,'Ride Log'!$G$2:$G$499)</f>
        <v>0</v>
      </c>
      <c r="F83" s="150">
        <f>(SUMIF('Ride Log'!$A$2:$A$499,"&gt;="&amp;B83,'Ride Log'!$AG$2:$AG$499)-SUMIF('Ride Log'!$A$2:$A$499,"&gt;="&amp;B84,'Ride Log'!$AG$2:$AG$499))/60</f>
        <v>0</v>
      </c>
      <c r="G83" s="149">
        <f>SUMIF('Ride Log'!$A$2:$A$499,"&gt;="&amp;B83,'Ride Log'!$AI$2:$AI$499)-SUMIF('Ride Log'!$A$2:$A$499,"&gt;="&amp;B84,'Ride Log'!$AI$2:$AI$499)</f>
        <v>0</v>
      </c>
      <c r="H83" s="149">
        <f>SUMIF('Ride Log'!$A$2:$A$499,"&gt;="&amp;B83,'Ride Log'!$AH$2:$AH$499)-SUMIF('Ride Log'!$A$2:$A$499,"&gt;="&amp;B84,'Ride Log'!$AH$2:$AH$499)</f>
        <v>0</v>
      </c>
      <c r="I83" s="3"/>
    </row>
    <row r="84" spans="1:9" x14ac:dyDescent="0.2">
      <c r="B84" s="2" t="s">
        <v>158</v>
      </c>
      <c r="C84" s="151">
        <f t="shared" ref="C84:H84" si="2">SUM(C31:C82)</f>
        <v>0</v>
      </c>
      <c r="D84" s="151">
        <f t="shared" si="2"/>
        <v>0</v>
      </c>
      <c r="E84" s="151">
        <f t="shared" si="2"/>
        <v>0</v>
      </c>
      <c r="F84" s="152">
        <f t="shared" si="2"/>
        <v>0</v>
      </c>
      <c r="G84" s="151">
        <f t="shared" si="2"/>
        <v>0</v>
      </c>
      <c r="H84" s="151">
        <f t="shared" si="2"/>
        <v>0</v>
      </c>
      <c r="I84" s="3"/>
    </row>
    <row r="85" spans="1:9" ht="26.25" customHeight="1" x14ac:dyDescent="0.2">
      <c r="B85" s="2" t="s">
        <v>159</v>
      </c>
      <c r="C85" s="153" t="e">
        <f>AVERAGEIF(C31:C83,"&lt;&gt;0")</f>
        <v>#DIV/0!</v>
      </c>
      <c r="D85" s="154" t="e">
        <f t="shared" ref="D85:H85" si="3">AVERAGEIF(D31:D83,"&lt;&gt;0")</f>
        <v>#DIV/0!</v>
      </c>
      <c r="E85" s="147" t="e">
        <f t="shared" si="3"/>
        <v>#DIV/0!</v>
      </c>
      <c r="F85" s="153" t="e">
        <f t="shared" si="3"/>
        <v>#DIV/0!</v>
      </c>
      <c r="G85" s="154" t="e">
        <f t="shared" si="3"/>
        <v>#DIV/0!</v>
      </c>
      <c r="H85" s="154" t="e">
        <f t="shared" si="3"/>
        <v>#DIV/0!</v>
      </c>
      <c r="I85" s="3"/>
    </row>
    <row r="86" spans="1:9" ht="38.25" x14ac:dyDescent="0.2">
      <c r="C86" s="155" t="s">
        <v>4</v>
      </c>
      <c r="D86" s="156" t="s">
        <v>7</v>
      </c>
      <c r="E86" s="157" t="s">
        <v>10</v>
      </c>
      <c r="F86" s="158" t="s">
        <v>34</v>
      </c>
      <c r="G86" s="158" t="s">
        <v>1</v>
      </c>
      <c r="H86" s="158" t="s">
        <v>80</v>
      </c>
      <c r="I86" s="3"/>
    </row>
    <row r="87" spans="1:9" x14ac:dyDescent="0.2">
      <c r="I87" s="3"/>
    </row>
    <row r="88" spans="1:9" x14ac:dyDescent="0.2">
      <c r="I88" s="3"/>
    </row>
    <row r="89" spans="1:9" x14ac:dyDescent="0.2">
      <c r="I89" s="3"/>
    </row>
  </sheetData>
  <phoneticPr fontId="0"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6172C-7E9C-467A-ADD9-74EEFC6812B3}">
  <dimension ref="A1:K521"/>
  <sheetViews>
    <sheetView workbookViewId="0">
      <pane ySplit="1" topLeftCell="A2" activePane="bottomLeft" state="frozen"/>
      <selection pane="bottomLeft" activeCell="H40" sqref="H40"/>
    </sheetView>
  </sheetViews>
  <sheetFormatPr defaultRowHeight="12.75" x14ac:dyDescent="0.2"/>
  <cols>
    <col min="1" max="1" width="4" style="1" bestFit="1" customWidth="1"/>
    <col min="2" max="2" width="7.140625" style="114" bestFit="1" customWidth="1"/>
    <col min="3" max="3" width="6.5703125" style="115" customWidth="1"/>
    <col min="4" max="4" width="7.5703125" style="123" customWidth="1"/>
    <col min="5" max="5" width="9.42578125" style="117" bestFit="1" customWidth="1"/>
    <col min="6" max="6" width="6.42578125" style="118" customWidth="1"/>
    <col min="7" max="7" width="7.85546875" style="119" customWidth="1"/>
    <col min="8" max="8" width="7.85546875" style="117" customWidth="1"/>
    <col min="9" max="9" width="7.140625" style="117" customWidth="1"/>
    <col min="10" max="10" width="7.140625" style="121" customWidth="1"/>
    <col min="11" max="11" width="6.140625" style="117" bestFit="1" customWidth="1"/>
  </cols>
  <sheetData>
    <row r="1" spans="1:11" ht="25.5" x14ac:dyDescent="0.2">
      <c r="A1" s="28" t="s">
        <v>4</v>
      </c>
      <c r="B1" s="34" t="s">
        <v>5</v>
      </c>
      <c r="C1" s="40" t="s">
        <v>7</v>
      </c>
      <c r="D1" s="41" t="s">
        <v>8</v>
      </c>
      <c r="E1" s="30" t="s">
        <v>10</v>
      </c>
      <c r="F1" s="32" t="s">
        <v>1</v>
      </c>
      <c r="G1" s="35" t="s">
        <v>43</v>
      </c>
      <c r="H1" s="30" t="s">
        <v>39</v>
      </c>
      <c r="I1" s="30" t="s">
        <v>47</v>
      </c>
      <c r="J1" s="42" t="s">
        <v>42</v>
      </c>
      <c r="K1" s="42" t="s">
        <v>12</v>
      </c>
    </row>
    <row r="2" spans="1:11" s="1" customFormat="1" x14ac:dyDescent="0.2">
      <c r="A2" s="2">
        <v>1</v>
      </c>
      <c r="B2" s="114"/>
      <c r="C2" s="115"/>
      <c r="D2" s="116"/>
      <c r="E2" s="117"/>
      <c r="F2" s="118"/>
      <c r="G2" s="119"/>
      <c r="H2" s="117"/>
      <c r="I2" s="117"/>
      <c r="J2" s="120"/>
      <c r="K2" s="117"/>
    </row>
    <row r="3" spans="1:11" s="1" customFormat="1" x14ac:dyDescent="0.2">
      <c r="A3" s="2" t="str">
        <f t="shared" ref="A3:A66" si="0">IF(B3&lt;&gt;"",A2+1,"")</f>
        <v/>
      </c>
      <c r="B3" s="114"/>
      <c r="C3" s="115"/>
      <c r="D3" s="116"/>
      <c r="E3" s="117"/>
      <c r="F3" s="118"/>
      <c r="G3" s="119"/>
      <c r="H3" s="117"/>
      <c r="I3" s="117"/>
      <c r="J3" s="121"/>
      <c r="K3" s="117"/>
    </row>
    <row r="4" spans="1:11" s="1" customFormat="1" x14ac:dyDescent="0.2">
      <c r="A4" s="2" t="str">
        <f t="shared" si="0"/>
        <v/>
      </c>
      <c r="B4" s="114"/>
      <c r="C4" s="122"/>
      <c r="D4" s="123"/>
      <c r="E4" s="117"/>
      <c r="F4" s="117"/>
      <c r="G4" s="119"/>
      <c r="H4" s="117"/>
      <c r="I4" s="117"/>
      <c r="J4" s="117"/>
      <c r="K4" s="117"/>
    </row>
    <row r="5" spans="1:11" s="1" customFormat="1" x14ac:dyDescent="0.2">
      <c r="A5" s="2" t="str">
        <f t="shared" si="0"/>
        <v/>
      </c>
      <c r="B5" s="114"/>
      <c r="C5" s="122"/>
      <c r="D5" s="123"/>
      <c r="E5" s="117"/>
      <c r="F5" s="117"/>
      <c r="G5" s="119"/>
      <c r="H5" s="117"/>
      <c r="I5" s="117"/>
      <c r="J5" s="117"/>
      <c r="K5" s="117"/>
    </row>
    <row r="6" spans="1:11" s="1" customFormat="1" x14ac:dyDescent="0.2">
      <c r="A6" s="2" t="str">
        <f t="shared" si="0"/>
        <v/>
      </c>
      <c r="B6" s="114"/>
      <c r="C6" s="122"/>
      <c r="D6" s="123"/>
      <c r="E6" s="117"/>
      <c r="F6" s="117"/>
      <c r="G6" s="119"/>
      <c r="H6" s="117"/>
      <c r="I6" s="117"/>
      <c r="J6" s="117"/>
      <c r="K6" s="117"/>
    </row>
    <row r="7" spans="1:11" s="1" customFormat="1" x14ac:dyDescent="0.2">
      <c r="A7" s="2" t="str">
        <f t="shared" si="0"/>
        <v/>
      </c>
      <c r="B7" s="114"/>
      <c r="C7" s="122"/>
      <c r="D7" s="123"/>
      <c r="E7" s="117"/>
      <c r="F7" s="117"/>
      <c r="G7" s="119"/>
      <c r="H7" s="117"/>
      <c r="I7" s="117"/>
      <c r="J7" s="117"/>
      <c r="K7" s="117"/>
    </row>
    <row r="8" spans="1:11" s="1" customFormat="1" x14ac:dyDescent="0.2">
      <c r="A8" s="2" t="str">
        <f t="shared" si="0"/>
        <v/>
      </c>
      <c r="B8" s="114"/>
      <c r="C8" s="122"/>
      <c r="D8" s="123"/>
      <c r="E8" s="117"/>
      <c r="F8" s="117"/>
      <c r="G8" s="119"/>
      <c r="H8" s="117"/>
      <c r="I8" s="117"/>
      <c r="J8" s="117"/>
      <c r="K8" s="117"/>
    </row>
    <row r="9" spans="1:11" s="1" customFormat="1" x14ac:dyDescent="0.2">
      <c r="A9" s="2" t="str">
        <f t="shared" si="0"/>
        <v/>
      </c>
      <c r="B9" s="114"/>
      <c r="C9" s="122"/>
      <c r="D9" s="123"/>
      <c r="E9" s="117"/>
      <c r="F9" s="117"/>
      <c r="G9" s="119"/>
      <c r="H9" s="117"/>
      <c r="I9" s="117"/>
      <c r="J9" s="117"/>
      <c r="K9" s="117"/>
    </row>
    <row r="10" spans="1:11" s="1" customFormat="1" x14ac:dyDescent="0.2">
      <c r="A10" s="2" t="str">
        <f t="shared" si="0"/>
        <v/>
      </c>
      <c r="B10" s="114"/>
      <c r="C10" s="122"/>
      <c r="D10" s="123"/>
      <c r="E10" s="117"/>
      <c r="F10" s="117"/>
      <c r="G10" s="119"/>
      <c r="H10" s="117"/>
      <c r="I10" s="117"/>
      <c r="J10" s="117"/>
      <c r="K10" s="117"/>
    </row>
    <row r="11" spans="1:11" s="1" customFormat="1" x14ac:dyDescent="0.2">
      <c r="A11" s="2" t="str">
        <f t="shared" si="0"/>
        <v/>
      </c>
      <c r="B11" s="114"/>
      <c r="C11" s="122"/>
      <c r="D11" s="123"/>
      <c r="E11" s="117"/>
      <c r="F11" s="117"/>
      <c r="G11" s="119"/>
      <c r="H11" s="117"/>
      <c r="I11" s="117"/>
      <c r="J11" s="117"/>
      <c r="K11" s="117"/>
    </row>
    <row r="12" spans="1:11" s="1" customFormat="1" x14ac:dyDescent="0.2">
      <c r="A12" s="2" t="str">
        <f t="shared" si="0"/>
        <v/>
      </c>
      <c r="B12" s="114"/>
      <c r="C12" s="122"/>
      <c r="D12" s="123"/>
      <c r="E12" s="117"/>
      <c r="F12" s="117"/>
      <c r="G12" s="119"/>
      <c r="H12" s="117"/>
      <c r="I12" s="117"/>
      <c r="J12" s="117"/>
      <c r="K12" s="117"/>
    </row>
    <row r="13" spans="1:11" s="1" customFormat="1" x14ac:dyDescent="0.2">
      <c r="A13" s="2" t="str">
        <f t="shared" si="0"/>
        <v/>
      </c>
      <c r="B13" s="114"/>
      <c r="C13" s="122"/>
      <c r="D13" s="123"/>
      <c r="E13" s="117"/>
      <c r="F13" s="117"/>
      <c r="G13" s="119"/>
      <c r="H13" s="117"/>
      <c r="I13" s="117"/>
      <c r="J13" s="117"/>
      <c r="K13" s="117"/>
    </row>
    <row r="14" spans="1:11" s="1" customFormat="1" x14ac:dyDescent="0.2">
      <c r="A14" s="2" t="str">
        <f t="shared" si="0"/>
        <v/>
      </c>
      <c r="B14" s="114"/>
      <c r="C14" s="122"/>
      <c r="D14" s="123"/>
      <c r="E14" s="117"/>
      <c r="F14" s="117"/>
      <c r="G14" s="119"/>
      <c r="H14" s="117"/>
      <c r="I14" s="117"/>
      <c r="J14" s="117"/>
      <c r="K14" s="117"/>
    </row>
    <row r="15" spans="1:11" s="1" customFormat="1" x14ac:dyDescent="0.2">
      <c r="A15" s="2" t="str">
        <f t="shared" si="0"/>
        <v/>
      </c>
      <c r="B15" s="114"/>
      <c r="C15" s="122"/>
      <c r="D15" s="123"/>
      <c r="E15" s="117"/>
      <c r="F15" s="117"/>
      <c r="G15" s="119"/>
      <c r="H15" s="117"/>
      <c r="I15" s="117"/>
      <c r="J15" s="117"/>
      <c r="K15" s="117"/>
    </row>
    <row r="16" spans="1:11" s="1" customFormat="1" x14ac:dyDescent="0.2">
      <c r="A16" s="2" t="str">
        <f t="shared" si="0"/>
        <v/>
      </c>
      <c r="B16" s="114"/>
      <c r="C16" s="122"/>
      <c r="D16" s="123"/>
      <c r="E16" s="117"/>
      <c r="F16" s="117"/>
      <c r="G16" s="119"/>
      <c r="H16" s="117"/>
      <c r="I16" s="117"/>
      <c r="J16" s="117"/>
      <c r="K16" s="117"/>
    </row>
    <row r="17" spans="1:11" s="1" customFormat="1" x14ac:dyDescent="0.2">
      <c r="A17" s="2" t="str">
        <f t="shared" si="0"/>
        <v/>
      </c>
      <c r="B17" s="114"/>
      <c r="C17" s="122"/>
      <c r="D17" s="123"/>
      <c r="E17" s="117"/>
      <c r="F17" s="117"/>
      <c r="G17" s="119"/>
      <c r="H17" s="117"/>
      <c r="I17" s="117"/>
      <c r="J17" s="117"/>
      <c r="K17" s="117"/>
    </row>
    <row r="18" spans="1:11" s="1" customFormat="1" x14ac:dyDescent="0.2">
      <c r="A18" s="2" t="str">
        <f t="shared" si="0"/>
        <v/>
      </c>
      <c r="B18" s="114"/>
      <c r="C18" s="122"/>
      <c r="D18" s="123"/>
      <c r="E18" s="117"/>
      <c r="F18" s="117"/>
      <c r="G18" s="119"/>
      <c r="H18" s="117"/>
      <c r="I18" s="117"/>
      <c r="J18" s="117"/>
      <c r="K18" s="117"/>
    </row>
    <row r="19" spans="1:11" s="1" customFormat="1" x14ac:dyDescent="0.2">
      <c r="A19" s="2" t="str">
        <f t="shared" si="0"/>
        <v/>
      </c>
      <c r="B19" s="114"/>
      <c r="C19" s="122"/>
      <c r="D19" s="123"/>
      <c r="E19" s="117"/>
      <c r="F19" s="117"/>
      <c r="G19" s="119"/>
      <c r="H19" s="117"/>
      <c r="I19" s="117"/>
      <c r="J19" s="117"/>
      <c r="K19" s="117"/>
    </row>
    <row r="20" spans="1:11" s="1" customFormat="1" x14ac:dyDescent="0.2">
      <c r="A20" s="2" t="str">
        <f t="shared" si="0"/>
        <v/>
      </c>
      <c r="B20" s="114"/>
      <c r="C20" s="122"/>
      <c r="D20" s="123"/>
      <c r="E20" s="117"/>
      <c r="F20" s="117"/>
      <c r="G20" s="119"/>
      <c r="H20" s="117"/>
      <c r="I20" s="117"/>
      <c r="J20" s="117"/>
      <c r="K20" s="117"/>
    </row>
    <row r="21" spans="1:11" s="1" customFormat="1" x14ac:dyDescent="0.2">
      <c r="A21" s="2" t="str">
        <f t="shared" si="0"/>
        <v/>
      </c>
      <c r="B21" s="114"/>
      <c r="C21" s="122"/>
      <c r="D21" s="123"/>
      <c r="E21" s="117"/>
      <c r="F21" s="117"/>
      <c r="G21" s="119"/>
      <c r="H21" s="117"/>
      <c r="I21" s="117"/>
      <c r="J21" s="117"/>
      <c r="K21" s="117"/>
    </row>
    <row r="22" spans="1:11" s="1" customFormat="1" x14ac:dyDescent="0.2">
      <c r="A22" s="2" t="str">
        <f t="shared" si="0"/>
        <v/>
      </c>
      <c r="B22" s="114"/>
      <c r="C22" s="122"/>
      <c r="D22" s="123"/>
      <c r="E22" s="117"/>
      <c r="F22" s="117"/>
      <c r="G22" s="119"/>
      <c r="H22" s="117"/>
      <c r="I22" s="117"/>
      <c r="J22" s="117"/>
      <c r="K22" s="117"/>
    </row>
    <row r="23" spans="1:11" s="1" customFormat="1" x14ac:dyDescent="0.2">
      <c r="A23" s="2" t="str">
        <f t="shared" si="0"/>
        <v/>
      </c>
      <c r="B23" s="114"/>
      <c r="C23" s="122"/>
      <c r="D23" s="123"/>
      <c r="E23" s="117"/>
      <c r="F23" s="117"/>
      <c r="G23" s="119"/>
      <c r="H23" s="117"/>
      <c r="I23" s="117"/>
      <c r="J23" s="117"/>
      <c r="K23" s="117"/>
    </row>
    <row r="24" spans="1:11" s="1" customFormat="1" x14ac:dyDescent="0.2">
      <c r="A24" s="2" t="str">
        <f t="shared" si="0"/>
        <v/>
      </c>
      <c r="B24" s="114"/>
      <c r="C24" s="122"/>
      <c r="D24" s="123"/>
      <c r="E24" s="117"/>
      <c r="F24" s="117"/>
      <c r="G24" s="119"/>
      <c r="H24" s="117"/>
      <c r="I24" s="117"/>
      <c r="J24" s="117"/>
      <c r="K24" s="117"/>
    </row>
    <row r="25" spans="1:11" s="1" customFormat="1" x14ac:dyDescent="0.2">
      <c r="A25" s="2" t="str">
        <f t="shared" si="0"/>
        <v/>
      </c>
      <c r="B25" s="114"/>
      <c r="C25" s="122"/>
      <c r="D25" s="123"/>
      <c r="E25" s="117"/>
      <c r="F25" s="117"/>
      <c r="G25" s="119"/>
      <c r="H25" s="117"/>
      <c r="I25" s="117"/>
      <c r="J25" s="117"/>
      <c r="K25" s="117"/>
    </row>
    <row r="26" spans="1:11" s="1" customFormat="1" x14ac:dyDescent="0.2">
      <c r="A26" s="2" t="str">
        <f t="shared" si="0"/>
        <v/>
      </c>
      <c r="B26" s="114"/>
      <c r="C26" s="122"/>
      <c r="D26" s="123"/>
      <c r="E26" s="117"/>
      <c r="F26" s="117"/>
      <c r="G26" s="119"/>
      <c r="H26" s="117"/>
      <c r="I26" s="117"/>
      <c r="J26" s="117"/>
      <c r="K26" s="117"/>
    </row>
    <row r="27" spans="1:11" s="1" customFormat="1" x14ac:dyDescent="0.2">
      <c r="A27" s="2" t="str">
        <f t="shared" si="0"/>
        <v/>
      </c>
      <c r="B27" s="114"/>
      <c r="C27" s="122"/>
      <c r="D27" s="123"/>
      <c r="E27" s="117"/>
      <c r="F27" s="117"/>
      <c r="G27" s="119"/>
      <c r="H27" s="117"/>
      <c r="I27" s="117"/>
      <c r="J27" s="117"/>
      <c r="K27" s="117"/>
    </row>
    <row r="28" spans="1:11" s="1" customFormat="1" x14ac:dyDescent="0.2">
      <c r="A28" s="2" t="str">
        <f t="shared" si="0"/>
        <v/>
      </c>
      <c r="B28" s="114"/>
      <c r="C28" s="122"/>
      <c r="D28" s="123"/>
      <c r="E28" s="117"/>
      <c r="F28" s="117"/>
      <c r="G28" s="119"/>
      <c r="H28" s="117"/>
      <c r="I28" s="117"/>
      <c r="J28" s="117"/>
      <c r="K28" s="117"/>
    </row>
    <row r="29" spans="1:11" s="1" customFormat="1" x14ac:dyDescent="0.2">
      <c r="A29" s="2" t="str">
        <f t="shared" si="0"/>
        <v/>
      </c>
      <c r="B29" s="114"/>
      <c r="C29" s="122"/>
      <c r="D29" s="123"/>
      <c r="E29" s="117"/>
      <c r="F29" s="117"/>
      <c r="G29" s="119"/>
      <c r="H29" s="117"/>
      <c r="I29" s="117"/>
      <c r="J29" s="117"/>
      <c r="K29" s="117"/>
    </row>
    <row r="30" spans="1:11" s="1" customFormat="1" x14ac:dyDescent="0.2">
      <c r="A30" s="2" t="str">
        <f t="shared" si="0"/>
        <v/>
      </c>
      <c r="B30" s="114"/>
      <c r="C30" s="122"/>
      <c r="D30" s="123"/>
      <c r="E30" s="117"/>
      <c r="F30" s="117"/>
      <c r="G30" s="119"/>
      <c r="H30" s="117"/>
      <c r="I30" s="117"/>
      <c r="J30" s="117"/>
      <c r="K30" s="117"/>
    </row>
    <row r="31" spans="1:11" s="1" customFormat="1" x14ac:dyDescent="0.2">
      <c r="A31" s="2" t="str">
        <f t="shared" si="0"/>
        <v/>
      </c>
      <c r="B31" s="114"/>
      <c r="C31" s="122"/>
      <c r="D31" s="123"/>
      <c r="E31" s="117"/>
      <c r="F31" s="117"/>
      <c r="G31" s="119"/>
      <c r="H31" s="117"/>
      <c r="I31" s="117"/>
      <c r="J31" s="117"/>
      <c r="K31" s="117"/>
    </row>
    <row r="32" spans="1:11" s="1" customFormat="1" x14ac:dyDescent="0.2">
      <c r="A32" s="2" t="str">
        <f t="shared" si="0"/>
        <v/>
      </c>
      <c r="B32" s="114"/>
      <c r="C32" s="122"/>
      <c r="D32" s="123"/>
      <c r="E32" s="117"/>
      <c r="F32" s="117"/>
      <c r="G32" s="119"/>
      <c r="H32" s="117"/>
      <c r="I32" s="117"/>
      <c r="J32" s="117"/>
      <c r="K32" s="117"/>
    </row>
    <row r="33" spans="1:11" s="1" customFormat="1" x14ac:dyDescent="0.2">
      <c r="A33" s="2" t="str">
        <f t="shared" si="0"/>
        <v/>
      </c>
      <c r="B33" s="114"/>
      <c r="C33" s="122"/>
      <c r="D33" s="123"/>
      <c r="E33" s="117"/>
      <c r="F33" s="117"/>
      <c r="G33" s="119"/>
      <c r="H33" s="117"/>
      <c r="I33" s="117"/>
      <c r="J33" s="117"/>
      <c r="K33" s="117"/>
    </row>
    <row r="34" spans="1:11" s="1" customFormat="1" x14ac:dyDescent="0.2">
      <c r="A34" s="2" t="str">
        <f t="shared" si="0"/>
        <v/>
      </c>
      <c r="B34" s="114"/>
      <c r="C34" s="122"/>
      <c r="D34" s="123"/>
      <c r="E34" s="117"/>
      <c r="F34" s="117"/>
      <c r="G34" s="119"/>
      <c r="H34" s="117"/>
      <c r="I34" s="117"/>
      <c r="J34" s="117"/>
      <c r="K34" s="117"/>
    </row>
    <row r="35" spans="1:11" s="1" customFormat="1" x14ac:dyDescent="0.2">
      <c r="A35" s="2" t="str">
        <f t="shared" si="0"/>
        <v/>
      </c>
      <c r="B35" s="114"/>
      <c r="C35" s="122"/>
      <c r="D35" s="123"/>
      <c r="E35" s="117"/>
      <c r="F35" s="117"/>
      <c r="G35" s="119"/>
      <c r="H35" s="117"/>
      <c r="I35" s="117"/>
      <c r="J35" s="117"/>
      <c r="K35" s="117"/>
    </row>
    <row r="36" spans="1:11" s="1" customFormat="1" x14ac:dyDescent="0.2">
      <c r="A36" s="2" t="str">
        <f t="shared" si="0"/>
        <v/>
      </c>
      <c r="B36" s="114"/>
      <c r="C36" s="122"/>
      <c r="D36" s="123"/>
      <c r="E36" s="117"/>
      <c r="F36" s="117"/>
      <c r="G36" s="119"/>
      <c r="H36" s="117"/>
      <c r="I36" s="117"/>
      <c r="J36" s="117"/>
      <c r="K36" s="117"/>
    </row>
    <row r="37" spans="1:11" s="1" customFormat="1" x14ac:dyDescent="0.2">
      <c r="A37" s="2" t="str">
        <f t="shared" si="0"/>
        <v/>
      </c>
      <c r="B37" s="114"/>
      <c r="C37" s="115"/>
      <c r="D37" s="123"/>
      <c r="E37" s="117"/>
      <c r="F37" s="118"/>
      <c r="G37" s="119"/>
      <c r="H37" s="117"/>
      <c r="I37" s="117"/>
      <c r="J37" s="121"/>
      <c r="K37" s="117"/>
    </row>
    <row r="38" spans="1:11" s="1" customFormat="1" x14ac:dyDescent="0.2">
      <c r="A38" s="2" t="str">
        <f t="shared" si="0"/>
        <v/>
      </c>
      <c r="B38" s="114"/>
      <c r="C38" s="115"/>
      <c r="D38" s="123"/>
      <c r="E38" s="117"/>
      <c r="F38" s="118"/>
      <c r="G38" s="119"/>
      <c r="H38" s="117"/>
      <c r="I38" s="117"/>
      <c r="J38" s="121"/>
      <c r="K38" s="117"/>
    </row>
    <row r="39" spans="1:11" s="1" customFormat="1" x14ac:dyDescent="0.2">
      <c r="A39" s="2" t="str">
        <f t="shared" si="0"/>
        <v/>
      </c>
      <c r="B39" s="114"/>
      <c r="C39" s="115"/>
      <c r="D39" s="123"/>
      <c r="E39" s="117"/>
      <c r="F39" s="118"/>
      <c r="G39" s="119"/>
      <c r="H39" s="117"/>
      <c r="I39" s="117"/>
      <c r="J39" s="121"/>
      <c r="K39" s="117"/>
    </row>
    <row r="40" spans="1:11" s="1" customFormat="1" x14ac:dyDescent="0.2">
      <c r="A40" s="2" t="str">
        <f t="shared" si="0"/>
        <v/>
      </c>
      <c r="B40" s="114"/>
      <c r="C40" s="115"/>
      <c r="D40" s="123"/>
      <c r="E40" s="117"/>
      <c r="F40" s="118"/>
      <c r="G40" s="119"/>
      <c r="H40" s="117"/>
      <c r="I40" s="117"/>
      <c r="J40" s="121"/>
      <c r="K40" s="117"/>
    </row>
    <row r="41" spans="1:11" s="1" customFormat="1" x14ac:dyDescent="0.2">
      <c r="A41" s="2" t="str">
        <f t="shared" si="0"/>
        <v/>
      </c>
      <c r="B41" s="114"/>
      <c r="C41" s="115"/>
      <c r="D41" s="123"/>
      <c r="E41" s="117"/>
      <c r="F41" s="118"/>
      <c r="G41" s="119"/>
      <c r="H41" s="117"/>
      <c r="I41" s="117"/>
      <c r="J41" s="121"/>
      <c r="K41" s="117"/>
    </row>
    <row r="42" spans="1:11" s="1" customFormat="1" x14ac:dyDescent="0.2">
      <c r="A42" s="2" t="str">
        <f t="shared" si="0"/>
        <v/>
      </c>
      <c r="B42" s="114"/>
      <c r="C42" s="115"/>
      <c r="D42" s="123"/>
      <c r="E42" s="117"/>
      <c r="F42" s="118"/>
      <c r="G42" s="119"/>
      <c r="H42" s="117"/>
      <c r="I42" s="117"/>
      <c r="J42" s="121"/>
      <c r="K42" s="117"/>
    </row>
    <row r="43" spans="1:11" s="1" customFormat="1" x14ac:dyDescent="0.2">
      <c r="A43" s="2" t="str">
        <f t="shared" si="0"/>
        <v/>
      </c>
      <c r="B43" s="114"/>
      <c r="C43" s="115"/>
      <c r="D43" s="123"/>
      <c r="E43" s="117"/>
      <c r="F43" s="118"/>
      <c r="G43" s="119"/>
      <c r="H43" s="117"/>
      <c r="I43" s="117"/>
      <c r="J43" s="121"/>
      <c r="K43" s="117"/>
    </row>
    <row r="44" spans="1:11" s="1" customFormat="1" x14ac:dyDescent="0.2">
      <c r="A44" s="2" t="str">
        <f t="shared" si="0"/>
        <v/>
      </c>
      <c r="B44" s="114"/>
      <c r="C44" s="115"/>
      <c r="D44" s="123"/>
      <c r="E44" s="117"/>
      <c r="F44" s="118"/>
      <c r="G44" s="119"/>
      <c r="H44" s="117"/>
      <c r="I44" s="117"/>
      <c r="J44" s="121"/>
      <c r="K44" s="117"/>
    </row>
    <row r="45" spans="1:11" s="1" customFormat="1" x14ac:dyDescent="0.2">
      <c r="A45" s="2" t="str">
        <f t="shared" si="0"/>
        <v/>
      </c>
      <c r="B45" s="114"/>
      <c r="C45" s="115"/>
      <c r="D45" s="123"/>
      <c r="E45" s="117"/>
      <c r="F45" s="118"/>
      <c r="G45" s="119"/>
      <c r="H45" s="117"/>
      <c r="I45" s="117"/>
      <c r="J45" s="121"/>
      <c r="K45" s="117"/>
    </row>
    <row r="46" spans="1:11" s="1" customFormat="1" x14ac:dyDescent="0.2">
      <c r="A46" s="2" t="str">
        <f t="shared" si="0"/>
        <v/>
      </c>
      <c r="B46" s="114"/>
      <c r="C46" s="115"/>
      <c r="D46" s="123"/>
      <c r="E46" s="117"/>
      <c r="F46" s="118"/>
      <c r="G46" s="119"/>
      <c r="H46" s="117"/>
      <c r="I46" s="117"/>
      <c r="J46" s="121"/>
      <c r="K46" s="117"/>
    </row>
    <row r="47" spans="1:11" s="1" customFormat="1" x14ac:dyDescent="0.2">
      <c r="A47" s="2" t="str">
        <f t="shared" si="0"/>
        <v/>
      </c>
      <c r="B47" s="114"/>
      <c r="C47" s="115"/>
      <c r="D47" s="123"/>
      <c r="E47" s="117"/>
      <c r="F47" s="118"/>
      <c r="G47" s="119"/>
      <c r="H47" s="117"/>
      <c r="I47" s="117"/>
      <c r="J47" s="121"/>
      <c r="K47" s="117"/>
    </row>
    <row r="48" spans="1:11" s="1" customFormat="1" x14ac:dyDescent="0.2">
      <c r="A48" s="2" t="str">
        <f t="shared" si="0"/>
        <v/>
      </c>
      <c r="B48" s="114"/>
      <c r="C48" s="115"/>
      <c r="D48" s="123"/>
      <c r="E48" s="117"/>
      <c r="F48" s="118"/>
      <c r="G48" s="119"/>
      <c r="H48" s="117"/>
      <c r="I48" s="117"/>
      <c r="J48" s="121"/>
      <c r="K48" s="117"/>
    </row>
    <row r="49" spans="1:11" s="1" customFormat="1" x14ac:dyDescent="0.2">
      <c r="A49" s="2" t="str">
        <f t="shared" si="0"/>
        <v/>
      </c>
      <c r="B49" s="114"/>
      <c r="C49" s="115"/>
      <c r="D49" s="123"/>
      <c r="E49" s="117"/>
      <c r="F49" s="118"/>
      <c r="G49" s="119"/>
      <c r="H49" s="117"/>
      <c r="I49" s="117"/>
      <c r="J49" s="121"/>
      <c r="K49" s="117"/>
    </row>
    <row r="50" spans="1:11" s="1" customFormat="1" x14ac:dyDescent="0.2">
      <c r="A50" s="2" t="str">
        <f t="shared" si="0"/>
        <v/>
      </c>
      <c r="B50" s="114"/>
      <c r="C50" s="115"/>
      <c r="D50" s="123"/>
      <c r="E50" s="117"/>
      <c r="F50" s="118"/>
      <c r="G50" s="119"/>
      <c r="H50" s="117"/>
      <c r="I50" s="117"/>
      <c r="J50" s="121"/>
      <c r="K50" s="117"/>
    </row>
    <row r="51" spans="1:11" s="1" customFormat="1" x14ac:dyDescent="0.2">
      <c r="A51" s="2" t="str">
        <f t="shared" si="0"/>
        <v/>
      </c>
      <c r="B51" s="114"/>
      <c r="C51" s="115"/>
      <c r="D51" s="123"/>
      <c r="E51" s="117"/>
      <c r="F51" s="118"/>
      <c r="G51" s="119"/>
      <c r="H51" s="117"/>
      <c r="I51" s="117"/>
      <c r="J51" s="121"/>
      <c r="K51" s="117"/>
    </row>
    <row r="52" spans="1:11" s="1" customFormat="1" x14ac:dyDescent="0.2">
      <c r="A52" s="2" t="str">
        <f t="shared" si="0"/>
        <v/>
      </c>
      <c r="B52" s="114"/>
      <c r="C52" s="115"/>
      <c r="D52" s="123"/>
      <c r="E52" s="117"/>
      <c r="F52" s="118"/>
      <c r="G52" s="119"/>
      <c r="H52" s="117"/>
      <c r="I52" s="117"/>
      <c r="J52" s="121"/>
      <c r="K52" s="117"/>
    </row>
    <row r="53" spans="1:11" s="1" customFormat="1" x14ac:dyDescent="0.2">
      <c r="A53" s="2" t="str">
        <f t="shared" si="0"/>
        <v/>
      </c>
      <c r="B53" s="114"/>
      <c r="C53" s="115"/>
      <c r="D53" s="123"/>
      <c r="E53" s="117"/>
      <c r="F53" s="118"/>
      <c r="G53" s="119"/>
      <c r="H53" s="117"/>
      <c r="I53" s="117"/>
      <c r="J53" s="121"/>
      <c r="K53" s="117"/>
    </row>
    <row r="54" spans="1:11" s="1" customFormat="1" x14ac:dyDescent="0.2">
      <c r="A54" s="2" t="str">
        <f t="shared" si="0"/>
        <v/>
      </c>
      <c r="B54" s="114"/>
      <c r="C54" s="115"/>
      <c r="D54" s="123"/>
      <c r="E54" s="117"/>
      <c r="F54" s="118"/>
      <c r="G54" s="119"/>
      <c r="H54" s="117"/>
      <c r="I54" s="117"/>
      <c r="J54" s="121"/>
      <c r="K54" s="117"/>
    </row>
    <row r="55" spans="1:11" s="1" customFormat="1" x14ac:dyDescent="0.2">
      <c r="A55" s="2" t="str">
        <f t="shared" si="0"/>
        <v/>
      </c>
      <c r="B55" s="114"/>
      <c r="C55" s="115"/>
      <c r="D55" s="123"/>
      <c r="E55" s="117"/>
      <c r="F55" s="118"/>
      <c r="G55" s="119"/>
      <c r="H55" s="117"/>
      <c r="I55" s="117"/>
      <c r="J55" s="121"/>
      <c r="K55" s="117"/>
    </row>
    <row r="56" spans="1:11" s="1" customFormat="1" x14ac:dyDescent="0.2">
      <c r="A56" s="2" t="str">
        <f t="shared" si="0"/>
        <v/>
      </c>
      <c r="B56" s="114"/>
      <c r="C56" s="115"/>
      <c r="D56" s="123"/>
      <c r="E56" s="117"/>
      <c r="F56" s="118"/>
      <c r="G56" s="119"/>
      <c r="H56" s="117"/>
      <c r="I56" s="117"/>
      <c r="J56" s="121"/>
      <c r="K56" s="117"/>
    </row>
    <row r="57" spans="1:11" s="1" customFormat="1" x14ac:dyDescent="0.2">
      <c r="A57" s="2" t="str">
        <f t="shared" si="0"/>
        <v/>
      </c>
      <c r="B57" s="114"/>
      <c r="C57" s="115"/>
      <c r="D57" s="123"/>
      <c r="E57" s="117"/>
      <c r="F57" s="118"/>
      <c r="G57" s="119"/>
      <c r="H57" s="117"/>
      <c r="I57" s="117"/>
      <c r="J57" s="121"/>
      <c r="K57" s="117"/>
    </row>
    <row r="58" spans="1:11" s="1" customFormat="1" x14ac:dyDescent="0.2">
      <c r="A58" s="2" t="str">
        <f t="shared" si="0"/>
        <v/>
      </c>
      <c r="B58" s="114"/>
      <c r="C58" s="115"/>
      <c r="D58" s="123"/>
      <c r="E58" s="117"/>
      <c r="F58" s="118"/>
      <c r="G58" s="119"/>
      <c r="H58" s="117"/>
      <c r="I58" s="117"/>
      <c r="J58" s="121"/>
      <c r="K58" s="117"/>
    </row>
    <row r="59" spans="1:11" s="1" customFormat="1" x14ac:dyDescent="0.2">
      <c r="A59" s="2" t="str">
        <f t="shared" si="0"/>
        <v/>
      </c>
      <c r="B59" s="114"/>
      <c r="C59" s="115"/>
      <c r="D59" s="123"/>
      <c r="E59" s="117"/>
      <c r="F59" s="118"/>
      <c r="G59" s="119"/>
      <c r="H59" s="117"/>
      <c r="I59" s="117"/>
      <c r="J59" s="121"/>
      <c r="K59" s="117"/>
    </row>
    <row r="60" spans="1:11" s="1" customFormat="1" x14ac:dyDescent="0.2">
      <c r="A60" s="2" t="str">
        <f t="shared" si="0"/>
        <v/>
      </c>
      <c r="B60" s="114"/>
      <c r="C60" s="115"/>
      <c r="D60" s="123"/>
      <c r="E60" s="117"/>
      <c r="F60" s="118"/>
      <c r="G60" s="119"/>
      <c r="H60" s="117"/>
      <c r="I60" s="117"/>
      <c r="J60" s="121"/>
      <c r="K60" s="117"/>
    </row>
    <row r="61" spans="1:11" s="1" customFormat="1" x14ac:dyDescent="0.2">
      <c r="A61" s="2" t="str">
        <f t="shared" si="0"/>
        <v/>
      </c>
      <c r="B61" s="114"/>
      <c r="C61" s="115"/>
      <c r="D61" s="123"/>
      <c r="E61" s="117"/>
      <c r="F61" s="118"/>
      <c r="G61" s="119"/>
      <c r="H61" s="117"/>
      <c r="I61" s="117"/>
      <c r="J61" s="121"/>
      <c r="K61" s="117"/>
    </row>
    <row r="62" spans="1:11" s="1" customFormat="1" x14ac:dyDescent="0.2">
      <c r="A62" s="2" t="str">
        <f t="shared" si="0"/>
        <v/>
      </c>
      <c r="B62" s="114"/>
      <c r="C62" s="115"/>
      <c r="D62" s="123"/>
      <c r="E62" s="117"/>
      <c r="F62" s="118"/>
      <c r="G62" s="119"/>
      <c r="H62" s="117"/>
      <c r="I62" s="117"/>
      <c r="J62" s="121"/>
      <c r="K62" s="117"/>
    </row>
    <row r="63" spans="1:11" s="1" customFormat="1" x14ac:dyDescent="0.2">
      <c r="A63" s="2" t="str">
        <f t="shared" si="0"/>
        <v/>
      </c>
      <c r="B63" s="114"/>
      <c r="C63" s="115"/>
      <c r="D63" s="123"/>
      <c r="E63" s="117"/>
      <c r="F63" s="118"/>
      <c r="G63" s="119"/>
      <c r="H63" s="117"/>
      <c r="I63" s="117"/>
      <c r="J63" s="121"/>
      <c r="K63" s="117"/>
    </row>
    <row r="64" spans="1:11" s="1" customFormat="1" x14ac:dyDescent="0.2">
      <c r="A64" s="2" t="str">
        <f t="shared" si="0"/>
        <v/>
      </c>
      <c r="B64" s="114"/>
      <c r="C64" s="115"/>
      <c r="D64" s="123"/>
      <c r="E64" s="117"/>
      <c r="F64" s="118"/>
      <c r="G64" s="119"/>
      <c r="H64" s="117"/>
      <c r="I64" s="117"/>
      <c r="J64" s="121"/>
      <c r="K64" s="117"/>
    </row>
    <row r="65" spans="1:11" s="1" customFormat="1" x14ac:dyDescent="0.2">
      <c r="A65" s="2" t="str">
        <f t="shared" si="0"/>
        <v/>
      </c>
      <c r="B65" s="114"/>
      <c r="C65" s="115"/>
      <c r="D65" s="123"/>
      <c r="E65" s="117"/>
      <c r="F65" s="118"/>
      <c r="G65" s="119"/>
      <c r="H65" s="117"/>
      <c r="I65" s="117"/>
      <c r="J65" s="121"/>
      <c r="K65" s="117"/>
    </row>
    <row r="66" spans="1:11" s="1" customFormat="1" x14ac:dyDescent="0.2">
      <c r="A66" s="2" t="str">
        <f t="shared" si="0"/>
        <v/>
      </c>
      <c r="B66" s="114"/>
      <c r="C66" s="115"/>
      <c r="D66" s="123"/>
      <c r="E66" s="117"/>
      <c r="F66" s="118"/>
      <c r="G66" s="119"/>
      <c r="H66" s="117"/>
      <c r="I66" s="117"/>
      <c r="J66" s="121"/>
      <c r="K66" s="117"/>
    </row>
    <row r="67" spans="1:11" s="1" customFormat="1" x14ac:dyDescent="0.2">
      <c r="A67" s="2" t="str">
        <f t="shared" ref="A67:A130" si="1">IF(B67&lt;&gt;"",A66+1,"")</f>
        <v/>
      </c>
      <c r="B67" s="114"/>
      <c r="C67" s="115"/>
      <c r="D67" s="123"/>
      <c r="E67" s="117"/>
      <c r="F67" s="118"/>
      <c r="G67" s="119"/>
      <c r="H67" s="117"/>
      <c r="I67" s="117"/>
      <c r="J67" s="121"/>
      <c r="K67" s="117"/>
    </row>
    <row r="68" spans="1:11" s="1" customFormat="1" x14ac:dyDescent="0.2">
      <c r="A68" s="2" t="str">
        <f t="shared" si="1"/>
        <v/>
      </c>
      <c r="B68" s="114"/>
      <c r="C68" s="115"/>
      <c r="D68" s="123"/>
      <c r="E68" s="117"/>
      <c r="F68" s="118"/>
      <c r="G68" s="119"/>
      <c r="H68" s="117"/>
      <c r="I68" s="117"/>
      <c r="J68" s="121"/>
      <c r="K68" s="117"/>
    </row>
    <row r="69" spans="1:11" s="1" customFormat="1" x14ac:dyDescent="0.2">
      <c r="A69" s="2" t="str">
        <f t="shared" si="1"/>
        <v/>
      </c>
      <c r="B69" s="114"/>
      <c r="C69" s="115"/>
      <c r="D69" s="123"/>
      <c r="E69" s="117"/>
      <c r="F69" s="118"/>
      <c r="G69" s="119"/>
      <c r="H69" s="117"/>
      <c r="I69" s="117"/>
      <c r="J69" s="121"/>
      <c r="K69" s="117"/>
    </row>
    <row r="70" spans="1:11" s="1" customFormat="1" x14ac:dyDescent="0.2">
      <c r="A70" s="2" t="str">
        <f t="shared" si="1"/>
        <v/>
      </c>
      <c r="B70" s="114"/>
      <c r="C70" s="115"/>
      <c r="D70" s="123"/>
      <c r="E70" s="117"/>
      <c r="F70" s="118"/>
      <c r="G70" s="119"/>
      <c r="H70" s="117"/>
      <c r="I70" s="117"/>
      <c r="J70" s="121"/>
      <c r="K70" s="117"/>
    </row>
    <row r="71" spans="1:11" s="1" customFormat="1" x14ac:dyDescent="0.2">
      <c r="A71" s="2" t="str">
        <f t="shared" si="1"/>
        <v/>
      </c>
      <c r="B71" s="114"/>
      <c r="C71" s="115"/>
      <c r="D71" s="123"/>
      <c r="E71" s="117"/>
      <c r="F71" s="118"/>
      <c r="G71" s="119"/>
      <c r="H71" s="117"/>
      <c r="I71" s="117"/>
      <c r="J71" s="121"/>
      <c r="K71" s="117"/>
    </row>
    <row r="72" spans="1:11" s="1" customFormat="1" x14ac:dyDescent="0.2">
      <c r="A72" s="2" t="str">
        <f t="shared" si="1"/>
        <v/>
      </c>
      <c r="B72" s="114"/>
      <c r="C72" s="115"/>
      <c r="D72" s="123"/>
      <c r="E72" s="117"/>
      <c r="F72" s="118"/>
      <c r="G72" s="119"/>
      <c r="H72" s="117"/>
      <c r="I72" s="117"/>
      <c r="J72" s="121"/>
      <c r="K72" s="117"/>
    </row>
    <row r="73" spans="1:11" s="1" customFormat="1" x14ac:dyDescent="0.2">
      <c r="A73" s="2" t="str">
        <f t="shared" si="1"/>
        <v/>
      </c>
      <c r="B73" s="114"/>
      <c r="C73" s="115"/>
      <c r="D73" s="123"/>
      <c r="E73" s="117"/>
      <c r="F73" s="118"/>
      <c r="G73" s="119"/>
      <c r="H73" s="117"/>
      <c r="I73" s="117"/>
      <c r="J73" s="121"/>
      <c r="K73" s="117"/>
    </row>
    <row r="74" spans="1:11" s="1" customFormat="1" x14ac:dyDescent="0.2">
      <c r="A74" s="2" t="str">
        <f t="shared" si="1"/>
        <v/>
      </c>
      <c r="B74" s="114"/>
      <c r="C74" s="115"/>
      <c r="D74" s="123"/>
      <c r="E74" s="117"/>
      <c r="F74" s="118"/>
      <c r="G74" s="119"/>
      <c r="H74" s="117"/>
      <c r="I74" s="117"/>
      <c r="J74" s="121"/>
      <c r="K74" s="117"/>
    </row>
    <row r="75" spans="1:11" s="1" customFormat="1" x14ac:dyDescent="0.2">
      <c r="A75" s="2" t="str">
        <f t="shared" si="1"/>
        <v/>
      </c>
      <c r="B75" s="114"/>
      <c r="C75" s="115"/>
      <c r="D75" s="123"/>
      <c r="E75" s="117"/>
      <c r="F75" s="118"/>
      <c r="G75" s="119"/>
      <c r="H75" s="117"/>
      <c r="I75" s="117"/>
      <c r="J75" s="121"/>
      <c r="K75" s="117"/>
    </row>
    <row r="76" spans="1:11" s="1" customFormat="1" x14ac:dyDescent="0.2">
      <c r="A76" s="2" t="str">
        <f t="shared" si="1"/>
        <v/>
      </c>
      <c r="B76" s="114"/>
      <c r="C76" s="115"/>
      <c r="D76" s="123"/>
      <c r="E76" s="117"/>
      <c r="F76" s="118"/>
      <c r="G76" s="119"/>
      <c r="H76" s="117"/>
      <c r="I76" s="117"/>
      <c r="J76" s="121"/>
      <c r="K76" s="117"/>
    </row>
    <row r="77" spans="1:11" s="1" customFormat="1" x14ac:dyDescent="0.2">
      <c r="A77" s="2" t="str">
        <f t="shared" si="1"/>
        <v/>
      </c>
      <c r="B77" s="114"/>
      <c r="C77" s="115"/>
      <c r="D77" s="123"/>
      <c r="E77" s="117"/>
      <c r="F77" s="118"/>
      <c r="G77" s="119"/>
      <c r="H77" s="117"/>
      <c r="I77" s="117"/>
      <c r="J77" s="121"/>
      <c r="K77" s="117"/>
    </row>
    <row r="78" spans="1:11" s="1" customFormat="1" x14ac:dyDescent="0.2">
      <c r="A78" s="2" t="str">
        <f t="shared" si="1"/>
        <v/>
      </c>
      <c r="B78" s="114"/>
      <c r="C78" s="115"/>
      <c r="D78" s="123"/>
      <c r="E78" s="117"/>
      <c r="F78" s="118"/>
      <c r="G78" s="119"/>
      <c r="H78" s="117"/>
      <c r="I78" s="117"/>
      <c r="J78" s="121"/>
      <c r="K78" s="117"/>
    </row>
    <row r="79" spans="1:11" s="1" customFormat="1" x14ac:dyDescent="0.2">
      <c r="A79" s="2" t="str">
        <f t="shared" si="1"/>
        <v/>
      </c>
      <c r="B79" s="114"/>
      <c r="C79" s="115"/>
      <c r="D79" s="123"/>
      <c r="E79" s="117"/>
      <c r="F79" s="118"/>
      <c r="G79" s="119"/>
      <c r="H79" s="117"/>
      <c r="I79" s="117"/>
      <c r="J79" s="121"/>
      <c r="K79" s="117"/>
    </row>
    <row r="80" spans="1:11" s="1" customFormat="1" x14ac:dyDescent="0.2">
      <c r="A80" s="2" t="str">
        <f t="shared" si="1"/>
        <v/>
      </c>
      <c r="B80" s="114"/>
      <c r="C80" s="115"/>
      <c r="D80" s="123"/>
      <c r="E80" s="117"/>
      <c r="F80" s="118"/>
      <c r="G80" s="119"/>
      <c r="H80" s="117"/>
      <c r="I80" s="117"/>
      <c r="J80" s="121"/>
      <c r="K80" s="117"/>
    </row>
    <row r="81" spans="1:11" s="1" customFormat="1" x14ac:dyDescent="0.2">
      <c r="A81" s="2" t="str">
        <f t="shared" si="1"/>
        <v/>
      </c>
      <c r="B81" s="114"/>
      <c r="C81" s="115"/>
      <c r="D81" s="123"/>
      <c r="E81" s="117"/>
      <c r="F81" s="118"/>
      <c r="G81" s="119"/>
      <c r="H81" s="117"/>
      <c r="I81" s="117"/>
      <c r="J81" s="121"/>
      <c r="K81" s="117"/>
    </row>
    <row r="82" spans="1:11" s="1" customFormat="1" x14ac:dyDescent="0.2">
      <c r="A82" s="2" t="str">
        <f t="shared" si="1"/>
        <v/>
      </c>
      <c r="B82" s="114"/>
      <c r="C82" s="115"/>
      <c r="D82" s="123"/>
      <c r="E82" s="117"/>
      <c r="F82" s="118"/>
      <c r="G82" s="119"/>
      <c r="H82" s="117"/>
      <c r="I82" s="117"/>
      <c r="J82" s="121"/>
      <c r="K82" s="117"/>
    </row>
    <row r="83" spans="1:11" s="1" customFormat="1" x14ac:dyDescent="0.2">
      <c r="A83" s="2" t="str">
        <f t="shared" si="1"/>
        <v/>
      </c>
      <c r="B83" s="114"/>
      <c r="C83" s="115"/>
      <c r="D83" s="123"/>
      <c r="E83" s="117"/>
      <c r="F83" s="118"/>
      <c r="G83" s="119"/>
      <c r="H83" s="117"/>
      <c r="I83" s="117"/>
      <c r="J83" s="121"/>
      <c r="K83" s="117"/>
    </row>
    <row r="84" spans="1:11" s="1" customFormat="1" x14ac:dyDescent="0.2">
      <c r="A84" s="2" t="str">
        <f t="shared" si="1"/>
        <v/>
      </c>
      <c r="B84" s="114"/>
      <c r="C84" s="115"/>
      <c r="D84" s="123"/>
      <c r="E84" s="117"/>
      <c r="F84" s="118"/>
      <c r="G84" s="119"/>
      <c r="H84" s="117"/>
      <c r="I84" s="117"/>
      <c r="J84" s="121"/>
      <c r="K84" s="117"/>
    </row>
    <row r="85" spans="1:11" s="1" customFormat="1" x14ac:dyDescent="0.2">
      <c r="A85" s="2" t="str">
        <f t="shared" si="1"/>
        <v/>
      </c>
      <c r="B85" s="114"/>
      <c r="C85" s="115"/>
      <c r="D85" s="123"/>
      <c r="E85" s="117"/>
      <c r="F85" s="118"/>
      <c r="G85" s="119"/>
      <c r="H85" s="117"/>
      <c r="I85" s="117"/>
      <c r="J85" s="121"/>
      <c r="K85" s="117"/>
    </row>
    <row r="86" spans="1:11" s="1" customFormat="1" x14ac:dyDescent="0.2">
      <c r="A86" s="2" t="str">
        <f t="shared" si="1"/>
        <v/>
      </c>
      <c r="B86" s="114"/>
      <c r="C86" s="115"/>
      <c r="D86" s="123"/>
      <c r="E86" s="117"/>
      <c r="F86" s="118"/>
      <c r="G86" s="119"/>
      <c r="H86" s="117"/>
      <c r="I86" s="117"/>
      <c r="J86" s="121"/>
      <c r="K86" s="117"/>
    </row>
    <row r="87" spans="1:11" s="1" customFormat="1" x14ac:dyDescent="0.2">
      <c r="A87" s="2" t="str">
        <f t="shared" si="1"/>
        <v/>
      </c>
      <c r="B87" s="114"/>
      <c r="C87" s="115"/>
      <c r="D87" s="123"/>
      <c r="E87" s="117"/>
      <c r="F87" s="118"/>
      <c r="G87" s="119"/>
      <c r="H87" s="117"/>
      <c r="I87" s="117"/>
      <c r="J87" s="121"/>
      <c r="K87" s="117"/>
    </row>
    <row r="88" spans="1:11" s="1" customFormat="1" x14ac:dyDescent="0.2">
      <c r="A88" s="2" t="str">
        <f t="shared" si="1"/>
        <v/>
      </c>
      <c r="B88" s="114"/>
      <c r="C88" s="115"/>
      <c r="D88" s="123"/>
      <c r="E88" s="117"/>
      <c r="F88" s="118"/>
      <c r="G88" s="119"/>
      <c r="H88" s="117"/>
      <c r="I88" s="117"/>
      <c r="J88" s="121"/>
      <c r="K88" s="117"/>
    </row>
    <row r="89" spans="1:11" s="1" customFormat="1" x14ac:dyDescent="0.2">
      <c r="A89" s="2" t="str">
        <f t="shared" si="1"/>
        <v/>
      </c>
      <c r="B89" s="114"/>
      <c r="C89" s="115"/>
      <c r="D89" s="123"/>
      <c r="E89" s="117"/>
      <c r="F89" s="118"/>
      <c r="G89" s="119"/>
      <c r="H89" s="117"/>
      <c r="I89" s="117"/>
      <c r="J89" s="121"/>
      <c r="K89" s="117"/>
    </row>
    <row r="90" spans="1:11" s="1" customFormat="1" x14ac:dyDescent="0.2">
      <c r="A90" s="2" t="str">
        <f t="shared" si="1"/>
        <v/>
      </c>
      <c r="B90" s="114"/>
      <c r="C90" s="115"/>
      <c r="D90" s="123"/>
      <c r="E90" s="117"/>
      <c r="F90" s="118"/>
      <c r="G90" s="119"/>
      <c r="H90" s="117"/>
      <c r="I90" s="117"/>
      <c r="J90" s="121"/>
      <c r="K90" s="117"/>
    </row>
    <row r="91" spans="1:11" s="1" customFormat="1" x14ac:dyDescent="0.2">
      <c r="A91" s="2" t="str">
        <f t="shared" si="1"/>
        <v/>
      </c>
      <c r="B91" s="114"/>
      <c r="C91" s="115"/>
      <c r="D91" s="123"/>
      <c r="E91" s="117"/>
      <c r="F91" s="118"/>
      <c r="G91" s="119"/>
      <c r="H91" s="117"/>
      <c r="I91" s="117"/>
      <c r="J91" s="121"/>
      <c r="K91" s="117"/>
    </row>
    <row r="92" spans="1:11" s="1" customFormat="1" x14ac:dyDescent="0.2">
      <c r="A92" s="2" t="str">
        <f t="shared" si="1"/>
        <v/>
      </c>
      <c r="B92" s="114"/>
      <c r="C92" s="115"/>
      <c r="D92" s="123"/>
      <c r="E92" s="117"/>
      <c r="F92" s="118"/>
      <c r="G92" s="119"/>
      <c r="H92" s="117"/>
      <c r="I92" s="117"/>
      <c r="J92" s="121"/>
      <c r="K92" s="117"/>
    </row>
    <row r="93" spans="1:11" s="1" customFormat="1" x14ac:dyDescent="0.2">
      <c r="A93" s="2" t="str">
        <f t="shared" si="1"/>
        <v/>
      </c>
      <c r="B93" s="114"/>
      <c r="C93" s="115"/>
      <c r="D93" s="123"/>
      <c r="E93" s="117"/>
      <c r="F93" s="118"/>
      <c r="G93" s="119"/>
      <c r="H93" s="117"/>
      <c r="I93" s="117"/>
      <c r="J93" s="121"/>
      <c r="K93" s="117"/>
    </row>
    <row r="94" spans="1:11" s="1" customFormat="1" x14ac:dyDescent="0.2">
      <c r="A94" s="2" t="str">
        <f t="shared" si="1"/>
        <v/>
      </c>
      <c r="B94" s="114"/>
      <c r="C94" s="115"/>
      <c r="D94" s="123"/>
      <c r="E94" s="117"/>
      <c r="F94" s="118"/>
      <c r="G94" s="119"/>
      <c r="H94" s="117"/>
      <c r="I94" s="117"/>
      <c r="J94" s="121"/>
      <c r="K94" s="117"/>
    </row>
    <row r="95" spans="1:11" s="1" customFormat="1" x14ac:dyDescent="0.2">
      <c r="A95" s="2" t="str">
        <f t="shared" si="1"/>
        <v/>
      </c>
      <c r="B95" s="114"/>
      <c r="C95" s="115"/>
      <c r="D95" s="123"/>
      <c r="E95" s="117"/>
      <c r="F95" s="118"/>
      <c r="G95" s="119"/>
      <c r="H95" s="117"/>
      <c r="I95" s="117"/>
      <c r="J95" s="121"/>
      <c r="K95" s="117"/>
    </row>
    <row r="96" spans="1:11" s="1" customFormat="1" x14ac:dyDescent="0.2">
      <c r="A96" s="2" t="str">
        <f t="shared" si="1"/>
        <v/>
      </c>
      <c r="B96" s="114"/>
      <c r="C96" s="115"/>
      <c r="D96" s="123"/>
      <c r="E96" s="117"/>
      <c r="F96" s="118"/>
      <c r="G96" s="119"/>
      <c r="H96" s="117"/>
      <c r="I96" s="117"/>
      <c r="J96" s="121"/>
      <c r="K96" s="117"/>
    </row>
    <row r="97" spans="1:11" s="1" customFormat="1" x14ac:dyDescent="0.2">
      <c r="A97" s="2" t="str">
        <f t="shared" si="1"/>
        <v/>
      </c>
      <c r="B97" s="114"/>
      <c r="C97" s="115"/>
      <c r="D97" s="123"/>
      <c r="E97" s="117"/>
      <c r="F97" s="118"/>
      <c r="G97" s="119"/>
      <c r="H97" s="117"/>
      <c r="I97" s="117"/>
      <c r="J97" s="121"/>
      <c r="K97" s="117"/>
    </row>
    <row r="98" spans="1:11" s="1" customFormat="1" x14ac:dyDescent="0.2">
      <c r="A98" s="2" t="str">
        <f t="shared" si="1"/>
        <v/>
      </c>
      <c r="B98" s="114"/>
      <c r="C98" s="115"/>
      <c r="D98" s="123"/>
      <c r="E98" s="117"/>
      <c r="F98" s="118"/>
      <c r="G98" s="119"/>
      <c r="H98" s="117"/>
      <c r="I98" s="117"/>
      <c r="J98" s="121"/>
      <c r="K98" s="117"/>
    </row>
    <row r="99" spans="1:11" s="1" customFormat="1" x14ac:dyDescent="0.2">
      <c r="A99" s="2" t="str">
        <f t="shared" si="1"/>
        <v/>
      </c>
      <c r="B99" s="114"/>
      <c r="C99" s="115"/>
      <c r="D99" s="123"/>
      <c r="E99" s="117"/>
      <c r="F99" s="118"/>
      <c r="G99" s="119"/>
      <c r="H99" s="117"/>
      <c r="I99" s="117"/>
      <c r="J99" s="121"/>
      <c r="K99" s="117"/>
    </row>
    <row r="100" spans="1:11" s="1" customFormat="1" x14ac:dyDescent="0.2">
      <c r="A100" s="2" t="str">
        <f t="shared" si="1"/>
        <v/>
      </c>
      <c r="B100" s="114"/>
      <c r="C100" s="115"/>
      <c r="D100" s="123"/>
      <c r="E100" s="117"/>
      <c r="F100" s="118"/>
      <c r="G100" s="119"/>
      <c r="H100" s="117"/>
      <c r="I100" s="117"/>
      <c r="J100" s="121"/>
      <c r="K100" s="117"/>
    </row>
    <row r="101" spans="1:11" s="1" customFormat="1" x14ac:dyDescent="0.2">
      <c r="A101" s="2" t="str">
        <f t="shared" si="1"/>
        <v/>
      </c>
      <c r="B101" s="114"/>
      <c r="C101" s="115"/>
      <c r="D101" s="123"/>
      <c r="E101" s="117"/>
      <c r="F101" s="118"/>
      <c r="G101" s="119"/>
      <c r="H101" s="117"/>
      <c r="I101" s="117"/>
      <c r="J101" s="121"/>
      <c r="K101" s="117"/>
    </row>
    <row r="102" spans="1:11" s="1" customFormat="1" x14ac:dyDescent="0.2">
      <c r="A102" s="2" t="str">
        <f t="shared" si="1"/>
        <v/>
      </c>
      <c r="B102" s="114"/>
      <c r="C102" s="115"/>
      <c r="D102" s="123"/>
      <c r="E102" s="117"/>
      <c r="F102" s="118"/>
      <c r="G102" s="119"/>
      <c r="H102" s="117"/>
      <c r="I102" s="117"/>
      <c r="J102" s="121"/>
      <c r="K102" s="117"/>
    </row>
    <row r="103" spans="1:11" s="1" customFormat="1" x14ac:dyDescent="0.2">
      <c r="A103" s="2" t="str">
        <f t="shared" si="1"/>
        <v/>
      </c>
      <c r="B103" s="114"/>
      <c r="C103" s="115"/>
      <c r="D103" s="123"/>
      <c r="E103" s="117"/>
      <c r="F103" s="118"/>
      <c r="G103" s="119"/>
      <c r="H103" s="117"/>
      <c r="I103" s="117"/>
      <c r="J103" s="121"/>
      <c r="K103" s="117"/>
    </row>
    <row r="104" spans="1:11" s="1" customFormat="1" x14ac:dyDescent="0.2">
      <c r="A104" s="2" t="str">
        <f t="shared" si="1"/>
        <v/>
      </c>
      <c r="B104" s="114"/>
      <c r="C104" s="115"/>
      <c r="D104" s="123"/>
      <c r="E104" s="117"/>
      <c r="F104" s="118"/>
      <c r="G104" s="119"/>
      <c r="H104" s="117"/>
      <c r="I104" s="117"/>
      <c r="J104" s="121"/>
      <c r="K104" s="117"/>
    </row>
    <row r="105" spans="1:11" s="1" customFormat="1" x14ac:dyDescent="0.2">
      <c r="A105" s="2" t="str">
        <f t="shared" si="1"/>
        <v/>
      </c>
      <c r="B105" s="114"/>
      <c r="C105" s="115"/>
      <c r="D105" s="123"/>
      <c r="E105" s="117"/>
      <c r="F105" s="118"/>
      <c r="G105" s="119"/>
      <c r="H105" s="117"/>
      <c r="I105" s="117"/>
      <c r="J105" s="121"/>
      <c r="K105" s="117"/>
    </row>
    <row r="106" spans="1:11" s="1" customFormat="1" x14ac:dyDescent="0.2">
      <c r="A106" s="2" t="str">
        <f t="shared" si="1"/>
        <v/>
      </c>
      <c r="B106" s="114"/>
      <c r="C106" s="115"/>
      <c r="D106" s="123"/>
      <c r="E106" s="117"/>
      <c r="F106" s="118"/>
      <c r="G106" s="119"/>
      <c r="H106" s="117"/>
      <c r="I106" s="117"/>
      <c r="J106" s="121"/>
      <c r="K106" s="117"/>
    </row>
    <row r="107" spans="1:11" s="1" customFormat="1" x14ac:dyDescent="0.2">
      <c r="A107" s="2" t="str">
        <f t="shared" si="1"/>
        <v/>
      </c>
      <c r="B107" s="114"/>
      <c r="C107" s="115"/>
      <c r="D107" s="123"/>
      <c r="E107" s="117"/>
      <c r="F107" s="118"/>
      <c r="G107" s="119"/>
      <c r="H107" s="117"/>
      <c r="I107" s="117"/>
      <c r="J107" s="121"/>
      <c r="K107" s="117"/>
    </row>
    <row r="108" spans="1:11" s="1" customFormat="1" x14ac:dyDescent="0.2">
      <c r="A108" s="2" t="str">
        <f t="shared" si="1"/>
        <v/>
      </c>
      <c r="B108" s="114"/>
      <c r="C108" s="115"/>
      <c r="D108" s="123"/>
      <c r="E108" s="117"/>
      <c r="F108" s="118"/>
      <c r="G108" s="119"/>
      <c r="H108" s="117"/>
      <c r="I108" s="117"/>
      <c r="J108" s="121"/>
      <c r="K108" s="117"/>
    </row>
    <row r="109" spans="1:11" s="1" customFormat="1" x14ac:dyDescent="0.2">
      <c r="A109" s="2" t="str">
        <f t="shared" si="1"/>
        <v/>
      </c>
      <c r="B109" s="114"/>
      <c r="C109" s="115"/>
      <c r="D109" s="123"/>
      <c r="E109" s="117"/>
      <c r="F109" s="118"/>
      <c r="G109" s="119"/>
      <c r="H109" s="117"/>
      <c r="I109" s="117"/>
      <c r="J109" s="121"/>
      <c r="K109" s="117"/>
    </row>
    <row r="110" spans="1:11" s="1" customFormat="1" x14ac:dyDescent="0.2">
      <c r="A110" s="2" t="str">
        <f t="shared" si="1"/>
        <v/>
      </c>
      <c r="B110" s="114"/>
      <c r="C110" s="115"/>
      <c r="D110" s="123"/>
      <c r="E110" s="117"/>
      <c r="F110" s="118"/>
      <c r="G110" s="119"/>
      <c r="H110" s="117"/>
      <c r="I110" s="117"/>
      <c r="J110" s="121"/>
      <c r="K110" s="117"/>
    </row>
    <row r="111" spans="1:11" s="1" customFormat="1" x14ac:dyDescent="0.2">
      <c r="A111" s="2" t="str">
        <f t="shared" si="1"/>
        <v/>
      </c>
      <c r="B111" s="114"/>
      <c r="C111" s="115"/>
      <c r="D111" s="123"/>
      <c r="E111" s="117"/>
      <c r="F111" s="118"/>
      <c r="G111" s="119"/>
      <c r="H111" s="117"/>
      <c r="I111" s="117"/>
      <c r="J111" s="121"/>
      <c r="K111" s="117"/>
    </row>
    <row r="112" spans="1:11" s="1" customFormat="1" x14ac:dyDescent="0.2">
      <c r="A112" s="2" t="str">
        <f t="shared" si="1"/>
        <v/>
      </c>
      <c r="B112" s="114"/>
      <c r="C112" s="115"/>
      <c r="D112" s="123"/>
      <c r="E112" s="117"/>
      <c r="F112" s="118"/>
      <c r="G112" s="119"/>
      <c r="H112" s="117"/>
      <c r="I112" s="117"/>
      <c r="J112" s="121"/>
      <c r="K112" s="117"/>
    </row>
    <row r="113" spans="1:11" s="1" customFormat="1" x14ac:dyDescent="0.2">
      <c r="A113" s="2" t="str">
        <f t="shared" si="1"/>
        <v/>
      </c>
      <c r="B113" s="114"/>
      <c r="C113" s="115"/>
      <c r="D113" s="123"/>
      <c r="E113" s="117"/>
      <c r="F113" s="118"/>
      <c r="G113" s="119"/>
      <c r="H113" s="117"/>
      <c r="I113" s="117"/>
      <c r="J113" s="121"/>
      <c r="K113" s="117"/>
    </row>
    <row r="114" spans="1:11" s="1" customFormat="1" x14ac:dyDescent="0.2">
      <c r="A114" s="2" t="str">
        <f t="shared" si="1"/>
        <v/>
      </c>
      <c r="B114" s="114"/>
      <c r="C114" s="115"/>
      <c r="D114" s="123"/>
      <c r="E114" s="117"/>
      <c r="F114" s="118"/>
      <c r="G114" s="119"/>
      <c r="H114" s="117"/>
      <c r="I114" s="117"/>
      <c r="J114" s="121"/>
      <c r="K114" s="117"/>
    </row>
    <row r="115" spans="1:11" s="1" customFormat="1" x14ac:dyDescent="0.2">
      <c r="A115" s="2" t="str">
        <f t="shared" si="1"/>
        <v/>
      </c>
      <c r="B115" s="114"/>
      <c r="C115" s="115"/>
      <c r="D115" s="123"/>
      <c r="E115" s="117"/>
      <c r="F115" s="118"/>
      <c r="G115" s="119"/>
      <c r="H115" s="117"/>
      <c r="I115" s="117"/>
      <c r="J115" s="121"/>
      <c r="K115" s="117"/>
    </row>
    <row r="116" spans="1:11" s="1" customFormat="1" x14ac:dyDescent="0.2">
      <c r="A116" s="2" t="str">
        <f t="shared" si="1"/>
        <v/>
      </c>
      <c r="B116" s="114"/>
      <c r="C116" s="115"/>
      <c r="D116" s="123"/>
      <c r="E116" s="117"/>
      <c r="F116" s="118"/>
      <c r="G116" s="119"/>
      <c r="H116" s="117"/>
      <c r="I116" s="117"/>
      <c r="J116" s="121"/>
      <c r="K116" s="117"/>
    </row>
    <row r="117" spans="1:11" s="1" customFormat="1" x14ac:dyDescent="0.2">
      <c r="A117" s="2" t="str">
        <f t="shared" si="1"/>
        <v/>
      </c>
      <c r="B117" s="114"/>
      <c r="C117" s="115"/>
      <c r="D117" s="123"/>
      <c r="E117" s="117"/>
      <c r="F117" s="118"/>
      <c r="G117" s="119"/>
      <c r="H117" s="117"/>
      <c r="I117" s="117"/>
      <c r="J117" s="121"/>
      <c r="K117" s="117"/>
    </row>
    <row r="118" spans="1:11" s="1" customFormat="1" x14ac:dyDescent="0.2">
      <c r="A118" s="2" t="str">
        <f t="shared" si="1"/>
        <v/>
      </c>
      <c r="B118" s="114"/>
      <c r="C118" s="115"/>
      <c r="D118" s="123"/>
      <c r="E118" s="117"/>
      <c r="F118" s="118"/>
      <c r="G118" s="119"/>
      <c r="H118" s="117"/>
      <c r="I118" s="117"/>
      <c r="J118" s="121"/>
      <c r="K118" s="117"/>
    </row>
    <row r="119" spans="1:11" s="1" customFormat="1" x14ac:dyDescent="0.2">
      <c r="A119" s="2" t="str">
        <f t="shared" si="1"/>
        <v/>
      </c>
      <c r="B119" s="114"/>
      <c r="C119" s="115"/>
      <c r="D119" s="123"/>
      <c r="E119" s="117"/>
      <c r="F119" s="118"/>
      <c r="G119" s="119"/>
      <c r="H119" s="117"/>
      <c r="I119" s="117"/>
      <c r="J119" s="121"/>
      <c r="K119" s="117"/>
    </row>
    <row r="120" spans="1:11" s="1" customFormat="1" x14ac:dyDescent="0.2">
      <c r="A120" s="2" t="str">
        <f t="shared" si="1"/>
        <v/>
      </c>
      <c r="B120" s="114"/>
      <c r="C120" s="115"/>
      <c r="D120" s="123"/>
      <c r="E120" s="117"/>
      <c r="F120" s="118"/>
      <c r="G120" s="119"/>
      <c r="H120" s="117"/>
      <c r="I120" s="117"/>
      <c r="J120" s="121"/>
      <c r="K120" s="117"/>
    </row>
    <row r="121" spans="1:11" s="1" customFormat="1" x14ac:dyDescent="0.2">
      <c r="A121" s="2" t="str">
        <f t="shared" si="1"/>
        <v/>
      </c>
      <c r="B121" s="114"/>
      <c r="C121" s="115"/>
      <c r="D121" s="123"/>
      <c r="E121" s="117"/>
      <c r="F121" s="118"/>
      <c r="G121" s="119"/>
      <c r="H121" s="117"/>
      <c r="I121" s="117"/>
      <c r="J121" s="121"/>
      <c r="K121" s="117"/>
    </row>
    <row r="122" spans="1:11" s="1" customFormat="1" x14ac:dyDescent="0.2">
      <c r="A122" s="2" t="str">
        <f t="shared" si="1"/>
        <v/>
      </c>
      <c r="B122" s="114"/>
      <c r="C122" s="115"/>
      <c r="D122" s="123"/>
      <c r="E122" s="117"/>
      <c r="F122" s="118"/>
      <c r="G122" s="119"/>
      <c r="H122" s="117"/>
      <c r="I122" s="117"/>
      <c r="J122" s="121"/>
      <c r="K122" s="117"/>
    </row>
    <row r="123" spans="1:11" s="1" customFormat="1" x14ac:dyDescent="0.2">
      <c r="A123" s="2" t="str">
        <f t="shared" si="1"/>
        <v/>
      </c>
      <c r="B123" s="114"/>
      <c r="C123" s="115"/>
      <c r="D123" s="123"/>
      <c r="E123" s="117"/>
      <c r="F123" s="118"/>
      <c r="G123" s="119"/>
      <c r="H123" s="117"/>
      <c r="I123" s="117"/>
      <c r="J123" s="121"/>
      <c r="K123" s="117"/>
    </row>
    <row r="124" spans="1:11" s="1" customFormat="1" x14ac:dyDescent="0.2">
      <c r="A124" s="2" t="str">
        <f t="shared" si="1"/>
        <v/>
      </c>
      <c r="B124" s="114"/>
      <c r="C124" s="115"/>
      <c r="D124" s="123"/>
      <c r="E124" s="117"/>
      <c r="F124" s="118"/>
      <c r="G124" s="119"/>
      <c r="H124" s="117"/>
      <c r="I124" s="117"/>
      <c r="J124" s="121"/>
      <c r="K124" s="117"/>
    </row>
    <row r="125" spans="1:11" s="1" customFormat="1" x14ac:dyDescent="0.2">
      <c r="A125" s="2" t="str">
        <f t="shared" si="1"/>
        <v/>
      </c>
      <c r="B125" s="114"/>
      <c r="C125" s="115"/>
      <c r="D125" s="123"/>
      <c r="E125" s="117"/>
      <c r="F125" s="118"/>
      <c r="G125" s="119"/>
      <c r="H125" s="117"/>
      <c r="I125" s="117"/>
      <c r="J125" s="121"/>
      <c r="K125" s="117"/>
    </row>
    <row r="126" spans="1:11" s="1" customFormat="1" x14ac:dyDescent="0.2">
      <c r="A126" s="2" t="str">
        <f t="shared" si="1"/>
        <v/>
      </c>
      <c r="B126" s="114"/>
      <c r="C126" s="115"/>
      <c r="D126" s="123"/>
      <c r="E126" s="117"/>
      <c r="F126" s="118"/>
      <c r="G126" s="119"/>
      <c r="H126" s="117"/>
      <c r="I126" s="117"/>
      <c r="J126" s="121"/>
      <c r="K126" s="117"/>
    </row>
    <row r="127" spans="1:11" s="1" customFormat="1" x14ac:dyDescent="0.2">
      <c r="A127" s="2" t="str">
        <f t="shared" si="1"/>
        <v/>
      </c>
      <c r="B127" s="114"/>
      <c r="C127" s="115"/>
      <c r="D127" s="123"/>
      <c r="E127" s="117"/>
      <c r="F127" s="118"/>
      <c r="G127" s="119"/>
      <c r="H127" s="117"/>
      <c r="I127" s="117"/>
      <c r="J127" s="121"/>
      <c r="K127" s="117"/>
    </row>
    <row r="128" spans="1:11" s="1" customFormat="1" x14ac:dyDescent="0.2">
      <c r="A128" s="2" t="str">
        <f t="shared" si="1"/>
        <v/>
      </c>
      <c r="B128" s="114"/>
      <c r="C128" s="115"/>
      <c r="D128" s="123"/>
      <c r="E128" s="117"/>
      <c r="F128" s="118"/>
      <c r="G128" s="119"/>
      <c r="H128" s="117"/>
      <c r="I128" s="117"/>
      <c r="J128" s="121"/>
      <c r="K128" s="117"/>
    </row>
    <row r="129" spans="1:11" s="1" customFormat="1" x14ac:dyDescent="0.2">
      <c r="A129" s="2" t="str">
        <f t="shared" si="1"/>
        <v/>
      </c>
      <c r="B129" s="114"/>
      <c r="C129" s="115"/>
      <c r="D129" s="123"/>
      <c r="E129" s="117"/>
      <c r="F129" s="118"/>
      <c r="G129" s="119"/>
      <c r="H129" s="117"/>
      <c r="I129" s="117"/>
      <c r="J129" s="121"/>
      <c r="K129" s="117"/>
    </row>
    <row r="130" spans="1:11" s="1" customFormat="1" x14ac:dyDescent="0.2">
      <c r="A130" s="2" t="str">
        <f t="shared" si="1"/>
        <v/>
      </c>
      <c r="B130" s="114"/>
      <c r="C130" s="115"/>
      <c r="D130" s="123"/>
      <c r="E130" s="117"/>
      <c r="F130" s="118"/>
      <c r="G130" s="119"/>
      <c r="H130" s="117"/>
      <c r="I130" s="117"/>
      <c r="J130" s="121"/>
      <c r="K130" s="117"/>
    </row>
    <row r="131" spans="1:11" s="1" customFormat="1" x14ac:dyDescent="0.2">
      <c r="A131" s="2" t="str">
        <f t="shared" ref="A131:A194" si="2">IF(B131&lt;&gt;"",A130+1,"")</f>
        <v/>
      </c>
      <c r="B131" s="114"/>
      <c r="C131" s="115"/>
      <c r="D131" s="123"/>
      <c r="E131" s="117"/>
      <c r="F131" s="118"/>
      <c r="G131" s="119"/>
      <c r="H131" s="117"/>
      <c r="I131" s="117"/>
      <c r="J131" s="121"/>
      <c r="K131" s="117"/>
    </row>
    <row r="132" spans="1:11" s="1" customFormat="1" x14ac:dyDescent="0.2">
      <c r="A132" s="2" t="str">
        <f t="shared" si="2"/>
        <v/>
      </c>
      <c r="B132" s="114"/>
      <c r="C132" s="115"/>
      <c r="D132" s="123"/>
      <c r="E132" s="117"/>
      <c r="F132" s="118"/>
      <c r="G132" s="119"/>
      <c r="H132" s="117"/>
      <c r="I132" s="117"/>
      <c r="J132" s="121"/>
      <c r="K132" s="117"/>
    </row>
    <row r="133" spans="1:11" s="1" customFormat="1" x14ac:dyDescent="0.2">
      <c r="A133" s="2" t="str">
        <f t="shared" si="2"/>
        <v/>
      </c>
      <c r="B133" s="114"/>
      <c r="C133" s="115"/>
      <c r="D133" s="123"/>
      <c r="E133" s="117"/>
      <c r="F133" s="118"/>
      <c r="G133" s="119"/>
      <c r="H133" s="117"/>
      <c r="I133" s="117"/>
      <c r="J133" s="121"/>
      <c r="K133" s="117"/>
    </row>
    <row r="134" spans="1:11" s="1" customFormat="1" x14ac:dyDescent="0.2">
      <c r="A134" s="2" t="str">
        <f t="shared" si="2"/>
        <v/>
      </c>
      <c r="B134" s="114"/>
      <c r="C134" s="115"/>
      <c r="D134" s="123"/>
      <c r="E134" s="117"/>
      <c r="F134" s="118"/>
      <c r="G134" s="119"/>
      <c r="H134" s="117"/>
      <c r="I134" s="117"/>
      <c r="J134" s="121"/>
      <c r="K134" s="117"/>
    </row>
    <row r="135" spans="1:11" s="1" customFormat="1" x14ac:dyDescent="0.2">
      <c r="A135" s="2" t="str">
        <f t="shared" si="2"/>
        <v/>
      </c>
      <c r="B135" s="114"/>
      <c r="C135" s="115"/>
      <c r="D135" s="123"/>
      <c r="E135" s="117"/>
      <c r="F135" s="118"/>
      <c r="G135" s="119"/>
      <c r="H135" s="117"/>
      <c r="I135" s="117"/>
      <c r="J135" s="121"/>
      <c r="K135" s="117"/>
    </row>
    <row r="136" spans="1:11" s="1" customFormat="1" x14ac:dyDescent="0.2">
      <c r="A136" s="2" t="str">
        <f t="shared" si="2"/>
        <v/>
      </c>
      <c r="B136" s="114"/>
      <c r="C136" s="115"/>
      <c r="D136" s="123"/>
      <c r="E136" s="117"/>
      <c r="F136" s="118"/>
      <c r="G136" s="119"/>
      <c r="H136" s="117"/>
      <c r="I136" s="117"/>
      <c r="J136" s="121"/>
      <c r="K136" s="117"/>
    </row>
    <row r="137" spans="1:11" s="1" customFormat="1" x14ac:dyDescent="0.2">
      <c r="A137" s="2" t="str">
        <f t="shared" si="2"/>
        <v/>
      </c>
      <c r="B137" s="114"/>
      <c r="C137" s="115"/>
      <c r="D137" s="123"/>
      <c r="E137" s="117"/>
      <c r="F137" s="118"/>
      <c r="G137" s="119"/>
      <c r="H137" s="117"/>
      <c r="I137" s="117"/>
      <c r="J137" s="121"/>
      <c r="K137" s="117"/>
    </row>
    <row r="138" spans="1:11" s="1" customFormat="1" x14ac:dyDescent="0.2">
      <c r="A138" s="2" t="str">
        <f t="shared" si="2"/>
        <v/>
      </c>
      <c r="B138" s="114"/>
      <c r="C138" s="115"/>
      <c r="D138" s="123"/>
      <c r="E138" s="117"/>
      <c r="F138" s="118"/>
      <c r="G138" s="119"/>
      <c r="H138" s="117"/>
      <c r="I138" s="117"/>
      <c r="J138" s="121"/>
      <c r="K138" s="117"/>
    </row>
    <row r="139" spans="1:11" s="1" customFormat="1" x14ac:dyDescent="0.2">
      <c r="A139" s="2" t="str">
        <f t="shared" si="2"/>
        <v/>
      </c>
      <c r="B139" s="114"/>
      <c r="C139" s="115"/>
      <c r="D139" s="123"/>
      <c r="E139" s="117"/>
      <c r="F139" s="118"/>
      <c r="G139" s="119"/>
      <c r="H139" s="117"/>
      <c r="I139" s="117"/>
      <c r="J139" s="121"/>
      <c r="K139" s="117"/>
    </row>
    <row r="140" spans="1:11" s="1" customFormat="1" x14ac:dyDescent="0.2">
      <c r="A140" s="2" t="str">
        <f t="shared" si="2"/>
        <v/>
      </c>
      <c r="B140" s="114"/>
      <c r="C140" s="115"/>
      <c r="D140" s="123"/>
      <c r="E140" s="117"/>
      <c r="F140" s="118"/>
      <c r="G140" s="119"/>
      <c r="H140" s="117"/>
      <c r="I140" s="117"/>
      <c r="J140" s="121"/>
      <c r="K140" s="117"/>
    </row>
    <row r="141" spans="1:11" s="1" customFormat="1" x14ac:dyDescent="0.2">
      <c r="A141" s="2" t="str">
        <f t="shared" si="2"/>
        <v/>
      </c>
      <c r="B141" s="114"/>
      <c r="C141" s="115"/>
      <c r="D141" s="123"/>
      <c r="E141" s="117"/>
      <c r="F141" s="118"/>
      <c r="G141" s="119"/>
      <c r="H141" s="117"/>
      <c r="I141" s="117"/>
      <c r="J141" s="121"/>
      <c r="K141" s="117"/>
    </row>
    <row r="142" spans="1:11" s="1" customFormat="1" x14ac:dyDescent="0.2">
      <c r="A142" s="2" t="str">
        <f t="shared" si="2"/>
        <v/>
      </c>
      <c r="B142" s="114"/>
      <c r="C142" s="115"/>
      <c r="D142" s="123"/>
      <c r="E142" s="117"/>
      <c r="F142" s="118"/>
      <c r="G142" s="119"/>
      <c r="H142" s="117"/>
      <c r="I142" s="117"/>
      <c r="J142" s="121"/>
      <c r="K142" s="117"/>
    </row>
    <row r="143" spans="1:11" s="1" customFormat="1" x14ac:dyDescent="0.2">
      <c r="A143" s="2" t="str">
        <f t="shared" si="2"/>
        <v/>
      </c>
      <c r="B143" s="114"/>
      <c r="C143" s="115"/>
      <c r="D143" s="123"/>
      <c r="E143" s="117"/>
      <c r="F143" s="118"/>
      <c r="G143" s="119"/>
      <c r="H143" s="117"/>
      <c r="I143" s="117"/>
      <c r="J143" s="121"/>
      <c r="K143" s="117"/>
    </row>
    <row r="144" spans="1:11" s="1" customFormat="1" x14ac:dyDescent="0.2">
      <c r="A144" s="2" t="str">
        <f t="shared" si="2"/>
        <v/>
      </c>
      <c r="B144" s="114"/>
      <c r="C144" s="115"/>
      <c r="D144" s="123"/>
      <c r="E144" s="117"/>
      <c r="F144" s="118"/>
      <c r="G144" s="119"/>
      <c r="H144" s="117"/>
      <c r="I144" s="117"/>
      <c r="J144" s="121"/>
      <c r="K144" s="117"/>
    </row>
    <row r="145" spans="1:11" s="1" customFormat="1" x14ac:dyDescent="0.2">
      <c r="A145" s="2" t="str">
        <f t="shared" si="2"/>
        <v/>
      </c>
      <c r="B145" s="114"/>
      <c r="C145" s="115"/>
      <c r="D145" s="123"/>
      <c r="E145" s="117"/>
      <c r="F145" s="118"/>
      <c r="G145" s="119"/>
      <c r="H145" s="117"/>
      <c r="I145" s="117"/>
      <c r="J145" s="121"/>
      <c r="K145" s="117"/>
    </row>
    <row r="146" spans="1:11" s="1" customFormat="1" x14ac:dyDescent="0.2">
      <c r="A146" s="2" t="str">
        <f t="shared" si="2"/>
        <v/>
      </c>
      <c r="B146" s="114"/>
      <c r="C146" s="115"/>
      <c r="D146" s="123"/>
      <c r="E146" s="117"/>
      <c r="F146" s="118"/>
      <c r="G146" s="119"/>
      <c r="H146" s="117"/>
      <c r="I146" s="117"/>
      <c r="J146" s="121"/>
      <c r="K146" s="117"/>
    </row>
    <row r="147" spans="1:11" s="1" customFormat="1" x14ac:dyDescent="0.2">
      <c r="A147" s="2" t="str">
        <f t="shared" si="2"/>
        <v/>
      </c>
      <c r="B147" s="114"/>
      <c r="C147" s="115"/>
      <c r="D147" s="123"/>
      <c r="E147" s="117"/>
      <c r="F147" s="118"/>
      <c r="G147" s="119"/>
      <c r="H147" s="117"/>
      <c r="I147" s="117"/>
      <c r="J147" s="121"/>
      <c r="K147" s="117"/>
    </row>
    <row r="148" spans="1:11" s="1" customFormat="1" x14ac:dyDescent="0.2">
      <c r="A148" s="2" t="str">
        <f t="shared" si="2"/>
        <v/>
      </c>
      <c r="B148" s="114"/>
      <c r="C148" s="115"/>
      <c r="D148" s="123"/>
      <c r="E148" s="117"/>
      <c r="F148" s="118"/>
      <c r="G148" s="119"/>
      <c r="H148" s="117"/>
      <c r="I148" s="117"/>
      <c r="J148" s="121"/>
      <c r="K148" s="117"/>
    </row>
    <row r="149" spans="1:11" s="1" customFormat="1" x14ac:dyDescent="0.2">
      <c r="A149" s="2" t="str">
        <f t="shared" si="2"/>
        <v/>
      </c>
      <c r="B149" s="114"/>
      <c r="C149" s="115"/>
      <c r="D149" s="123"/>
      <c r="E149" s="117"/>
      <c r="F149" s="118"/>
      <c r="G149" s="119"/>
      <c r="H149" s="117"/>
      <c r="I149" s="117"/>
      <c r="J149" s="121"/>
      <c r="K149" s="117"/>
    </row>
    <row r="150" spans="1:11" s="1" customFormat="1" x14ac:dyDescent="0.2">
      <c r="A150" s="2" t="str">
        <f t="shared" si="2"/>
        <v/>
      </c>
      <c r="B150" s="114"/>
      <c r="C150" s="115"/>
      <c r="D150" s="123"/>
      <c r="E150" s="117"/>
      <c r="F150" s="118"/>
      <c r="G150" s="119"/>
      <c r="H150" s="117"/>
      <c r="I150" s="117"/>
      <c r="J150" s="121"/>
      <c r="K150" s="117"/>
    </row>
    <row r="151" spans="1:11" s="1" customFormat="1" x14ac:dyDescent="0.2">
      <c r="A151" s="2" t="str">
        <f t="shared" si="2"/>
        <v/>
      </c>
      <c r="B151" s="114"/>
      <c r="C151" s="115"/>
      <c r="D151" s="123"/>
      <c r="E151" s="117"/>
      <c r="F151" s="118"/>
      <c r="G151" s="119"/>
      <c r="H151" s="117"/>
      <c r="I151" s="117"/>
      <c r="J151" s="121"/>
      <c r="K151" s="117"/>
    </row>
    <row r="152" spans="1:11" s="1" customFormat="1" x14ac:dyDescent="0.2">
      <c r="A152" s="2" t="str">
        <f t="shared" si="2"/>
        <v/>
      </c>
      <c r="B152" s="114"/>
      <c r="C152" s="115"/>
      <c r="D152" s="123"/>
      <c r="E152" s="117"/>
      <c r="F152" s="118"/>
      <c r="G152" s="119"/>
      <c r="H152" s="117"/>
      <c r="I152" s="117"/>
      <c r="J152" s="121"/>
      <c r="K152" s="117"/>
    </row>
    <row r="153" spans="1:11" s="1" customFormat="1" x14ac:dyDescent="0.2">
      <c r="A153" s="2" t="str">
        <f t="shared" si="2"/>
        <v/>
      </c>
      <c r="B153" s="114"/>
      <c r="C153" s="115"/>
      <c r="D153" s="123"/>
      <c r="E153" s="117"/>
      <c r="F153" s="118"/>
      <c r="G153" s="119"/>
      <c r="H153" s="117"/>
      <c r="I153" s="117"/>
      <c r="J153" s="121"/>
      <c r="K153" s="117"/>
    </row>
    <row r="154" spans="1:11" s="1" customFormat="1" x14ac:dyDescent="0.2">
      <c r="A154" s="2" t="str">
        <f t="shared" si="2"/>
        <v/>
      </c>
      <c r="B154" s="114"/>
      <c r="C154" s="115"/>
      <c r="D154" s="123"/>
      <c r="E154" s="117"/>
      <c r="F154" s="118"/>
      <c r="G154" s="119"/>
      <c r="H154" s="117"/>
      <c r="I154" s="117"/>
      <c r="J154" s="121"/>
      <c r="K154" s="117"/>
    </row>
    <row r="155" spans="1:11" s="1" customFormat="1" x14ac:dyDescent="0.2">
      <c r="A155" s="2" t="str">
        <f t="shared" si="2"/>
        <v/>
      </c>
      <c r="B155" s="114"/>
      <c r="C155" s="115"/>
      <c r="D155" s="123"/>
      <c r="E155" s="117"/>
      <c r="F155" s="118"/>
      <c r="G155" s="119"/>
      <c r="H155" s="117"/>
      <c r="I155" s="117"/>
      <c r="J155" s="121"/>
      <c r="K155" s="117"/>
    </row>
    <row r="156" spans="1:11" s="1" customFormat="1" x14ac:dyDescent="0.2">
      <c r="A156" s="2" t="str">
        <f t="shared" si="2"/>
        <v/>
      </c>
      <c r="B156" s="114"/>
      <c r="C156" s="115"/>
      <c r="D156" s="123"/>
      <c r="E156" s="117"/>
      <c r="F156" s="118"/>
      <c r="G156" s="119"/>
      <c r="H156" s="117"/>
      <c r="I156" s="117"/>
      <c r="J156" s="121"/>
      <c r="K156" s="117"/>
    </row>
    <row r="157" spans="1:11" s="1" customFormat="1" x14ac:dyDescent="0.2">
      <c r="A157" s="2" t="str">
        <f t="shared" si="2"/>
        <v/>
      </c>
      <c r="B157" s="114"/>
      <c r="C157" s="115"/>
      <c r="D157" s="123"/>
      <c r="E157" s="117"/>
      <c r="F157" s="118"/>
      <c r="G157" s="119"/>
      <c r="H157" s="117"/>
      <c r="I157" s="117"/>
      <c r="J157" s="121"/>
      <c r="K157" s="117"/>
    </row>
    <row r="158" spans="1:11" s="1" customFormat="1" x14ac:dyDescent="0.2">
      <c r="A158" s="2" t="str">
        <f t="shared" si="2"/>
        <v/>
      </c>
      <c r="B158" s="114"/>
      <c r="C158" s="115"/>
      <c r="D158" s="123"/>
      <c r="E158" s="117"/>
      <c r="F158" s="118"/>
      <c r="G158" s="119"/>
      <c r="H158" s="117"/>
      <c r="I158" s="117"/>
      <c r="J158" s="121"/>
      <c r="K158" s="117"/>
    </row>
    <row r="159" spans="1:11" s="1" customFormat="1" x14ac:dyDescent="0.2">
      <c r="A159" s="2" t="str">
        <f t="shared" si="2"/>
        <v/>
      </c>
      <c r="B159" s="114"/>
      <c r="C159" s="115"/>
      <c r="D159" s="123"/>
      <c r="E159" s="117"/>
      <c r="F159" s="118"/>
      <c r="G159" s="119"/>
      <c r="H159" s="117"/>
      <c r="I159" s="117"/>
      <c r="J159" s="121"/>
      <c r="K159" s="117"/>
    </row>
    <row r="160" spans="1:11" s="1" customFormat="1" x14ac:dyDescent="0.2">
      <c r="A160" s="2" t="str">
        <f t="shared" si="2"/>
        <v/>
      </c>
      <c r="B160" s="114"/>
      <c r="C160" s="115"/>
      <c r="D160" s="123"/>
      <c r="E160" s="117"/>
      <c r="F160" s="118"/>
      <c r="G160" s="119"/>
      <c r="H160" s="117"/>
      <c r="I160" s="117"/>
      <c r="J160" s="121"/>
      <c r="K160" s="117"/>
    </row>
    <row r="161" spans="1:11" s="1" customFormat="1" x14ac:dyDescent="0.2">
      <c r="A161" s="2" t="str">
        <f t="shared" si="2"/>
        <v/>
      </c>
      <c r="B161" s="114"/>
      <c r="C161" s="115"/>
      <c r="D161" s="123"/>
      <c r="E161" s="117"/>
      <c r="F161" s="118"/>
      <c r="G161" s="119"/>
      <c r="H161" s="117"/>
      <c r="I161" s="117"/>
      <c r="J161" s="121"/>
      <c r="K161" s="117"/>
    </row>
    <row r="162" spans="1:11" s="1" customFormat="1" x14ac:dyDescent="0.2">
      <c r="A162" s="2" t="str">
        <f t="shared" si="2"/>
        <v/>
      </c>
      <c r="B162" s="114"/>
      <c r="C162" s="115"/>
      <c r="D162" s="123"/>
      <c r="E162" s="117"/>
      <c r="F162" s="118"/>
      <c r="G162" s="119"/>
      <c r="H162" s="117"/>
      <c r="I162" s="117"/>
      <c r="J162" s="121"/>
      <c r="K162" s="117"/>
    </row>
    <row r="163" spans="1:11" s="1" customFormat="1" x14ac:dyDescent="0.2">
      <c r="A163" s="2" t="str">
        <f t="shared" si="2"/>
        <v/>
      </c>
      <c r="B163" s="114"/>
      <c r="C163" s="115"/>
      <c r="D163" s="123"/>
      <c r="E163" s="117"/>
      <c r="F163" s="118"/>
      <c r="G163" s="119"/>
      <c r="H163" s="117"/>
      <c r="I163" s="117"/>
      <c r="J163" s="121"/>
      <c r="K163" s="117"/>
    </row>
    <row r="164" spans="1:11" s="1" customFormat="1" x14ac:dyDescent="0.2">
      <c r="A164" s="2" t="str">
        <f t="shared" si="2"/>
        <v/>
      </c>
      <c r="B164" s="114"/>
      <c r="C164" s="115"/>
      <c r="D164" s="123"/>
      <c r="E164" s="117"/>
      <c r="F164" s="118"/>
      <c r="G164" s="119"/>
      <c r="H164" s="117"/>
      <c r="I164" s="117"/>
      <c r="J164" s="121"/>
      <c r="K164" s="117"/>
    </row>
    <row r="165" spans="1:11" s="1" customFormat="1" x14ac:dyDescent="0.2">
      <c r="A165" s="2" t="str">
        <f t="shared" si="2"/>
        <v/>
      </c>
      <c r="B165" s="114"/>
      <c r="C165" s="115"/>
      <c r="D165" s="123"/>
      <c r="E165" s="117"/>
      <c r="F165" s="118"/>
      <c r="G165" s="119"/>
      <c r="H165" s="117"/>
      <c r="I165" s="117"/>
      <c r="J165" s="121"/>
      <c r="K165" s="117"/>
    </row>
    <row r="166" spans="1:11" s="1" customFormat="1" x14ac:dyDescent="0.2">
      <c r="A166" s="2" t="str">
        <f t="shared" si="2"/>
        <v/>
      </c>
      <c r="B166" s="114"/>
      <c r="C166" s="115"/>
      <c r="D166" s="123"/>
      <c r="E166" s="117"/>
      <c r="F166" s="118"/>
      <c r="G166" s="119"/>
      <c r="H166" s="117"/>
      <c r="I166" s="117"/>
      <c r="J166" s="121"/>
      <c r="K166" s="117"/>
    </row>
    <row r="167" spans="1:11" s="1" customFormat="1" x14ac:dyDescent="0.2">
      <c r="A167" s="2" t="str">
        <f t="shared" si="2"/>
        <v/>
      </c>
      <c r="B167" s="114"/>
      <c r="C167" s="115"/>
      <c r="D167" s="123"/>
      <c r="E167" s="117"/>
      <c r="F167" s="118"/>
      <c r="G167" s="119"/>
      <c r="H167" s="117"/>
      <c r="I167" s="117"/>
      <c r="J167" s="121"/>
      <c r="K167" s="117"/>
    </row>
    <row r="168" spans="1:11" s="1" customFormat="1" x14ac:dyDescent="0.2">
      <c r="A168" s="2" t="str">
        <f t="shared" si="2"/>
        <v/>
      </c>
      <c r="B168" s="114"/>
      <c r="C168" s="115"/>
      <c r="D168" s="123"/>
      <c r="E168" s="117"/>
      <c r="F168" s="118"/>
      <c r="G168" s="119"/>
      <c r="H168" s="117"/>
      <c r="I168" s="117"/>
      <c r="J168" s="121"/>
      <c r="K168" s="117"/>
    </row>
    <row r="169" spans="1:11" s="1" customFormat="1" x14ac:dyDescent="0.2">
      <c r="A169" s="2" t="str">
        <f t="shared" si="2"/>
        <v/>
      </c>
      <c r="B169" s="114"/>
      <c r="C169" s="115"/>
      <c r="D169" s="123"/>
      <c r="E169" s="117"/>
      <c r="F169" s="118"/>
      <c r="G169" s="119"/>
      <c r="H169" s="117"/>
      <c r="I169" s="117"/>
      <c r="J169" s="121"/>
      <c r="K169" s="117"/>
    </row>
    <row r="170" spans="1:11" s="1" customFormat="1" x14ac:dyDescent="0.2">
      <c r="A170" s="2" t="str">
        <f t="shared" si="2"/>
        <v/>
      </c>
      <c r="B170" s="114"/>
      <c r="C170" s="115"/>
      <c r="D170" s="123"/>
      <c r="E170" s="117"/>
      <c r="F170" s="118"/>
      <c r="G170" s="119"/>
      <c r="H170" s="117"/>
      <c r="I170" s="117"/>
      <c r="J170" s="121"/>
      <c r="K170" s="117"/>
    </row>
    <row r="171" spans="1:11" s="1" customFormat="1" x14ac:dyDescent="0.2">
      <c r="A171" s="2" t="str">
        <f t="shared" si="2"/>
        <v/>
      </c>
      <c r="B171" s="114"/>
      <c r="C171" s="115"/>
      <c r="D171" s="123"/>
      <c r="E171" s="117"/>
      <c r="F171" s="118"/>
      <c r="G171" s="119"/>
      <c r="H171" s="117"/>
      <c r="I171" s="117"/>
      <c r="J171" s="121"/>
      <c r="K171" s="117"/>
    </row>
    <row r="172" spans="1:11" s="1" customFormat="1" x14ac:dyDescent="0.2">
      <c r="A172" s="2" t="str">
        <f t="shared" si="2"/>
        <v/>
      </c>
      <c r="B172" s="114"/>
      <c r="C172" s="115"/>
      <c r="D172" s="123"/>
      <c r="E172" s="117"/>
      <c r="F172" s="118"/>
      <c r="G172" s="119"/>
      <c r="H172" s="117"/>
      <c r="I172" s="117"/>
      <c r="J172" s="121"/>
      <c r="K172" s="117"/>
    </row>
    <row r="173" spans="1:11" s="1" customFormat="1" x14ac:dyDescent="0.2">
      <c r="A173" s="2" t="str">
        <f t="shared" si="2"/>
        <v/>
      </c>
      <c r="B173" s="114"/>
      <c r="C173" s="115"/>
      <c r="D173" s="123"/>
      <c r="E173" s="117"/>
      <c r="F173" s="118"/>
      <c r="G173" s="119"/>
      <c r="H173" s="117"/>
      <c r="I173" s="117"/>
      <c r="J173" s="121"/>
      <c r="K173" s="117"/>
    </row>
    <row r="174" spans="1:11" s="1" customFormat="1" x14ac:dyDescent="0.2">
      <c r="A174" s="2" t="str">
        <f t="shared" si="2"/>
        <v/>
      </c>
      <c r="B174" s="114"/>
      <c r="C174" s="115"/>
      <c r="D174" s="123"/>
      <c r="E174" s="117"/>
      <c r="F174" s="118"/>
      <c r="G174" s="119"/>
      <c r="H174" s="117"/>
      <c r="I174" s="117"/>
      <c r="J174" s="121"/>
      <c r="K174" s="117"/>
    </row>
    <row r="175" spans="1:11" s="1" customFormat="1" x14ac:dyDescent="0.2">
      <c r="A175" s="2" t="str">
        <f t="shared" si="2"/>
        <v/>
      </c>
      <c r="B175" s="114"/>
      <c r="C175" s="115"/>
      <c r="D175" s="123"/>
      <c r="E175" s="117"/>
      <c r="F175" s="118"/>
      <c r="G175" s="119"/>
      <c r="H175" s="117"/>
      <c r="I175" s="117"/>
      <c r="J175" s="121"/>
      <c r="K175" s="117"/>
    </row>
    <row r="176" spans="1:11" s="1" customFormat="1" x14ac:dyDescent="0.2">
      <c r="A176" s="2" t="str">
        <f t="shared" si="2"/>
        <v/>
      </c>
      <c r="B176" s="114"/>
      <c r="C176" s="115"/>
      <c r="D176" s="123"/>
      <c r="E176" s="117"/>
      <c r="F176" s="118"/>
      <c r="G176" s="119"/>
      <c r="H176" s="117"/>
      <c r="I176" s="117"/>
      <c r="J176" s="121"/>
      <c r="K176" s="117"/>
    </row>
    <row r="177" spans="1:11" s="1" customFormat="1" x14ac:dyDescent="0.2">
      <c r="A177" s="2" t="str">
        <f t="shared" si="2"/>
        <v/>
      </c>
      <c r="B177" s="114"/>
      <c r="C177" s="115"/>
      <c r="D177" s="123"/>
      <c r="E177" s="117"/>
      <c r="F177" s="118"/>
      <c r="G177" s="119"/>
      <c r="H177" s="117"/>
      <c r="I177" s="117"/>
      <c r="J177" s="121"/>
      <c r="K177" s="117"/>
    </row>
    <row r="178" spans="1:11" s="1" customFormat="1" x14ac:dyDescent="0.2">
      <c r="A178" s="2" t="str">
        <f t="shared" si="2"/>
        <v/>
      </c>
      <c r="B178" s="114"/>
      <c r="C178" s="115"/>
      <c r="D178" s="123"/>
      <c r="E178" s="117"/>
      <c r="F178" s="118"/>
      <c r="G178" s="119"/>
      <c r="H178" s="117"/>
      <c r="I178" s="117"/>
      <c r="J178" s="121"/>
      <c r="K178" s="117"/>
    </row>
    <row r="179" spans="1:11" s="1" customFormat="1" x14ac:dyDescent="0.2">
      <c r="A179" s="2" t="str">
        <f t="shared" si="2"/>
        <v/>
      </c>
      <c r="B179" s="114"/>
      <c r="C179" s="115"/>
      <c r="D179" s="123"/>
      <c r="E179" s="117"/>
      <c r="F179" s="118"/>
      <c r="G179" s="119"/>
      <c r="H179" s="117"/>
      <c r="I179" s="117"/>
      <c r="J179" s="121"/>
      <c r="K179" s="117"/>
    </row>
    <row r="180" spans="1:11" s="1" customFormat="1" x14ac:dyDescent="0.2">
      <c r="A180" s="2" t="str">
        <f t="shared" si="2"/>
        <v/>
      </c>
      <c r="B180" s="114"/>
      <c r="C180" s="115"/>
      <c r="D180" s="123"/>
      <c r="E180" s="117"/>
      <c r="F180" s="118"/>
      <c r="G180" s="119"/>
      <c r="H180" s="117"/>
      <c r="I180" s="117"/>
      <c r="J180" s="121"/>
      <c r="K180" s="117"/>
    </row>
    <row r="181" spans="1:11" s="1" customFormat="1" x14ac:dyDescent="0.2">
      <c r="A181" s="2" t="str">
        <f t="shared" si="2"/>
        <v/>
      </c>
      <c r="B181" s="114"/>
      <c r="C181" s="115"/>
      <c r="D181" s="123"/>
      <c r="E181" s="117"/>
      <c r="F181" s="118"/>
      <c r="G181" s="119"/>
      <c r="H181" s="117"/>
      <c r="I181" s="117"/>
      <c r="J181" s="121"/>
      <c r="K181" s="117"/>
    </row>
    <row r="182" spans="1:11" s="1" customFormat="1" x14ac:dyDescent="0.2">
      <c r="A182" s="2" t="str">
        <f t="shared" si="2"/>
        <v/>
      </c>
      <c r="B182" s="114"/>
      <c r="C182" s="115"/>
      <c r="D182" s="123"/>
      <c r="E182" s="117"/>
      <c r="F182" s="118"/>
      <c r="G182" s="119"/>
      <c r="H182" s="117"/>
      <c r="I182" s="117"/>
      <c r="J182" s="121"/>
      <c r="K182" s="117"/>
    </row>
    <row r="183" spans="1:11" s="1" customFormat="1" x14ac:dyDescent="0.2">
      <c r="A183" s="2" t="str">
        <f t="shared" si="2"/>
        <v/>
      </c>
      <c r="B183" s="114"/>
      <c r="C183" s="115"/>
      <c r="D183" s="123"/>
      <c r="E183" s="117"/>
      <c r="F183" s="118"/>
      <c r="G183" s="119"/>
      <c r="H183" s="117"/>
      <c r="I183" s="117"/>
      <c r="J183" s="121"/>
      <c r="K183" s="117"/>
    </row>
    <row r="184" spans="1:11" s="1" customFormat="1" x14ac:dyDescent="0.2">
      <c r="A184" s="2" t="str">
        <f t="shared" si="2"/>
        <v/>
      </c>
      <c r="B184" s="114"/>
      <c r="C184" s="115"/>
      <c r="D184" s="123"/>
      <c r="E184" s="117"/>
      <c r="F184" s="118"/>
      <c r="G184" s="119"/>
      <c r="H184" s="117"/>
      <c r="I184" s="117"/>
      <c r="J184" s="121"/>
      <c r="K184" s="117"/>
    </row>
    <row r="185" spans="1:11" s="1" customFormat="1" x14ac:dyDescent="0.2">
      <c r="A185" s="2" t="str">
        <f t="shared" si="2"/>
        <v/>
      </c>
      <c r="B185" s="114"/>
      <c r="C185" s="115"/>
      <c r="D185" s="123"/>
      <c r="E185" s="117"/>
      <c r="F185" s="118"/>
      <c r="G185" s="119"/>
      <c r="H185" s="117"/>
      <c r="I185" s="117"/>
      <c r="J185" s="121"/>
      <c r="K185" s="117"/>
    </row>
    <row r="186" spans="1:11" s="1" customFormat="1" x14ac:dyDescent="0.2">
      <c r="A186" s="2" t="str">
        <f t="shared" si="2"/>
        <v/>
      </c>
      <c r="B186" s="114"/>
      <c r="C186" s="115"/>
      <c r="D186" s="123"/>
      <c r="E186" s="117"/>
      <c r="F186" s="118"/>
      <c r="G186" s="119"/>
      <c r="H186" s="117"/>
      <c r="I186" s="117"/>
      <c r="J186" s="121"/>
      <c r="K186" s="117"/>
    </row>
    <row r="187" spans="1:11" s="1" customFormat="1" x14ac:dyDescent="0.2">
      <c r="A187" s="2" t="str">
        <f t="shared" si="2"/>
        <v/>
      </c>
      <c r="B187" s="114"/>
      <c r="C187" s="115"/>
      <c r="D187" s="123"/>
      <c r="E187" s="117"/>
      <c r="F187" s="118"/>
      <c r="G187" s="119"/>
      <c r="H187" s="117"/>
      <c r="I187" s="117"/>
      <c r="J187" s="121"/>
      <c r="K187" s="117"/>
    </row>
    <row r="188" spans="1:11" s="1" customFormat="1" x14ac:dyDescent="0.2">
      <c r="A188" s="2" t="str">
        <f t="shared" si="2"/>
        <v/>
      </c>
      <c r="B188" s="114"/>
      <c r="C188" s="115"/>
      <c r="D188" s="123"/>
      <c r="E188" s="117"/>
      <c r="F188" s="118"/>
      <c r="G188" s="119"/>
      <c r="H188" s="117"/>
      <c r="I188" s="117"/>
      <c r="J188" s="121"/>
      <c r="K188" s="117"/>
    </row>
    <row r="189" spans="1:11" s="1" customFormat="1" x14ac:dyDescent="0.2">
      <c r="A189" s="2" t="str">
        <f t="shared" si="2"/>
        <v/>
      </c>
      <c r="B189" s="114"/>
      <c r="C189" s="115"/>
      <c r="D189" s="123"/>
      <c r="E189" s="117"/>
      <c r="F189" s="118"/>
      <c r="G189" s="119"/>
      <c r="H189" s="117"/>
      <c r="I189" s="117"/>
      <c r="J189" s="121"/>
      <c r="K189" s="117"/>
    </row>
    <row r="190" spans="1:11" s="1" customFormat="1" x14ac:dyDescent="0.2">
      <c r="A190" s="2" t="str">
        <f t="shared" si="2"/>
        <v/>
      </c>
      <c r="B190" s="114"/>
      <c r="C190" s="115"/>
      <c r="D190" s="123"/>
      <c r="E190" s="117"/>
      <c r="F190" s="118"/>
      <c r="G190" s="119"/>
      <c r="H190" s="117"/>
      <c r="I190" s="117"/>
      <c r="J190" s="121"/>
      <c r="K190" s="117"/>
    </row>
    <row r="191" spans="1:11" s="1" customFormat="1" x14ac:dyDescent="0.2">
      <c r="A191" s="2" t="str">
        <f t="shared" si="2"/>
        <v/>
      </c>
      <c r="B191" s="114"/>
      <c r="C191" s="115"/>
      <c r="D191" s="123"/>
      <c r="E191" s="117"/>
      <c r="F191" s="118"/>
      <c r="G191" s="119"/>
      <c r="H191" s="117"/>
      <c r="I191" s="117"/>
      <c r="J191" s="121"/>
      <c r="K191" s="117"/>
    </row>
    <row r="192" spans="1:11" s="1" customFormat="1" x14ac:dyDescent="0.2">
      <c r="A192" s="2" t="str">
        <f t="shared" si="2"/>
        <v/>
      </c>
      <c r="B192" s="114"/>
      <c r="C192" s="115"/>
      <c r="D192" s="123"/>
      <c r="E192" s="117"/>
      <c r="F192" s="118"/>
      <c r="G192" s="119"/>
      <c r="H192" s="117"/>
      <c r="I192" s="117"/>
      <c r="J192" s="121"/>
      <c r="K192" s="117"/>
    </row>
    <row r="193" spans="1:11" s="1" customFormat="1" x14ac:dyDescent="0.2">
      <c r="A193" s="2" t="str">
        <f t="shared" si="2"/>
        <v/>
      </c>
      <c r="B193" s="114"/>
      <c r="C193" s="115"/>
      <c r="D193" s="123"/>
      <c r="E193" s="117"/>
      <c r="F193" s="118"/>
      <c r="G193" s="119"/>
      <c r="H193" s="117"/>
      <c r="I193" s="117"/>
      <c r="J193" s="121"/>
      <c r="K193" s="117"/>
    </row>
    <row r="194" spans="1:11" s="1" customFormat="1" x14ac:dyDescent="0.2">
      <c r="A194" s="2" t="str">
        <f t="shared" si="2"/>
        <v/>
      </c>
      <c r="B194" s="114"/>
      <c r="C194" s="115"/>
      <c r="D194" s="123"/>
      <c r="E194" s="117"/>
      <c r="F194" s="118"/>
      <c r="G194" s="119"/>
      <c r="H194" s="117"/>
      <c r="I194" s="117"/>
      <c r="J194" s="121"/>
      <c r="K194" s="117"/>
    </row>
    <row r="195" spans="1:11" s="1" customFormat="1" x14ac:dyDescent="0.2">
      <c r="A195" s="2" t="str">
        <f t="shared" ref="A195:A242" si="3">IF(B195&lt;&gt;"",A194+1,"")</f>
        <v/>
      </c>
      <c r="B195" s="114"/>
      <c r="C195" s="115"/>
      <c r="D195" s="123"/>
      <c r="E195" s="117"/>
      <c r="F195" s="118"/>
      <c r="G195" s="119"/>
      <c r="H195" s="117"/>
      <c r="I195" s="117"/>
      <c r="J195" s="121"/>
      <c r="K195" s="117"/>
    </row>
    <row r="196" spans="1:11" s="1" customFormat="1" x14ac:dyDescent="0.2">
      <c r="A196" s="2" t="str">
        <f t="shared" si="3"/>
        <v/>
      </c>
      <c r="B196" s="114"/>
      <c r="C196" s="115"/>
      <c r="D196" s="123"/>
      <c r="E196" s="117"/>
      <c r="F196" s="118"/>
      <c r="G196" s="119"/>
      <c r="H196" s="117"/>
      <c r="I196" s="117"/>
      <c r="J196" s="121"/>
      <c r="K196" s="117"/>
    </row>
    <row r="197" spans="1:11" s="1" customFormat="1" x14ac:dyDescent="0.2">
      <c r="A197" s="2" t="str">
        <f t="shared" si="3"/>
        <v/>
      </c>
      <c r="B197" s="114"/>
      <c r="C197" s="115"/>
      <c r="D197" s="123"/>
      <c r="E197" s="117"/>
      <c r="F197" s="118"/>
      <c r="G197" s="119"/>
      <c r="H197" s="117"/>
      <c r="I197" s="117"/>
      <c r="J197" s="121"/>
      <c r="K197" s="117"/>
    </row>
    <row r="198" spans="1:11" s="1" customFormat="1" x14ac:dyDescent="0.2">
      <c r="A198" s="2" t="str">
        <f t="shared" si="3"/>
        <v/>
      </c>
      <c r="B198" s="114"/>
      <c r="C198" s="115"/>
      <c r="D198" s="123"/>
      <c r="E198" s="117"/>
      <c r="F198" s="118"/>
      <c r="G198" s="119"/>
      <c r="H198" s="117"/>
      <c r="I198" s="117"/>
      <c r="J198" s="121"/>
      <c r="K198" s="117"/>
    </row>
    <row r="199" spans="1:11" s="1" customFormat="1" x14ac:dyDescent="0.2">
      <c r="A199" s="2" t="str">
        <f t="shared" si="3"/>
        <v/>
      </c>
      <c r="B199" s="114"/>
      <c r="C199" s="115"/>
      <c r="D199" s="123"/>
      <c r="E199" s="117"/>
      <c r="F199" s="118"/>
      <c r="G199" s="119"/>
      <c r="H199" s="117"/>
      <c r="I199" s="117"/>
      <c r="J199" s="121"/>
      <c r="K199" s="117"/>
    </row>
    <row r="200" spans="1:11" s="1" customFormat="1" x14ac:dyDescent="0.2">
      <c r="A200" s="2" t="str">
        <f t="shared" si="3"/>
        <v/>
      </c>
      <c r="B200" s="114"/>
      <c r="C200" s="115"/>
      <c r="D200" s="123"/>
      <c r="E200" s="117"/>
      <c r="F200" s="118"/>
      <c r="G200" s="119"/>
      <c r="H200" s="117"/>
      <c r="I200" s="117"/>
      <c r="J200" s="121"/>
      <c r="K200" s="117"/>
    </row>
    <row r="201" spans="1:11" s="1" customFormat="1" x14ac:dyDescent="0.2">
      <c r="A201" s="2" t="str">
        <f t="shared" si="3"/>
        <v/>
      </c>
      <c r="B201" s="114"/>
      <c r="C201" s="115"/>
      <c r="D201" s="123"/>
      <c r="E201" s="117"/>
      <c r="F201" s="118"/>
      <c r="G201" s="119"/>
      <c r="H201" s="117"/>
      <c r="I201" s="117"/>
      <c r="J201" s="121"/>
      <c r="K201" s="117"/>
    </row>
    <row r="202" spans="1:11" s="1" customFormat="1" x14ac:dyDescent="0.2">
      <c r="A202" s="2" t="str">
        <f t="shared" si="3"/>
        <v/>
      </c>
      <c r="B202" s="114"/>
      <c r="C202" s="115"/>
      <c r="D202" s="123"/>
      <c r="E202" s="117"/>
      <c r="F202" s="118"/>
      <c r="G202" s="119"/>
      <c r="H202" s="117"/>
      <c r="I202" s="117"/>
      <c r="J202" s="121"/>
      <c r="K202" s="117"/>
    </row>
    <row r="203" spans="1:11" s="1" customFormat="1" x14ac:dyDescent="0.2">
      <c r="A203" s="2" t="str">
        <f t="shared" si="3"/>
        <v/>
      </c>
      <c r="B203" s="114"/>
      <c r="C203" s="115"/>
      <c r="D203" s="123"/>
      <c r="E203" s="117"/>
      <c r="F203" s="118"/>
      <c r="G203" s="119"/>
      <c r="H203" s="117"/>
      <c r="I203" s="117"/>
      <c r="J203" s="121"/>
      <c r="K203" s="117"/>
    </row>
    <row r="204" spans="1:11" s="1" customFormat="1" x14ac:dyDescent="0.2">
      <c r="A204" s="2" t="str">
        <f t="shared" si="3"/>
        <v/>
      </c>
      <c r="B204" s="114"/>
      <c r="C204" s="115"/>
      <c r="D204" s="123"/>
      <c r="E204" s="117"/>
      <c r="F204" s="118"/>
      <c r="G204" s="119"/>
      <c r="H204" s="117"/>
      <c r="I204" s="117"/>
      <c r="J204" s="121"/>
      <c r="K204" s="117"/>
    </row>
    <row r="205" spans="1:11" s="1" customFormat="1" x14ac:dyDescent="0.2">
      <c r="A205" s="2" t="str">
        <f t="shared" si="3"/>
        <v/>
      </c>
      <c r="B205" s="114"/>
      <c r="C205" s="115"/>
      <c r="D205" s="123"/>
      <c r="E205" s="117"/>
      <c r="F205" s="118"/>
      <c r="G205" s="119"/>
      <c r="H205" s="117"/>
      <c r="I205" s="117"/>
      <c r="J205" s="121"/>
      <c r="K205" s="117"/>
    </row>
    <row r="206" spans="1:11" s="1" customFormat="1" x14ac:dyDescent="0.2">
      <c r="A206" s="2" t="str">
        <f t="shared" si="3"/>
        <v/>
      </c>
      <c r="B206" s="114"/>
      <c r="C206" s="115"/>
      <c r="D206" s="123"/>
      <c r="E206" s="117"/>
      <c r="F206" s="118"/>
      <c r="G206" s="119"/>
      <c r="H206" s="117"/>
      <c r="I206" s="117"/>
      <c r="J206" s="121"/>
      <c r="K206" s="117"/>
    </row>
    <row r="207" spans="1:11" s="1" customFormat="1" x14ac:dyDescent="0.2">
      <c r="A207" s="2" t="str">
        <f t="shared" si="3"/>
        <v/>
      </c>
      <c r="B207" s="114"/>
      <c r="C207" s="115"/>
      <c r="D207" s="123"/>
      <c r="E207" s="117"/>
      <c r="F207" s="118"/>
      <c r="G207" s="119"/>
      <c r="H207" s="117"/>
      <c r="I207" s="117"/>
      <c r="J207" s="121"/>
      <c r="K207" s="117"/>
    </row>
    <row r="208" spans="1:11" s="1" customFormat="1" x14ac:dyDescent="0.2">
      <c r="A208" s="2" t="str">
        <f t="shared" si="3"/>
        <v/>
      </c>
      <c r="B208" s="114"/>
      <c r="C208" s="115"/>
      <c r="D208" s="123"/>
      <c r="E208" s="117"/>
      <c r="F208" s="118"/>
      <c r="G208" s="119"/>
      <c r="H208" s="117"/>
      <c r="I208" s="117"/>
      <c r="J208" s="121"/>
      <c r="K208" s="117"/>
    </row>
    <row r="209" spans="1:11" s="1" customFormat="1" x14ac:dyDescent="0.2">
      <c r="A209" s="2" t="str">
        <f t="shared" si="3"/>
        <v/>
      </c>
      <c r="B209" s="114"/>
      <c r="C209" s="115"/>
      <c r="D209" s="123"/>
      <c r="E209" s="117"/>
      <c r="F209" s="118"/>
      <c r="G209" s="119"/>
      <c r="H209" s="117"/>
      <c r="I209" s="117"/>
      <c r="J209" s="121"/>
      <c r="K209" s="117"/>
    </row>
    <row r="210" spans="1:11" s="1" customFormat="1" x14ac:dyDescent="0.2">
      <c r="A210" s="2" t="str">
        <f t="shared" si="3"/>
        <v/>
      </c>
      <c r="B210" s="114"/>
      <c r="C210" s="115"/>
      <c r="D210" s="123"/>
      <c r="E210" s="117"/>
      <c r="F210" s="118"/>
      <c r="G210" s="119"/>
      <c r="H210" s="117"/>
      <c r="I210" s="117"/>
      <c r="J210" s="121"/>
      <c r="K210" s="117"/>
    </row>
    <row r="211" spans="1:11" s="1" customFormat="1" x14ac:dyDescent="0.2">
      <c r="A211" s="2" t="str">
        <f t="shared" si="3"/>
        <v/>
      </c>
      <c r="B211" s="114"/>
      <c r="C211" s="115"/>
      <c r="D211" s="123"/>
      <c r="E211" s="117"/>
      <c r="F211" s="118"/>
      <c r="G211" s="119"/>
      <c r="H211" s="117"/>
      <c r="I211" s="117"/>
      <c r="J211" s="121"/>
      <c r="K211" s="117"/>
    </row>
    <row r="212" spans="1:11" s="1" customFormat="1" x14ac:dyDescent="0.2">
      <c r="A212" s="2" t="str">
        <f t="shared" si="3"/>
        <v/>
      </c>
      <c r="B212" s="114"/>
      <c r="C212" s="115"/>
      <c r="D212" s="123"/>
      <c r="E212" s="117"/>
      <c r="F212" s="118"/>
      <c r="G212" s="119"/>
      <c r="H212" s="117"/>
      <c r="I212" s="117"/>
      <c r="J212" s="121"/>
      <c r="K212" s="117"/>
    </row>
    <row r="213" spans="1:11" s="1" customFormat="1" x14ac:dyDescent="0.2">
      <c r="A213" s="2" t="str">
        <f t="shared" si="3"/>
        <v/>
      </c>
      <c r="B213" s="114"/>
      <c r="C213" s="115"/>
      <c r="D213" s="123"/>
      <c r="E213" s="117"/>
      <c r="F213" s="118"/>
      <c r="G213" s="119"/>
      <c r="H213" s="117"/>
      <c r="I213" s="117"/>
      <c r="J213" s="121"/>
      <c r="K213" s="117"/>
    </row>
    <row r="214" spans="1:11" s="1" customFormat="1" x14ac:dyDescent="0.2">
      <c r="A214" s="2" t="str">
        <f t="shared" si="3"/>
        <v/>
      </c>
      <c r="B214" s="114"/>
      <c r="C214" s="115"/>
      <c r="D214" s="123"/>
      <c r="E214" s="117"/>
      <c r="F214" s="118"/>
      <c r="G214" s="119"/>
      <c r="H214" s="117"/>
      <c r="I214" s="117"/>
      <c r="J214" s="121"/>
      <c r="K214" s="117"/>
    </row>
    <row r="215" spans="1:11" s="1" customFormat="1" x14ac:dyDescent="0.2">
      <c r="A215" s="2" t="str">
        <f t="shared" si="3"/>
        <v/>
      </c>
      <c r="B215" s="114"/>
      <c r="C215" s="115"/>
      <c r="D215" s="123"/>
      <c r="E215" s="117"/>
      <c r="F215" s="118"/>
      <c r="G215" s="119"/>
      <c r="H215" s="117"/>
      <c r="I215" s="117"/>
      <c r="J215" s="121"/>
      <c r="K215" s="117"/>
    </row>
    <row r="216" spans="1:11" s="1" customFormat="1" x14ac:dyDescent="0.2">
      <c r="A216" s="2" t="str">
        <f t="shared" si="3"/>
        <v/>
      </c>
      <c r="B216" s="114"/>
      <c r="C216" s="115"/>
      <c r="D216" s="123"/>
      <c r="E216" s="117"/>
      <c r="F216" s="118"/>
      <c r="G216" s="119"/>
      <c r="H216" s="117"/>
      <c r="I216" s="117"/>
      <c r="J216" s="121"/>
      <c r="K216" s="117"/>
    </row>
    <row r="217" spans="1:11" s="1" customFormat="1" x14ac:dyDescent="0.2">
      <c r="A217" s="2" t="str">
        <f t="shared" si="3"/>
        <v/>
      </c>
      <c r="B217" s="114"/>
      <c r="C217" s="115"/>
      <c r="D217" s="123"/>
      <c r="E217" s="117"/>
      <c r="F217" s="118"/>
      <c r="G217" s="119"/>
      <c r="H217" s="117"/>
      <c r="I217" s="117"/>
      <c r="J217" s="121"/>
      <c r="K217" s="117"/>
    </row>
    <row r="218" spans="1:11" s="1" customFormat="1" x14ac:dyDescent="0.2">
      <c r="A218" s="2" t="str">
        <f t="shared" si="3"/>
        <v/>
      </c>
      <c r="B218" s="114"/>
      <c r="C218" s="115"/>
      <c r="D218" s="123"/>
      <c r="E218" s="117"/>
      <c r="F218" s="118"/>
      <c r="G218" s="119"/>
      <c r="H218" s="117"/>
      <c r="I218" s="117"/>
      <c r="J218" s="121"/>
      <c r="K218" s="117"/>
    </row>
    <row r="219" spans="1:11" s="1" customFormat="1" x14ac:dyDescent="0.2">
      <c r="A219" s="2" t="str">
        <f t="shared" si="3"/>
        <v/>
      </c>
      <c r="B219" s="114"/>
      <c r="C219" s="115"/>
      <c r="D219" s="123"/>
      <c r="E219" s="117"/>
      <c r="F219" s="118"/>
      <c r="G219" s="119"/>
      <c r="H219" s="117"/>
      <c r="I219" s="117"/>
      <c r="J219" s="121"/>
      <c r="K219" s="117"/>
    </row>
    <row r="220" spans="1:11" s="1" customFormat="1" x14ac:dyDescent="0.2">
      <c r="A220" s="2" t="str">
        <f t="shared" si="3"/>
        <v/>
      </c>
      <c r="B220" s="114"/>
      <c r="C220" s="115"/>
      <c r="D220" s="123"/>
      <c r="E220" s="117"/>
      <c r="F220" s="118"/>
      <c r="G220" s="119"/>
      <c r="H220" s="117"/>
      <c r="I220" s="117"/>
      <c r="J220" s="121"/>
      <c r="K220" s="117"/>
    </row>
    <row r="221" spans="1:11" s="1" customFormat="1" x14ac:dyDescent="0.2">
      <c r="A221" s="2" t="str">
        <f t="shared" si="3"/>
        <v/>
      </c>
      <c r="B221" s="114"/>
      <c r="C221" s="115"/>
      <c r="D221" s="123"/>
      <c r="E221" s="117"/>
      <c r="F221" s="118"/>
      <c r="G221" s="119"/>
      <c r="H221" s="117"/>
      <c r="I221" s="117"/>
      <c r="J221" s="121"/>
      <c r="K221" s="117"/>
    </row>
    <row r="222" spans="1:11" s="1" customFormat="1" x14ac:dyDescent="0.2">
      <c r="A222" s="2" t="str">
        <f t="shared" si="3"/>
        <v/>
      </c>
      <c r="B222" s="114"/>
      <c r="C222" s="115"/>
      <c r="D222" s="123"/>
      <c r="E222" s="117"/>
      <c r="F222" s="118"/>
      <c r="G222" s="119"/>
      <c r="H222" s="117"/>
      <c r="I222" s="117"/>
      <c r="J222" s="121"/>
      <c r="K222" s="117"/>
    </row>
    <row r="223" spans="1:11" s="1" customFormat="1" x14ac:dyDescent="0.2">
      <c r="A223" s="2" t="str">
        <f t="shared" si="3"/>
        <v/>
      </c>
      <c r="B223" s="114"/>
      <c r="C223" s="115"/>
      <c r="D223" s="123"/>
      <c r="E223" s="117"/>
      <c r="F223" s="118"/>
      <c r="G223" s="119"/>
      <c r="H223" s="117"/>
      <c r="I223" s="117"/>
      <c r="J223" s="121"/>
      <c r="K223" s="117"/>
    </row>
    <row r="224" spans="1:11" s="1" customFormat="1" x14ac:dyDescent="0.2">
      <c r="A224" s="2" t="str">
        <f t="shared" si="3"/>
        <v/>
      </c>
      <c r="B224" s="114"/>
      <c r="C224" s="115"/>
      <c r="D224" s="123"/>
      <c r="E224" s="117"/>
      <c r="F224" s="118"/>
      <c r="G224" s="119"/>
      <c r="H224" s="117"/>
      <c r="I224" s="117"/>
      <c r="J224" s="121"/>
      <c r="K224" s="117"/>
    </row>
    <row r="225" spans="1:11" s="1" customFormat="1" x14ac:dyDescent="0.2">
      <c r="A225" s="2" t="str">
        <f t="shared" si="3"/>
        <v/>
      </c>
      <c r="B225" s="114"/>
      <c r="C225" s="115"/>
      <c r="D225" s="123"/>
      <c r="E225" s="117"/>
      <c r="F225" s="118"/>
      <c r="G225" s="119"/>
      <c r="H225" s="117"/>
      <c r="I225" s="117"/>
      <c r="J225" s="121"/>
      <c r="K225" s="117"/>
    </row>
    <row r="226" spans="1:11" s="1" customFormat="1" x14ac:dyDescent="0.2">
      <c r="A226" s="2" t="str">
        <f t="shared" si="3"/>
        <v/>
      </c>
      <c r="B226" s="114"/>
      <c r="C226" s="115"/>
      <c r="D226" s="123"/>
      <c r="E226" s="117"/>
      <c r="F226" s="118"/>
      <c r="G226" s="119"/>
      <c r="H226" s="117"/>
      <c r="I226" s="117"/>
      <c r="J226" s="121"/>
      <c r="K226" s="117"/>
    </row>
    <row r="227" spans="1:11" s="1" customFormat="1" x14ac:dyDescent="0.2">
      <c r="A227" s="2" t="str">
        <f t="shared" si="3"/>
        <v/>
      </c>
      <c r="B227" s="114"/>
      <c r="C227" s="115"/>
      <c r="D227" s="123"/>
      <c r="E227" s="117"/>
      <c r="F227" s="118"/>
      <c r="G227" s="119"/>
      <c r="H227" s="117"/>
      <c r="I227" s="117"/>
      <c r="J227" s="121"/>
      <c r="K227" s="117"/>
    </row>
    <row r="228" spans="1:11" s="1" customFormat="1" x14ac:dyDescent="0.2">
      <c r="A228" s="2" t="str">
        <f t="shared" si="3"/>
        <v/>
      </c>
      <c r="B228" s="114"/>
      <c r="C228" s="115"/>
      <c r="D228" s="123"/>
      <c r="E228" s="117"/>
      <c r="F228" s="118"/>
      <c r="G228" s="119"/>
      <c r="H228" s="117"/>
      <c r="I228" s="117"/>
      <c r="J228" s="121"/>
      <c r="K228" s="117"/>
    </row>
    <row r="229" spans="1:11" s="1" customFormat="1" x14ac:dyDescent="0.2">
      <c r="A229" s="2" t="str">
        <f t="shared" si="3"/>
        <v/>
      </c>
      <c r="B229" s="114"/>
      <c r="C229" s="115"/>
      <c r="D229" s="123"/>
      <c r="E229" s="117"/>
      <c r="F229" s="118"/>
      <c r="G229" s="119"/>
      <c r="H229" s="117"/>
      <c r="I229" s="117"/>
      <c r="J229" s="121"/>
      <c r="K229" s="117"/>
    </row>
    <row r="230" spans="1:11" s="1" customFormat="1" x14ac:dyDescent="0.2">
      <c r="A230" s="2" t="str">
        <f t="shared" si="3"/>
        <v/>
      </c>
      <c r="B230" s="114"/>
      <c r="C230" s="115"/>
      <c r="D230" s="123"/>
      <c r="E230" s="117"/>
      <c r="F230" s="118"/>
      <c r="G230" s="119"/>
      <c r="H230" s="117"/>
      <c r="I230" s="117"/>
      <c r="J230" s="121"/>
      <c r="K230" s="117"/>
    </row>
    <row r="231" spans="1:11" s="1" customFormat="1" x14ac:dyDescent="0.2">
      <c r="A231" s="2" t="str">
        <f t="shared" si="3"/>
        <v/>
      </c>
      <c r="B231" s="114"/>
      <c r="C231" s="115"/>
      <c r="D231" s="123"/>
      <c r="E231" s="117"/>
      <c r="F231" s="118"/>
      <c r="G231" s="119"/>
      <c r="H231" s="117"/>
      <c r="I231" s="117"/>
      <c r="J231" s="121"/>
      <c r="K231" s="117"/>
    </row>
    <row r="232" spans="1:11" s="1" customFormat="1" x14ac:dyDescent="0.2">
      <c r="A232" s="2" t="str">
        <f t="shared" si="3"/>
        <v/>
      </c>
      <c r="B232" s="114"/>
      <c r="C232" s="115"/>
      <c r="D232" s="123"/>
      <c r="E232" s="117"/>
      <c r="F232" s="118"/>
      <c r="G232" s="119"/>
      <c r="H232" s="117"/>
      <c r="I232" s="117"/>
      <c r="J232" s="121"/>
      <c r="K232" s="117"/>
    </row>
    <row r="233" spans="1:11" s="1" customFormat="1" x14ac:dyDescent="0.2">
      <c r="A233" s="2" t="str">
        <f t="shared" si="3"/>
        <v/>
      </c>
      <c r="B233" s="114"/>
      <c r="C233" s="115"/>
      <c r="D233" s="123"/>
      <c r="E233" s="117"/>
      <c r="F233" s="118"/>
      <c r="G233" s="119"/>
      <c r="H233" s="117"/>
      <c r="I233" s="117"/>
      <c r="J233" s="121"/>
      <c r="K233" s="117"/>
    </row>
    <row r="234" spans="1:11" s="1" customFormat="1" x14ac:dyDescent="0.2">
      <c r="A234" s="2" t="str">
        <f t="shared" si="3"/>
        <v/>
      </c>
      <c r="B234" s="114"/>
      <c r="C234" s="115"/>
      <c r="D234" s="123"/>
      <c r="E234" s="117"/>
      <c r="F234" s="118"/>
      <c r="G234" s="119"/>
      <c r="H234" s="117"/>
      <c r="I234" s="117"/>
      <c r="J234" s="121"/>
      <c r="K234" s="117"/>
    </row>
    <row r="235" spans="1:11" s="1" customFormat="1" x14ac:dyDescent="0.2">
      <c r="A235" s="2" t="str">
        <f t="shared" si="3"/>
        <v/>
      </c>
      <c r="B235" s="114"/>
      <c r="C235" s="115"/>
      <c r="D235" s="123"/>
      <c r="E235" s="117"/>
      <c r="F235" s="118"/>
      <c r="G235" s="119"/>
      <c r="H235" s="117"/>
      <c r="I235" s="117"/>
      <c r="J235" s="121"/>
      <c r="K235" s="117"/>
    </row>
    <row r="236" spans="1:11" s="1" customFormat="1" x14ac:dyDescent="0.2">
      <c r="A236" s="2" t="str">
        <f t="shared" si="3"/>
        <v/>
      </c>
      <c r="B236" s="114"/>
      <c r="C236" s="115"/>
      <c r="D236" s="123"/>
      <c r="E236" s="117"/>
      <c r="F236" s="118"/>
      <c r="G236" s="119"/>
      <c r="H236" s="117"/>
      <c r="I236" s="117"/>
      <c r="J236" s="121"/>
      <c r="K236" s="117"/>
    </row>
    <row r="237" spans="1:11" s="1" customFormat="1" x14ac:dyDescent="0.2">
      <c r="A237" s="2" t="str">
        <f t="shared" si="3"/>
        <v/>
      </c>
      <c r="B237" s="114"/>
      <c r="C237" s="115"/>
      <c r="D237" s="123"/>
      <c r="E237" s="117"/>
      <c r="F237" s="118"/>
      <c r="G237" s="119"/>
      <c r="H237" s="117"/>
      <c r="I237" s="117"/>
      <c r="J237" s="121"/>
      <c r="K237" s="117"/>
    </row>
    <row r="238" spans="1:11" s="1" customFormat="1" x14ac:dyDescent="0.2">
      <c r="A238" s="2" t="str">
        <f t="shared" si="3"/>
        <v/>
      </c>
      <c r="B238" s="114"/>
      <c r="C238" s="115"/>
      <c r="D238" s="123"/>
      <c r="E238" s="117"/>
      <c r="F238" s="118"/>
      <c r="G238" s="119"/>
      <c r="H238" s="117"/>
      <c r="I238" s="117"/>
      <c r="J238" s="121"/>
      <c r="K238" s="117"/>
    </row>
    <row r="239" spans="1:11" s="1" customFormat="1" x14ac:dyDescent="0.2">
      <c r="A239" s="2" t="str">
        <f t="shared" si="3"/>
        <v/>
      </c>
      <c r="B239" s="114"/>
      <c r="C239" s="115"/>
      <c r="D239" s="123"/>
      <c r="E239" s="117"/>
      <c r="F239" s="118"/>
      <c r="G239" s="119"/>
      <c r="H239" s="117"/>
      <c r="I239" s="117"/>
      <c r="J239" s="121"/>
      <c r="K239" s="117"/>
    </row>
    <row r="240" spans="1:11" s="1" customFormat="1" x14ac:dyDescent="0.2">
      <c r="A240" s="2" t="str">
        <f t="shared" si="3"/>
        <v/>
      </c>
      <c r="B240" s="114"/>
      <c r="C240" s="115"/>
      <c r="D240" s="123"/>
      <c r="E240" s="117"/>
      <c r="F240" s="118"/>
      <c r="G240" s="119"/>
      <c r="H240" s="117"/>
      <c r="I240" s="117"/>
      <c r="J240" s="121"/>
      <c r="K240" s="117"/>
    </row>
    <row r="241" spans="1:11" s="1" customFormat="1" x14ac:dyDescent="0.2">
      <c r="A241" s="2" t="str">
        <f t="shared" si="3"/>
        <v/>
      </c>
      <c r="B241" s="114"/>
      <c r="C241" s="115"/>
      <c r="D241" s="123"/>
      <c r="E241" s="117"/>
      <c r="F241" s="118"/>
      <c r="G241" s="119"/>
      <c r="H241" s="117"/>
      <c r="I241" s="117"/>
      <c r="J241" s="121"/>
      <c r="K241" s="117"/>
    </row>
    <row r="242" spans="1:11" s="1" customFormat="1" x14ac:dyDescent="0.2">
      <c r="A242" s="2" t="str">
        <f t="shared" si="3"/>
        <v/>
      </c>
      <c r="B242" s="114"/>
      <c r="C242" s="115"/>
      <c r="D242" s="123"/>
      <c r="E242" s="117"/>
      <c r="F242" s="118"/>
      <c r="G242" s="119"/>
      <c r="H242" s="117"/>
      <c r="I242" s="117"/>
      <c r="J242" s="121"/>
      <c r="K242" s="117"/>
    </row>
    <row r="243" spans="1:11" s="1" customFormat="1" x14ac:dyDescent="0.2">
      <c r="A243" s="2" t="str">
        <f>IF(B243&lt;&gt;"",A242+1,"")</f>
        <v/>
      </c>
      <c r="B243" s="114"/>
      <c r="C243" s="115"/>
      <c r="D243" s="123"/>
      <c r="E243" s="117"/>
      <c r="F243" s="118"/>
      <c r="G243" s="119"/>
      <c r="H243" s="117"/>
      <c r="I243" s="117"/>
      <c r="J243" s="121"/>
      <c r="K243" s="117"/>
    </row>
    <row r="244" spans="1:11" s="1" customFormat="1" x14ac:dyDescent="0.2">
      <c r="A244" s="2" t="str">
        <f>IF(B244&lt;&gt;"",A243+1,"")</f>
        <v/>
      </c>
      <c r="B244" s="114"/>
      <c r="C244" s="115"/>
      <c r="D244" s="123"/>
      <c r="E244" s="117"/>
      <c r="F244" s="118"/>
      <c r="G244" s="119"/>
      <c r="H244" s="117"/>
      <c r="I244" s="117"/>
      <c r="J244" s="121"/>
      <c r="K244" s="117"/>
    </row>
    <row r="245" spans="1:11" s="1" customFormat="1" x14ac:dyDescent="0.2">
      <c r="A245" s="2" t="str">
        <f>IF(B245&lt;&gt;"",A244+1,"")</f>
        <v/>
      </c>
      <c r="B245" s="114"/>
      <c r="C245" s="115"/>
      <c r="D245" s="123"/>
      <c r="E245" s="117"/>
      <c r="F245" s="118"/>
      <c r="G245" s="119"/>
      <c r="H245" s="117"/>
      <c r="I245" s="117"/>
      <c r="J245" s="121"/>
      <c r="K245" s="117"/>
    </row>
    <row r="246" spans="1:11" s="1" customFormat="1" x14ac:dyDescent="0.2">
      <c r="A246" s="2" t="str">
        <f>IF(B246&lt;&gt;"",A245+1,"")</f>
        <v/>
      </c>
      <c r="B246" s="114"/>
      <c r="C246" s="115"/>
      <c r="D246" s="123"/>
      <c r="E246" s="117"/>
      <c r="F246" s="118"/>
      <c r="G246" s="119"/>
      <c r="H246" s="117"/>
      <c r="I246" s="117"/>
      <c r="J246" s="121"/>
      <c r="K246" s="117"/>
    </row>
    <row r="247" spans="1:11" s="1" customFormat="1" x14ac:dyDescent="0.2">
      <c r="A247" s="2" t="str">
        <f>IF(B247&lt;&gt;"",A246+1,"")</f>
        <v/>
      </c>
      <c r="B247" s="114"/>
      <c r="C247" s="115"/>
      <c r="D247" s="123"/>
      <c r="E247" s="117"/>
      <c r="F247" s="118"/>
      <c r="G247" s="119"/>
      <c r="H247" s="117"/>
      <c r="I247" s="117"/>
      <c r="J247" s="121"/>
      <c r="K247" s="117"/>
    </row>
    <row r="248" spans="1:11" s="1" customFormat="1" x14ac:dyDescent="0.2">
      <c r="A248" s="2" t="str">
        <f t="shared" ref="A248:A286" si="4">IF(B248&lt;&gt;"",A247+1,"")</f>
        <v/>
      </c>
      <c r="B248" s="114"/>
      <c r="C248" s="115"/>
      <c r="D248" s="123"/>
      <c r="E248" s="117"/>
      <c r="F248" s="118"/>
      <c r="G248" s="119"/>
      <c r="H248" s="117"/>
      <c r="I248" s="117"/>
      <c r="J248" s="121"/>
      <c r="K248" s="117"/>
    </row>
    <row r="249" spans="1:11" s="1" customFormat="1" x14ac:dyDescent="0.2">
      <c r="A249" s="2" t="str">
        <f t="shared" si="4"/>
        <v/>
      </c>
      <c r="B249" s="114"/>
      <c r="C249" s="115"/>
      <c r="D249" s="123"/>
      <c r="E249" s="117"/>
      <c r="F249" s="118"/>
      <c r="G249" s="119"/>
      <c r="H249" s="117"/>
      <c r="I249" s="117"/>
      <c r="J249" s="121"/>
      <c r="K249" s="117"/>
    </row>
    <row r="250" spans="1:11" s="1" customFormat="1" x14ac:dyDescent="0.2">
      <c r="A250" s="2" t="str">
        <f t="shared" si="4"/>
        <v/>
      </c>
      <c r="B250" s="114"/>
      <c r="C250" s="115"/>
      <c r="D250" s="123"/>
      <c r="E250" s="117"/>
      <c r="F250" s="118"/>
      <c r="G250" s="119"/>
      <c r="H250" s="117"/>
      <c r="I250" s="117"/>
      <c r="J250" s="121"/>
      <c r="K250" s="117"/>
    </row>
    <row r="251" spans="1:11" s="1" customFormat="1" x14ac:dyDescent="0.2">
      <c r="A251" s="2" t="str">
        <f t="shared" si="4"/>
        <v/>
      </c>
      <c r="B251" s="114"/>
      <c r="C251" s="115"/>
      <c r="D251" s="123"/>
      <c r="E251" s="117"/>
      <c r="F251" s="118"/>
      <c r="G251" s="119"/>
      <c r="H251" s="117"/>
      <c r="I251" s="117"/>
      <c r="J251" s="121"/>
      <c r="K251" s="117"/>
    </row>
    <row r="252" spans="1:11" s="1" customFormat="1" x14ac:dyDescent="0.2">
      <c r="A252" s="2" t="str">
        <f t="shared" si="4"/>
        <v/>
      </c>
      <c r="B252" s="114"/>
      <c r="C252" s="115"/>
      <c r="D252" s="123"/>
      <c r="E252" s="117"/>
      <c r="F252" s="118"/>
      <c r="G252" s="119"/>
      <c r="H252" s="117"/>
      <c r="I252" s="117"/>
      <c r="J252" s="121"/>
      <c r="K252" s="117"/>
    </row>
    <row r="253" spans="1:11" s="1" customFormat="1" x14ac:dyDescent="0.2">
      <c r="A253" s="2" t="str">
        <f t="shared" si="4"/>
        <v/>
      </c>
      <c r="B253" s="114"/>
      <c r="C253" s="115"/>
      <c r="D253" s="123"/>
      <c r="E253" s="117"/>
      <c r="F253" s="118"/>
      <c r="G253" s="119"/>
      <c r="H253" s="117"/>
      <c r="I253" s="117"/>
      <c r="J253" s="121"/>
      <c r="K253" s="117"/>
    </row>
    <row r="254" spans="1:11" s="1" customFormat="1" x14ac:dyDescent="0.2">
      <c r="A254" s="2" t="str">
        <f t="shared" si="4"/>
        <v/>
      </c>
      <c r="B254" s="114"/>
      <c r="C254" s="115"/>
      <c r="D254" s="123"/>
      <c r="E254" s="117"/>
      <c r="F254" s="118"/>
      <c r="G254" s="119"/>
      <c r="H254" s="117"/>
      <c r="I254" s="117"/>
      <c r="J254" s="121"/>
      <c r="K254" s="117"/>
    </row>
    <row r="255" spans="1:11" s="1" customFormat="1" x14ac:dyDescent="0.2">
      <c r="A255" s="2" t="str">
        <f t="shared" si="4"/>
        <v/>
      </c>
      <c r="B255" s="114"/>
      <c r="C255" s="115"/>
      <c r="D255" s="123"/>
      <c r="E255" s="117"/>
      <c r="F255" s="118"/>
      <c r="G255" s="119"/>
      <c r="H255" s="117"/>
      <c r="I255" s="117"/>
      <c r="J255" s="121"/>
      <c r="K255" s="117"/>
    </row>
    <row r="256" spans="1:11" s="1" customFormat="1" x14ac:dyDescent="0.2">
      <c r="A256" s="2" t="str">
        <f t="shared" si="4"/>
        <v/>
      </c>
      <c r="B256" s="114"/>
      <c r="C256" s="115"/>
      <c r="D256" s="123"/>
      <c r="E256" s="117"/>
      <c r="F256" s="118"/>
      <c r="G256" s="119"/>
      <c r="H256" s="117"/>
      <c r="I256" s="117"/>
      <c r="J256" s="121"/>
      <c r="K256" s="117"/>
    </row>
    <row r="257" spans="1:11" s="1" customFormat="1" x14ac:dyDescent="0.2">
      <c r="A257" s="2" t="str">
        <f t="shared" si="4"/>
        <v/>
      </c>
      <c r="B257" s="114"/>
      <c r="C257" s="115"/>
      <c r="D257" s="123"/>
      <c r="E257" s="117"/>
      <c r="F257" s="118"/>
      <c r="G257" s="119"/>
      <c r="H257" s="117"/>
      <c r="I257" s="117"/>
      <c r="J257" s="121"/>
      <c r="K257" s="117"/>
    </row>
    <row r="258" spans="1:11" s="1" customFormat="1" x14ac:dyDescent="0.2">
      <c r="A258" s="2" t="str">
        <f t="shared" si="4"/>
        <v/>
      </c>
      <c r="B258" s="114"/>
      <c r="C258" s="115"/>
      <c r="D258" s="123"/>
      <c r="E258" s="117"/>
      <c r="F258" s="118"/>
      <c r="G258" s="119"/>
      <c r="H258" s="117"/>
      <c r="I258" s="117"/>
      <c r="J258" s="121"/>
      <c r="K258" s="117"/>
    </row>
    <row r="259" spans="1:11" s="1" customFormat="1" x14ac:dyDescent="0.2">
      <c r="A259" s="2" t="str">
        <f t="shared" si="4"/>
        <v/>
      </c>
      <c r="B259" s="114"/>
      <c r="C259" s="115"/>
      <c r="D259" s="123"/>
      <c r="E259" s="117"/>
      <c r="F259" s="118"/>
      <c r="G259" s="119"/>
      <c r="H259" s="117"/>
      <c r="I259" s="117"/>
      <c r="J259" s="121"/>
      <c r="K259" s="117"/>
    </row>
    <row r="260" spans="1:11" s="1" customFormat="1" x14ac:dyDescent="0.2">
      <c r="A260" s="2" t="str">
        <f t="shared" si="4"/>
        <v/>
      </c>
      <c r="B260" s="114"/>
      <c r="C260" s="115"/>
      <c r="D260" s="123"/>
      <c r="E260" s="117"/>
      <c r="F260" s="118"/>
      <c r="G260" s="119"/>
      <c r="H260" s="117"/>
      <c r="I260" s="117"/>
      <c r="J260" s="121"/>
      <c r="K260" s="117"/>
    </row>
    <row r="261" spans="1:11" s="1" customFormat="1" x14ac:dyDescent="0.2">
      <c r="A261" s="2" t="str">
        <f t="shared" si="4"/>
        <v/>
      </c>
      <c r="B261" s="114"/>
      <c r="C261" s="115"/>
      <c r="D261" s="123"/>
      <c r="E261" s="117"/>
      <c r="F261" s="118"/>
      <c r="G261" s="119"/>
      <c r="H261" s="117"/>
      <c r="I261" s="117"/>
      <c r="J261" s="121"/>
      <c r="K261" s="117"/>
    </row>
    <row r="262" spans="1:11" s="1" customFormat="1" x14ac:dyDescent="0.2">
      <c r="A262" s="2" t="str">
        <f t="shared" si="4"/>
        <v/>
      </c>
      <c r="B262" s="114"/>
      <c r="C262" s="115"/>
      <c r="D262" s="123"/>
      <c r="E262" s="117"/>
      <c r="F262" s="118"/>
      <c r="G262" s="119"/>
      <c r="H262" s="117"/>
      <c r="I262" s="117"/>
      <c r="J262" s="121"/>
      <c r="K262" s="117"/>
    </row>
    <row r="263" spans="1:11" s="1" customFormat="1" x14ac:dyDescent="0.2">
      <c r="A263" s="2" t="str">
        <f t="shared" si="4"/>
        <v/>
      </c>
      <c r="B263" s="114"/>
      <c r="C263" s="115"/>
      <c r="D263" s="123"/>
      <c r="E263" s="117"/>
      <c r="F263" s="118"/>
      <c r="G263" s="119"/>
      <c r="H263" s="117"/>
      <c r="I263" s="117"/>
      <c r="J263" s="121"/>
      <c r="K263" s="117"/>
    </row>
    <row r="264" spans="1:11" s="1" customFormat="1" x14ac:dyDescent="0.2">
      <c r="A264" s="2" t="str">
        <f t="shared" si="4"/>
        <v/>
      </c>
      <c r="B264" s="114"/>
      <c r="C264" s="115"/>
      <c r="D264" s="123"/>
      <c r="E264" s="117"/>
      <c r="F264" s="118"/>
      <c r="G264" s="119"/>
      <c r="H264" s="117"/>
      <c r="I264" s="117"/>
      <c r="J264" s="121"/>
      <c r="K264" s="117"/>
    </row>
    <row r="265" spans="1:11" s="1" customFormat="1" x14ac:dyDescent="0.2">
      <c r="A265" s="2" t="str">
        <f t="shared" si="4"/>
        <v/>
      </c>
      <c r="B265" s="114"/>
      <c r="C265" s="115"/>
      <c r="D265" s="123"/>
      <c r="E265" s="117"/>
      <c r="F265" s="118"/>
      <c r="G265" s="119"/>
      <c r="H265" s="117"/>
      <c r="I265" s="117"/>
      <c r="J265" s="121"/>
      <c r="K265" s="117"/>
    </row>
    <row r="266" spans="1:11" s="1" customFormat="1" x14ac:dyDescent="0.2">
      <c r="A266" s="2" t="str">
        <f t="shared" si="4"/>
        <v/>
      </c>
      <c r="B266" s="114"/>
      <c r="C266" s="115"/>
      <c r="D266" s="123"/>
      <c r="E266" s="117"/>
      <c r="F266" s="118"/>
      <c r="G266" s="119"/>
      <c r="H266" s="117"/>
      <c r="I266" s="117"/>
      <c r="J266" s="121"/>
      <c r="K266" s="117"/>
    </row>
    <row r="267" spans="1:11" s="1" customFormat="1" x14ac:dyDescent="0.2">
      <c r="A267" s="2" t="str">
        <f t="shared" si="4"/>
        <v/>
      </c>
      <c r="B267" s="114"/>
      <c r="C267" s="115"/>
      <c r="D267" s="123"/>
      <c r="E267" s="117"/>
      <c r="F267" s="118"/>
      <c r="G267" s="119"/>
      <c r="H267" s="117"/>
      <c r="I267" s="117"/>
      <c r="J267" s="121"/>
      <c r="K267" s="117"/>
    </row>
    <row r="268" spans="1:11" s="1" customFormat="1" x14ac:dyDescent="0.2">
      <c r="A268" s="2" t="str">
        <f t="shared" si="4"/>
        <v/>
      </c>
      <c r="B268" s="114"/>
      <c r="C268" s="115"/>
      <c r="D268" s="123"/>
      <c r="E268" s="117"/>
      <c r="F268" s="118"/>
      <c r="G268" s="119"/>
      <c r="H268" s="117"/>
      <c r="I268" s="117"/>
      <c r="J268" s="121"/>
      <c r="K268" s="117"/>
    </row>
    <row r="269" spans="1:11" s="1" customFormat="1" x14ac:dyDescent="0.2">
      <c r="A269" s="2" t="str">
        <f t="shared" si="4"/>
        <v/>
      </c>
      <c r="B269" s="114"/>
      <c r="C269" s="115"/>
      <c r="D269" s="123"/>
      <c r="E269" s="117"/>
      <c r="F269" s="118"/>
      <c r="G269" s="119"/>
      <c r="H269" s="117"/>
      <c r="I269" s="117"/>
      <c r="J269" s="121"/>
      <c r="K269" s="117"/>
    </row>
    <row r="270" spans="1:11" s="1" customFormat="1" x14ac:dyDescent="0.2">
      <c r="A270" s="2" t="str">
        <f t="shared" si="4"/>
        <v/>
      </c>
      <c r="B270" s="114"/>
      <c r="C270" s="115"/>
      <c r="D270" s="123"/>
      <c r="E270" s="117"/>
      <c r="F270" s="118"/>
      <c r="G270" s="119"/>
      <c r="H270" s="117"/>
      <c r="I270" s="117"/>
      <c r="J270" s="121"/>
      <c r="K270" s="117"/>
    </row>
    <row r="271" spans="1:11" s="1" customFormat="1" x14ac:dyDescent="0.2">
      <c r="A271" s="2" t="str">
        <f t="shared" si="4"/>
        <v/>
      </c>
      <c r="B271" s="114"/>
      <c r="C271" s="115"/>
      <c r="D271" s="123"/>
      <c r="E271" s="117"/>
      <c r="F271" s="118"/>
      <c r="G271" s="119"/>
      <c r="H271" s="117"/>
      <c r="I271" s="117"/>
      <c r="J271" s="121"/>
      <c r="K271" s="117"/>
    </row>
    <row r="272" spans="1:11" s="1" customFormat="1" x14ac:dyDescent="0.2">
      <c r="A272" s="2" t="str">
        <f t="shared" si="4"/>
        <v/>
      </c>
      <c r="B272" s="114"/>
      <c r="C272" s="115"/>
      <c r="D272" s="123"/>
      <c r="E272" s="117"/>
      <c r="F272" s="118"/>
      <c r="G272" s="119"/>
      <c r="H272" s="117"/>
      <c r="I272" s="117"/>
      <c r="J272" s="121"/>
      <c r="K272" s="117"/>
    </row>
    <row r="273" spans="1:11" s="1" customFormat="1" x14ac:dyDescent="0.2">
      <c r="A273" s="2" t="str">
        <f t="shared" si="4"/>
        <v/>
      </c>
      <c r="B273" s="114"/>
      <c r="C273" s="115"/>
      <c r="D273" s="123"/>
      <c r="E273" s="117"/>
      <c r="F273" s="118"/>
      <c r="G273" s="119"/>
      <c r="H273" s="117"/>
      <c r="I273" s="117"/>
      <c r="J273" s="121"/>
      <c r="K273" s="117"/>
    </row>
    <row r="274" spans="1:11" s="1" customFormat="1" x14ac:dyDescent="0.2">
      <c r="A274" s="2" t="str">
        <f t="shared" si="4"/>
        <v/>
      </c>
      <c r="B274" s="114"/>
      <c r="C274" s="115"/>
      <c r="D274" s="123"/>
      <c r="E274" s="117"/>
      <c r="F274" s="118"/>
      <c r="G274" s="119"/>
      <c r="H274" s="117"/>
      <c r="I274" s="117"/>
      <c r="J274" s="121"/>
      <c r="K274" s="117"/>
    </row>
    <row r="275" spans="1:11" s="1" customFormat="1" x14ac:dyDescent="0.2">
      <c r="A275" s="2" t="str">
        <f t="shared" si="4"/>
        <v/>
      </c>
      <c r="B275" s="114"/>
      <c r="C275" s="115"/>
      <c r="D275" s="123"/>
      <c r="E275" s="117"/>
      <c r="F275" s="118"/>
      <c r="G275" s="119"/>
      <c r="H275" s="117"/>
      <c r="I275" s="117"/>
      <c r="J275" s="121"/>
      <c r="K275" s="117"/>
    </row>
    <row r="276" spans="1:11" s="1" customFormat="1" x14ac:dyDescent="0.2">
      <c r="A276" s="2" t="str">
        <f t="shared" si="4"/>
        <v/>
      </c>
      <c r="B276" s="114"/>
      <c r="C276" s="115"/>
      <c r="D276" s="123"/>
      <c r="E276" s="117"/>
      <c r="F276" s="118"/>
      <c r="G276" s="119"/>
      <c r="H276" s="117"/>
      <c r="I276" s="117"/>
      <c r="J276" s="121"/>
      <c r="K276" s="117"/>
    </row>
    <row r="277" spans="1:11" s="1" customFormat="1" x14ac:dyDescent="0.2">
      <c r="A277" s="2" t="str">
        <f t="shared" si="4"/>
        <v/>
      </c>
      <c r="B277" s="114"/>
      <c r="C277" s="115"/>
      <c r="D277" s="123"/>
      <c r="E277" s="117"/>
      <c r="F277" s="118"/>
      <c r="G277" s="119"/>
      <c r="H277" s="117"/>
      <c r="I277" s="117"/>
      <c r="J277" s="121"/>
      <c r="K277" s="117"/>
    </row>
    <row r="278" spans="1:11" s="1" customFormat="1" x14ac:dyDescent="0.2">
      <c r="A278" s="2" t="str">
        <f t="shared" si="4"/>
        <v/>
      </c>
      <c r="B278" s="114"/>
      <c r="C278" s="115"/>
      <c r="D278" s="123"/>
      <c r="E278" s="117"/>
      <c r="F278" s="118"/>
      <c r="G278" s="119"/>
      <c r="H278" s="117"/>
      <c r="I278" s="117"/>
      <c r="J278" s="121"/>
      <c r="K278" s="117"/>
    </row>
    <row r="279" spans="1:11" s="1" customFormat="1" x14ac:dyDescent="0.2">
      <c r="A279" s="2" t="str">
        <f t="shared" si="4"/>
        <v/>
      </c>
      <c r="B279" s="114"/>
      <c r="C279" s="115"/>
      <c r="D279" s="123"/>
      <c r="E279" s="117"/>
      <c r="F279" s="118"/>
      <c r="G279" s="119"/>
      <c r="H279" s="117"/>
      <c r="I279" s="117"/>
      <c r="J279" s="121"/>
      <c r="K279" s="117"/>
    </row>
    <row r="280" spans="1:11" s="1" customFormat="1" x14ac:dyDescent="0.2">
      <c r="A280" s="2" t="str">
        <f t="shared" si="4"/>
        <v/>
      </c>
      <c r="B280" s="114"/>
      <c r="C280" s="115"/>
      <c r="D280" s="123"/>
      <c r="E280" s="117"/>
      <c r="F280" s="118"/>
      <c r="G280" s="119"/>
      <c r="H280" s="117"/>
      <c r="I280" s="117"/>
      <c r="J280" s="121"/>
      <c r="K280" s="117"/>
    </row>
    <row r="281" spans="1:11" s="1" customFormat="1" x14ac:dyDescent="0.2">
      <c r="A281" s="2" t="str">
        <f t="shared" si="4"/>
        <v/>
      </c>
      <c r="B281" s="114"/>
      <c r="C281" s="115"/>
      <c r="D281" s="123"/>
      <c r="E281" s="117"/>
      <c r="F281" s="118"/>
      <c r="G281" s="119"/>
      <c r="H281" s="117"/>
      <c r="I281" s="117"/>
      <c r="J281" s="121"/>
      <c r="K281" s="117"/>
    </row>
    <row r="282" spans="1:11" s="1" customFormat="1" x14ac:dyDescent="0.2">
      <c r="A282" s="2" t="str">
        <f t="shared" si="4"/>
        <v/>
      </c>
      <c r="B282" s="114"/>
      <c r="C282" s="115"/>
      <c r="D282" s="123"/>
      <c r="E282" s="117"/>
      <c r="F282" s="118"/>
      <c r="G282" s="119"/>
      <c r="H282" s="117"/>
      <c r="I282" s="117"/>
      <c r="J282" s="121"/>
      <c r="K282" s="117"/>
    </row>
    <row r="283" spans="1:11" s="1" customFormat="1" x14ac:dyDescent="0.2">
      <c r="A283" s="2" t="str">
        <f t="shared" si="4"/>
        <v/>
      </c>
      <c r="B283" s="114"/>
      <c r="C283" s="115"/>
      <c r="D283" s="123"/>
      <c r="E283" s="117"/>
      <c r="F283" s="118"/>
      <c r="G283" s="119"/>
      <c r="H283" s="117"/>
      <c r="I283" s="117"/>
      <c r="J283" s="121"/>
      <c r="K283" s="117"/>
    </row>
    <row r="284" spans="1:11" s="1" customFormat="1" x14ac:dyDescent="0.2">
      <c r="A284" s="2" t="str">
        <f t="shared" si="4"/>
        <v/>
      </c>
      <c r="B284" s="114"/>
      <c r="C284" s="115"/>
      <c r="D284" s="123"/>
      <c r="E284" s="117"/>
      <c r="F284" s="118"/>
      <c r="G284" s="119"/>
      <c r="H284" s="117"/>
      <c r="I284" s="117"/>
      <c r="J284" s="121"/>
      <c r="K284" s="117"/>
    </row>
    <row r="285" spans="1:11" s="1" customFormat="1" x14ac:dyDescent="0.2">
      <c r="A285" s="2" t="str">
        <f t="shared" si="4"/>
        <v/>
      </c>
      <c r="B285" s="114"/>
      <c r="C285" s="115"/>
      <c r="D285" s="123"/>
      <c r="E285" s="117"/>
      <c r="F285" s="118"/>
      <c r="G285" s="119"/>
      <c r="H285" s="117"/>
      <c r="I285" s="117"/>
      <c r="J285" s="121"/>
      <c r="K285" s="117"/>
    </row>
    <row r="286" spans="1:11" s="1" customFormat="1" x14ac:dyDescent="0.2">
      <c r="A286" s="2" t="str">
        <f t="shared" si="4"/>
        <v/>
      </c>
      <c r="B286" s="114"/>
      <c r="C286" s="115"/>
      <c r="D286" s="123"/>
      <c r="E286" s="117"/>
      <c r="F286" s="118"/>
      <c r="G286" s="119"/>
      <c r="H286" s="117"/>
      <c r="I286" s="117"/>
      <c r="J286" s="121"/>
      <c r="K286" s="117"/>
    </row>
    <row r="287" spans="1:11" s="1" customFormat="1" x14ac:dyDescent="0.2">
      <c r="A287" s="2" t="str">
        <f>IF(B287&lt;&gt;"",A286+1,"")</f>
        <v/>
      </c>
      <c r="B287" s="114"/>
      <c r="C287" s="115"/>
      <c r="D287" s="123"/>
      <c r="E287" s="117"/>
      <c r="F287" s="118"/>
      <c r="G287" s="119"/>
      <c r="H287" s="117"/>
      <c r="I287" s="117"/>
      <c r="J287" s="121"/>
      <c r="K287" s="117"/>
    </row>
    <row r="288" spans="1:11" s="1" customFormat="1" x14ac:dyDescent="0.2">
      <c r="A288" s="2" t="str">
        <f t="shared" ref="A288:A324" si="5">IF(B288&lt;&gt;"",A287+1,"")</f>
        <v/>
      </c>
      <c r="B288" s="114"/>
      <c r="C288" s="115"/>
      <c r="D288" s="123"/>
      <c r="E288" s="117"/>
      <c r="F288" s="118"/>
      <c r="G288" s="119"/>
      <c r="H288" s="117"/>
      <c r="I288" s="117"/>
      <c r="J288" s="121"/>
      <c r="K288" s="117"/>
    </row>
    <row r="289" spans="1:11" s="1" customFormat="1" x14ac:dyDescent="0.2">
      <c r="A289" s="2" t="str">
        <f t="shared" si="5"/>
        <v/>
      </c>
      <c r="B289" s="114"/>
      <c r="C289" s="115"/>
      <c r="D289" s="123"/>
      <c r="E289" s="117"/>
      <c r="F289" s="118"/>
      <c r="G289" s="119"/>
      <c r="H289" s="117"/>
      <c r="I289" s="117"/>
      <c r="J289" s="121"/>
      <c r="K289" s="117"/>
    </row>
    <row r="290" spans="1:11" s="1" customFormat="1" x14ac:dyDescent="0.2">
      <c r="A290" s="2" t="str">
        <f t="shared" si="5"/>
        <v/>
      </c>
      <c r="B290" s="114"/>
      <c r="C290" s="115"/>
      <c r="D290" s="123"/>
      <c r="E290" s="117"/>
      <c r="F290" s="118"/>
      <c r="G290" s="119"/>
      <c r="H290" s="117"/>
      <c r="I290" s="117"/>
      <c r="J290" s="121"/>
      <c r="K290" s="117"/>
    </row>
    <row r="291" spans="1:11" s="1" customFormat="1" x14ac:dyDescent="0.2">
      <c r="A291" s="2" t="str">
        <f t="shared" si="5"/>
        <v/>
      </c>
      <c r="B291" s="114"/>
      <c r="C291" s="115"/>
      <c r="D291" s="123"/>
      <c r="E291" s="117"/>
      <c r="F291" s="118"/>
      <c r="G291" s="119"/>
      <c r="H291" s="117"/>
      <c r="I291" s="117"/>
      <c r="J291" s="121"/>
      <c r="K291" s="117"/>
    </row>
    <row r="292" spans="1:11" s="1" customFormat="1" x14ac:dyDescent="0.2">
      <c r="A292" s="2" t="str">
        <f t="shared" si="5"/>
        <v/>
      </c>
      <c r="B292" s="114"/>
      <c r="C292" s="115"/>
      <c r="D292" s="123"/>
      <c r="E292" s="117"/>
      <c r="F292" s="118"/>
      <c r="G292" s="119"/>
      <c r="H292" s="117"/>
      <c r="I292" s="117"/>
      <c r="J292" s="121"/>
      <c r="K292" s="117"/>
    </row>
    <row r="293" spans="1:11" s="1" customFormat="1" x14ac:dyDescent="0.2">
      <c r="A293" s="2" t="str">
        <f t="shared" si="5"/>
        <v/>
      </c>
      <c r="B293" s="114"/>
      <c r="C293" s="115"/>
      <c r="D293" s="123"/>
      <c r="E293" s="117"/>
      <c r="F293" s="118"/>
      <c r="G293" s="119"/>
      <c r="H293" s="117"/>
      <c r="I293" s="117"/>
      <c r="J293" s="121"/>
      <c r="K293" s="117"/>
    </row>
    <row r="294" spans="1:11" s="1" customFormat="1" x14ac:dyDescent="0.2">
      <c r="A294" s="2" t="str">
        <f t="shared" si="5"/>
        <v/>
      </c>
      <c r="B294" s="114"/>
      <c r="C294" s="115"/>
      <c r="D294" s="123"/>
      <c r="E294" s="117"/>
      <c r="F294" s="118"/>
      <c r="G294" s="119"/>
      <c r="H294" s="117"/>
      <c r="I294" s="117"/>
      <c r="J294" s="121"/>
      <c r="K294" s="117"/>
    </row>
    <row r="295" spans="1:11" s="1" customFormat="1" x14ac:dyDescent="0.2">
      <c r="A295" s="2" t="str">
        <f t="shared" si="5"/>
        <v/>
      </c>
      <c r="B295" s="114"/>
      <c r="C295" s="115"/>
      <c r="D295" s="123"/>
      <c r="E295" s="117"/>
      <c r="F295" s="118"/>
      <c r="G295" s="119"/>
      <c r="H295" s="117"/>
      <c r="I295" s="117"/>
      <c r="J295" s="121"/>
      <c r="K295" s="117"/>
    </row>
    <row r="296" spans="1:11" s="1" customFormat="1" x14ac:dyDescent="0.2">
      <c r="A296" s="2" t="str">
        <f t="shared" si="5"/>
        <v/>
      </c>
      <c r="B296" s="114"/>
      <c r="C296" s="115"/>
      <c r="D296" s="123"/>
      <c r="E296" s="117"/>
      <c r="F296" s="118"/>
      <c r="G296" s="119"/>
      <c r="H296" s="117"/>
      <c r="I296" s="117"/>
      <c r="J296" s="121"/>
      <c r="K296" s="117"/>
    </row>
    <row r="297" spans="1:11" s="1" customFormat="1" x14ac:dyDescent="0.2">
      <c r="A297" s="2" t="str">
        <f t="shared" si="5"/>
        <v/>
      </c>
      <c r="B297" s="114"/>
      <c r="C297" s="115"/>
      <c r="D297" s="123"/>
      <c r="E297" s="117"/>
      <c r="F297" s="118"/>
      <c r="G297" s="119"/>
      <c r="H297" s="117"/>
      <c r="I297" s="117"/>
      <c r="J297" s="121"/>
      <c r="K297" s="117"/>
    </row>
    <row r="298" spans="1:11" s="1" customFormat="1" x14ac:dyDescent="0.2">
      <c r="A298" s="2" t="str">
        <f t="shared" si="5"/>
        <v/>
      </c>
      <c r="B298" s="114"/>
      <c r="C298" s="115"/>
      <c r="D298" s="123"/>
      <c r="E298" s="117"/>
      <c r="F298" s="118"/>
      <c r="G298" s="119"/>
      <c r="H298" s="117"/>
      <c r="I298" s="117"/>
      <c r="J298" s="121"/>
      <c r="K298" s="117"/>
    </row>
    <row r="299" spans="1:11" s="1" customFormat="1" x14ac:dyDescent="0.2">
      <c r="A299" s="2" t="str">
        <f t="shared" si="5"/>
        <v/>
      </c>
      <c r="B299" s="114"/>
      <c r="C299" s="115"/>
      <c r="D299" s="123"/>
      <c r="E299" s="117"/>
      <c r="F299" s="118"/>
      <c r="G299" s="119"/>
      <c r="H299" s="117"/>
      <c r="I299" s="117"/>
      <c r="J299" s="121"/>
      <c r="K299" s="117"/>
    </row>
    <row r="300" spans="1:11" s="1" customFormat="1" x14ac:dyDescent="0.2">
      <c r="A300" s="2" t="str">
        <f t="shared" si="5"/>
        <v/>
      </c>
      <c r="B300" s="114"/>
      <c r="C300" s="115"/>
      <c r="D300" s="123"/>
      <c r="E300" s="117"/>
      <c r="F300" s="118"/>
      <c r="G300" s="119"/>
      <c r="H300" s="117"/>
      <c r="I300" s="117"/>
      <c r="J300" s="121"/>
      <c r="K300" s="117"/>
    </row>
    <row r="301" spans="1:11" s="1" customFormat="1" x14ac:dyDescent="0.2">
      <c r="A301" s="2" t="str">
        <f t="shared" si="5"/>
        <v/>
      </c>
      <c r="B301" s="114"/>
      <c r="C301" s="115"/>
      <c r="D301" s="123"/>
      <c r="E301" s="117"/>
      <c r="F301" s="118"/>
      <c r="G301" s="119"/>
      <c r="H301" s="117"/>
      <c r="I301" s="117"/>
      <c r="J301" s="121"/>
      <c r="K301" s="117"/>
    </row>
    <row r="302" spans="1:11" s="1" customFormat="1" x14ac:dyDescent="0.2">
      <c r="A302" s="2" t="str">
        <f t="shared" si="5"/>
        <v/>
      </c>
      <c r="B302" s="114"/>
      <c r="C302" s="115"/>
      <c r="D302" s="123"/>
      <c r="E302" s="117"/>
      <c r="F302" s="118"/>
      <c r="G302" s="119"/>
      <c r="H302" s="117"/>
      <c r="I302" s="117"/>
      <c r="J302" s="121"/>
      <c r="K302" s="117"/>
    </row>
    <row r="303" spans="1:11" s="1" customFormat="1" x14ac:dyDescent="0.2">
      <c r="A303" s="2" t="str">
        <f t="shared" si="5"/>
        <v/>
      </c>
      <c r="B303" s="114"/>
      <c r="C303" s="115"/>
      <c r="D303" s="123"/>
      <c r="E303" s="117"/>
      <c r="F303" s="118"/>
      <c r="G303" s="119"/>
      <c r="H303" s="117"/>
      <c r="I303" s="117"/>
      <c r="J303" s="121"/>
      <c r="K303" s="117"/>
    </row>
    <row r="304" spans="1:11" s="1" customFormat="1" x14ac:dyDescent="0.2">
      <c r="A304" s="2" t="str">
        <f t="shared" si="5"/>
        <v/>
      </c>
      <c r="B304" s="114"/>
      <c r="C304" s="115"/>
      <c r="D304" s="123"/>
      <c r="E304" s="117"/>
      <c r="F304" s="118"/>
      <c r="G304" s="119"/>
      <c r="H304" s="117"/>
      <c r="I304" s="117"/>
      <c r="J304" s="121"/>
      <c r="K304" s="117"/>
    </row>
    <row r="305" spans="1:11" s="1" customFormat="1" x14ac:dyDescent="0.2">
      <c r="A305" s="2" t="str">
        <f t="shared" si="5"/>
        <v/>
      </c>
      <c r="B305" s="114"/>
      <c r="C305" s="115"/>
      <c r="D305" s="123"/>
      <c r="E305" s="117"/>
      <c r="F305" s="118"/>
      <c r="G305" s="119"/>
      <c r="H305" s="117"/>
      <c r="I305" s="117"/>
      <c r="J305" s="121"/>
      <c r="K305" s="117"/>
    </row>
    <row r="306" spans="1:11" s="1" customFormat="1" x14ac:dyDescent="0.2">
      <c r="A306" s="2" t="str">
        <f t="shared" si="5"/>
        <v/>
      </c>
      <c r="B306" s="114"/>
      <c r="C306" s="115"/>
      <c r="D306" s="123"/>
      <c r="E306" s="117"/>
      <c r="F306" s="118"/>
      <c r="G306" s="119"/>
      <c r="H306" s="117"/>
      <c r="I306" s="117"/>
      <c r="J306" s="121"/>
      <c r="K306" s="117"/>
    </row>
    <row r="307" spans="1:11" s="1" customFormat="1" x14ac:dyDescent="0.2">
      <c r="A307" s="2" t="str">
        <f t="shared" si="5"/>
        <v/>
      </c>
      <c r="B307" s="114"/>
      <c r="C307" s="115"/>
      <c r="D307" s="123"/>
      <c r="E307" s="117"/>
      <c r="F307" s="118"/>
      <c r="G307" s="119"/>
      <c r="H307" s="117"/>
      <c r="I307" s="117"/>
      <c r="J307" s="121"/>
      <c r="K307" s="117"/>
    </row>
    <row r="308" spans="1:11" s="1" customFormat="1" x14ac:dyDescent="0.2">
      <c r="A308" s="2" t="str">
        <f t="shared" si="5"/>
        <v/>
      </c>
      <c r="B308" s="114"/>
      <c r="C308" s="115"/>
      <c r="D308" s="123"/>
      <c r="E308" s="117"/>
      <c r="F308" s="118"/>
      <c r="G308" s="119"/>
      <c r="H308" s="117"/>
      <c r="I308" s="117"/>
      <c r="J308" s="121"/>
      <c r="K308" s="117"/>
    </row>
    <row r="309" spans="1:11" s="1" customFormat="1" x14ac:dyDescent="0.2">
      <c r="A309" s="2" t="str">
        <f t="shared" si="5"/>
        <v/>
      </c>
      <c r="B309" s="114"/>
      <c r="C309" s="115"/>
      <c r="D309" s="123"/>
      <c r="E309" s="117"/>
      <c r="F309" s="118"/>
      <c r="G309" s="119"/>
      <c r="H309" s="117"/>
      <c r="I309" s="117"/>
      <c r="J309" s="121"/>
      <c r="K309" s="117"/>
    </row>
    <row r="310" spans="1:11" s="1" customFormat="1" x14ac:dyDescent="0.2">
      <c r="A310" s="2" t="str">
        <f t="shared" si="5"/>
        <v/>
      </c>
      <c r="B310" s="114"/>
      <c r="C310" s="115"/>
      <c r="D310" s="123"/>
      <c r="E310" s="117"/>
      <c r="F310" s="118"/>
      <c r="G310" s="119"/>
      <c r="H310" s="117"/>
      <c r="I310" s="117"/>
      <c r="J310" s="121"/>
      <c r="K310" s="117"/>
    </row>
    <row r="311" spans="1:11" s="1" customFormat="1" x14ac:dyDescent="0.2">
      <c r="A311" s="2" t="str">
        <f t="shared" si="5"/>
        <v/>
      </c>
      <c r="B311" s="114"/>
      <c r="C311" s="115"/>
      <c r="D311" s="123"/>
      <c r="E311" s="117"/>
      <c r="F311" s="118"/>
      <c r="G311" s="119"/>
      <c r="H311" s="117"/>
      <c r="I311" s="117"/>
      <c r="J311" s="121"/>
      <c r="K311" s="117"/>
    </row>
    <row r="312" spans="1:11" s="1" customFormat="1" x14ac:dyDescent="0.2">
      <c r="A312" s="2" t="str">
        <f t="shared" si="5"/>
        <v/>
      </c>
      <c r="B312" s="114"/>
      <c r="C312" s="115"/>
      <c r="D312" s="123"/>
      <c r="E312" s="117"/>
      <c r="F312" s="118"/>
      <c r="G312" s="119"/>
      <c r="H312" s="117"/>
      <c r="I312" s="117"/>
      <c r="J312" s="121"/>
      <c r="K312" s="117"/>
    </row>
    <row r="313" spans="1:11" s="1" customFormat="1" x14ac:dyDescent="0.2">
      <c r="A313" s="2" t="str">
        <f t="shared" si="5"/>
        <v/>
      </c>
      <c r="B313" s="114"/>
      <c r="C313" s="115"/>
      <c r="D313" s="123"/>
      <c r="E313" s="117"/>
      <c r="F313" s="118"/>
      <c r="G313" s="119"/>
      <c r="H313" s="117"/>
      <c r="I313" s="117"/>
      <c r="J313" s="121"/>
      <c r="K313" s="117"/>
    </row>
    <row r="314" spans="1:11" s="1" customFormat="1" x14ac:dyDescent="0.2">
      <c r="A314" s="2" t="str">
        <f t="shared" si="5"/>
        <v/>
      </c>
      <c r="B314" s="114"/>
      <c r="C314" s="115"/>
      <c r="D314" s="123"/>
      <c r="E314" s="117"/>
      <c r="F314" s="118"/>
      <c r="G314" s="119"/>
      <c r="H314" s="117"/>
      <c r="I314" s="117"/>
      <c r="J314" s="121"/>
      <c r="K314" s="117"/>
    </row>
    <row r="315" spans="1:11" s="1" customFormat="1" x14ac:dyDescent="0.2">
      <c r="A315" s="2" t="str">
        <f t="shared" si="5"/>
        <v/>
      </c>
      <c r="B315" s="114"/>
      <c r="C315" s="115"/>
      <c r="D315" s="123"/>
      <c r="E315" s="117"/>
      <c r="F315" s="118"/>
      <c r="G315" s="119"/>
      <c r="H315" s="117"/>
      <c r="I315" s="117"/>
      <c r="J315" s="121"/>
      <c r="K315" s="117"/>
    </row>
    <row r="316" spans="1:11" s="1" customFormat="1" x14ac:dyDescent="0.2">
      <c r="A316" s="2" t="str">
        <f t="shared" si="5"/>
        <v/>
      </c>
      <c r="B316" s="114"/>
      <c r="C316" s="115"/>
      <c r="D316" s="123"/>
      <c r="E316" s="117"/>
      <c r="F316" s="118"/>
      <c r="G316" s="119"/>
      <c r="H316" s="117"/>
      <c r="I316" s="117"/>
      <c r="J316" s="121"/>
      <c r="K316" s="117"/>
    </row>
    <row r="317" spans="1:11" s="1" customFormat="1" x14ac:dyDescent="0.2">
      <c r="A317" s="2" t="str">
        <f t="shared" si="5"/>
        <v/>
      </c>
      <c r="B317" s="114"/>
      <c r="C317" s="115"/>
      <c r="D317" s="123"/>
      <c r="E317" s="117"/>
      <c r="F317" s="118"/>
      <c r="G317" s="119"/>
      <c r="H317" s="117"/>
      <c r="I317" s="117"/>
      <c r="J317" s="121"/>
      <c r="K317" s="117"/>
    </row>
    <row r="318" spans="1:11" s="1" customFormat="1" x14ac:dyDescent="0.2">
      <c r="A318" s="2" t="str">
        <f t="shared" si="5"/>
        <v/>
      </c>
      <c r="B318" s="114"/>
      <c r="C318" s="115"/>
      <c r="D318" s="123"/>
      <c r="E318" s="117"/>
      <c r="F318" s="118"/>
      <c r="G318" s="119"/>
      <c r="H318" s="117"/>
      <c r="I318" s="117"/>
      <c r="J318" s="121"/>
      <c r="K318" s="117"/>
    </row>
    <row r="319" spans="1:11" s="1" customFormat="1" x14ac:dyDescent="0.2">
      <c r="A319" s="2" t="str">
        <f t="shared" si="5"/>
        <v/>
      </c>
      <c r="B319" s="114"/>
      <c r="C319" s="115"/>
      <c r="D319" s="123"/>
      <c r="E319" s="117"/>
      <c r="F319" s="118"/>
      <c r="G319" s="119"/>
      <c r="H319" s="117"/>
      <c r="I319" s="117"/>
      <c r="J319" s="121"/>
      <c r="K319" s="117"/>
    </row>
    <row r="320" spans="1:11" s="1" customFormat="1" x14ac:dyDescent="0.2">
      <c r="A320" s="2" t="str">
        <f t="shared" si="5"/>
        <v/>
      </c>
      <c r="B320" s="114"/>
      <c r="C320" s="115"/>
      <c r="D320" s="123"/>
      <c r="E320" s="117"/>
      <c r="F320" s="118"/>
      <c r="G320" s="119"/>
      <c r="H320" s="117"/>
      <c r="I320" s="117"/>
      <c r="J320" s="121"/>
      <c r="K320" s="117"/>
    </row>
    <row r="321" spans="1:11" s="1" customFormat="1" x14ac:dyDescent="0.2">
      <c r="A321" s="2" t="str">
        <f t="shared" si="5"/>
        <v/>
      </c>
      <c r="B321" s="114"/>
      <c r="C321" s="115"/>
      <c r="D321" s="123"/>
      <c r="E321" s="117"/>
      <c r="F321" s="118"/>
      <c r="G321" s="119"/>
      <c r="H321" s="117"/>
      <c r="I321" s="117"/>
      <c r="J321" s="121"/>
      <c r="K321" s="117"/>
    </row>
    <row r="322" spans="1:11" s="1" customFormat="1" x14ac:dyDescent="0.2">
      <c r="A322" s="2" t="str">
        <f t="shared" si="5"/>
        <v/>
      </c>
      <c r="B322" s="114"/>
      <c r="C322" s="115"/>
      <c r="D322" s="123"/>
      <c r="E322" s="117"/>
      <c r="F322" s="118"/>
      <c r="G322" s="119"/>
      <c r="H322" s="117"/>
      <c r="I322" s="117"/>
      <c r="J322" s="121"/>
      <c r="K322" s="117"/>
    </row>
    <row r="323" spans="1:11" s="1" customFormat="1" x14ac:dyDescent="0.2">
      <c r="A323" s="2" t="str">
        <f t="shared" si="5"/>
        <v/>
      </c>
      <c r="B323" s="114"/>
      <c r="C323" s="115"/>
      <c r="D323" s="123"/>
      <c r="E323" s="117"/>
      <c r="F323" s="118"/>
      <c r="G323" s="119"/>
      <c r="H323" s="117"/>
      <c r="I323" s="117"/>
      <c r="J323" s="121"/>
      <c r="K323" s="117"/>
    </row>
    <row r="324" spans="1:11" s="1" customFormat="1" x14ac:dyDescent="0.2">
      <c r="A324" s="2" t="str">
        <f t="shared" si="5"/>
        <v/>
      </c>
      <c r="B324" s="114"/>
      <c r="C324" s="115"/>
      <c r="D324" s="123"/>
      <c r="E324" s="117"/>
      <c r="F324" s="118"/>
      <c r="G324" s="119"/>
      <c r="H324" s="117"/>
      <c r="I324" s="117"/>
      <c r="J324" s="121"/>
      <c r="K324" s="117"/>
    </row>
    <row r="325" spans="1:11" s="1" customFormat="1" x14ac:dyDescent="0.2">
      <c r="B325" s="114"/>
      <c r="C325" s="115"/>
      <c r="D325" s="123"/>
      <c r="E325" s="117"/>
      <c r="F325" s="118"/>
      <c r="G325" s="119"/>
      <c r="H325" s="117"/>
      <c r="I325" s="117"/>
      <c r="J325" s="121"/>
      <c r="K325" s="117"/>
    </row>
    <row r="326" spans="1:11" s="1" customFormat="1" x14ac:dyDescent="0.2">
      <c r="B326" s="114"/>
      <c r="C326" s="115"/>
      <c r="D326" s="123"/>
      <c r="E326" s="117"/>
      <c r="F326" s="118"/>
      <c r="G326" s="119"/>
      <c r="H326" s="117"/>
      <c r="I326" s="117"/>
      <c r="J326" s="121"/>
      <c r="K326" s="117"/>
    </row>
    <row r="327" spans="1:11" s="1" customFormat="1" x14ac:dyDescent="0.2">
      <c r="B327" s="114"/>
      <c r="C327" s="115"/>
      <c r="D327" s="123"/>
      <c r="E327" s="117"/>
      <c r="F327" s="118"/>
      <c r="G327" s="119"/>
      <c r="H327" s="117"/>
      <c r="I327" s="117"/>
      <c r="J327" s="121"/>
      <c r="K327" s="117"/>
    </row>
    <row r="328" spans="1:11" s="1" customFormat="1" x14ac:dyDescent="0.2">
      <c r="B328" s="114"/>
      <c r="C328" s="115"/>
      <c r="D328" s="123"/>
      <c r="E328" s="117"/>
      <c r="F328" s="118"/>
      <c r="G328" s="119"/>
      <c r="H328" s="117"/>
      <c r="I328" s="117"/>
      <c r="J328" s="121"/>
      <c r="K328" s="117"/>
    </row>
    <row r="329" spans="1:11" s="1" customFormat="1" x14ac:dyDescent="0.2">
      <c r="B329" s="114"/>
      <c r="C329" s="115"/>
      <c r="D329" s="123"/>
      <c r="E329" s="117"/>
      <c r="F329" s="118"/>
      <c r="G329" s="119"/>
      <c r="H329" s="117"/>
      <c r="I329" s="117"/>
      <c r="J329" s="121"/>
      <c r="K329" s="117"/>
    </row>
    <row r="330" spans="1:11" s="1" customFormat="1" x14ac:dyDescent="0.2">
      <c r="B330" s="114"/>
      <c r="C330" s="115"/>
      <c r="D330" s="123"/>
      <c r="E330" s="117"/>
      <c r="F330" s="118"/>
      <c r="G330" s="119"/>
      <c r="H330" s="117"/>
      <c r="I330" s="117"/>
      <c r="J330" s="121"/>
      <c r="K330" s="117"/>
    </row>
    <row r="331" spans="1:11" s="1" customFormat="1" x14ac:dyDescent="0.2">
      <c r="B331" s="114"/>
      <c r="C331" s="115"/>
      <c r="D331" s="123"/>
      <c r="E331" s="117"/>
      <c r="F331" s="118"/>
      <c r="G331" s="119"/>
      <c r="H331" s="117"/>
      <c r="I331" s="117"/>
      <c r="J331" s="121"/>
      <c r="K331" s="117"/>
    </row>
    <row r="332" spans="1:11" s="1" customFormat="1" x14ac:dyDescent="0.2">
      <c r="B332" s="114"/>
      <c r="C332" s="115"/>
      <c r="D332" s="123"/>
      <c r="E332" s="117"/>
      <c r="F332" s="118"/>
      <c r="G332" s="119"/>
      <c r="H332" s="117"/>
      <c r="I332" s="117"/>
      <c r="J332" s="121"/>
      <c r="K332" s="117"/>
    </row>
    <row r="333" spans="1:11" s="1" customFormat="1" x14ac:dyDescent="0.2">
      <c r="B333" s="114"/>
      <c r="C333" s="115"/>
      <c r="D333" s="123"/>
      <c r="E333" s="117"/>
      <c r="F333" s="118"/>
      <c r="G333" s="119"/>
      <c r="H333" s="117"/>
      <c r="I333" s="117"/>
      <c r="J333" s="121"/>
      <c r="K333" s="117"/>
    </row>
    <row r="334" spans="1:11" s="1" customFormat="1" x14ac:dyDescent="0.2">
      <c r="B334" s="114"/>
      <c r="C334" s="115"/>
      <c r="D334" s="123"/>
      <c r="E334" s="117"/>
      <c r="F334" s="118"/>
      <c r="G334" s="119"/>
      <c r="H334" s="117"/>
      <c r="I334" s="117"/>
      <c r="J334" s="121"/>
      <c r="K334" s="117"/>
    </row>
    <row r="335" spans="1:11" s="1" customFormat="1" x14ac:dyDescent="0.2">
      <c r="B335" s="114"/>
      <c r="C335" s="115"/>
      <c r="D335" s="123"/>
      <c r="E335" s="117"/>
      <c r="F335" s="118"/>
      <c r="G335" s="119"/>
      <c r="H335" s="117"/>
      <c r="I335" s="117"/>
      <c r="J335" s="121"/>
      <c r="K335" s="117"/>
    </row>
    <row r="336" spans="1:11" s="1" customFormat="1" x14ac:dyDescent="0.2">
      <c r="B336" s="114"/>
      <c r="C336" s="115"/>
      <c r="D336" s="123"/>
      <c r="E336" s="117"/>
      <c r="F336" s="118"/>
      <c r="G336" s="119"/>
      <c r="H336" s="117"/>
      <c r="I336" s="117"/>
      <c r="J336" s="121"/>
      <c r="K336" s="117"/>
    </row>
    <row r="337" spans="2:11" s="1" customFormat="1" x14ac:dyDescent="0.2">
      <c r="B337" s="114"/>
      <c r="C337" s="115"/>
      <c r="D337" s="123"/>
      <c r="E337" s="117"/>
      <c r="F337" s="118"/>
      <c r="G337" s="119"/>
      <c r="H337" s="117"/>
      <c r="I337" s="117"/>
      <c r="J337" s="121"/>
      <c r="K337" s="117"/>
    </row>
    <row r="338" spans="2:11" s="1" customFormat="1" x14ac:dyDescent="0.2">
      <c r="B338" s="114"/>
      <c r="C338" s="115"/>
      <c r="D338" s="123"/>
      <c r="E338" s="117"/>
      <c r="F338" s="118"/>
      <c r="G338" s="119"/>
      <c r="H338" s="117"/>
      <c r="I338" s="117"/>
      <c r="J338" s="121"/>
      <c r="K338" s="117"/>
    </row>
    <row r="339" spans="2:11" s="1" customFormat="1" x14ac:dyDescent="0.2">
      <c r="B339" s="114"/>
      <c r="C339" s="115"/>
      <c r="D339" s="123"/>
      <c r="E339" s="117"/>
      <c r="F339" s="118"/>
      <c r="G339" s="119"/>
      <c r="H339" s="117"/>
      <c r="I339" s="117"/>
      <c r="J339" s="121"/>
      <c r="K339" s="117"/>
    </row>
    <row r="340" spans="2:11" s="1" customFormat="1" x14ac:dyDescent="0.2">
      <c r="B340" s="114"/>
      <c r="C340" s="115"/>
      <c r="D340" s="123"/>
      <c r="E340" s="117"/>
      <c r="F340" s="118"/>
      <c r="G340" s="119"/>
      <c r="H340" s="117"/>
      <c r="I340" s="117"/>
      <c r="J340" s="121"/>
      <c r="K340" s="117"/>
    </row>
    <row r="341" spans="2:11" s="1" customFormat="1" x14ac:dyDescent="0.2">
      <c r="B341" s="114"/>
      <c r="C341" s="115"/>
      <c r="D341" s="123"/>
      <c r="E341" s="117"/>
      <c r="F341" s="118"/>
      <c r="G341" s="119"/>
      <c r="H341" s="117"/>
      <c r="I341" s="117"/>
      <c r="J341" s="121"/>
      <c r="K341" s="117"/>
    </row>
    <row r="342" spans="2:11" s="1" customFormat="1" x14ac:dyDescent="0.2">
      <c r="B342" s="114"/>
      <c r="C342" s="115"/>
      <c r="D342" s="123"/>
      <c r="E342" s="117"/>
      <c r="F342" s="118"/>
      <c r="G342" s="119"/>
      <c r="H342" s="117"/>
      <c r="I342" s="117"/>
      <c r="J342" s="121"/>
      <c r="K342" s="117"/>
    </row>
    <row r="343" spans="2:11" s="1" customFormat="1" x14ac:dyDescent="0.2">
      <c r="B343" s="114"/>
      <c r="C343" s="115"/>
      <c r="D343" s="123"/>
      <c r="E343" s="117"/>
      <c r="F343" s="118"/>
      <c r="G343" s="119"/>
      <c r="H343" s="117"/>
      <c r="I343" s="117"/>
      <c r="J343" s="121"/>
      <c r="K343" s="117"/>
    </row>
    <row r="344" spans="2:11" s="1" customFormat="1" x14ac:dyDescent="0.2">
      <c r="B344" s="114"/>
      <c r="C344" s="115"/>
      <c r="D344" s="123"/>
      <c r="E344" s="117"/>
      <c r="F344" s="118"/>
      <c r="G344" s="119"/>
      <c r="H344" s="117"/>
      <c r="I344" s="117"/>
      <c r="J344" s="121"/>
      <c r="K344" s="117"/>
    </row>
    <row r="345" spans="2:11" s="1" customFormat="1" x14ac:dyDescent="0.2">
      <c r="B345" s="114"/>
      <c r="C345" s="115"/>
      <c r="D345" s="123"/>
      <c r="E345" s="117"/>
      <c r="F345" s="118"/>
      <c r="G345" s="119"/>
      <c r="H345" s="117"/>
      <c r="I345" s="117"/>
      <c r="J345" s="121"/>
      <c r="K345" s="117"/>
    </row>
    <row r="346" spans="2:11" s="1" customFormat="1" x14ac:dyDescent="0.2">
      <c r="B346" s="114"/>
      <c r="C346" s="115"/>
      <c r="D346" s="123"/>
      <c r="E346" s="117"/>
      <c r="F346" s="118"/>
      <c r="G346" s="119"/>
      <c r="H346" s="117"/>
      <c r="I346" s="117"/>
      <c r="J346" s="121"/>
      <c r="K346" s="117"/>
    </row>
    <row r="347" spans="2:11" s="1" customFormat="1" x14ac:dyDescent="0.2">
      <c r="B347" s="114"/>
      <c r="C347" s="115"/>
      <c r="D347" s="123"/>
      <c r="E347" s="117"/>
      <c r="F347" s="118"/>
      <c r="G347" s="119"/>
      <c r="H347" s="117"/>
      <c r="I347" s="117"/>
      <c r="J347" s="121"/>
      <c r="K347" s="117"/>
    </row>
    <row r="348" spans="2:11" s="1" customFormat="1" x14ac:dyDescent="0.2">
      <c r="B348" s="114"/>
      <c r="C348" s="115"/>
      <c r="D348" s="123"/>
      <c r="E348" s="117"/>
      <c r="F348" s="118"/>
      <c r="G348" s="119"/>
      <c r="H348" s="117"/>
      <c r="I348" s="117"/>
      <c r="J348" s="121"/>
      <c r="K348" s="117"/>
    </row>
    <row r="349" spans="2:11" s="1" customFormat="1" x14ac:dyDescent="0.2">
      <c r="B349" s="114"/>
      <c r="C349" s="115"/>
      <c r="D349" s="123"/>
      <c r="E349" s="117"/>
      <c r="F349" s="118"/>
      <c r="G349" s="119"/>
      <c r="H349" s="117"/>
      <c r="I349" s="117"/>
      <c r="J349" s="121"/>
      <c r="K349" s="117"/>
    </row>
    <row r="350" spans="2:11" s="1" customFormat="1" x14ac:dyDescent="0.2">
      <c r="B350" s="114"/>
      <c r="C350" s="115"/>
      <c r="D350" s="123"/>
      <c r="E350" s="117"/>
      <c r="F350" s="118"/>
      <c r="G350" s="119"/>
      <c r="H350" s="117"/>
      <c r="I350" s="117"/>
      <c r="J350" s="121"/>
      <c r="K350" s="117"/>
    </row>
    <row r="351" spans="2:11" s="1" customFormat="1" x14ac:dyDescent="0.2">
      <c r="B351" s="114"/>
      <c r="C351" s="115"/>
      <c r="D351" s="123"/>
      <c r="E351" s="117"/>
      <c r="F351" s="118"/>
      <c r="G351" s="119"/>
      <c r="H351" s="117"/>
      <c r="I351" s="117"/>
      <c r="J351" s="121"/>
      <c r="K351" s="117"/>
    </row>
    <row r="352" spans="2:11" s="1" customFormat="1" x14ac:dyDescent="0.2">
      <c r="B352" s="114"/>
      <c r="C352" s="115"/>
      <c r="D352" s="123"/>
      <c r="E352" s="117"/>
      <c r="F352" s="118"/>
      <c r="G352" s="119"/>
      <c r="H352" s="117"/>
      <c r="I352" s="117"/>
      <c r="J352" s="121"/>
      <c r="K352" s="117"/>
    </row>
    <row r="353" spans="2:11" s="1" customFormat="1" x14ac:dyDescent="0.2">
      <c r="B353" s="114"/>
      <c r="C353" s="115"/>
      <c r="D353" s="123"/>
      <c r="E353" s="117"/>
      <c r="F353" s="118"/>
      <c r="G353" s="119"/>
      <c r="H353" s="117"/>
      <c r="I353" s="117"/>
      <c r="J353" s="121"/>
      <c r="K353" s="117"/>
    </row>
    <row r="354" spans="2:11" s="1" customFormat="1" x14ac:dyDescent="0.2">
      <c r="B354" s="114"/>
      <c r="C354" s="115"/>
      <c r="D354" s="123"/>
      <c r="E354" s="117"/>
      <c r="F354" s="118"/>
      <c r="G354" s="119"/>
      <c r="H354" s="117"/>
      <c r="I354" s="117"/>
      <c r="J354" s="121"/>
      <c r="K354" s="117"/>
    </row>
    <row r="355" spans="2:11" s="1" customFormat="1" x14ac:dyDescent="0.2">
      <c r="B355" s="114"/>
      <c r="C355" s="115"/>
      <c r="D355" s="123"/>
      <c r="E355" s="117"/>
      <c r="F355" s="118"/>
      <c r="G355" s="119"/>
      <c r="H355" s="117"/>
      <c r="I355" s="117"/>
      <c r="J355" s="121"/>
      <c r="K355" s="117"/>
    </row>
    <row r="356" spans="2:11" s="1" customFormat="1" x14ac:dyDescent="0.2">
      <c r="B356" s="114"/>
      <c r="C356" s="115"/>
      <c r="D356" s="123"/>
      <c r="E356" s="117"/>
      <c r="F356" s="118"/>
      <c r="G356" s="119"/>
      <c r="H356" s="117"/>
      <c r="I356" s="117"/>
      <c r="J356" s="121"/>
      <c r="K356" s="117"/>
    </row>
    <row r="357" spans="2:11" s="1" customFormat="1" x14ac:dyDescent="0.2">
      <c r="B357" s="114"/>
      <c r="C357" s="115"/>
      <c r="D357" s="123"/>
      <c r="E357" s="117"/>
      <c r="F357" s="118"/>
      <c r="G357" s="119"/>
      <c r="H357" s="117"/>
      <c r="I357" s="117"/>
      <c r="J357" s="121"/>
      <c r="K357" s="117"/>
    </row>
    <row r="358" spans="2:11" s="1" customFormat="1" x14ac:dyDescent="0.2">
      <c r="B358" s="114"/>
      <c r="C358" s="115"/>
      <c r="D358" s="123"/>
      <c r="E358" s="117"/>
      <c r="F358" s="118"/>
      <c r="G358" s="119"/>
      <c r="H358" s="117"/>
      <c r="I358" s="117"/>
      <c r="J358" s="121"/>
      <c r="K358" s="117"/>
    </row>
    <row r="359" spans="2:11" s="1" customFormat="1" x14ac:dyDescent="0.2">
      <c r="B359" s="114"/>
      <c r="C359" s="115"/>
      <c r="D359" s="123"/>
      <c r="E359" s="117"/>
      <c r="F359" s="118"/>
      <c r="G359" s="119"/>
      <c r="H359" s="117"/>
      <c r="I359" s="117"/>
      <c r="J359" s="121"/>
      <c r="K359" s="117"/>
    </row>
    <row r="360" spans="2:11" s="1" customFormat="1" x14ac:dyDescent="0.2">
      <c r="B360" s="114"/>
      <c r="C360" s="115"/>
      <c r="D360" s="123"/>
      <c r="E360" s="117"/>
      <c r="F360" s="118"/>
      <c r="G360" s="119"/>
      <c r="H360" s="117"/>
      <c r="I360" s="117"/>
      <c r="J360" s="121"/>
      <c r="K360" s="117"/>
    </row>
    <row r="361" spans="2:11" s="1" customFormat="1" x14ac:dyDescent="0.2">
      <c r="B361" s="114"/>
      <c r="C361" s="115"/>
      <c r="D361" s="123"/>
      <c r="E361" s="117"/>
      <c r="F361" s="118"/>
      <c r="G361" s="119"/>
      <c r="H361" s="117"/>
      <c r="I361" s="117"/>
      <c r="J361" s="121"/>
      <c r="K361" s="117"/>
    </row>
    <row r="362" spans="2:11" s="1" customFormat="1" x14ac:dyDescent="0.2">
      <c r="B362" s="114"/>
      <c r="C362" s="115"/>
      <c r="D362" s="123"/>
      <c r="E362" s="117"/>
      <c r="F362" s="118"/>
      <c r="G362" s="119"/>
      <c r="H362" s="117"/>
      <c r="I362" s="117"/>
      <c r="J362" s="121"/>
      <c r="K362" s="117"/>
    </row>
    <row r="363" spans="2:11" s="1" customFormat="1" x14ac:dyDescent="0.2">
      <c r="B363" s="114"/>
      <c r="C363" s="115"/>
      <c r="D363" s="123"/>
      <c r="E363" s="117"/>
      <c r="F363" s="118"/>
      <c r="G363" s="119"/>
      <c r="H363" s="117"/>
      <c r="I363" s="117"/>
      <c r="J363" s="121"/>
      <c r="K363" s="117"/>
    </row>
    <row r="364" spans="2:11" s="1" customFormat="1" x14ac:dyDescent="0.2">
      <c r="B364" s="114"/>
      <c r="C364" s="115"/>
      <c r="D364" s="123"/>
      <c r="E364" s="117"/>
      <c r="F364" s="118"/>
      <c r="G364" s="119"/>
      <c r="H364" s="117"/>
      <c r="I364" s="117"/>
      <c r="J364" s="121"/>
      <c r="K364" s="117"/>
    </row>
    <row r="365" spans="2:11" s="1" customFormat="1" x14ac:dyDescent="0.2">
      <c r="B365" s="114"/>
      <c r="C365" s="115"/>
      <c r="D365" s="123"/>
      <c r="E365" s="117"/>
      <c r="F365" s="118"/>
      <c r="G365" s="119"/>
      <c r="H365" s="117"/>
      <c r="I365" s="117"/>
      <c r="J365" s="121"/>
      <c r="K365" s="117"/>
    </row>
    <row r="366" spans="2:11" s="1" customFormat="1" x14ac:dyDescent="0.2">
      <c r="B366" s="114"/>
      <c r="C366" s="115"/>
      <c r="D366" s="123"/>
      <c r="E366" s="117"/>
      <c r="F366" s="118"/>
      <c r="G366" s="119"/>
      <c r="H366" s="117"/>
      <c r="I366" s="117"/>
      <c r="J366" s="121"/>
      <c r="K366" s="117"/>
    </row>
    <row r="367" spans="2:11" s="1" customFormat="1" x14ac:dyDescent="0.2">
      <c r="B367" s="114"/>
      <c r="C367" s="115"/>
      <c r="D367" s="123"/>
      <c r="E367" s="117"/>
      <c r="F367" s="118"/>
      <c r="G367" s="119"/>
      <c r="H367" s="117"/>
      <c r="I367" s="117"/>
      <c r="J367" s="121"/>
      <c r="K367" s="117"/>
    </row>
    <row r="368" spans="2:11" s="1" customFormat="1" x14ac:dyDescent="0.2">
      <c r="B368" s="114"/>
      <c r="C368" s="115"/>
      <c r="D368" s="123"/>
      <c r="E368" s="117"/>
      <c r="F368" s="118"/>
      <c r="G368" s="119"/>
      <c r="H368" s="117"/>
      <c r="I368" s="117"/>
      <c r="J368" s="121"/>
      <c r="K368" s="117"/>
    </row>
    <row r="369" spans="2:11" s="1" customFormat="1" x14ac:dyDescent="0.2">
      <c r="B369" s="114"/>
      <c r="C369" s="115"/>
      <c r="D369" s="123"/>
      <c r="E369" s="117"/>
      <c r="F369" s="118"/>
      <c r="G369" s="119"/>
      <c r="H369" s="117"/>
      <c r="I369" s="117"/>
      <c r="J369" s="121"/>
      <c r="K369" s="117"/>
    </row>
    <row r="370" spans="2:11" s="1" customFormat="1" x14ac:dyDescent="0.2">
      <c r="B370" s="114"/>
      <c r="C370" s="115"/>
      <c r="D370" s="123"/>
      <c r="E370" s="117"/>
      <c r="F370" s="118"/>
      <c r="G370" s="119"/>
      <c r="H370" s="117"/>
      <c r="I370" s="117"/>
      <c r="J370" s="121"/>
      <c r="K370" s="117"/>
    </row>
    <row r="371" spans="2:11" s="1" customFormat="1" x14ac:dyDescent="0.2">
      <c r="B371" s="114"/>
      <c r="C371" s="115"/>
      <c r="D371" s="123"/>
      <c r="E371" s="117"/>
      <c r="F371" s="118"/>
      <c r="G371" s="119"/>
      <c r="H371" s="117"/>
      <c r="I371" s="117"/>
      <c r="J371" s="121"/>
      <c r="K371" s="117"/>
    </row>
    <row r="372" spans="2:11" s="1" customFormat="1" x14ac:dyDescent="0.2">
      <c r="B372" s="114"/>
      <c r="C372" s="115"/>
      <c r="D372" s="123"/>
      <c r="E372" s="117"/>
      <c r="F372" s="118"/>
      <c r="G372" s="119"/>
      <c r="H372" s="117"/>
      <c r="I372" s="117"/>
      <c r="J372" s="121"/>
      <c r="K372" s="117"/>
    </row>
    <row r="373" spans="2:11" s="1" customFormat="1" x14ac:dyDescent="0.2">
      <c r="B373" s="114"/>
      <c r="C373" s="115"/>
      <c r="D373" s="123"/>
      <c r="E373" s="117"/>
      <c r="F373" s="118"/>
      <c r="G373" s="119"/>
      <c r="H373" s="117"/>
      <c r="I373" s="117"/>
      <c r="J373" s="121"/>
      <c r="K373" s="117"/>
    </row>
    <row r="374" spans="2:11" s="1" customFormat="1" x14ac:dyDescent="0.2">
      <c r="B374" s="114"/>
      <c r="C374" s="115"/>
      <c r="D374" s="123"/>
      <c r="E374" s="117"/>
      <c r="F374" s="118"/>
      <c r="G374" s="119"/>
      <c r="H374" s="117"/>
      <c r="I374" s="117"/>
      <c r="J374" s="121"/>
      <c r="K374" s="117"/>
    </row>
    <row r="375" spans="2:11" s="1" customFormat="1" x14ac:dyDescent="0.2">
      <c r="B375" s="114"/>
      <c r="C375" s="115"/>
      <c r="D375" s="123"/>
      <c r="E375" s="117"/>
      <c r="F375" s="118"/>
      <c r="G375" s="119"/>
      <c r="H375" s="117"/>
      <c r="I375" s="117"/>
      <c r="J375" s="121"/>
      <c r="K375" s="117"/>
    </row>
    <row r="376" spans="2:11" s="1" customFormat="1" x14ac:dyDescent="0.2">
      <c r="B376" s="114"/>
      <c r="C376" s="115"/>
      <c r="D376" s="123"/>
      <c r="E376" s="117"/>
      <c r="F376" s="118"/>
      <c r="G376" s="119"/>
      <c r="H376" s="117"/>
      <c r="I376" s="117"/>
      <c r="J376" s="121"/>
      <c r="K376" s="117"/>
    </row>
    <row r="377" spans="2:11" s="1" customFormat="1" x14ac:dyDescent="0.2">
      <c r="B377" s="114"/>
      <c r="C377" s="115"/>
      <c r="D377" s="123"/>
      <c r="E377" s="117"/>
      <c r="F377" s="118"/>
      <c r="G377" s="119"/>
      <c r="H377" s="117"/>
      <c r="I377" s="117"/>
      <c r="J377" s="121"/>
      <c r="K377" s="117"/>
    </row>
    <row r="378" spans="2:11" s="1" customFormat="1" x14ac:dyDescent="0.2">
      <c r="B378" s="114"/>
      <c r="C378" s="115"/>
      <c r="D378" s="123"/>
      <c r="E378" s="117"/>
      <c r="F378" s="118"/>
      <c r="G378" s="119"/>
      <c r="H378" s="117"/>
      <c r="I378" s="117"/>
      <c r="J378" s="121"/>
      <c r="K378" s="117"/>
    </row>
    <row r="379" spans="2:11" s="1" customFormat="1" x14ac:dyDescent="0.2">
      <c r="B379" s="114"/>
      <c r="C379" s="115"/>
      <c r="D379" s="123"/>
      <c r="E379" s="117"/>
      <c r="F379" s="118"/>
      <c r="G379" s="119"/>
      <c r="H379" s="117"/>
      <c r="I379" s="117"/>
      <c r="J379" s="121"/>
      <c r="K379" s="117"/>
    </row>
    <row r="380" spans="2:11" s="1" customFormat="1" x14ac:dyDescent="0.2">
      <c r="B380" s="114"/>
      <c r="C380" s="115"/>
      <c r="D380" s="123"/>
      <c r="E380" s="117"/>
      <c r="F380" s="118"/>
      <c r="G380" s="119"/>
      <c r="H380" s="117"/>
      <c r="I380" s="117"/>
      <c r="J380" s="121"/>
      <c r="K380" s="117"/>
    </row>
    <row r="381" spans="2:11" s="1" customFormat="1" x14ac:dyDescent="0.2">
      <c r="B381" s="114"/>
      <c r="C381" s="115"/>
      <c r="D381" s="123"/>
      <c r="E381" s="117"/>
      <c r="F381" s="118"/>
      <c r="G381" s="119"/>
      <c r="H381" s="117"/>
      <c r="I381" s="117"/>
      <c r="J381" s="121"/>
      <c r="K381" s="117"/>
    </row>
    <row r="382" spans="2:11" s="1" customFormat="1" x14ac:dyDescent="0.2">
      <c r="B382" s="114"/>
      <c r="C382" s="115"/>
      <c r="D382" s="123"/>
      <c r="E382" s="117"/>
      <c r="F382" s="118"/>
      <c r="G382" s="119"/>
      <c r="H382" s="117"/>
      <c r="I382" s="117"/>
      <c r="J382" s="121"/>
      <c r="K382" s="117"/>
    </row>
    <row r="383" spans="2:11" s="1" customFormat="1" x14ac:dyDescent="0.2">
      <c r="B383" s="114"/>
      <c r="C383" s="115"/>
      <c r="D383" s="123"/>
      <c r="E383" s="117"/>
      <c r="F383" s="118"/>
      <c r="G383" s="119"/>
      <c r="H383" s="117"/>
      <c r="I383" s="117"/>
      <c r="J383" s="121"/>
      <c r="K383" s="117"/>
    </row>
    <row r="384" spans="2:11" s="1" customFormat="1" x14ac:dyDescent="0.2">
      <c r="B384" s="114"/>
      <c r="C384" s="115"/>
      <c r="D384" s="123"/>
      <c r="E384" s="117"/>
      <c r="F384" s="118"/>
      <c r="G384" s="119"/>
      <c r="H384" s="117"/>
      <c r="I384" s="117"/>
      <c r="J384" s="121"/>
      <c r="K384" s="117"/>
    </row>
    <row r="385" spans="2:11" s="1" customFormat="1" x14ac:dyDescent="0.2">
      <c r="B385" s="114"/>
      <c r="C385" s="115"/>
      <c r="D385" s="123"/>
      <c r="E385" s="117"/>
      <c r="F385" s="118"/>
      <c r="G385" s="119"/>
      <c r="H385" s="117"/>
      <c r="I385" s="117"/>
      <c r="J385" s="121"/>
      <c r="K385" s="117"/>
    </row>
    <row r="386" spans="2:11" x14ac:dyDescent="0.2">
      <c r="E386" s="124"/>
    </row>
    <row r="387" spans="2:11" x14ac:dyDescent="0.2">
      <c r="E387" s="124"/>
    </row>
    <row r="388" spans="2:11" x14ac:dyDescent="0.2">
      <c r="E388" s="124"/>
    </row>
    <row r="389" spans="2:11" x14ac:dyDescent="0.2">
      <c r="E389" s="124"/>
    </row>
    <row r="390" spans="2:11" x14ac:dyDescent="0.2">
      <c r="E390" s="124"/>
    </row>
    <row r="391" spans="2:11" x14ac:dyDescent="0.2">
      <c r="E391" s="124"/>
    </row>
    <row r="392" spans="2:11" x14ac:dyDescent="0.2">
      <c r="E392" s="124"/>
    </row>
    <row r="393" spans="2:11" x14ac:dyDescent="0.2">
      <c r="E393" s="124"/>
    </row>
    <row r="394" spans="2:11" x14ac:dyDescent="0.2">
      <c r="E394" s="124"/>
    </row>
    <row r="395" spans="2:11" x14ac:dyDescent="0.2">
      <c r="E395" s="124"/>
    </row>
    <row r="396" spans="2:11" x14ac:dyDescent="0.2">
      <c r="E396" s="124"/>
    </row>
    <row r="397" spans="2:11" x14ac:dyDescent="0.2">
      <c r="E397" s="124"/>
    </row>
    <row r="398" spans="2:11" x14ac:dyDescent="0.2">
      <c r="E398" s="124"/>
    </row>
    <row r="399" spans="2:11" x14ac:dyDescent="0.2">
      <c r="E399" s="124"/>
    </row>
    <row r="400" spans="2:11" x14ac:dyDescent="0.2">
      <c r="E400" s="124"/>
    </row>
    <row r="401" spans="5:5" x14ac:dyDescent="0.2">
      <c r="E401" s="124"/>
    </row>
    <row r="402" spans="5:5" x14ac:dyDescent="0.2">
      <c r="E402" s="124"/>
    </row>
    <row r="403" spans="5:5" x14ac:dyDescent="0.2">
      <c r="E403" s="124"/>
    </row>
    <row r="404" spans="5:5" x14ac:dyDescent="0.2">
      <c r="E404" s="124"/>
    </row>
    <row r="405" spans="5:5" x14ac:dyDescent="0.2">
      <c r="E405" s="124"/>
    </row>
    <row r="406" spans="5:5" x14ac:dyDescent="0.2">
      <c r="E406" s="124"/>
    </row>
    <row r="407" spans="5:5" x14ac:dyDescent="0.2">
      <c r="E407" s="124"/>
    </row>
    <row r="408" spans="5:5" x14ac:dyDescent="0.2">
      <c r="E408" s="124"/>
    </row>
    <row r="409" spans="5:5" x14ac:dyDescent="0.2">
      <c r="E409" s="124"/>
    </row>
    <row r="410" spans="5:5" x14ac:dyDescent="0.2">
      <c r="E410" s="124"/>
    </row>
    <row r="411" spans="5:5" x14ac:dyDescent="0.2">
      <c r="E411" s="124"/>
    </row>
    <row r="412" spans="5:5" x14ac:dyDescent="0.2">
      <c r="E412" s="124"/>
    </row>
    <row r="413" spans="5:5" x14ac:dyDescent="0.2">
      <c r="E413" s="124"/>
    </row>
    <row r="414" spans="5:5" x14ac:dyDescent="0.2">
      <c r="E414" s="124"/>
    </row>
    <row r="415" spans="5:5" x14ac:dyDescent="0.2">
      <c r="E415" s="124"/>
    </row>
    <row r="416" spans="5:5" x14ac:dyDescent="0.2">
      <c r="E416" s="124"/>
    </row>
    <row r="417" spans="5:5" x14ac:dyDescent="0.2">
      <c r="E417" s="124"/>
    </row>
    <row r="418" spans="5:5" x14ac:dyDescent="0.2">
      <c r="E418" s="124"/>
    </row>
    <row r="419" spans="5:5" x14ac:dyDescent="0.2">
      <c r="E419" s="124"/>
    </row>
    <row r="420" spans="5:5" x14ac:dyDescent="0.2">
      <c r="E420" s="124"/>
    </row>
    <row r="421" spans="5:5" x14ac:dyDescent="0.2">
      <c r="E421" s="124"/>
    </row>
    <row r="422" spans="5:5" x14ac:dyDescent="0.2">
      <c r="E422" s="124"/>
    </row>
    <row r="423" spans="5:5" x14ac:dyDescent="0.2">
      <c r="E423" s="124"/>
    </row>
    <row r="424" spans="5:5" x14ac:dyDescent="0.2">
      <c r="E424" s="124"/>
    </row>
    <row r="425" spans="5:5" x14ac:dyDescent="0.2">
      <c r="E425" s="124"/>
    </row>
    <row r="426" spans="5:5" x14ac:dyDescent="0.2">
      <c r="E426" s="124"/>
    </row>
    <row r="427" spans="5:5" x14ac:dyDescent="0.2">
      <c r="E427" s="124"/>
    </row>
    <row r="428" spans="5:5" x14ac:dyDescent="0.2">
      <c r="E428" s="124"/>
    </row>
    <row r="429" spans="5:5" x14ac:dyDescent="0.2">
      <c r="E429" s="124"/>
    </row>
    <row r="430" spans="5:5" x14ac:dyDescent="0.2">
      <c r="E430" s="124"/>
    </row>
    <row r="431" spans="5:5" x14ac:dyDescent="0.2">
      <c r="E431" s="124"/>
    </row>
    <row r="432" spans="5:5" x14ac:dyDescent="0.2">
      <c r="E432" s="124"/>
    </row>
    <row r="433" spans="5:5" x14ac:dyDescent="0.2">
      <c r="E433" s="124"/>
    </row>
    <row r="434" spans="5:5" x14ac:dyDescent="0.2">
      <c r="E434" s="124"/>
    </row>
    <row r="435" spans="5:5" x14ac:dyDescent="0.2">
      <c r="E435" s="124"/>
    </row>
    <row r="436" spans="5:5" x14ac:dyDescent="0.2">
      <c r="E436" s="124"/>
    </row>
    <row r="437" spans="5:5" x14ac:dyDescent="0.2">
      <c r="E437" s="124"/>
    </row>
    <row r="438" spans="5:5" x14ac:dyDescent="0.2">
      <c r="E438" s="124"/>
    </row>
    <row r="439" spans="5:5" x14ac:dyDescent="0.2">
      <c r="E439" s="124"/>
    </row>
    <row r="440" spans="5:5" x14ac:dyDescent="0.2">
      <c r="E440" s="124"/>
    </row>
    <row r="441" spans="5:5" x14ac:dyDescent="0.2">
      <c r="E441" s="124"/>
    </row>
    <row r="442" spans="5:5" x14ac:dyDescent="0.2">
      <c r="E442" s="124"/>
    </row>
    <row r="443" spans="5:5" x14ac:dyDescent="0.2">
      <c r="E443" s="124"/>
    </row>
    <row r="444" spans="5:5" x14ac:dyDescent="0.2">
      <c r="E444" s="124"/>
    </row>
    <row r="445" spans="5:5" x14ac:dyDescent="0.2">
      <c r="E445" s="124"/>
    </row>
    <row r="446" spans="5:5" x14ac:dyDescent="0.2">
      <c r="E446" s="124"/>
    </row>
    <row r="447" spans="5:5" x14ac:dyDescent="0.2">
      <c r="E447" s="124"/>
    </row>
    <row r="448" spans="5:5" x14ac:dyDescent="0.2">
      <c r="E448" s="124"/>
    </row>
    <row r="449" spans="5:5" x14ac:dyDescent="0.2">
      <c r="E449" s="124"/>
    </row>
    <row r="450" spans="5:5" x14ac:dyDescent="0.2">
      <c r="E450" s="124"/>
    </row>
    <row r="451" spans="5:5" x14ac:dyDescent="0.2">
      <c r="E451" s="124"/>
    </row>
    <row r="452" spans="5:5" x14ac:dyDescent="0.2">
      <c r="E452" s="124"/>
    </row>
    <row r="453" spans="5:5" x14ac:dyDescent="0.2">
      <c r="E453" s="124"/>
    </row>
    <row r="454" spans="5:5" x14ac:dyDescent="0.2">
      <c r="E454" s="124"/>
    </row>
    <row r="455" spans="5:5" x14ac:dyDescent="0.2">
      <c r="E455" s="124"/>
    </row>
    <row r="456" spans="5:5" x14ac:dyDescent="0.2">
      <c r="E456" s="124"/>
    </row>
    <row r="457" spans="5:5" x14ac:dyDescent="0.2">
      <c r="E457" s="124"/>
    </row>
    <row r="458" spans="5:5" x14ac:dyDescent="0.2">
      <c r="E458" s="124"/>
    </row>
    <row r="459" spans="5:5" x14ac:dyDescent="0.2">
      <c r="E459" s="124"/>
    </row>
    <row r="460" spans="5:5" x14ac:dyDescent="0.2">
      <c r="E460" s="124"/>
    </row>
    <row r="461" spans="5:5" x14ac:dyDescent="0.2">
      <c r="E461" s="124"/>
    </row>
    <row r="462" spans="5:5" x14ac:dyDescent="0.2">
      <c r="E462" s="124"/>
    </row>
    <row r="463" spans="5:5" x14ac:dyDescent="0.2">
      <c r="E463" s="124"/>
    </row>
    <row r="464" spans="5:5" x14ac:dyDescent="0.2">
      <c r="E464" s="124"/>
    </row>
    <row r="465" spans="5:5" x14ac:dyDescent="0.2">
      <c r="E465" s="124"/>
    </row>
    <row r="466" spans="5:5" x14ac:dyDescent="0.2">
      <c r="E466" s="124"/>
    </row>
    <row r="467" spans="5:5" x14ac:dyDescent="0.2">
      <c r="E467" s="124"/>
    </row>
    <row r="468" spans="5:5" x14ac:dyDescent="0.2">
      <c r="E468" s="124"/>
    </row>
    <row r="469" spans="5:5" x14ac:dyDescent="0.2">
      <c r="E469" s="124"/>
    </row>
    <row r="470" spans="5:5" x14ac:dyDescent="0.2">
      <c r="E470" s="124"/>
    </row>
    <row r="471" spans="5:5" x14ac:dyDescent="0.2">
      <c r="E471" s="124"/>
    </row>
    <row r="472" spans="5:5" x14ac:dyDescent="0.2">
      <c r="E472" s="124"/>
    </row>
    <row r="473" spans="5:5" x14ac:dyDescent="0.2">
      <c r="E473" s="124"/>
    </row>
    <row r="474" spans="5:5" x14ac:dyDescent="0.2">
      <c r="E474" s="124"/>
    </row>
    <row r="475" spans="5:5" x14ac:dyDescent="0.2">
      <c r="E475" s="124"/>
    </row>
    <row r="476" spans="5:5" x14ac:dyDescent="0.2">
      <c r="E476" s="124"/>
    </row>
    <row r="477" spans="5:5" x14ac:dyDescent="0.2">
      <c r="E477" s="124"/>
    </row>
    <row r="478" spans="5:5" x14ac:dyDescent="0.2">
      <c r="E478" s="124"/>
    </row>
    <row r="479" spans="5:5" x14ac:dyDescent="0.2">
      <c r="E479" s="124"/>
    </row>
    <row r="480" spans="5:5" x14ac:dyDescent="0.2">
      <c r="E480" s="124"/>
    </row>
    <row r="481" spans="5:5" x14ac:dyDescent="0.2">
      <c r="E481" s="124"/>
    </row>
    <row r="482" spans="5:5" x14ac:dyDescent="0.2">
      <c r="E482" s="124"/>
    </row>
    <row r="483" spans="5:5" x14ac:dyDescent="0.2">
      <c r="E483" s="124"/>
    </row>
    <row r="484" spans="5:5" x14ac:dyDescent="0.2">
      <c r="E484" s="124"/>
    </row>
    <row r="485" spans="5:5" x14ac:dyDescent="0.2">
      <c r="E485" s="124"/>
    </row>
    <row r="486" spans="5:5" x14ac:dyDescent="0.2">
      <c r="E486" s="124"/>
    </row>
    <row r="487" spans="5:5" x14ac:dyDescent="0.2">
      <c r="E487" s="124"/>
    </row>
    <row r="488" spans="5:5" x14ac:dyDescent="0.2">
      <c r="E488" s="124"/>
    </row>
    <row r="489" spans="5:5" x14ac:dyDescent="0.2">
      <c r="E489" s="124"/>
    </row>
    <row r="490" spans="5:5" x14ac:dyDescent="0.2">
      <c r="E490" s="124"/>
    </row>
    <row r="491" spans="5:5" x14ac:dyDescent="0.2">
      <c r="E491" s="124"/>
    </row>
    <row r="492" spans="5:5" x14ac:dyDescent="0.2">
      <c r="E492" s="124"/>
    </row>
    <row r="493" spans="5:5" x14ac:dyDescent="0.2">
      <c r="E493" s="124"/>
    </row>
    <row r="494" spans="5:5" x14ac:dyDescent="0.2">
      <c r="E494" s="124"/>
    </row>
    <row r="495" spans="5:5" x14ac:dyDescent="0.2">
      <c r="E495" s="124"/>
    </row>
    <row r="496" spans="5:5" x14ac:dyDescent="0.2">
      <c r="E496" s="124"/>
    </row>
    <row r="497" spans="5:5" x14ac:dyDescent="0.2">
      <c r="E497" s="124"/>
    </row>
    <row r="498" spans="5:5" x14ac:dyDescent="0.2">
      <c r="E498" s="124"/>
    </row>
    <row r="499" spans="5:5" x14ac:dyDescent="0.2">
      <c r="E499" s="124"/>
    </row>
    <row r="500" spans="5:5" x14ac:dyDescent="0.2">
      <c r="E500" s="124"/>
    </row>
    <row r="501" spans="5:5" x14ac:dyDescent="0.2">
      <c r="E501" s="124"/>
    </row>
    <row r="502" spans="5:5" x14ac:dyDescent="0.2">
      <c r="E502" s="124"/>
    </row>
    <row r="503" spans="5:5" x14ac:dyDescent="0.2">
      <c r="E503" s="124"/>
    </row>
    <row r="504" spans="5:5" x14ac:dyDescent="0.2">
      <c r="E504" s="124"/>
    </row>
    <row r="505" spans="5:5" x14ac:dyDescent="0.2">
      <c r="E505" s="124"/>
    </row>
    <row r="506" spans="5:5" x14ac:dyDescent="0.2">
      <c r="E506" s="124"/>
    </row>
    <row r="507" spans="5:5" x14ac:dyDescent="0.2">
      <c r="E507" s="124"/>
    </row>
    <row r="508" spans="5:5" x14ac:dyDescent="0.2">
      <c r="E508" s="124"/>
    </row>
    <row r="509" spans="5:5" x14ac:dyDescent="0.2">
      <c r="E509" s="124"/>
    </row>
    <row r="510" spans="5:5" x14ac:dyDescent="0.2">
      <c r="E510" s="124"/>
    </row>
    <row r="511" spans="5:5" x14ac:dyDescent="0.2">
      <c r="E511" s="124"/>
    </row>
    <row r="512" spans="5:5" x14ac:dyDescent="0.2">
      <c r="E512" s="124"/>
    </row>
    <row r="513" spans="5:5" x14ac:dyDescent="0.2">
      <c r="E513" s="124"/>
    </row>
    <row r="514" spans="5:5" x14ac:dyDescent="0.2">
      <c r="E514" s="124"/>
    </row>
    <row r="515" spans="5:5" x14ac:dyDescent="0.2">
      <c r="E515" s="124"/>
    </row>
    <row r="516" spans="5:5" x14ac:dyDescent="0.2">
      <c r="E516" s="124"/>
    </row>
    <row r="517" spans="5:5" x14ac:dyDescent="0.2">
      <c r="E517" s="124"/>
    </row>
    <row r="518" spans="5:5" x14ac:dyDescent="0.2">
      <c r="E518" s="124"/>
    </row>
    <row r="519" spans="5:5" x14ac:dyDescent="0.2">
      <c r="E519" s="124"/>
    </row>
    <row r="520" spans="5:5" x14ac:dyDescent="0.2">
      <c r="E520" s="124"/>
    </row>
    <row r="521" spans="5:5" x14ac:dyDescent="0.2">
      <c r="E521" s="12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2D11-065F-4EB7-90D4-945C935B4F7D}">
  <dimension ref="A1:F314"/>
  <sheetViews>
    <sheetView zoomScaleNormal="100" workbookViewId="0">
      <pane ySplit="1" topLeftCell="A2" activePane="bottomLeft" state="frozen"/>
      <selection pane="bottomLeft" activeCell="B3" sqref="B3"/>
    </sheetView>
  </sheetViews>
  <sheetFormatPr defaultRowHeight="12.75" x14ac:dyDescent="0.2"/>
  <cols>
    <col min="1" max="1" width="14.85546875" customWidth="1"/>
    <col min="2" max="2" width="47" customWidth="1"/>
    <col min="3" max="4" width="10" style="45" customWidth="1"/>
    <col min="5" max="5" width="10" style="50" customWidth="1"/>
    <col min="6" max="6" width="27.5703125" customWidth="1"/>
  </cols>
  <sheetData>
    <row r="1" spans="1:6" x14ac:dyDescent="0.2">
      <c r="A1" s="46" t="s">
        <v>50</v>
      </c>
      <c r="B1" s="46" t="s">
        <v>67</v>
      </c>
      <c r="C1" s="46" t="s">
        <v>75</v>
      </c>
      <c r="D1" s="46" t="s">
        <v>1</v>
      </c>
      <c r="E1" s="49" t="s">
        <v>43</v>
      </c>
      <c r="F1" s="46" t="s">
        <v>79</v>
      </c>
    </row>
    <row r="2" spans="1:6" ht="22.5" customHeight="1" x14ac:dyDescent="0.2">
      <c r="A2" s="58" t="str">
        <f>"FasCat Road Racing In Season - Intermediate ( " &amp; ROUND(SUM(C3:C44)/60/6,1) &amp; " hrs &amp; " &amp; ROUND(SUM(D3:D44)/6,0) &amp; " TSS )"</f>
        <v>FasCat Road Racing In Season - Intermediate ( 7.7 hrs &amp; 480 TSS )</v>
      </c>
      <c r="B2" s="58"/>
      <c r="C2" s="52"/>
      <c r="D2" s="52"/>
      <c r="E2" s="58"/>
      <c r="F2" s="52"/>
    </row>
    <row r="3" spans="1:6" x14ac:dyDescent="0.2">
      <c r="A3" t="s">
        <v>66</v>
      </c>
      <c r="C3" s="45" t="str">
        <f>IF(B3="","",INDEX(Workouts!B:B,MATCH(B3,Workouts!A:A,0)))</f>
        <v/>
      </c>
      <c r="D3" s="45" t="str">
        <f>IF(B3="","",INDEX(Workouts!C:C,MATCH(B3,Workouts!A:A,0)))</f>
        <v/>
      </c>
      <c r="E3" s="50" t="str">
        <f>IF(B3="","",INDEX(Workouts!D:D,MATCH(B3,Workouts!A:A,0)))</f>
        <v/>
      </c>
      <c r="F3" t="str">
        <f>"Week 1: " &amp; INT(SUM(C3:C9)/60) &amp; ":" &amp; LEFT(MOD(SUM(C3:C9),60)&amp;"0",2) &amp; " hrs &amp; " &amp; SUM(D3:D9) &amp; " TSS"</f>
        <v>Week 1: 6:40 hrs &amp; 407 TSS</v>
      </c>
    </row>
    <row r="4" spans="1:6" x14ac:dyDescent="0.2">
      <c r="A4" t="s">
        <v>68</v>
      </c>
      <c r="B4" s="63" t="s">
        <v>69</v>
      </c>
      <c r="C4" s="45">
        <f>IF(B4="","",INDEX(Workouts!B:B,MATCH(B4,Workouts!A:A,0)))</f>
        <v>25</v>
      </c>
      <c r="D4" s="45">
        <f>IF(B4="","",INDEX(Workouts!C:C,MATCH(B4,Workouts!A:A,0)))</f>
        <v>34</v>
      </c>
      <c r="E4" s="50">
        <f>IF(B4="","",INDEX(Workouts!D:D,MATCH(B4,Workouts!A:A,0)))</f>
        <v>0.91</v>
      </c>
    </row>
    <row r="5" spans="1:6" x14ac:dyDescent="0.2">
      <c r="A5" t="s">
        <v>70</v>
      </c>
      <c r="B5" s="1" t="s">
        <v>251</v>
      </c>
      <c r="C5" s="45">
        <f>IF(B5="","",INDEX(Workouts!B:B,MATCH(B5,Workouts!A:A,0)))</f>
        <v>75</v>
      </c>
      <c r="D5" s="45">
        <f>IF(B5="","",INDEX(Workouts!C:C,MATCH(B5,Workouts!A:A,0)))</f>
        <v>68</v>
      </c>
      <c r="E5" s="50">
        <f>IF(B5="","",INDEX(Workouts!D:D,MATCH(B5,Workouts!A:A,0)))</f>
        <v>0.74</v>
      </c>
    </row>
    <row r="6" spans="1:6" x14ac:dyDescent="0.2">
      <c r="A6" t="s">
        <v>71</v>
      </c>
      <c r="C6" s="45" t="str">
        <f>IF(B6="","",INDEX(Workouts!B:B,MATCH(B6,Workouts!A:A,0)))</f>
        <v/>
      </c>
      <c r="D6" s="45" t="str">
        <f>IF(B6="","",INDEX(Workouts!C:C,MATCH(B6,Workouts!A:A,0)))</f>
        <v/>
      </c>
      <c r="E6" s="50" t="str">
        <f>IF(B6="","",INDEX(Workouts!D:D,MATCH(B6,Workouts!A:A,0)))</f>
        <v/>
      </c>
    </row>
    <row r="7" spans="1:6" x14ac:dyDescent="0.2">
      <c r="A7" t="s">
        <v>72</v>
      </c>
      <c r="B7" s="1" t="s">
        <v>252</v>
      </c>
      <c r="C7" s="45">
        <f>IF(B7="","",INDEX(Workouts!B:B,MATCH(B7,Workouts!A:A,0)))</f>
        <v>60</v>
      </c>
      <c r="D7" s="45">
        <f>IF(B7="","",INDEX(Workouts!C:C,MATCH(B7,Workouts!A:A,0)))</f>
        <v>70</v>
      </c>
      <c r="E7" s="50">
        <f>IF(B7="","",INDEX(Workouts!D:D,MATCH(B7,Workouts!A:A,0)))</f>
        <v>0.84</v>
      </c>
    </row>
    <row r="8" spans="1:6" x14ac:dyDescent="0.2">
      <c r="A8" t="s">
        <v>73</v>
      </c>
      <c r="B8" s="1" t="s">
        <v>253</v>
      </c>
      <c r="C8" s="45">
        <f>IF(B8="","",INDEX(Workouts!B:B,MATCH(B8,Workouts!A:A,0)))</f>
        <v>150</v>
      </c>
      <c r="D8" s="45">
        <f>IF(B8="","",INDEX(Workouts!C:C,MATCH(B8,Workouts!A:A,0)))</f>
        <v>148</v>
      </c>
      <c r="E8" s="50">
        <f>IF(B8="","",INDEX(Workouts!D:D,MATCH(B8,Workouts!A:A,0)))</f>
        <v>0.77</v>
      </c>
    </row>
    <row r="9" spans="1:6" ht="13.5" thickBot="1" x14ac:dyDescent="0.25">
      <c r="A9" s="4" t="s">
        <v>74</v>
      </c>
      <c r="B9" s="47" t="s">
        <v>254</v>
      </c>
      <c r="C9" s="48">
        <f>IF(B9="","",INDEX(Workouts!B:B,MATCH(B9,Workouts!A:A,0)))</f>
        <v>90</v>
      </c>
      <c r="D9" s="48">
        <f>IF(B9="","",INDEX(Workouts!C:C,MATCH(B9,Workouts!A:A,0)))</f>
        <v>87</v>
      </c>
      <c r="E9" s="51">
        <f>IF(B9="","",INDEX(Workouts!D:D,MATCH(B9,Workouts!A:A,0)))</f>
        <v>0.76</v>
      </c>
      <c r="F9" s="4"/>
    </row>
    <row r="10" spans="1:6" x14ac:dyDescent="0.2">
      <c r="A10" t="s">
        <v>66</v>
      </c>
      <c r="C10" s="45" t="str">
        <f>IF(B10="","",INDEX(Workouts!B:B,MATCH(B10,Workouts!A:A,0)))</f>
        <v/>
      </c>
      <c r="D10" s="45" t="str">
        <f>IF(B10="","",INDEX(Workouts!C:C,MATCH(B10,Workouts!A:A,0)))</f>
        <v/>
      </c>
      <c r="E10" s="50" t="str">
        <f>IF(B10="","",INDEX(Workouts!D:D,MATCH(B10,Workouts!A:A,0)))</f>
        <v/>
      </c>
      <c r="F10" t="str">
        <f>"Week 2: " &amp; INT(SUM(C10:C16)/60) &amp; ":" &amp; LEFT(MOD(SUM(C10:C16),60)&amp;"0",2) &amp; " hrs &amp; " &amp; SUM(D10:D16) &amp; " TSS"</f>
        <v>Week 2: 7:30 hrs &amp; 465 TSS</v>
      </c>
    </row>
    <row r="11" spans="1:6" x14ac:dyDescent="0.2">
      <c r="A11" t="s">
        <v>68</v>
      </c>
      <c r="B11" s="1" t="s">
        <v>255</v>
      </c>
      <c r="C11" s="45">
        <f>IF(B11="","",INDEX(Workouts!B:B,MATCH(B11,Workouts!A:A,0)))</f>
        <v>60</v>
      </c>
      <c r="D11" s="45">
        <f>IF(B11="","",INDEX(Workouts!C:C,MATCH(B11,Workouts!A:A,0)))</f>
        <v>69</v>
      </c>
      <c r="E11" s="50">
        <f>IF(B11="","",INDEX(Workouts!D:D,MATCH(B11,Workouts!A:A,0)))</f>
        <v>0.84</v>
      </c>
    </row>
    <row r="12" spans="1:6" x14ac:dyDescent="0.2">
      <c r="A12" t="s">
        <v>70</v>
      </c>
      <c r="B12" s="1" t="s">
        <v>256</v>
      </c>
      <c r="C12" s="45">
        <f>IF(B12="","",INDEX(Workouts!B:B,MATCH(B12,Workouts!A:A,0)))</f>
        <v>60</v>
      </c>
      <c r="D12" s="45">
        <f>IF(B12="","",INDEX(Workouts!C:C,MATCH(B12,Workouts!A:A,0)))</f>
        <v>61</v>
      </c>
      <c r="E12" s="50">
        <f>IF(B12="","",INDEX(Workouts!D:D,MATCH(B12,Workouts!A:A,0)))</f>
        <v>0.78</v>
      </c>
    </row>
    <row r="13" spans="1:6" x14ac:dyDescent="0.2">
      <c r="A13" t="s">
        <v>71</v>
      </c>
      <c r="C13" s="45" t="str">
        <f>IF(B13="","",INDEX(Workouts!B:B,MATCH(B13,Workouts!A:A,0)))</f>
        <v/>
      </c>
      <c r="D13" s="45" t="str">
        <f>IF(B13="","",INDEX(Workouts!C:C,MATCH(B13,Workouts!A:A,0)))</f>
        <v/>
      </c>
      <c r="E13" s="50" t="str">
        <f>IF(B13="","",INDEX(Workouts!D:D,MATCH(B13,Workouts!A:A,0)))</f>
        <v/>
      </c>
    </row>
    <row r="14" spans="1:6" x14ac:dyDescent="0.2">
      <c r="A14" t="s">
        <v>72</v>
      </c>
      <c r="B14" s="1" t="s">
        <v>257</v>
      </c>
      <c r="C14" s="45">
        <f>IF(B14="","",INDEX(Workouts!B:B,MATCH(B14,Workouts!A:A,0)))</f>
        <v>60</v>
      </c>
      <c r="D14" s="45">
        <f>IF(B14="","",INDEX(Workouts!C:C,MATCH(B14,Workouts!A:A,0)))</f>
        <v>65</v>
      </c>
      <c r="E14" s="50">
        <f>IF(B14="","",INDEX(Workouts!D:D,MATCH(B14,Workouts!A:A,0)))</f>
        <v>0.81</v>
      </c>
    </row>
    <row r="15" spans="1:6" x14ac:dyDescent="0.2">
      <c r="A15" t="s">
        <v>73</v>
      </c>
      <c r="B15" s="1" t="s">
        <v>258</v>
      </c>
      <c r="C15" s="45">
        <f>IF(B15="","",INDEX(Workouts!B:B,MATCH(B15,Workouts!A:A,0)))</f>
        <v>120</v>
      </c>
      <c r="D15" s="45">
        <f>IF(B15="","",INDEX(Workouts!C:C,MATCH(B15,Workouts!A:A,0)))</f>
        <v>122</v>
      </c>
      <c r="E15" s="50">
        <f>IF(B15="","",INDEX(Workouts!D:D,MATCH(B15,Workouts!A:A,0)))</f>
        <v>0.78</v>
      </c>
    </row>
    <row r="16" spans="1:6" ht="13.5" thickBot="1" x14ac:dyDescent="0.25">
      <c r="A16" s="4" t="s">
        <v>74</v>
      </c>
      <c r="B16" s="47" t="s">
        <v>259</v>
      </c>
      <c r="C16" s="48">
        <f>IF(B16="","",INDEX(Workouts!B:B,MATCH(B16,Workouts!A:A,0)))</f>
        <v>150</v>
      </c>
      <c r="D16" s="48">
        <f>IF(B16="","",INDEX(Workouts!C:C,MATCH(B16,Workouts!A:A,0)))</f>
        <v>148</v>
      </c>
      <c r="E16" s="51">
        <f>IF(B16="","",INDEX(Workouts!D:D,MATCH(B16,Workouts!A:A,0)))</f>
        <v>0.77</v>
      </c>
      <c r="F16" s="4"/>
    </row>
    <row r="17" spans="1:6" x14ac:dyDescent="0.2">
      <c r="A17" t="s">
        <v>66</v>
      </c>
      <c r="C17" s="45" t="str">
        <f>IF(B17="","",INDEX(Workouts!B:B,MATCH(B17,Workouts!A:A,0)))</f>
        <v/>
      </c>
      <c r="D17" s="45" t="str">
        <f>IF(B17="","",INDEX(Workouts!C:C,MATCH(B17,Workouts!A:A,0)))</f>
        <v/>
      </c>
      <c r="E17" s="50" t="str">
        <f>IF(B17="","",INDEX(Workouts!D:D,MATCH(B17,Workouts!A:A,0)))</f>
        <v/>
      </c>
      <c r="F17" t="str">
        <f>"Week 3: " &amp; INT(SUM(C17:C23)/60) &amp; ":" &amp; LEFT(MOD(SUM(C17:C23),60)&amp;"0",2) &amp; " hrs &amp; " &amp; SUM(D17:D23) &amp; " TSS"</f>
        <v>Week 3: 8:15 hrs &amp; 545 TSS</v>
      </c>
    </row>
    <row r="18" spans="1:6" x14ac:dyDescent="0.2">
      <c r="A18" t="s">
        <v>68</v>
      </c>
      <c r="B18" s="1" t="s">
        <v>260</v>
      </c>
      <c r="C18" s="45">
        <f>IF(B18="","",INDEX(Workouts!B:B,MATCH(B18,Workouts!A:A,0)))</f>
        <v>60</v>
      </c>
      <c r="D18" s="45">
        <f>IF(B18="","",INDEX(Workouts!C:C,MATCH(B18,Workouts!A:A,0)))</f>
        <v>75</v>
      </c>
      <c r="E18" s="50">
        <f>IF(B18="","",INDEX(Workouts!D:D,MATCH(B18,Workouts!A:A,0)))</f>
        <v>0.87</v>
      </c>
    </row>
    <row r="19" spans="1:6" x14ac:dyDescent="0.2">
      <c r="A19" t="s">
        <v>70</v>
      </c>
      <c r="B19" s="1" t="s">
        <v>261</v>
      </c>
      <c r="C19" s="45">
        <f>IF(B19="","",INDEX(Workouts!B:B,MATCH(B19,Workouts!A:A,0)))</f>
        <v>75</v>
      </c>
      <c r="D19" s="45">
        <f>IF(B19="","",INDEX(Workouts!C:C,MATCH(B19,Workouts!A:A,0)))</f>
        <v>88</v>
      </c>
      <c r="E19" s="50">
        <f>IF(B19="","",INDEX(Workouts!D:D,MATCH(B19,Workouts!A:A,0)))</f>
        <v>0.84</v>
      </c>
    </row>
    <row r="20" spans="1:6" x14ac:dyDescent="0.2">
      <c r="A20" t="s">
        <v>71</v>
      </c>
      <c r="C20" s="45" t="str">
        <f>IF(B20="","",INDEX(Workouts!B:B,MATCH(B20,Workouts!A:A,0)))</f>
        <v/>
      </c>
      <c r="D20" s="45" t="str">
        <f>IF(B20="","",INDEX(Workouts!C:C,MATCH(B20,Workouts!A:A,0)))</f>
        <v/>
      </c>
      <c r="E20" s="50" t="str">
        <f>IF(B20="","",INDEX(Workouts!D:D,MATCH(B20,Workouts!A:A,0)))</f>
        <v/>
      </c>
    </row>
    <row r="21" spans="1:6" x14ac:dyDescent="0.2">
      <c r="A21" t="s">
        <v>72</v>
      </c>
      <c r="B21" s="1" t="s">
        <v>262</v>
      </c>
      <c r="C21" s="45">
        <f>IF(B21="","",INDEX(Workouts!B:B,MATCH(B21,Workouts!A:A,0)))</f>
        <v>60</v>
      </c>
      <c r="D21" s="45">
        <f>IF(B21="","",INDEX(Workouts!C:C,MATCH(B21,Workouts!A:A,0)))</f>
        <v>72</v>
      </c>
      <c r="E21" s="50">
        <f>IF(B21="","",INDEX(Workouts!D:D,MATCH(B21,Workouts!A:A,0)))</f>
        <v>0.85</v>
      </c>
    </row>
    <row r="22" spans="1:6" x14ac:dyDescent="0.2">
      <c r="A22" t="s">
        <v>73</v>
      </c>
      <c r="B22" s="1" t="s">
        <v>263</v>
      </c>
      <c r="C22" s="45">
        <f>IF(B22="","",INDEX(Workouts!B:B,MATCH(B22,Workouts!A:A,0)))</f>
        <v>120</v>
      </c>
      <c r="D22" s="45">
        <f>IF(B22="","",INDEX(Workouts!C:C,MATCH(B22,Workouts!A:A,0)))</f>
        <v>132</v>
      </c>
      <c r="E22" s="50">
        <f>IF(B22="","",INDEX(Workouts!D:D,MATCH(B22,Workouts!A:A,0)))</f>
        <v>0.81</v>
      </c>
    </row>
    <row r="23" spans="1:6" ht="13.5" thickBot="1" x14ac:dyDescent="0.25">
      <c r="A23" s="4" t="s">
        <v>74</v>
      </c>
      <c r="B23" s="47" t="s">
        <v>264</v>
      </c>
      <c r="C23" s="48">
        <f>IF(B23="","",INDEX(Workouts!B:B,MATCH(B23,Workouts!A:A,0)))</f>
        <v>180</v>
      </c>
      <c r="D23" s="48">
        <f>IF(B23="","",INDEX(Workouts!C:C,MATCH(B23,Workouts!A:A,0)))</f>
        <v>178</v>
      </c>
      <c r="E23" s="51">
        <f>IF(B23="","",INDEX(Workouts!D:D,MATCH(B23,Workouts!A:A,0)))</f>
        <v>0.77</v>
      </c>
      <c r="F23" s="4"/>
    </row>
    <row r="24" spans="1:6" x14ac:dyDescent="0.2">
      <c r="A24" t="s">
        <v>66</v>
      </c>
      <c r="C24" s="45" t="str">
        <f>IF(B24="","",INDEX(Workouts!B:B,MATCH(B24,Workouts!A:A,0)))</f>
        <v/>
      </c>
      <c r="D24" s="45" t="str">
        <f>IF(B24="","",INDEX(Workouts!C:C,MATCH(B24,Workouts!A:A,0)))</f>
        <v/>
      </c>
      <c r="E24" s="50" t="str">
        <f>IF(B24="","",INDEX(Workouts!D:D,MATCH(B24,Workouts!A:A,0)))</f>
        <v/>
      </c>
      <c r="F24" t="str">
        <f>"Week 4: " &amp; INT(SUM(C24:C30)/60) &amp; ":" &amp; LEFT(MOD(SUM(C24:C30),60)&amp;"0",2) &amp; " hrs &amp; " &amp; SUM(D24:D30) &amp; " TSS"</f>
        <v>Week 4: 4:45 hrs &amp; 252 TSS</v>
      </c>
    </row>
    <row r="25" spans="1:6" x14ac:dyDescent="0.2">
      <c r="A25" t="s">
        <v>68</v>
      </c>
      <c r="C25" s="45" t="str">
        <f>IF(B25="","",INDEX(Workouts!B:B,MATCH(B25,Workouts!A:A,0)))</f>
        <v/>
      </c>
      <c r="D25" s="45" t="str">
        <f>IF(B25="","",INDEX(Workouts!C:C,MATCH(B25,Workouts!A:A,0)))</f>
        <v/>
      </c>
      <c r="E25" s="50" t="str">
        <f>IF(B25="","",INDEX(Workouts!D:D,MATCH(B25,Workouts!A:A,0)))</f>
        <v/>
      </c>
    </row>
    <row r="26" spans="1:6" x14ac:dyDescent="0.2">
      <c r="A26" t="s">
        <v>70</v>
      </c>
      <c r="B26" s="1" t="s">
        <v>265</v>
      </c>
      <c r="C26" s="45">
        <f>IF(B26="","",INDEX(Workouts!B:B,MATCH(B26,Workouts!A:A,0)))</f>
        <v>90</v>
      </c>
      <c r="D26" s="45">
        <f>IF(B26="","",INDEX(Workouts!C:C,MATCH(B26,Workouts!A:A,0)))</f>
        <v>72</v>
      </c>
      <c r="E26" s="50">
        <f>IF(B26="","",INDEX(Workouts!D:D,MATCH(B26,Workouts!A:A,0)))</f>
        <v>0.7</v>
      </c>
    </row>
    <row r="27" spans="1:6" x14ac:dyDescent="0.2">
      <c r="A27" t="s">
        <v>71</v>
      </c>
      <c r="B27" s="1" t="s">
        <v>266</v>
      </c>
      <c r="C27" s="45">
        <f>IF(B27="","",INDEX(Workouts!B:B,MATCH(B27,Workouts!A:A,0)))</f>
        <v>75</v>
      </c>
      <c r="D27" s="45">
        <f>IF(B27="","",INDEX(Workouts!C:C,MATCH(B27,Workouts!A:A,0)))</f>
        <v>83</v>
      </c>
      <c r="E27" s="50">
        <f>IF(B27="","",INDEX(Workouts!D:D,MATCH(B27,Workouts!A:A,0)))</f>
        <v>0.82</v>
      </c>
    </row>
    <row r="28" spans="1:6" x14ac:dyDescent="0.2">
      <c r="A28" t="s">
        <v>72</v>
      </c>
      <c r="B28" s="63" t="s">
        <v>82</v>
      </c>
      <c r="C28" s="45">
        <f>IF(B28="","",INDEX(Workouts!B:B,MATCH(B28,Workouts!A:A,0)))</f>
        <v>30</v>
      </c>
      <c r="D28" s="45">
        <f>IF(B28="","",INDEX(Workouts!C:C,MATCH(B28,Workouts!A:A,0)))</f>
        <v>25</v>
      </c>
      <c r="E28" s="50">
        <f>IF(B28="","",INDEX(Workouts!D:D,MATCH(B28,Workouts!A:A,0)))</f>
        <v>0.75</v>
      </c>
    </row>
    <row r="29" spans="1:6" x14ac:dyDescent="0.2">
      <c r="A29" t="s">
        <v>73</v>
      </c>
      <c r="B29" s="1" t="s">
        <v>341</v>
      </c>
      <c r="C29" s="45">
        <f>IF(B29="","",INDEX(Workouts!B:B,MATCH(B29,Workouts!A:A,0)))</f>
        <v>90</v>
      </c>
      <c r="D29" s="45">
        <f>IF(B29="","",INDEX(Workouts!C:C,MATCH(B29,Workouts!A:A,0)))</f>
        <v>72</v>
      </c>
      <c r="E29" s="50">
        <f>IF(B29="","",INDEX(Workouts!D:D,MATCH(B29,Workouts!A:A,0)))</f>
        <v>0.7</v>
      </c>
    </row>
    <row r="30" spans="1:6" ht="13.5" thickBot="1" x14ac:dyDescent="0.25">
      <c r="A30" s="4" t="s">
        <v>74</v>
      </c>
      <c r="B30" s="4"/>
      <c r="C30" s="48" t="str">
        <f>IF(B30="","",INDEX(Workouts!B:B,MATCH(B30,Workouts!A:A,0)))</f>
        <v/>
      </c>
      <c r="D30" s="48" t="str">
        <f>IF(B30="","",INDEX(Workouts!C:C,MATCH(B30,Workouts!A:A,0)))</f>
        <v/>
      </c>
      <c r="E30" s="51" t="str">
        <f>IF(B30="","",INDEX(Workouts!D:D,MATCH(B30,Workouts!A:A,0)))</f>
        <v/>
      </c>
      <c r="F30" s="4"/>
    </row>
    <row r="31" spans="1:6" x14ac:dyDescent="0.2">
      <c r="A31" t="s">
        <v>66</v>
      </c>
      <c r="C31" s="45" t="str">
        <f>IF(B31="","",INDEX(Workouts!B:B,MATCH(B31,Workouts!A:A,0)))</f>
        <v/>
      </c>
      <c r="D31" s="45" t="str">
        <f>IF(B31="","",INDEX(Workouts!C:C,MATCH(B31,Workouts!A:A,0)))</f>
        <v/>
      </c>
      <c r="E31" s="50" t="str">
        <f>IF(B31="","",INDEX(Workouts!D:D,MATCH(B31,Workouts!A:A,0)))</f>
        <v/>
      </c>
      <c r="F31" t="str">
        <f>"Week 5: " &amp; INT(SUM(C31:C37)/60) &amp; ":" &amp; LEFT(MOD(SUM(C31:C37),60)&amp;"0",2) &amp; " hrs &amp; " &amp; SUM(D31:D37) &amp; " TSS"</f>
        <v>Week 5: 9:00 hrs &amp; 567 TSS</v>
      </c>
    </row>
    <row r="32" spans="1:6" x14ac:dyDescent="0.2">
      <c r="A32" t="s">
        <v>68</v>
      </c>
      <c r="B32" s="1" t="s">
        <v>267</v>
      </c>
      <c r="C32" s="45">
        <f>IF(B32="","",INDEX(Workouts!B:B,MATCH(B32,Workouts!A:A,0)))</f>
        <v>60</v>
      </c>
      <c r="D32" s="45">
        <f>IF(B32="","",INDEX(Workouts!C:C,MATCH(B32,Workouts!A:A,0)))</f>
        <v>77</v>
      </c>
      <c r="E32" s="50">
        <f>IF(B32="","",INDEX(Workouts!D:D,MATCH(B32,Workouts!A:A,0)))</f>
        <v>0.88</v>
      </c>
    </row>
    <row r="33" spans="1:6" x14ac:dyDescent="0.2">
      <c r="A33" t="s">
        <v>70</v>
      </c>
      <c r="B33" s="1" t="s">
        <v>268</v>
      </c>
      <c r="C33" s="45">
        <f>IF(B33="","",INDEX(Workouts!B:B,MATCH(B33,Workouts!A:A,0)))</f>
        <v>90</v>
      </c>
      <c r="D33" s="45">
        <f>IF(B33="","",INDEX(Workouts!C:C,MATCH(B33,Workouts!A:A,0)))</f>
        <v>98</v>
      </c>
      <c r="E33" s="50">
        <f>IF(B33="","",INDEX(Workouts!D:D,MATCH(B33,Workouts!A:A,0)))</f>
        <v>0.81</v>
      </c>
    </row>
    <row r="34" spans="1:6" x14ac:dyDescent="0.2">
      <c r="A34" t="s">
        <v>71</v>
      </c>
      <c r="B34" s="63" t="s">
        <v>82</v>
      </c>
      <c r="C34" s="45">
        <f>IF(B34="","",INDEX(Workouts!B:B,MATCH(B34,Workouts!A:A,0)))</f>
        <v>30</v>
      </c>
      <c r="D34" s="45">
        <f>IF(B34="","",INDEX(Workouts!C:C,MATCH(B34,Workouts!A:A,0)))</f>
        <v>25</v>
      </c>
      <c r="E34" s="50">
        <f>IF(B34="","",INDEX(Workouts!D:D,MATCH(B34,Workouts!A:A,0)))</f>
        <v>0.75</v>
      </c>
    </row>
    <row r="35" spans="1:6" x14ac:dyDescent="0.2">
      <c r="A35" t="s">
        <v>72</v>
      </c>
      <c r="B35" s="1" t="s">
        <v>269</v>
      </c>
      <c r="C35" s="45">
        <f>IF(B35="","",INDEX(Workouts!B:B,MATCH(B35,Workouts!A:A,0)))</f>
        <v>90</v>
      </c>
      <c r="D35" s="45">
        <f>IF(B35="","",INDEX(Workouts!C:C,MATCH(B35,Workouts!A:A,0)))</f>
        <v>115</v>
      </c>
      <c r="E35" s="50">
        <f>IF(B35="","",INDEX(Workouts!D:D,MATCH(B35,Workouts!A:A,0)))</f>
        <v>0.88</v>
      </c>
    </row>
    <row r="36" spans="1:6" x14ac:dyDescent="0.2">
      <c r="A36" t="s">
        <v>73</v>
      </c>
      <c r="B36" s="1" t="s">
        <v>270</v>
      </c>
      <c r="C36" s="45">
        <f>IF(B36="","",INDEX(Workouts!B:B,MATCH(B36,Workouts!A:A,0)))</f>
        <v>120</v>
      </c>
      <c r="D36" s="45">
        <f>IF(B36="","",INDEX(Workouts!C:C,MATCH(B36,Workouts!A:A,0)))</f>
        <v>119</v>
      </c>
      <c r="E36" s="50">
        <f>IF(B36="","",INDEX(Workouts!D:D,MATCH(B36,Workouts!A:A,0)))</f>
        <v>0.77</v>
      </c>
    </row>
    <row r="37" spans="1:6" ht="13.5" thickBot="1" x14ac:dyDescent="0.25">
      <c r="A37" s="4" t="s">
        <v>74</v>
      </c>
      <c r="B37" s="47" t="s">
        <v>271</v>
      </c>
      <c r="C37" s="48">
        <f>IF(B37="","",INDEX(Workouts!B:B,MATCH(B37,Workouts!A:A,0)))</f>
        <v>150</v>
      </c>
      <c r="D37" s="48">
        <f>IF(B37="","",INDEX(Workouts!C:C,MATCH(B37,Workouts!A:A,0)))</f>
        <v>133</v>
      </c>
      <c r="E37" s="51">
        <f>IF(B37="","",INDEX(Workouts!D:D,MATCH(B37,Workouts!A:A,0)))</f>
        <v>0.73</v>
      </c>
      <c r="F37" s="4"/>
    </row>
    <row r="38" spans="1:6" x14ac:dyDescent="0.2">
      <c r="A38" t="s">
        <v>66</v>
      </c>
      <c r="C38" s="45" t="str">
        <f>IF(B38="","",INDEX(Workouts!B:B,MATCH(B38,Workouts!A:A,0)))</f>
        <v/>
      </c>
      <c r="D38" s="45" t="str">
        <f>IF(B38="","",INDEX(Workouts!C:C,MATCH(B38,Workouts!A:A,0)))</f>
        <v/>
      </c>
      <c r="E38" s="50" t="str">
        <f>IF(B38="","",INDEX(Workouts!D:D,MATCH(B38,Workouts!A:A,0)))</f>
        <v/>
      </c>
      <c r="F38" t="str">
        <f>"Week 6: " &amp; INT(SUM(C38:C44)/60) &amp; ":" &amp; LEFT(MOD(SUM(C38:C44),60)&amp;"0",2) &amp; " hrs &amp; " &amp; SUM(D38:D44) &amp; " TSS"</f>
        <v>Week 6: 10:15 hrs &amp; 646 TSS</v>
      </c>
    </row>
    <row r="39" spans="1:6" x14ac:dyDescent="0.2">
      <c r="A39" t="s">
        <v>68</v>
      </c>
      <c r="B39" s="1" t="s">
        <v>272</v>
      </c>
      <c r="C39" s="45">
        <f>IF(B39="","",INDEX(Workouts!B:B,MATCH(B39,Workouts!A:A,0)))</f>
        <v>90</v>
      </c>
      <c r="D39" s="45">
        <f>IF(B39="","",INDEX(Workouts!C:C,MATCH(B39,Workouts!A:A,0)))</f>
        <v>94</v>
      </c>
      <c r="E39" s="50">
        <f>IF(B39="","",INDEX(Workouts!D:D,MATCH(B39,Workouts!A:A,0)))</f>
        <v>0.79</v>
      </c>
    </row>
    <row r="40" spans="1:6" x14ac:dyDescent="0.2">
      <c r="A40" t="s">
        <v>70</v>
      </c>
      <c r="B40" s="1" t="s">
        <v>273</v>
      </c>
      <c r="C40" s="45">
        <f>IF(B40="","",INDEX(Workouts!B:B,MATCH(B40,Workouts!A:A,0)))</f>
        <v>60</v>
      </c>
      <c r="D40" s="45">
        <f>IF(B40="","",INDEX(Workouts!C:C,MATCH(B40,Workouts!A:A,0)))</f>
        <v>78</v>
      </c>
      <c r="E40" s="50">
        <f>IF(B40="","",INDEX(Workouts!D:D,MATCH(B40,Workouts!A:A,0)))</f>
        <v>0.89</v>
      </c>
    </row>
    <row r="41" spans="1:6" x14ac:dyDescent="0.2">
      <c r="A41" t="s">
        <v>71</v>
      </c>
      <c r="B41" s="63" t="s">
        <v>82</v>
      </c>
      <c r="C41" s="45">
        <f>IF(B41="","",INDEX(Workouts!B:B,MATCH(B41,Workouts!A:A,0)))</f>
        <v>30</v>
      </c>
      <c r="D41" s="45">
        <f>IF(B41="","",INDEX(Workouts!C:C,MATCH(B41,Workouts!A:A,0)))</f>
        <v>25</v>
      </c>
      <c r="E41" s="50">
        <f>IF(B41="","",INDEX(Workouts!D:D,MATCH(B41,Workouts!A:A,0)))</f>
        <v>0.75</v>
      </c>
    </row>
    <row r="42" spans="1:6" x14ac:dyDescent="0.2">
      <c r="A42" t="s">
        <v>72</v>
      </c>
      <c r="B42" s="1" t="s">
        <v>274</v>
      </c>
      <c r="C42" s="45">
        <f>IF(B42="","",INDEX(Workouts!B:B,MATCH(B42,Workouts!A:A,0)))</f>
        <v>105</v>
      </c>
      <c r="D42" s="45">
        <f>IF(B42="","",INDEX(Workouts!C:C,MATCH(B42,Workouts!A:A,0)))</f>
        <v>99</v>
      </c>
      <c r="E42" s="50">
        <f>IF(B42="","",INDEX(Workouts!D:D,MATCH(B42,Workouts!A:A,0)))</f>
        <v>0.76</v>
      </c>
    </row>
    <row r="43" spans="1:6" x14ac:dyDescent="0.2">
      <c r="A43" t="s">
        <v>73</v>
      </c>
      <c r="B43" s="1" t="s">
        <v>275</v>
      </c>
      <c r="C43" s="45">
        <f>IF(B43="","",INDEX(Workouts!B:B,MATCH(B43,Workouts!A:A,0)))</f>
        <v>180</v>
      </c>
      <c r="D43" s="45">
        <f>IF(B43="","",INDEX(Workouts!C:C,MATCH(B43,Workouts!A:A,0)))</f>
        <v>178</v>
      </c>
      <c r="E43" s="50">
        <f>IF(B43="","",INDEX(Workouts!D:D,MATCH(B43,Workouts!A:A,0)))</f>
        <v>0.77</v>
      </c>
    </row>
    <row r="44" spans="1:6" ht="13.5" thickBot="1" x14ac:dyDescent="0.25">
      <c r="A44" s="4" t="s">
        <v>74</v>
      </c>
      <c r="B44" s="1" t="s">
        <v>276</v>
      </c>
      <c r="C44" s="48">
        <f>IF(B44="","",INDEX(Workouts!B:B,MATCH(B44,Workouts!A:A,0)))</f>
        <v>150</v>
      </c>
      <c r="D44" s="48">
        <f>IF(B44="","",INDEX(Workouts!C:C,MATCH(B44,Workouts!A:A,0)))</f>
        <v>172</v>
      </c>
      <c r="E44" s="51">
        <f>IF(B44="","",INDEX(Workouts!D:D,MATCH(B44,Workouts!A:A,0)))</f>
        <v>0.83</v>
      </c>
      <c r="F44" s="4"/>
    </row>
    <row r="45" spans="1:6" ht="22.5" customHeight="1" x14ac:dyDescent="0.2">
      <c r="A45" s="160" t="str">
        <f>"FasCat 18 Weeks of Sweet Spot - Intermediate ( " &amp; ROUND(SUM(C46:C171)/60/19,1) &amp; " hrs &amp; " &amp; ROUND(SUM(D46:D171)/19,0) &amp; " TSS )"</f>
        <v>FasCat 18 Weeks of Sweet Spot - Intermediate ( 8.8 hrs &amp; 517 TSS )</v>
      </c>
      <c r="B45" s="160"/>
      <c r="C45" s="53"/>
      <c r="D45" s="53"/>
      <c r="E45" s="53"/>
      <c r="F45" s="54"/>
    </row>
    <row r="46" spans="1:6" x14ac:dyDescent="0.2">
      <c r="A46" t="s">
        <v>66</v>
      </c>
      <c r="C46" s="45" t="str">
        <f>IF(B46="","",INDEX(Workouts!B:B,MATCH(B46,Workouts!A:A,0)))</f>
        <v/>
      </c>
      <c r="D46" s="45" t="str">
        <f>IF(B46="","",INDEX(Workouts!C:C,MATCH(B46,Workouts!A:A,0)))</f>
        <v/>
      </c>
      <c r="E46" s="50" t="str">
        <f>IF(B46="","",INDEX(Workouts!D:D,MATCH(B46,Workouts!A:A,0)))</f>
        <v/>
      </c>
      <c r="F46" t="str">
        <f>"Week 1: " &amp; INT(SUM(C46:C52)/60) &amp; ":" &amp; LEFT(MOD(SUM(C46:C52),60)&amp;"0",2) &amp; " hrs &amp; " &amp; SUM(D46:D52) &amp; " TSS"</f>
        <v>Week 1: 5:55 hrs &amp; 330 TSS</v>
      </c>
    </row>
    <row r="47" spans="1:6" x14ac:dyDescent="0.2">
      <c r="A47" t="s">
        <v>68</v>
      </c>
      <c r="B47" s="63" t="s">
        <v>69</v>
      </c>
      <c r="C47" s="45">
        <f>IF(B47="","",INDEX(Workouts!B:B,MATCH(B47,Workouts!A:A,0)))</f>
        <v>25</v>
      </c>
      <c r="D47" s="45">
        <f>IF(B47="","",INDEX(Workouts!C:C,MATCH(B47,Workouts!A:A,0)))</f>
        <v>34</v>
      </c>
      <c r="E47" s="50">
        <f>IF(B47="","",INDEX(Workouts!D:D,MATCH(B47,Workouts!A:A,0)))</f>
        <v>0.91</v>
      </c>
    </row>
    <row r="48" spans="1:6" x14ac:dyDescent="0.2">
      <c r="A48" t="s">
        <v>70</v>
      </c>
      <c r="B48" s="1" t="s">
        <v>277</v>
      </c>
      <c r="C48" s="45">
        <f>IF(B48="","",INDEX(Workouts!B:B,MATCH(B48,Workouts!A:A,0)))</f>
        <v>60</v>
      </c>
      <c r="D48" s="45">
        <f>IF(B48="","",INDEX(Workouts!C:C,MATCH(B48,Workouts!A:A,0)))</f>
        <v>60</v>
      </c>
      <c r="E48" s="50">
        <f>IF(B48="","",INDEX(Workouts!D:D,MATCH(B48,Workouts!A:A,0)))</f>
        <v>0.78</v>
      </c>
    </row>
    <row r="49" spans="1:6" x14ac:dyDescent="0.2">
      <c r="A49" t="s">
        <v>71</v>
      </c>
      <c r="B49" s="1" t="s">
        <v>342</v>
      </c>
      <c r="C49" s="45">
        <f>IF(B49="","",INDEX(Workouts!B:B,MATCH(B49,Workouts!A:A,0)))</f>
        <v>60</v>
      </c>
      <c r="D49" s="45">
        <f>IF(B49="","",INDEX(Workouts!C:C,MATCH(B49,Workouts!A:A,0)))</f>
        <v>47</v>
      </c>
      <c r="E49" s="50">
        <f>IF(B49="","",INDEX(Workouts!D:D,MATCH(B49,Workouts!A:A,0)))</f>
        <v>0.69</v>
      </c>
    </row>
    <row r="50" spans="1:6" x14ac:dyDescent="0.2">
      <c r="A50" t="s">
        <v>72</v>
      </c>
      <c r="B50" s="1"/>
      <c r="C50" s="45" t="str">
        <f>IF(B50="","",INDEX(Workouts!B:B,MATCH(B50,Workouts!A:A,0)))</f>
        <v/>
      </c>
      <c r="D50" s="45" t="str">
        <f>IF(B50="","",INDEX(Workouts!C:C,MATCH(B50,Workouts!A:A,0)))</f>
        <v/>
      </c>
      <c r="E50" s="50" t="str">
        <f>IF(B50="","",INDEX(Workouts!D:D,MATCH(B50,Workouts!A:A,0)))</f>
        <v/>
      </c>
    </row>
    <row r="51" spans="1:6" x14ac:dyDescent="0.2">
      <c r="A51" t="s">
        <v>73</v>
      </c>
      <c r="B51" s="1" t="s">
        <v>278</v>
      </c>
      <c r="C51" s="45">
        <f>IF(B51="","",INDEX(Workouts!B:B,MATCH(B51,Workouts!A:A,0)))</f>
        <v>120</v>
      </c>
      <c r="D51" s="45">
        <f>IF(B51="","",INDEX(Workouts!C:C,MATCH(B51,Workouts!A:A,0)))</f>
        <v>115</v>
      </c>
      <c r="E51" s="50">
        <f>IF(B51="","",INDEX(Workouts!D:D,MATCH(B51,Workouts!A:A,0)))</f>
        <v>0</v>
      </c>
    </row>
    <row r="52" spans="1:6" ht="13.5" thickBot="1" x14ac:dyDescent="0.25">
      <c r="A52" s="4" t="s">
        <v>74</v>
      </c>
      <c r="B52" s="47" t="s">
        <v>348</v>
      </c>
      <c r="C52" s="48">
        <f>IF(B52="","",INDEX(Workouts!B:B,MATCH(B52,Workouts!A:A,0)))</f>
        <v>90</v>
      </c>
      <c r="D52" s="48">
        <f>IF(B52="","",INDEX(Workouts!C:C,MATCH(B52,Workouts!A:A,0)))</f>
        <v>74</v>
      </c>
      <c r="E52" s="51">
        <f>IF(B52="","",INDEX(Workouts!D:D,MATCH(B52,Workouts!A:A,0)))</f>
        <v>0.7</v>
      </c>
      <c r="F52" s="4"/>
    </row>
    <row r="53" spans="1:6" x14ac:dyDescent="0.2">
      <c r="A53" t="s">
        <v>66</v>
      </c>
      <c r="C53" s="45" t="str">
        <f>IF(B53="","",INDEX(Workouts!B:B,MATCH(B53,Workouts!A:A,0)))</f>
        <v/>
      </c>
      <c r="D53" s="45" t="str">
        <f>IF(B53="","",INDEX(Workouts!C:C,MATCH(B53,Workouts!A:A,0)))</f>
        <v/>
      </c>
      <c r="E53" s="50" t="str">
        <f>IF(B53="","",INDEX(Workouts!D:D,MATCH(B53,Workouts!A:A,0)))</f>
        <v/>
      </c>
      <c r="F53" t="str">
        <f>"Week 2: " &amp; INT(SUM(C53:C59)/60) &amp; ":" &amp; LEFT(MOD(SUM(C53:C59),60)&amp;"0",2) &amp; " hrs &amp; " &amp; SUM(D53:D59) &amp; " TSS"</f>
        <v>Week 2: 7:30 hrs &amp; 419 TSS</v>
      </c>
    </row>
    <row r="54" spans="1:6" x14ac:dyDescent="0.2">
      <c r="A54" t="s">
        <v>68</v>
      </c>
      <c r="B54" s="1" t="s">
        <v>279</v>
      </c>
      <c r="C54" s="45">
        <f>IF(B54="","",INDEX(Workouts!B:B,MATCH(B54,Workouts!A:A,0)))</f>
        <v>60</v>
      </c>
      <c r="D54" s="45">
        <f>IF(B54="","",INDEX(Workouts!C:C,MATCH(B54,Workouts!A:A,0)))</f>
        <v>68</v>
      </c>
      <c r="E54" s="50">
        <f>IF(B54="","",INDEX(Workouts!D:D,MATCH(B54,Workouts!A:A,0)))</f>
        <v>0.83</v>
      </c>
    </row>
    <row r="55" spans="1:6" x14ac:dyDescent="0.2">
      <c r="A55" t="s">
        <v>70</v>
      </c>
      <c r="B55" s="1" t="s">
        <v>280</v>
      </c>
      <c r="C55" s="45">
        <f>IF(B55="","",INDEX(Workouts!B:B,MATCH(B55,Workouts!A:A,0)))</f>
        <v>60</v>
      </c>
      <c r="D55" s="45">
        <f>IF(B55="","",INDEX(Workouts!C:C,MATCH(B55,Workouts!A:A,0)))</f>
        <v>67</v>
      </c>
      <c r="E55" s="50">
        <f>IF(B55="","",INDEX(Workouts!D:D,MATCH(B55,Workouts!A:A,0)))</f>
        <v>0.76</v>
      </c>
    </row>
    <row r="56" spans="1:6" x14ac:dyDescent="0.2">
      <c r="A56" t="s">
        <v>71</v>
      </c>
      <c r="B56" s="1" t="s">
        <v>349</v>
      </c>
      <c r="C56" s="45">
        <f>IF(B56="","",INDEX(Workouts!B:B,MATCH(B56,Workouts!A:A,0)))</f>
        <v>60</v>
      </c>
      <c r="D56" s="45">
        <f>IF(B56="","",INDEX(Workouts!C:C,MATCH(B56,Workouts!A:A,0)))</f>
        <v>47</v>
      </c>
      <c r="E56" s="50">
        <f>IF(B56="","",INDEX(Workouts!D:D,MATCH(B56,Workouts!A:A,0)))</f>
        <v>0.69</v>
      </c>
    </row>
    <row r="57" spans="1:6" x14ac:dyDescent="0.2">
      <c r="A57" t="s">
        <v>72</v>
      </c>
      <c r="B57" s="1"/>
      <c r="C57" s="45" t="str">
        <f>IF(B57="","",INDEX(Workouts!B:B,MATCH(B57,Workouts!A:A,0)))</f>
        <v/>
      </c>
      <c r="D57" s="45" t="str">
        <f>IF(B57="","",INDEX(Workouts!C:C,MATCH(B57,Workouts!A:A,0)))</f>
        <v/>
      </c>
      <c r="E57" s="50" t="str">
        <f>IF(B57="","",INDEX(Workouts!D:D,MATCH(B57,Workouts!A:A,0)))</f>
        <v/>
      </c>
    </row>
    <row r="58" spans="1:6" x14ac:dyDescent="0.2">
      <c r="A58" t="s">
        <v>73</v>
      </c>
      <c r="B58" s="1" t="s">
        <v>281</v>
      </c>
      <c r="C58" s="45">
        <f>IF(B58="","",INDEX(Workouts!B:B,MATCH(B58,Workouts!A:A,0)))</f>
        <v>150</v>
      </c>
      <c r="D58" s="45">
        <f>IF(B58="","",INDEX(Workouts!C:C,MATCH(B58,Workouts!A:A,0)))</f>
        <v>140</v>
      </c>
      <c r="E58" s="50">
        <f>IF(B58="","",INDEX(Workouts!D:D,MATCH(B58,Workouts!A:A,0)))</f>
        <v>0</v>
      </c>
    </row>
    <row r="59" spans="1:6" ht="13.5" thickBot="1" x14ac:dyDescent="0.25">
      <c r="A59" s="4" t="s">
        <v>74</v>
      </c>
      <c r="B59" s="47" t="s">
        <v>350</v>
      </c>
      <c r="C59" s="48">
        <f>IF(B59="","",INDEX(Workouts!B:B,MATCH(B59,Workouts!A:A,0)))</f>
        <v>120</v>
      </c>
      <c r="D59" s="48">
        <f>IF(B59="","",INDEX(Workouts!C:C,MATCH(B59,Workouts!A:A,0)))</f>
        <v>97</v>
      </c>
      <c r="E59" s="51">
        <f>IF(B59="","",INDEX(Workouts!D:D,MATCH(B59,Workouts!A:A,0)))</f>
        <v>0.7</v>
      </c>
      <c r="F59" s="4"/>
    </row>
    <row r="60" spans="1:6" x14ac:dyDescent="0.2">
      <c r="A60" t="s">
        <v>66</v>
      </c>
      <c r="C60" s="45" t="str">
        <f>IF(B60="","",INDEX(Workouts!B:B,MATCH(B60,Workouts!A:A,0)))</f>
        <v/>
      </c>
      <c r="D60" s="45" t="str">
        <f>IF(B60="","",INDEX(Workouts!C:C,MATCH(B60,Workouts!A:A,0)))</f>
        <v/>
      </c>
      <c r="E60" s="50" t="str">
        <f>IF(B60="","",INDEX(Workouts!D:D,MATCH(B60,Workouts!A:A,0)))</f>
        <v/>
      </c>
      <c r="F60" t="str">
        <f>"Week 3: " &amp; INT(SUM(C60:C66)/60) &amp; ":" &amp; LEFT(MOD(SUM(C60:C66),60)&amp;"0",2) &amp; " hrs &amp; " &amp; SUM(D60:D66) &amp; " TSS"</f>
        <v>Week 3: 8:45 hrs &amp; 468 TSS</v>
      </c>
    </row>
    <row r="61" spans="1:6" x14ac:dyDescent="0.2">
      <c r="A61" t="s">
        <v>68</v>
      </c>
      <c r="B61" s="1" t="s">
        <v>282</v>
      </c>
      <c r="C61" s="45">
        <f>IF(B61="","",INDEX(Workouts!B:B,MATCH(B61,Workouts!A:A,0)))</f>
        <v>75</v>
      </c>
      <c r="D61" s="45">
        <f>IF(B61="","",INDEX(Workouts!C:C,MATCH(B61,Workouts!A:A,0)))</f>
        <v>82</v>
      </c>
      <c r="E61" s="50">
        <f>IF(B61="","",INDEX(Workouts!D:D,MATCH(B61,Workouts!A:A,0)))</f>
        <v>0.81</v>
      </c>
    </row>
    <row r="62" spans="1:6" x14ac:dyDescent="0.2">
      <c r="A62" t="s">
        <v>70</v>
      </c>
      <c r="B62" s="1" t="s">
        <v>283</v>
      </c>
      <c r="C62" s="45">
        <f>IF(B62="","",INDEX(Workouts!B:B,MATCH(B62,Workouts!A:A,0)))</f>
        <v>60</v>
      </c>
      <c r="D62" s="45">
        <f>IF(B62="","",INDEX(Workouts!C:C,MATCH(B62,Workouts!A:A,0)))</f>
        <v>55</v>
      </c>
      <c r="E62" s="50">
        <f>IF(B62="","",INDEX(Workouts!D:D,MATCH(B62,Workouts!A:A,0)))</f>
        <v>0.75</v>
      </c>
    </row>
    <row r="63" spans="1:6" x14ac:dyDescent="0.2">
      <c r="A63" t="s">
        <v>71</v>
      </c>
      <c r="B63" s="1" t="s">
        <v>351</v>
      </c>
      <c r="C63" s="45">
        <f>IF(B63="","",INDEX(Workouts!B:B,MATCH(B63,Workouts!A:A,0)))</f>
        <v>60</v>
      </c>
      <c r="D63" s="45">
        <f>IF(B63="","",INDEX(Workouts!C:C,MATCH(B63,Workouts!A:A,0)))</f>
        <v>47</v>
      </c>
      <c r="E63" s="50">
        <f>IF(B63="","",INDEX(Workouts!D:D,MATCH(B63,Workouts!A:A,0)))</f>
        <v>0.69</v>
      </c>
    </row>
    <row r="64" spans="1:6" x14ac:dyDescent="0.2">
      <c r="A64" t="s">
        <v>72</v>
      </c>
      <c r="B64" s="1"/>
      <c r="C64" s="45" t="str">
        <f>IF(B64="","",INDEX(Workouts!B:B,MATCH(B64,Workouts!A:A,0)))</f>
        <v/>
      </c>
      <c r="D64" s="45" t="str">
        <f>IF(B64="","",INDEX(Workouts!C:C,MATCH(B64,Workouts!A:A,0)))</f>
        <v/>
      </c>
      <c r="E64" s="50" t="str">
        <f>IF(B64="","",INDEX(Workouts!D:D,MATCH(B64,Workouts!A:A,0)))</f>
        <v/>
      </c>
    </row>
    <row r="65" spans="1:6" x14ac:dyDescent="0.2">
      <c r="A65" t="s">
        <v>73</v>
      </c>
      <c r="B65" s="1" t="s">
        <v>284</v>
      </c>
      <c r="C65" s="45">
        <f>IF(B65="","",INDEX(Workouts!B:B,MATCH(B65,Workouts!A:A,0)))</f>
        <v>180</v>
      </c>
      <c r="D65" s="45">
        <f>IF(B65="","",INDEX(Workouts!C:C,MATCH(B65,Workouts!A:A,0)))</f>
        <v>165</v>
      </c>
      <c r="E65" s="50">
        <f>IF(B65="","",INDEX(Workouts!D:D,MATCH(B65,Workouts!A:A,0)))</f>
        <v>0</v>
      </c>
    </row>
    <row r="66" spans="1:6" ht="13.5" thickBot="1" x14ac:dyDescent="0.25">
      <c r="A66" s="4" t="s">
        <v>74</v>
      </c>
      <c r="B66" s="47" t="s">
        <v>352</v>
      </c>
      <c r="C66" s="48">
        <f>IF(B66="","",INDEX(Workouts!B:B,MATCH(B66,Workouts!A:A,0)))</f>
        <v>150</v>
      </c>
      <c r="D66" s="48">
        <f>IF(B66="","",INDEX(Workouts!C:C,MATCH(B66,Workouts!A:A,0)))</f>
        <v>119</v>
      </c>
      <c r="E66" s="51">
        <f>IF(B66="","",INDEX(Workouts!D:D,MATCH(B66,Workouts!A:A,0)))</f>
        <v>0.69</v>
      </c>
      <c r="F66" s="4"/>
    </row>
    <row r="67" spans="1:6" x14ac:dyDescent="0.2">
      <c r="A67" t="s">
        <v>66</v>
      </c>
      <c r="C67" s="45" t="str">
        <f>IF(B67="","",INDEX(Workouts!B:B,MATCH(B67,Workouts!A:A,0)))</f>
        <v/>
      </c>
      <c r="D67" s="45" t="str">
        <f>IF(B67="","",INDEX(Workouts!C:C,MATCH(B67,Workouts!A:A,0)))</f>
        <v/>
      </c>
      <c r="E67" s="50" t="str">
        <f>IF(B67="","",INDEX(Workouts!D:D,MATCH(B67,Workouts!A:A,0)))</f>
        <v/>
      </c>
      <c r="F67" t="str">
        <f>"Week 4: " &amp; INT(SUM(C67:C73)/60) &amp; ":" &amp; LEFT(MOD(SUM(C67:C73),60)&amp;"0",2) &amp; " hrs &amp; " &amp; SUM(D67:D73) &amp; " TSS"</f>
        <v>Week 4: 4:30 hrs &amp; 268 TSS</v>
      </c>
    </row>
    <row r="68" spans="1:6" x14ac:dyDescent="0.2">
      <c r="A68" t="s">
        <v>68</v>
      </c>
      <c r="B68" s="1"/>
      <c r="C68" s="45" t="str">
        <f>IF(B68="","",INDEX(Workouts!B:B,MATCH(B68,Workouts!A:A,0)))</f>
        <v/>
      </c>
      <c r="D68" s="45" t="str">
        <f>IF(B68="","",INDEX(Workouts!C:C,MATCH(B68,Workouts!A:A,0)))</f>
        <v/>
      </c>
      <c r="E68" s="50" t="str">
        <f>IF(B68="","",INDEX(Workouts!D:D,MATCH(B68,Workouts!A:A,0)))</f>
        <v/>
      </c>
    </row>
    <row r="69" spans="1:6" x14ac:dyDescent="0.2">
      <c r="A69" t="s">
        <v>70</v>
      </c>
      <c r="B69" s="1" t="s">
        <v>285</v>
      </c>
      <c r="C69" s="45">
        <f>IF(B69="","",INDEX(Workouts!B:B,MATCH(B69,Workouts!A:A,0)))</f>
        <v>60</v>
      </c>
      <c r="D69" s="45">
        <f>IF(B69="","",INDEX(Workouts!C:C,MATCH(B69,Workouts!A:A,0)))</f>
        <v>68</v>
      </c>
      <c r="E69" s="50">
        <f>IF(B69="","",INDEX(Workouts!D:D,MATCH(B69,Workouts!A:A,0)))</f>
        <v>0.83</v>
      </c>
    </row>
    <row r="70" spans="1:6" x14ac:dyDescent="0.2">
      <c r="A70" t="s">
        <v>71</v>
      </c>
      <c r="B70" s="63" t="s">
        <v>82</v>
      </c>
      <c r="C70" s="45">
        <f>IF(B70="","",INDEX(Workouts!B:B,MATCH(B70,Workouts!A:A,0)))</f>
        <v>30</v>
      </c>
      <c r="D70" s="45">
        <f>IF(B70="","",INDEX(Workouts!C:C,MATCH(B70,Workouts!A:A,0)))</f>
        <v>25</v>
      </c>
      <c r="E70" s="50">
        <f>IF(B70="","",INDEX(Workouts!D:D,MATCH(B70,Workouts!A:A,0)))</f>
        <v>0.75</v>
      </c>
    </row>
    <row r="71" spans="1:6" x14ac:dyDescent="0.2">
      <c r="A71" t="s">
        <v>72</v>
      </c>
      <c r="B71" s="1" t="s">
        <v>286</v>
      </c>
      <c r="C71" s="45">
        <f>IF(B71="","",INDEX(Workouts!B:B,MATCH(B71,Workouts!A:A,0)))</f>
        <v>60</v>
      </c>
      <c r="D71" s="45">
        <f>IF(B71="","",INDEX(Workouts!C:C,MATCH(B71,Workouts!A:A,0)))</f>
        <v>60</v>
      </c>
      <c r="E71" s="50">
        <f>IF(B71="","",INDEX(Workouts!D:D,MATCH(B71,Workouts!A:A,0)))</f>
        <v>0.77</v>
      </c>
    </row>
    <row r="72" spans="1:6" x14ac:dyDescent="0.2">
      <c r="A72" t="s">
        <v>73</v>
      </c>
      <c r="B72" s="1" t="s">
        <v>287</v>
      </c>
      <c r="C72" s="45">
        <f>IF(B72="","",INDEX(Workouts!B:B,MATCH(B72,Workouts!A:A,0)))</f>
        <v>120</v>
      </c>
      <c r="D72" s="45">
        <f>IF(B72="","",INDEX(Workouts!C:C,MATCH(B72,Workouts!A:A,0)))</f>
        <v>115</v>
      </c>
      <c r="E72" s="50">
        <f>IF(B72="","",INDEX(Workouts!D:D,MATCH(B72,Workouts!A:A,0)))</f>
        <v>0</v>
      </c>
    </row>
    <row r="73" spans="1:6" ht="13.5" thickBot="1" x14ac:dyDescent="0.25">
      <c r="A73" s="4" t="s">
        <v>74</v>
      </c>
      <c r="B73" s="47"/>
      <c r="C73" s="48" t="str">
        <f>IF(B73="","",INDEX(Workouts!B:B,MATCH(B73,Workouts!A:A,0)))</f>
        <v/>
      </c>
      <c r="D73" s="48" t="str">
        <f>IF(B73="","",INDEX(Workouts!C:C,MATCH(B73,Workouts!A:A,0)))</f>
        <v/>
      </c>
      <c r="E73" s="51" t="str">
        <f>IF(B73="","",INDEX(Workouts!D:D,MATCH(B73,Workouts!A:A,0)))</f>
        <v/>
      </c>
      <c r="F73" s="4"/>
    </row>
    <row r="74" spans="1:6" x14ac:dyDescent="0.2">
      <c r="A74" t="s">
        <v>66</v>
      </c>
      <c r="C74" s="45" t="str">
        <f>IF(B74="","",INDEX(Workouts!B:B,MATCH(B74,Workouts!A:A,0)))</f>
        <v/>
      </c>
      <c r="D74" s="45" t="str">
        <f>IF(B74="","",INDEX(Workouts!C:C,MATCH(B74,Workouts!A:A,0)))</f>
        <v/>
      </c>
      <c r="E74" s="50" t="str">
        <f>IF(B74="","",INDEX(Workouts!D:D,MATCH(B74,Workouts!A:A,0)))</f>
        <v/>
      </c>
      <c r="F74" t="str">
        <f>"Week 5: " &amp; INT(SUM(C74:C80)/60) &amp; ":" &amp; LEFT(MOD(SUM(C74:C80),60)&amp;"0",2) &amp; " hrs &amp; " &amp; SUM(D74:D80) &amp; " TSS"</f>
        <v>Week 5: 8:30 hrs &amp; 485 TSS</v>
      </c>
    </row>
    <row r="75" spans="1:6" x14ac:dyDescent="0.2">
      <c r="A75" t="s">
        <v>68</v>
      </c>
      <c r="B75" s="1" t="s">
        <v>288</v>
      </c>
      <c r="C75" s="45">
        <f>IF(B75="","",INDEX(Workouts!B:B,MATCH(B75,Workouts!A:A,0)))</f>
        <v>60</v>
      </c>
      <c r="D75" s="45">
        <f>IF(B75="","",INDEX(Workouts!C:C,MATCH(B75,Workouts!A:A,0)))</f>
        <v>73</v>
      </c>
      <c r="E75" s="50">
        <f>IF(B75="","",INDEX(Workouts!D:D,MATCH(B75,Workouts!A:A,0)))</f>
        <v>0.86</v>
      </c>
    </row>
    <row r="76" spans="1:6" x14ac:dyDescent="0.2">
      <c r="A76" t="s">
        <v>70</v>
      </c>
      <c r="B76" s="1" t="s">
        <v>289</v>
      </c>
      <c r="C76" s="45">
        <f>IF(B76="","",INDEX(Workouts!B:B,MATCH(B76,Workouts!A:A,0)))</f>
        <v>60</v>
      </c>
      <c r="D76" s="45">
        <f>IF(B76="","",INDEX(Workouts!C:C,MATCH(B76,Workouts!A:A,0)))</f>
        <v>65</v>
      </c>
      <c r="E76" s="50">
        <f>IF(B76="","",INDEX(Workouts!D:D,MATCH(B76,Workouts!A:A,0)))</f>
        <v>0.81</v>
      </c>
    </row>
    <row r="77" spans="1:6" x14ac:dyDescent="0.2">
      <c r="A77" t="s">
        <v>71</v>
      </c>
      <c r="B77" s="1" t="s">
        <v>353</v>
      </c>
      <c r="C77" s="45">
        <f>IF(B77="","",INDEX(Workouts!B:B,MATCH(B77,Workouts!A:A,0)))</f>
        <v>90</v>
      </c>
      <c r="D77" s="45">
        <f>IF(B77="","",INDEX(Workouts!C:C,MATCH(B77,Workouts!A:A,0)))</f>
        <v>70</v>
      </c>
      <c r="E77" s="50">
        <f>IF(B77="","",INDEX(Workouts!D:D,MATCH(B77,Workouts!A:A,0)))</f>
        <v>0.68</v>
      </c>
    </row>
    <row r="78" spans="1:6" x14ac:dyDescent="0.2">
      <c r="A78" t="s">
        <v>72</v>
      </c>
      <c r="B78" s="63" t="s">
        <v>82</v>
      </c>
      <c r="C78" s="45">
        <f>IF(B78="","",INDEX(Workouts!B:B,MATCH(B78,Workouts!A:A,0)))</f>
        <v>30</v>
      </c>
      <c r="D78" s="45">
        <f>IF(B78="","",INDEX(Workouts!C:C,MATCH(B78,Workouts!A:A,0)))</f>
        <v>25</v>
      </c>
      <c r="E78" s="50">
        <f>IF(B78="","",INDEX(Workouts!D:D,MATCH(B78,Workouts!A:A,0)))</f>
        <v>0.75</v>
      </c>
    </row>
    <row r="79" spans="1:6" x14ac:dyDescent="0.2">
      <c r="A79" t="s">
        <v>73</v>
      </c>
      <c r="B79" s="1" t="s">
        <v>290</v>
      </c>
      <c r="C79" s="45">
        <f>IF(B79="","",INDEX(Workouts!B:B,MATCH(B79,Workouts!A:A,0)))</f>
        <v>150</v>
      </c>
      <c r="D79" s="45">
        <f>IF(B79="","",INDEX(Workouts!C:C,MATCH(B79,Workouts!A:A,0)))</f>
        <v>152</v>
      </c>
      <c r="E79" s="50">
        <f>IF(B79="","",INDEX(Workouts!D:D,MATCH(B79,Workouts!A:A,0)))</f>
        <v>0.78</v>
      </c>
    </row>
    <row r="80" spans="1:6" ht="13.5" thickBot="1" x14ac:dyDescent="0.25">
      <c r="A80" s="4" t="s">
        <v>74</v>
      </c>
      <c r="B80" s="47" t="s">
        <v>354</v>
      </c>
      <c r="C80" s="48">
        <f>IF(B80="","",INDEX(Workouts!B:B,MATCH(B80,Workouts!A:A,0)))</f>
        <v>120</v>
      </c>
      <c r="D80" s="48">
        <f>IF(B80="","",INDEX(Workouts!C:C,MATCH(B80,Workouts!A:A,0)))</f>
        <v>100</v>
      </c>
      <c r="E80" s="51">
        <f>IF(B80="","",INDEX(Workouts!D:D,MATCH(B80,Workouts!A:A,0)))</f>
        <v>0</v>
      </c>
      <c r="F80" s="4"/>
    </row>
    <row r="81" spans="1:6" x14ac:dyDescent="0.2">
      <c r="A81" t="s">
        <v>66</v>
      </c>
      <c r="C81" s="45" t="str">
        <f>IF(B81="","",INDEX(Workouts!B:B,MATCH(B81,Workouts!A:A,0)))</f>
        <v/>
      </c>
      <c r="D81" s="45" t="str">
        <f>IF(B81="","",INDEX(Workouts!C:C,MATCH(B81,Workouts!A:A,0)))</f>
        <v/>
      </c>
      <c r="E81" s="50" t="str">
        <f>IF(B81="","",INDEX(Workouts!D:D,MATCH(B81,Workouts!A:A,0)))</f>
        <v/>
      </c>
      <c r="F81" t="str">
        <f>"Week 6: " &amp; INT(SUM(C81:C87)/60) &amp; ":" &amp; LEFT(MOD(SUM(C81:C87),60)&amp;"0",2) &amp; " hrs &amp; " &amp; SUM(D81:D87) &amp; " TSS"</f>
        <v>Week 6: 8:30 hrs &amp; 510 TSS</v>
      </c>
    </row>
    <row r="82" spans="1:6" x14ac:dyDescent="0.2">
      <c r="A82" t="s">
        <v>68</v>
      </c>
      <c r="B82" s="1" t="s">
        <v>291</v>
      </c>
      <c r="C82" s="45">
        <f>IF(B82="","",INDEX(Workouts!B:B,MATCH(B82,Workouts!A:A,0)))</f>
        <v>60</v>
      </c>
      <c r="D82" s="45">
        <f>IF(B82="","",INDEX(Workouts!C:C,MATCH(B82,Workouts!A:A,0)))</f>
        <v>73</v>
      </c>
      <c r="E82" s="50">
        <f>IF(B82="","",INDEX(Workouts!D:D,MATCH(B82,Workouts!A:A,0)))</f>
        <v>0.86</v>
      </c>
    </row>
    <row r="83" spans="1:6" x14ac:dyDescent="0.2">
      <c r="A83" t="s">
        <v>70</v>
      </c>
      <c r="B83" s="1" t="s">
        <v>292</v>
      </c>
      <c r="C83" s="45">
        <f>IF(B83="","",INDEX(Workouts!B:B,MATCH(B83,Workouts!A:A,0)))</f>
        <v>60</v>
      </c>
      <c r="D83" s="45">
        <f>IF(B83="","",INDEX(Workouts!C:C,MATCH(B83,Workouts!A:A,0)))</f>
        <v>65</v>
      </c>
      <c r="E83" s="50">
        <f>IF(B83="","",INDEX(Workouts!D:D,MATCH(B83,Workouts!A:A,0)))</f>
        <v>0.81</v>
      </c>
    </row>
    <row r="84" spans="1:6" x14ac:dyDescent="0.2">
      <c r="A84" t="s">
        <v>71</v>
      </c>
      <c r="B84" s="1" t="s">
        <v>355</v>
      </c>
      <c r="C84" s="45">
        <f>IF(B84="","",INDEX(Workouts!B:B,MATCH(B84,Workouts!A:A,0)))</f>
        <v>90</v>
      </c>
      <c r="D84" s="45">
        <f>IF(B84="","",INDEX(Workouts!C:C,MATCH(B84,Workouts!A:A,0)))</f>
        <v>70</v>
      </c>
      <c r="E84" s="50">
        <f>IF(B84="","",INDEX(Workouts!D:D,MATCH(B84,Workouts!A:A,0)))</f>
        <v>0.68</v>
      </c>
    </row>
    <row r="85" spans="1:6" x14ac:dyDescent="0.2">
      <c r="A85" t="s">
        <v>72</v>
      </c>
      <c r="B85" s="63" t="s">
        <v>82</v>
      </c>
      <c r="C85" s="45">
        <f>IF(B85="","",INDEX(Workouts!B:B,MATCH(B85,Workouts!A:A,0)))</f>
        <v>30</v>
      </c>
      <c r="D85" s="45">
        <f>IF(B85="","",INDEX(Workouts!C:C,MATCH(B85,Workouts!A:A,0)))</f>
        <v>25</v>
      </c>
      <c r="E85" s="50">
        <f>IF(B85="","",INDEX(Workouts!D:D,MATCH(B85,Workouts!A:A,0)))</f>
        <v>0.75</v>
      </c>
    </row>
    <row r="86" spans="1:6" x14ac:dyDescent="0.2">
      <c r="A86" t="s">
        <v>73</v>
      </c>
      <c r="B86" s="1" t="s">
        <v>293</v>
      </c>
      <c r="C86" s="45">
        <f>IF(B86="","",INDEX(Workouts!B:B,MATCH(B86,Workouts!A:A,0)))</f>
        <v>150</v>
      </c>
      <c r="D86" s="45">
        <f>IF(B86="","",INDEX(Workouts!C:C,MATCH(B86,Workouts!A:A,0)))</f>
        <v>152</v>
      </c>
      <c r="E86" s="50">
        <f>IF(B86="","",INDEX(Workouts!D:D,MATCH(B86,Workouts!A:A,0)))</f>
        <v>0.78</v>
      </c>
    </row>
    <row r="87" spans="1:6" ht="13.5" thickBot="1" x14ac:dyDescent="0.25">
      <c r="A87" s="4" t="s">
        <v>74</v>
      </c>
      <c r="B87" s="47" t="s">
        <v>360</v>
      </c>
      <c r="C87" s="48">
        <f>IF(B87="","",INDEX(Workouts!B:B,MATCH(B87,Workouts!A:A,0)))</f>
        <v>120</v>
      </c>
      <c r="D87" s="48">
        <f>IF(B87="","",INDEX(Workouts!C:C,MATCH(B87,Workouts!A:A,0)))</f>
        <v>125</v>
      </c>
      <c r="E87" s="51">
        <f>IF(B87="","",INDEX(Workouts!D:D,MATCH(B87,Workouts!A:A,0)))</f>
        <v>0.79</v>
      </c>
      <c r="F87" s="4"/>
    </row>
    <row r="88" spans="1:6" x14ac:dyDescent="0.2">
      <c r="A88" t="s">
        <v>66</v>
      </c>
      <c r="C88" s="45" t="str">
        <f>IF(B88="","",INDEX(Workouts!B:B,MATCH(B88,Workouts!A:A,0)))</f>
        <v/>
      </c>
      <c r="D88" s="45" t="str">
        <f>IF(B88="","",INDEX(Workouts!C:C,MATCH(B88,Workouts!A:A,0)))</f>
        <v/>
      </c>
      <c r="E88" s="50" t="str">
        <f>IF(B88="","",INDEX(Workouts!D:D,MATCH(B88,Workouts!A:A,0)))</f>
        <v/>
      </c>
      <c r="F88" t="str">
        <f>"Week 7: " &amp; INT(SUM(C88:C94)/60) &amp; ":" &amp; LEFT(MOD(SUM(C88:C94),60)&amp;"0",2) &amp; " hrs &amp; " &amp; SUM(D88:D94) &amp; " TSS"</f>
        <v>Week 7: 10:30 hrs &amp; 614 TSS</v>
      </c>
    </row>
    <row r="89" spans="1:6" x14ac:dyDescent="0.2">
      <c r="A89" t="s">
        <v>68</v>
      </c>
      <c r="B89" s="1" t="s">
        <v>294</v>
      </c>
      <c r="C89" s="45">
        <f>IF(B89="","",INDEX(Workouts!B:B,MATCH(B89,Workouts!A:A,0)))</f>
        <v>90</v>
      </c>
      <c r="D89" s="45">
        <f>IF(B89="","",INDEX(Workouts!C:C,MATCH(B89,Workouts!A:A,0)))</f>
        <v>106</v>
      </c>
      <c r="E89" s="50">
        <f>IF(B89="","",INDEX(Workouts!D:D,MATCH(B89,Workouts!A:A,0)))</f>
        <v>0.84</v>
      </c>
    </row>
    <row r="90" spans="1:6" x14ac:dyDescent="0.2">
      <c r="A90" t="s">
        <v>70</v>
      </c>
      <c r="B90" s="1" t="s">
        <v>295</v>
      </c>
      <c r="C90" s="45">
        <f>IF(B90="","",INDEX(Workouts!B:B,MATCH(B90,Workouts!A:A,0)))</f>
        <v>90</v>
      </c>
      <c r="D90" s="45">
        <f>IF(B90="","",INDEX(Workouts!C:C,MATCH(B90,Workouts!A:A,0)))</f>
        <v>89</v>
      </c>
      <c r="E90" s="50">
        <f>IF(B90="","",INDEX(Workouts!D:D,MATCH(B90,Workouts!A:A,0)))</f>
        <v>0.77</v>
      </c>
    </row>
    <row r="91" spans="1:6" x14ac:dyDescent="0.2">
      <c r="A91" t="s">
        <v>71</v>
      </c>
      <c r="B91" s="1" t="s">
        <v>356</v>
      </c>
      <c r="C91" s="45">
        <f>IF(B91="","",INDEX(Workouts!B:B,MATCH(B91,Workouts!A:A,0)))</f>
        <v>60</v>
      </c>
      <c r="D91" s="45">
        <f>IF(B91="","",INDEX(Workouts!C:C,MATCH(B91,Workouts!A:A,0)))</f>
        <v>48</v>
      </c>
      <c r="E91" s="50">
        <f>IF(B91="","",INDEX(Workouts!D:D,MATCH(B91,Workouts!A:A,0)))</f>
        <v>0.7</v>
      </c>
    </row>
    <row r="92" spans="1:6" x14ac:dyDescent="0.2">
      <c r="A92" t="s">
        <v>72</v>
      </c>
      <c r="B92" s="63"/>
      <c r="C92" s="45" t="str">
        <f>IF(B92="","",INDEX(Workouts!B:B,MATCH(B92,Workouts!A:A,0)))</f>
        <v/>
      </c>
      <c r="D92" s="45" t="str">
        <f>IF(B92="","",INDEX(Workouts!C:C,MATCH(B92,Workouts!A:A,0)))</f>
        <v/>
      </c>
      <c r="E92" s="50" t="str">
        <f>IF(B92="","",INDEX(Workouts!D:D,MATCH(B92,Workouts!A:A,0)))</f>
        <v/>
      </c>
    </row>
    <row r="93" spans="1:6" x14ac:dyDescent="0.2">
      <c r="A93" t="s">
        <v>73</v>
      </c>
      <c r="B93" s="1" t="s">
        <v>296</v>
      </c>
      <c r="C93" s="45">
        <f>IF(B93="","",INDEX(Workouts!B:B,MATCH(B93,Workouts!A:A,0)))</f>
        <v>270</v>
      </c>
      <c r="D93" s="45">
        <f>IF(B93="","",INDEX(Workouts!C:C,MATCH(B93,Workouts!A:A,0)))</f>
        <v>274</v>
      </c>
      <c r="E93" s="50">
        <f>IF(B93="","",INDEX(Workouts!D:D,MATCH(B93,Workouts!A:A,0)))</f>
        <v>0.78</v>
      </c>
    </row>
    <row r="94" spans="1:6" ht="13.5" thickBot="1" x14ac:dyDescent="0.25">
      <c r="A94" s="4" t="s">
        <v>74</v>
      </c>
      <c r="B94" s="47" t="s">
        <v>357</v>
      </c>
      <c r="C94" s="48">
        <f>IF(B94="","",INDEX(Workouts!B:B,MATCH(B94,Workouts!A:A,0)))</f>
        <v>120</v>
      </c>
      <c r="D94" s="48">
        <f>IF(B94="","",INDEX(Workouts!C:C,MATCH(B94,Workouts!A:A,0)))</f>
        <v>97</v>
      </c>
      <c r="E94" s="51">
        <f>IF(B94="","",INDEX(Workouts!D:D,MATCH(B94,Workouts!A:A,0)))</f>
        <v>0.7</v>
      </c>
      <c r="F94" s="4"/>
    </row>
    <row r="95" spans="1:6" x14ac:dyDescent="0.2">
      <c r="A95" t="s">
        <v>66</v>
      </c>
      <c r="C95" s="45" t="str">
        <f>IF(B95="","",INDEX(Workouts!B:B,MATCH(B95,Workouts!A:A,0)))</f>
        <v/>
      </c>
      <c r="D95" s="45" t="str">
        <f>IF(B95="","",INDEX(Workouts!C:C,MATCH(B95,Workouts!A:A,0)))</f>
        <v/>
      </c>
      <c r="E95" s="50" t="str">
        <f>IF(B95="","",INDEX(Workouts!D:D,MATCH(B95,Workouts!A:A,0)))</f>
        <v/>
      </c>
      <c r="F95" t="str">
        <f>"Week 8: " &amp; INT(SUM(C95:C101)/60) &amp; ":" &amp; LEFT(MOD(SUM(C95:C101),60)&amp;"0",2) &amp; " hrs &amp; " &amp; SUM(D95:D101) &amp; " TSS"</f>
        <v>Week 8: 6:30 hrs &amp; 382 TSS</v>
      </c>
    </row>
    <row r="96" spans="1:6" x14ac:dyDescent="0.2">
      <c r="A96" t="s">
        <v>68</v>
      </c>
      <c r="B96" s="1"/>
      <c r="C96" s="45" t="str">
        <f>IF(B96="","",INDEX(Workouts!B:B,MATCH(B96,Workouts!A:A,0)))</f>
        <v/>
      </c>
      <c r="D96" s="45" t="str">
        <f>IF(B96="","",INDEX(Workouts!C:C,MATCH(B96,Workouts!A:A,0)))</f>
        <v/>
      </c>
      <c r="E96" s="50" t="str">
        <f>IF(B96="","",INDEX(Workouts!D:D,MATCH(B96,Workouts!A:A,0)))</f>
        <v/>
      </c>
    </row>
    <row r="97" spans="1:6" x14ac:dyDescent="0.2">
      <c r="A97" t="s">
        <v>70</v>
      </c>
      <c r="B97" s="1" t="s">
        <v>297</v>
      </c>
      <c r="C97" s="45">
        <f>IF(B97="","",INDEX(Workouts!B:B,MATCH(B97,Workouts!A:A,0)))</f>
        <v>90</v>
      </c>
      <c r="D97" s="45">
        <f>IF(B97="","",INDEX(Workouts!C:C,MATCH(B97,Workouts!A:A,0)))</f>
        <v>90</v>
      </c>
      <c r="E97" s="50">
        <f>IF(B97="","",INDEX(Workouts!D:D,MATCH(B97,Workouts!A:A,0)))</f>
        <v>0.78</v>
      </c>
    </row>
    <row r="98" spans="1:6" x14ac:dyDescent="0.2">
      <c r="A98" t="s">
        <v>71</v>
      </c>
      <c r="B98" s="63" t="s">
        <v>82</v>
      </c>
      <c r="C98" s="45">
        <f>IF(B98="","",INDEX(Workouts!B:B,MATCH(B98,Workouts!A:A,0)))</f>
        <v>30</v>
      </c>
      <c r="D98" s="45">
        <f>IF(B98="","",INDEX(Workouts!C:C,MATCH(B98,Workouts!A:A,0)))</f>
        <v>25</v>
      </c>
      <c r="E98" s="50">
        <f>IF(B98="","",INDEX(Workouts!D:D,MATCH(B98,Workouts!A:A,0)))</f>
        <v>0.75</v>
      </c>
    </row>
    <row r="99" spans="1:6" x14ac:dyDescent="0.2">
      <c r="A99" t="s">
        <v>72</v>
      </c>
      <c r="B99" s="1" t="s">
        <v>298</v>
      </c>
      <c r="C99" s="45">
        <f>IF(B99="","",INDEX(Workouts!B:B,MATCH(B99,Workouts!A:A,0)))</f>
        <v>90</v>
      </c>
      <c r="D99" s="45">
        <f>IF(B99="","",INDEX(Workouts!C:C,MATCH(B99,Workouts!A:A,0)))</f>
        <v>84</v>
      </c>
      <c r="E99" s="50">
        <f>IF(B99="","",INDEX(Workouts!D:D,MATCH(B99,Workouts!A:A,0)))</f>
        <v>0.75</v>
      </c>
    </row>
    <row r="100" spans="1:6" x14ac:dyDescent="0.2">
      <c r="A100" t="s">
        <v>73</v>
      </c>
      <c r="B100" s="1" t="s">
        <v>299</v>
      </c>
      <c r="C100" s="45">
        <f>IF(B100="","",INDEX(Workouts!B:B,MATCH(B100,Workouts!A:A,0)))</f>
        <v>180</v>
      </c>
      <c r="D100" s="45">
        <f>IF(B100="","",INDEX(Workouts!C:C,MATCH(B100,Workouts!A:A,0)))</f>
        <v>183</v>
      </c>
      <c r="E100" s="50">
        <f>IF(B100="","",INDEX(Workouts!D:D,MATCH(B100,Workouts!A:A,0)))</f>
        <v>0.78</v>
      </c>
    </row>
    <row r="101" spans="1:6" ht="13.5" thickBot="1" x14ac:dyDescent="0.25">
      <c r="A101" s="4" t="s">
        <v>74</v>
      </c>
      <c r="B101" s="47"/>
      <c r="C101" s="48" t="str">
        <f>IF(B101="","",INDEX(Workouts!B:B,MATCH(B101,Workouts!A:A,0)))</f>
        <v/>
      </c>
      <c r="D101" s="48" t="str">
        <f>IF(B101="","",INDEX(Workouts!C:C,MATCH(B101,Workouts!A:A,0)))</f>
        <v/>
      </c>
      <c r="E101" s="51" t="str">
        <f>IF(B101="","",INDEX(Workouts!D:D,MATCH(B101,Workouts!A:A,0)))</f>
        <v/>
      </c>
      <c r="F101" s="4"/>
    </row>
    <row r="102" spans="1:6" x14ac:dyDescent="0.2">
      <c r="A102" t="s">
        <v>66</v>
      </c>
      <c r="C102" s="45" t="str">
        <f>IF(B102="","",INDEX(Workouts!B:B,MATCH(B102,Workouts!A:A,0)))</f>
        <v/>
      </c>
      <c r="D102" s="45" t="str">
        <f>IF(B102="","",INDEX(Workouts!C:C,MATCH(B102,Workouts!A:A,0)))</f>
        <v/>
      </c>
      <c r="E102" s="50" t="str">
        <f>IF(B102="","",INDEX(Workouts!D:D,MATCH(B102,Workouts!A:A,0)))</f>
        <v/>
      </c>
      <c r="F102" t="str">
        <f>"Week 9: " &amp; INT(SUM(C102:C108)/60) &amp; ":" &amp; LEFT(MOD(SUM(C102:C108),60)&amp;"0",2) &amp; " hrs &amp; " &amp; SUM(D102:D108) &amp; " TSS"</f>
        <v>Week 9: 10:30 hrs &amp; 582 TSS</v>
      </c>
    </row>
    <row r="103" spans="1:6" x14ac:dyDescent="0.2">
      <c r="A103" t="s">
        <v>68</v>
      </c>
      <c r="B103" s="1" t="s">
        <v>300</v>
      </c>
      <c r="C103" s="45">
        <f>IF(B103="","",INDEX(Workouts!B:B,MATCH(B103,Workouts!A:A,0)))</f>
        <v>120</v>
      </c>
      <c r="D103" s="45">
        <f>IF(B103="","",INDEX(Workouts!C:C,MATCH(B103,Workouts!A:A,0)))</f>
        <v>125</v>
      </c>
      <c r="E103" s="50">
        <f>IF(B103="","",INDEX(Workouts!D:D,MATCH(B103,Workouts!A:A,0)))</f>
        <v>0.79</v>
      </c>
    </row>
    <row r="104" spans="1:6" x14ac:dyDescent="0.2">
      <c r="A104" t="s">
        <v>70</v>
      </c>
      <c r="B104" s="1" t="s">
        <v>301</v>
      </c>
      <c r="C104" s="45">
        <f>IF(B104="","",INDEX(Workouts!B:B,MATCH(B104,Workouts!A:A,0)))</f>
        <v>120</v>
      </c>
      <c r="D104" s="45">
        <f>IF(B104="","",INDEX(Workouts!C:C,MATCH(B104,Workouts!A:A,0)))</f>
        <v>115</v>
      </c>
      <c r="E104" s="50">
        <f>IF(B104="","",INDEX(Workouts!D:D,MATCH(B104,Workouts!A:A,0)))</f>
        <v>0.76</v>
      </c>
    </row>
    <row r="105" spans="1:6" x14ac:dyDescent="0.2">
      <c r="A105" t="s">
        <v>71</v>
      </c>
      <c r="B105" s="1" t="s">
        <v>358</v>
      </c>
      <c r="C105" s="45">
        <f>IF(B105="","",INDEX(Workouts!B:B,MATCH(B105,Workouts!A:A,0)))</f>
        <v>60</v>
      </c>
      <c r="D105" s="45">
        <f>IF(B105="","",INDEX(Workouts!C:C,MATCH(B105,Workouts!A:A,0)))</f>
        <v>47</v>
      </c>
      <c r="E105" s="50">
        <f>IF(B105="","",INDEX(Workouts!D:D,MATCH(B105,Workouts!A:A,0)))</f>
        <v>0.69</v>
      </c>
    </row>
    <row r="106" spans="1:6" x14ac:dyDescent="0.2">
      <c r="A106" t="s">
        <v>72</v>
      </c>
      <c r="C106" s="45" t="str">
        <f>IF(B106="","",INDEX(Workouts!B:B,MATCH(B106,Workouts!A:A,0)))</f>
        <v/>
      </c>
      <c r="D106" s="45" t="str">
        <f>IF(B106="","",INDEX(Workouts!C:C,MATCH(B106,Workouts!A:A,0)))</f>
        <v/>
      </c>
      <c r="E106" s="50" t="str">
        <f>IF(B106="","",INDEX(Workouts!D:D,MATCH(B106,Workouts!A:A,0)))</f>
        <v/>
      </c>
    </row>
    <row r="107" spans="1:6" x14ac:dyDescent="0.2">
      <c r="A107" t="s">
        <v>73</v>
      </c>
      <c r="B107" s="1" t="s">
        <v>302</v>
      </c>
      <c r="C107" s="45">
        <f>IF(B107="","",INDEX(Workouts!B:B,MATCH(B107,Workouts!A:A,0)))</f>
        <v>180</v>
      </c>
      <c r="D107" s="45">
        <f>IF(B107="","",INDEX(Workouts!C:C,MATCH(B107,Workouts!A:A,0)))</f>
        <v>169</v>
      </c>
      <c r="E107" s="50">
        <f>IF(B107="","",INDEX(Workouts!D:D,MATCH(B107,Workouts!A:A,0)))</f>
        <v>0.75</v>
      </c>
    </row>
    <row r="108" spans="1:6" ht="13.5" thickBot="1" x14ac:dyDescent="0.25">
      <c r="A108" s="4" t="s">
        <v>74</v>
      </c>
      <c r="B108" s="47" t="s">
        <v>359</v>
      </c>
      <c r="C108" s="48">
        <f>IF(B108="","",INDEX(Workouts!B:B,MATCH(B108,Workouts!A:A,0)))</f>
        <v>150</v>
      </c>
      <c r="D108" s="48">
        <f>IF(B108="","",INDEX(Workouts!C:C,MATCH(B108,Workouts!A:A,0)))</f>
        <v>126</v>
      </c>
      <c r="E108" s="51">
        <f>IF(B108="","",INDEX(Workouts!D:D,MATCH(B108,Workouts!A:A,0)))</f>
        <v>0.71</v>
      </c>
      <c r="F108" s="4"/>
    </row>
    <row r="109" spans="1:6" x14ac:dyDescent="0.2">
      <c r="A109" t="s">
        <v>66</v>
      </c>
      <c r="C109" s="45" t="str">
        <f>IF(B109="","",INDEX(Workouts!B:B,MATCH(B109,Workouts!A:A,0)))</f>
        <v/>
      </c>
      <c r="D109" s="45" t="str">
        <f>IF(B109="","",INDEX(Workouts!C:C,MATCH(B109,Workouts!A:A,0)))</f>
        <v/>
      </c>
      <c r="E109" s="50" t="str">
        <f>IF(B109="","",INDEX(Workouts!D:D,MATCH(B109,Workouts!A:A,0)))</f>
        <v/>
      </c>
      <c r="F109" t="str">
        <f>"Week 10: " &amp; INT(SUM(C109:C115)/60) &amp; ":" &amp; LEFT(MOD(SUM(C109:C115),60)&amp;"0",2) &amp; " hrs &amp; " &amp; SUM(D109:D115) &amp; " TSS"</f>
        <v>Week 10: 11:30 hrs &amp; 640 TSS</v>
      </c>
    </row>
    <row r="110" spans="1:6" x14ac:dyDescent="0.2">
      <c r="A110" t="s">
        <v>68</v>
      </c>
      <c r="B110" s="1" t="s">
        <v>303</v>
      </c>
      <c r="C110" s="45">
        <f>IF(B110="","",INDEX(Workouts!B:B,MATCH(B110,Workouts!A:A,0)))</f>
        <v>120</v>
      </c>
      <c r="D110" s="45">
        <f>IF(B110="","",INDEX(Workouts!C:C,MATCH(B110,Workouts!A:A,0)))</f>
        <v>124</v>
      </c>
      <c r="E110" s="50">
        <f>IF(B110="","",INDEX(Workouts!D:D,MATCH(B110,Workouts!A:A,0)))</f>
        <v>0.79</v>
      </c>
    </row>
    <row r="111" spans="1:6" x14ac:dyDescent="0.2">
      <c r="A111" t="s">
        <v>70</v>
      </c>
      <c r="B111" s="1" t="s">
        <v>304</v>
      </c>
      <c r="C111" s="45">
        <f>IF(B111="","",INDEX(Workouts!B:B,MATCH(B111,Workouts!A:A,0)))</f>
        <v>90</v>
      </c>
      <c r="D111" s="45">
        <f>IF(B111="","",INDEX(Workouts!C:C,MATCH(B111,Workouts!A:A,0)))</f>
        <v>83</v>
      </c>
      <c r="E111" s="50">
        <f>IF(B111="","",INDEX(Workouts!D:D,MATCH(B111,Workouts!A:A,0)))</f>
        <v>0.75</v>
      </c>
    </row>
    <row r="112" spans="1:6" x14ac:dyDescent="0.2">
      <c r="A112" t="s">
        <v>71</v>
      </c>
      <c r="B112" s="1" t="s">
        <v>343</v>
      </c>
      <c r="C112" s="45">
        <f>IF(B112="","",INDEX(Workouts!B:B,MATCH(B112,Workouts!A:A,0)))</f>
        <v>90</v>
      </c>
      <c r="D112" s="45">
        <f>IF(B112="","",INDEX(Workouts!C:C,MATCH(B112,Workouts!A:A,0)))</f>
        <v>74</v>
      </c>
      <c r="E112" s="50">
        <f>IF(B112="","",INDEX(Workouts!D:D,MATCH(B112,Workouts!A:A,0)))</f>
        <v>0.7</v>
      </c>
    </row>
    <row r="113" spans="1:6" x14ac:dyDescent="0.2">
      <c r="A113" t="s">
        <v>72</v>
      </c>
      <c r="B113" s="63" t="s">
        <v>82</v>
      </c>
      <c r="C113" s="45">
        <f>IF(B113="","",INDEX(Workouts!B:B,MATCH(B113,Workouts!A:A,0)))</f>
        <v>30</v>
      </c>
      <c r="D113" s="45">
        <f>IF(B113="","",INDEX(Workouts!C:C,MATCH(B113,Workouts!A:A,0)))</f>
        <v>25</v>
      </c>
      <c r="E113" s="50">
        <f>IF(B113="","",INDEX(Workouts!D:D,MATCH(B113,Workouts!A:A,0)))</f>
        <v>0.75</v>
      </c>
    </row>
    <row r="114" spans="1:6" x14ac:dyDescent="0.2">
      <c r="A114" t="s">
        <v>73</v>
      </c>
      <c r="B114" s="1" t="s">
        <v>305</v>
      </c>
      <c r="C114" s="45">
        <f>IF(B114="","",INDEX(Workouts!B:B,MATCH(B114,Workouts!A:A,0)))</f>
        <v>180</v>
      </c>
      <c r="D114" s="45">
        <f>IF(B114="","",INDEX(Workouts!C:C,MATCH(B114,Workouts!A:A,0)))</f>
        <v>183</v>
      </c>
      <c r="E114" s="50">
        <f>IF(B114="","",INDEX(Workouts!D:D,MATCH(B114,Workouts!A:A,0)))</f>
        <v>0.78</v>
      </c>
    </row>
    <row r="115" spans="1:6" ht="13.5" thickBot="1" x14ac:dyDescent="0.25">
      <c r="A115" s="4" t="s">
        <v>74</v>
      </c>
      <c r="B115" s="47" t="s">
        <v>344</v>
      </c>
      <c r="C115" s="48">
        <f>IF(B115="","",INDEX(Workouts!B:B,MATCH(B115,Workouts!A:A,0)))</f>
        <v>180</v>
      </c>
      <c r="D115" s="48">
        <f>IF(B115="","",INDEX(Workouts!C:C,MATCH(B115,Workouts!A:A,0)))</f>
        <v>151</v>
      </c>
      <c r="E115" s="51">
        <f>IF(B115="","",INDEX(Workouts!D:D,MATCH(B115,Workouts!A:A,0)))</f>
        <v>0.71</v>
      </c>
      <c r="F115" s="4"/>
    </row>
    <row r="116" spans="1:6" x14ac:dyDescent="0.2">
      <c r="A116" t="s">
        <v>66</v>
      </c>
      <c r="C116" s="45" t="str">
        <f>IF(B116="","",INDEX(Workouts!B:B,MATCH(B116,Workouts!A:A,0)))</f>
        <v/>
      </c>
      <c r="D116" s="45" t="str">
        <f>IF(B116="","",INDEX(Workouts!C:C,MATCH(B116,Workouts!A:A,0)))</f>
        <v/>
      </c>
      <c r="E116" s="50" t="str">
        <f>IF(B116="","",INDEX(Workouts!D:D,MATCH(B116,Workouts!A:A,0)))</f>
        <v/>
      </c>
      <c r="F116" t="str">
        <f>"Week 11: " &amp; INT(SUM(C116:C122)/60) &amp; ":" &amp; LEFT(MOD(SUM(C116:C122),60)&amp;"0",2) &amp; " hrs &amp; " &amp; SUM(D116:D122) &amp; " TSS"</f>
        <v>Week 11: 13:00 hrs &amp; 801 TSS</v>
      </c>
    </row>
    <row r="117" spans="1:6" x14ac:dyDescent="0.2">
      <c r="A117" t="s">
        <v>68</v>
      </c>
      <c r="B117" s="1" t="s">
        <v>306</v>
      </c>
      <c r="C117" s="45">
        <f>IF(B117="","",INDEX(Workouts!B:B,MATCH(B117,Workouts!A:A,0)))</f>
        <v>90</v>
      </c>
      <c r="D117" s="45">
        <f>IF(B117="","",INDEX(Workouts!C:C,MATCH(B117,Workouts!A:A,0)))</f>
        <v>98</v>
      </c>
      <c r="E117" s="50">
        <f>IF(B117="","",INDEX(Workouts!D:D,MATCH(B117,Workouts!A:A,0)))</f>
        <v>0.81</v>
      </c>
    </row>
    <row r="118" spans="1:6" x14ac:dyDescent="0.2">
      <c r="A118" t="s">
        <v>70</v>
      </c>
      <c r="B118" s="1" t="s">
        <v>307</v>
      </c>
      <c r="C118" s="45">
        <f>IF(B118="","",INDEX(Workouts!B:B,MATCH(B118,Workouts!A:A,0)))</f>
        <v>120</v>
      </c>
      <c r="D118" s="45">
        <f>IF(B118="","",INDEX(Workouts!C:C,MATCH(B118,Workouts!A:A,0)))</f>
        <v>131</v>
      </c>
      <c r="E118" s="50">
        <f>IF(B118="","",INDEX(Workouts!D:D,MATCH(B118,Workouts!A:A,0)))</f>
        <v>0.81</v>
      </c>
    </row>
    <row r="119" spans="1:6" x14ac:dyDescent="0.2">
      <c r="A119" t="s">
        <v>71</v>
      </c>
      <c r="B119" s="1" t="s">
        <v>308</v>
      </c>
      <c r="C119" s="45">
        <f>IF(B119="","",INDEX(Workouts!B:B,MATCH(B119,Workouts!A:A,0)))</f>
        <v>120</v>
      </c>
      <c r="D119" s="45">
        <f>IF(B119="","",INDEX(Workouts!C:C,MATCH(B119,Workouts!A:A,0)))</f>
        <v>112</v>
      </c>
      <c r="E119" s="50">
        <f>IF(B119="","",INDEX(Workouts!D:D,MATCH(B119,Workouts!A:A,0)))</f>
        <v>0.75</v>
      </c>
    </row>
    <row r="120" spans="1:6" x14ac:dyDescent="0.2">
      <c r="A120" t="s">
        <v>72</v>
      </c>
      <c r="B120" s="63" t="s">
        <v>82</v>
      </c>
      <c r="C120" s="45">
        <f>IF(B120="","",INDEX(Workouts!B:B,MATCH(B120,Workouts!A:A,0)))</f>
        <v>30</v>
      </c>
      <c r="D120" s="45">
        <f>IF(B120="","",INDEX(Workouts!C:C,MATCH(B120,Workouts!A:A,0)))</f>
        <v>25</v>
      </c>
      <c r="E120" s="50">
        <f>IF(B120="","",INDEX(Workouts!D:D,MATCH(B120,Workouts!A:A,0)))</f>
        <v>0.75</v>
      </c>
    </row>
    <row r="121" spans="1:6" x14ac:dyDescent="0.2">
      <c r="A121" t="s">
        <v>73</v>
      </c>
      <c r="B121" s="1" t="s">
        <v>309</v>
      </c>
      <c r="C121" s="45">
        <f>IF(B121="","",INDEX(Workouts!B:B,MATCH(B121,Workouts!A:A,0)))</f>
        <v>240</v>
      </c>
      <c r="D121" s="45">
        <f>IF(B121="","",INDEX(Workouts!C:C,MATCH(B121,Workouts!A:A,0)))</f>
        <v>243</v>
      </c>
      <c r="E121" s="50">
        <f>IF(B121="","",INDEX(Workouts!D:D,MATCH(B121,Workouts!A:A,0)))</f>
        <v>0.78</v>
      </c>
    </row>
    <row r="122" spans="1:6" ht="13.5" thickBot="1" x14ac:dyDescent="0.25">
      <c r="A122" s="4" t="s">
        <v>74</v>
      </c>
      <c r="B122" s="47" t="s">
        <v>345</v>
      </c>
      <c r="C122" s="48">
        <f>IF(B122="","",INDEX(Workouts!B:B,MATCH(B122,Workouts!A:A,0)))</f>
        <v>180</v>
      </c>
      <c r="D122" s="48">
        <f>IF(B122="","",INDEX(Workouts!C:C,MATCH(B122,Workouts!A:A,0)))</f>
        <v>192</v>
      </c>
      <c r="E122" s="51">
        <f>IF(B122="","",INDEX(Workouts!D:D,MATCH(B122,Workouts!A:A,0)))</f>
        <v>0.8</v>
      </c>
      <c r="F122" s="4"/>
    </row>
    <row r="123" spans="1:6" x14ac:dyDescent="0.2">
      <c r="A123" t="s">
        <v>66</v>
      </c>
      <c r="C123" s="45" t="str">
        <f>IF(B123="","",INDEX(Workouts!B:B,MATCH(B123,Workouts!A:A,0)))</f>
        <v/>
      </c>
      <c r="D123" s="45" t="str">
        <f>IF(B123="","",INDEX(Workouts!C:C,MATCH(B123,Workouts!A:A,0)))</f>
        <v/>
      </c>
      <c r="E123" s="50" t="str">
        <f>IF(B123="","",INDEX(Workouts!D:D,MATCH(B123,Workouts!A:A,0)))</f>
        <v/>
      </c>
      <c r="F123" t="str">
        <f>"Week 12: " &amp; INT(SUM(C123:C129)/60) &amp; ":" &amp; LEFT(MOD(SUM(C123:C129),60)&amp;"0",2) &amp; " hrs &amp; " &amp; SUM(D123:D129) &amp; " TSS"</f>
        <v>Week 12: 6:30 hrs &amp; 345 TSS</v>
      </c>
    </row>
    <row r="124" spans="1:6" x14ac:dyDescent="0.2">
      <c r="A124" t="s">
        <v>68</v>
      </c>
      <c r="B124" s="1"/>
      <c r="C124" s="45" t="str">
        <f>IF(B124="","",INDEX(Workouts!B:B,MATCH(B124,Workouts!A:A,0)))</f>
        <v/>
      </c>
      <c r="D124" s="45" t="str">
        <f>IF(B124="","",INDEX(Workouts!C:C,MATCH(B124,Workouts!A:A,0)))</f>
        <v/>
      </c>
      <c r="E124" s="50" t="str">
        <f>IF(B124="","",INDEX(Workouts!D:D,MATCH(B124,Workouts!A:A,0)))</f>
        <v/>
      </c>
    </row>
    <row r="125" spans="1:6" x14ac:dyDescent="0.2">
      <c r="A125" t="s">
        <v>70</v>
      </c>
      <c r="B125" s="1" t="s">
        <v>310</v>
      </c>
      <c r="C125" s="45">
        <f>IF(B125="","",INDEX(Workouts!B:B,MATCH(B125,Workouts!A:A,0)))</f>
        <v>60</v>
      </c>
      <c r="D125" s="45">
        <f>IF(B125="","",INDEX(Workouts!C:C,MATCH(B125,Workouts!A:A,0)))</f>
        <v>73</v>
      </c>
      <c r="E125" s="50">
        <f>IF(B125="","",INDEX(Workouts!D:D,MATCH(B125,Workouts!A:A,0)))</f>
        <v>0.86</v>
      </c>
    </row>
    <row r="126" spans="1:6" x14ac:dyDescent="0.2">
      <c r="A126" t="s">
        <v>71</v>
      </c>
      <c r="B126" s="63" t="s">
        <v>82</v>
      </c>
      <c r="C126" s="45">
        <f>IF(B126="","",INDEX(Workouts!B:B,MATCH(B126,Workouts!A:A,0)))</f>
        <v>30</v>
      </c>
      <c r="D126" s="45">
        <f>IF(B126="","",INDEX(Workouts!C:C,MATCH(B126,Workouts!A:A,0)))</f>
        <v>25</v>
      </c>
      <c r="E126" s="50">
        <f>IF(B126="","",INDEX(Workouts!D:D,MATCH(B126,Workouts!A:A,0)))</f>
        <v>0.75</v>
      </c>
    </row>
    <row r="127" spans="1:6" x14ac:dyDescent="0.2">
      <c r="A127" t="s">
        <v>72</v>
      </c>
      <c r="B127" s="1" t="s">
        <v>346</v>
      </c>
      <c r="C127" s="45">
        <f>IF(B127="","",INDEX(Workouts!B:B,MATCH(B127,Workouts!A:A,0)))</f>
        <v>60</v>
      </c>
      <c r="D127" s="45">
        <f>IF(B127="","",INDEX(Workouts!C:C,MATCH(B127,Workouts!A:A,0)))</f>
        <v>47</v>
      </c>
      <c r="E127" s="50">
        <f>IF(B127="","",INDEX(Workouts!D:D,MATCH(B127,Workouts!A:A,0)))</f>
        <v>0.69</v>
      </c>
    </row>
    <row r="128" spans="1:6" x14ac:dyDescent="0.2">
      <c r="A128" t="s">
        <v>73</v>
      </c>
      <c r="B128" s="1" t="s">
        <v>311</v>
      </c>
      <c r="C128" s="45">
        <f>IF(B128="","",INDEX(Workouts!B:B,MATCH(B128,Workouts!A:A,0)))</f>
        <v>240</v>
      </c>
      <c r="D128" s="45">
        <f>IF(B128="","",INDEX(Workouts!C:C,MATCH(B128,Workouts!A:A,0)))</f>
        <v>200</v>
      </c>
      <c r="E128" s="50">
        <f>IF(B128="","",INDEX(Workouts!D:D,MATCH(B128,Workouts!A:A,0)))</f>
        <v>0</v>
      </c>
    </row>
    <row r="129" spans="1:6" ht="13.5" thickBot="1" x14ac:dyDescent="0.25">
      <c r="A129" s="4" t="s">
        <v>74</v>
      </c>
      <c r="B129" s="47"/>
      <c r="C129" s="48" t="str">
        <f>IF(B129="","",INDEX(Workouts!B:B,MATCH(B129,Workouts!A:A,0)))</f>
        <v/>
      </c>
      <c r="D129" s="48" t="str">
        <f>IF(B129="","",INDEX(Workouts!C:C,MATCH(B129,Workouts!A:A,0)))</f>
        <v/>
      </c>
      <c r="E129" s="51" t="str">
        <f>IF(B129="","",INDEX(Workouts!D:D,MATCH(B129,Workouts!A:A,0)))</f>
        <v/>
      </c>
      <c r="F129" s="4"/>
    </row>
    <row r="130" spans="1:6" x14ac:dyDescent="0.2">
      <c r="A130" t="s">
        <v>66</v>
      </c>
      <c r="C130" s="45" t="str">
        <f>IF(B130="","",INDEX(Workouts!B:B,MATCH(B130,Workouts!A:A,0)))</f>
        <v/>
      </c>
      <c r="D130" s="45" t="str">
        <f>IF(B130="","",INDEX(Workouts!C:C,MATCH(B130,Workouts!A:A,0)))</f>
        <v/>
      </c>
      <c r="E130" s="50" t="str">
        <f>IF(B130="","",INDEX(Workouts!D:D,MATCH(B130,Workouts!A:A,0)))</f>
        <v/>
      </c>
      <c r="F130" t="str">
        <f>"Week 13: " &amp; INT(SUM(C130:C136)/60) &amp; ":" &amp; LEFT(MOD(SUM(C130:C136),60)&amp;"0",2) &amp; " hrs &amp; " &amp; SUM(D130:D136) &amp; " TSS"</f>
        <v>Week 13: 11:15 hrs &amp; 665 TSS</v>
      </c>
    </row>
    <row r="131" spans="1:6" x14ac:dyDescent="0.2">
      <c r="A131" t="s">
        <v>68</v>
      </c>
      <c r="B131" s="1" t="s">
        <v>312</v>
      </c>
      <c r="C131" s="45">
        <f>IF(B131="","",INDEX(Workouts!B:B,MATCH(B131,Workouts!A:A,0)))</f>
        <v>105</v>
      </c>
      <c r="D131" s="45">
        <f>IF(B131="","",INDEX(Workouts!C:C,MATCH(B131,Workouts!A:A,0)))</f>
        <v>113</v>
      </c>
      <c r="E131" s="50">
        <f>IF(B131="","",INDEX(Workouts!D:D,MATCH(B131,Workouts!A:A,0)))</f>
        <v>0.8</v>
      </c>
    </row>
    <row r="132" spans="1:6" x14ac:dyDescent="0.2">
      <c r="A132" t="s">
        <v>70</v>
      </c>
      <c r="B132" s="1" t="s">
        <v>347</v>
      </c>
      <c r="C132" s="45">
        <f>IF(B132="","",INDEX(Workouts!B:B,MATCH(B132,Workouts!A:A,0)))</f>
        <v>120</v>
      </c>
      <c r="D132" s="45">
        <f>IF(B132="","",INDEX(Workouts!C:C,MATCH(B132,Workouts!A:A,0)))</f>
        <v>97</v>
      </c>
      <c r="E132" s="50">
        <f>IF(B132="","",INDEX(Workouts!D:D,MATCH(B132,Workouts!A:A,0)))</f>
        <v>0.7</v>
      </c>
    </row>
    <row r="133" spans="1:6" x14ac:dyDescent="0.2">
      <c r="A133" t="s">
        <v>71</v>
      </c>
      <c r="B133" s="1" t="s">
        <v>313</v>
      </c>
      <c r="C133" s="45">
        <f>IF(B133="","",INDEX(Workouts!B:B,MATCH(B133,Workouts!A:A,0)))</f>
        <v>90</v>
      </c>
      <c r="D133" s="45">
        <f>IF(B133="","",INDEX(Workouts!C:C,MATCH(B133,Workouts!A:A,0)))</f>
        <v>85</v>
      </c>
      <c r="E133" s="50">
        <f>IF(B133="","",INDEX(Workouts!D:D,MATCH(B133,Workouts!A:A,0)))</f>
        <v>0.75</v>
      </c>
    </row>
    <row r="134" spans="1:6" x14ac:dyDescent="0.2">
      <c r="A134" t="s">
        <v>72</v>
      </c>
      <c r="B134" s="1"/>
      <c r="C134" s="45" t="str">
        <f>IF(B134="","",INDEX(Workouts!B:B,MATCH(B134,Workouts!A:A,0)))</f>
        <v/>
      </c>
      <c r="D134" s="45" t="str">
        <f>IF(B134="","",INDEX(Workouts!C:C,MATCH(B134,Workouts!A:A,0)))</f>
        <v/>
      </c>
      <c r="E134" s="50" t="str">
        <f>IF(B134="","",INDEX(Workouts!D:D,MATCH(B134,Workouts!A:A,0)))</f>
        <v/>
      </c>
    </row>
    <row r="135" spans="1:6" x14ac:dyDescent="0.2">
      <c r="A135" t="s">
        <v>73</v>
      </c>
      <c r="B135" s="1" t="s">
        <v>314</v>
      </c>
      <c r="C135" s="45">
        <f>IF(B135="","",INDEX(Workouts!B:B,MATCH(B135,Workouts!A:A,0)))</f>
        <v>180</v>
      </c>
      <c r="D135" s="45">
        <f>IF(B135="","",INDEX(Workouts!C:C,MATCH(B135,Workouts!A:A,0)))</f>
        <v>178</v>
      </c>
      <c r="E135" s="50">
        <f>IF(B135="","",INDEX(Workouts!D:D,MATCH(B135,Workouts!A:A,0)))</f>
        <v>0.77</v>
      </c>
    </row>
    <row r="136" spans="1:6" ht="13.5" thickBot="1" x14ac:dyDescent="0.25">
      <c r="A136" s="4" t="s">
        <v>74</v>
      </c>
      <c r="B136" s="47" t="s">
        <v>315</v>
      </c>
      <c r="C136" s="48">
        <f>IF(B136="","",INDEX(Workouts!B:B,MATCH(B136,Workouts!A:A,0)))</f>
        <v>180</v>
      </c>
      <c r="D136" s="48">
        <f>IF(B136="","",INDEX(Workouts!C:C,MATCH(B136,Workouts!A:A,0)))</f>
        <v>192</v>
      </c>
      <c r="E136" s="51">
        <f>IF(B136="","",INDEX(Workouts!D:D,MATCH(B136,Workouts!A:A,0)))</f>
        <v>0.8</v>
      </c>
      <c r="F136" s="4"/>
    </row>
    <row r="137" spans="1:6" x14ac:dyDescent="0.2">
      <c r="A137" t="s">
        <v>66</v>
      </c>
      <c r="C137" s="45" t="str">
        <f>IF(B137="","",INDEX(Workouts!B:B,MATCH(B137,Workouts!A:A,0)))</f>
        <v/>
      </c>
      <c r="D137" s="45" t="str">
        <f>IF(B137="","",INDEX(Workouts!C:C,MATCH(B137,Workouts!A:A,0)))</f>
        <v/>
      </c>
      <c r="E137" s="50" t="str">
        <f>IF(B137="","",INDEX(Workouts!D:D,MATCH(B137,Workouts!A:A,0)))</f>
        <v/>
      </c>
      <c r="F137" t="str">
        <f>"Week 14: " &amp; INT(SUM(C137:C143)/60) &amp; ":" &amp; LEFT(MOD(SUM(C137:C143),60)&amp;"0",2) &amp; " hrs &amp; " &amp; SUM(D137:D143) &amp; " TSS"</f>
        <v>Week 14: 11:30 hrs &amp; 709 TSS</v>
      </c>
    </row>
    <row r="138" spans="1:6" x14ac:dyDescent="0.2">
      <c r="A138" t="s">
        <v>68</v>
      </c>
      <c r="B138" s="1" t="s">
        <v>316</v>
      </c>
      <c r="C138" s="45">
        <f>IF(B138="","",INDEX(Workouts!B:B,MATCH(B138,Workouts!A:A,0)))</f>
        <v>90</v>
      </c>
      <c r="D138" s="45">
        <f>IF(B138="","",INDEX(Workouts!C:C,MATCH(B138,Workouts!A:A,0)))</f>
        <v>87</v>
      </c>
      <c r="E138" s="50">
        <f>IF(B138="","",INDEX(Workouts!D:D,MATCH(B138,Workouts!A:A,0)))</f>
        <v>0.76</v>
      </c>
    </row>
    <row r="139" spans="1:6" x14ac:dyDescent="0.2">
      <c r="A139" t="s">
        <v>70</v>
      </c>
      <c r="B139" s="1" t="s">
        <v>317</v>
      </c>
      <c r="C139" s="45">
        <f>IF(B139="","",INDEX(Workouts!B:B,MATCH(B139,Workouts!A:A,0)))</f>
        <v>120</v>
      </c>
      <c r="D139" s="45">
        <f>IF(B139="","",INDEX(Workouts!C:C,MATCH(B139,Workouts!A:A,0)))</f>
        <v>110</v>
      </c>
      <c r="E139" s="50">
        <f>IF(B139="","",INDEX(Workouts!D:D,MATCH(B139,Workouts!A:A,0)))</f>
        <v>0.74</v>
      </c>
    </row>
    <row r="140" spans="1:6" x14ac:dyDescent="0.2">
      <c r="A140" t="s">
        <v>71</v>
      </c>
      <c r="B140" s="1" t="s">
        <v>318</v>
      </c>
      <c r="C140" s="45">
        <f>IF(B140="","",INDEX(Workouts!B:B,MATCH(B140,Workouts!A:A,0)))</f>
        <v>90</v>
      </c>
      <c r="D140" s="45">
        <f>IF(B140="","",INDEX(Workouts!C:C,MATCH(B140,Workouts!A:A,0)))</f>
        <v>100</v>
      </c>
      <c r="E140" s="50">
        <f>IF(B140="","",INDEX(Workouts!D:D,MATCH(B140,Workouts!A:A,0)))</f>
        <v>0.82</v>
      </c>
    </row>
    <row r="141" spans="1:6" x14ac:dyDescent="0.2">
      <c r="A141" t="s">
        <v>72</v>
      </c>
      <c r="B141" s="1"/>
      <c r="C141" s="45" t="str">
        <f>IF(B141="","",INDEX(Workouts!B:B,MATCH(B141,Workouts!A:A,0)))</f>
        <v/>
      </c>
      <c r="D141" s="45" t="str">
        <f>IF(B141="","",INDEX(Workouts!C:C,MATCH(B141,Workouts!A:A,0)))</f>
        <v/>
      </c>
      <c r="E141" s="50" t="str">
        <f>IF(B141="","",INDEX(Workouts!D:D,MATCH(B141,Workouts!A:A,0)))</f>
        <v/>
      </c>
    </row>
    <row r="142" spans="1:6" x14ac:dyDescent="0.2">
      <c r="A142" t="s">
        <v>73</v>
      </c>
      <c r="B142" s="1" t="s">
        <v>319</v>
      </c>
      <c r="C142" s="45">
        <f>IF(B142="","",INDEX(Workouts!B:B,MATCH(B142,Workouts!A:A,0)))</f>
        <v>210</v>
      </c>
      <c r="D142" s="45">
        <f>IF(B142="","",INDEX(Workouts!C:C,MATCH(B142,Workouts!A:A,0)))</f>
        <v>202</v>
      </c>
      <c r="E142" s="50">
        <f>IF(B142="","",INDEX(Workouts!D:D,MATCH(B142,Workouts!A:A,0)))</f>
        <v>0.76</v>
      </c>
    </row>
    <row r="143" spans="1:6" ht="13.5" thickBot="1" x14ac:dyDescent="0.25">
      <c r="A143" s="4" t="s">
        <v>74</v>
      </c>
      <c r="B143" s="47" t="s">
        <v>320</v>
      </c>
      <c r="C143" s="48">
        <f>IF(B143="","",INDEX(Workouts!B:B,MATCH(B143,Workouts!A:A,0)))</f>
        <v>180</v>
      </c>
      <c r="D143" s="48">
        <f>IF(B143="","",INDEX(Workouts!C:C,MATCH(B143,Workouts!A:A,0)))</f>
        <v>210</v>
      </c>
      <c r="E143" s="51">
        <f>IF(B143="","",INDEX(Workouts!D:D,MATCH(B143,Workouts!A:A,0)))</f>
        <v>0</v>
      </c>
      <c r="F143" s="4"/>
    </row>
    <row r="144" spans="1:6" x14ac:dyDescent="0.2">
      <c r="A144" t="s">
        <v>66</v>
      </c>
      <c r="C144" s="45" t="str">
        <f>IF(B144="","",INDEX(Workouts!B:B,MATCH(B144,Workouts!A:A,0)))</f>
        <v/>
      </c>
      <c r="D144" s="45" t="str">
        <f>IF(B144="","",INDEX(Workouts!C:C,MATCH(B144,Workouts!A:A,0)))</f>
        <v/>
      </c>
      <c r="E144" s="50" t="str">
        <f>IF(B144="","",INDEX(Workouts!D:D,MATCH(B144,Workouts!A:A,0)))</f>
        <v/>
      </c>
      <c r="F144" t="str">
        <f>"Week 15: " &amp; INT(SUM(C144:C150)/60) &amp; ":" &amp; LEFT(MOD(SUM(C144:C150),60)&amp;"0",2) &amp; " hrs &amp; " &amp; SUM(D144:D150) &amp; " TSS"</f>
        <v>Week 15: 12:30 hrs &amp; 698 TSS</v>
      </c>
    </row>
    <row r="145" spans="1:6" x14ac:dyDescent="0.2">
      <c r="A145" t="s">
        <v>68</v>
      </c>
      <c r="B145" s="1" t="s">
        <v>321</v>
      </c>
      <c r="C145" s="45">
        <f>IF(B145="","",INDEX(Workouts!B:B,MATCH(B145,Workouts!A:A,0)))</f>
        <v>90</v>
      </c>
      <c r="D145" s="45">
        <f>IF(B145="","",INDEX(Workouts!C:C,MATCH(B145,Workouts!A:A,0)))</f>
        <v>87</v>
      </c>
      <c r="E145" s="50">
        <f>IF(B145="","",INDEX(Workouts!D:D,MATCH(B145,Workouts!A:A,0)))</f>
        <v>0.76</v>
      </c>
    </row>
    <row r="146" spans="1:6" x14ac:dyDescent="0.2">
      <c r="A146" t="s">
        <v>70</v>
      </c>
      <c r="B146" s="1" t="s">
        <v>322</v>
      </c>
      <c r="C146" s="45">
        <f>IF(B146="","",INDEX(Workouts!B:B,MATCH(B146,Workouts!A:A,0)))</f>
        <v>120</v>
      </c>
      <c r="D146" s="45">
        <f>IF(B146="","",INDEX(Workouts!C:C,MATCH(B146,Workouts!A:A,0)))</f>
        <v>121</v>
      </c>
      <c r="E146" s="50">
        <f>IF(B146="","",INDEX(Workouts!D:D,MATCH(B146,Workouts!A:A,0)))</f>
        <v>0.78</v>
      </c>
    </row>
    <row r="147" spans="1:6" x14ac:dyDescent="0.2">
      <c r="A147" t="s">
        <v>71</v>
      </c>
      <c r="B147" s="1" t="s">
        <v>323</v>
      </c>
      <c r="C147" s="45">
        <f>IF(B147="","",INDEX(Workouts!B:B,MATCH(B147,Workouts!A:A,0)))</f>
        <v>90</v>
      </c>
      <c r="D147" s="45">
        <f>IF(B147="","",INDEX(Workouts!C:C,MATCH(B147,Workouts!A:A,0)))</f>
        <v>105</v>
      </c>
      <c r="E147" s="50">
        <f>IF(B147="","",INDEX(Workouts!D:D,MATCH(B147,Workouts!A:A,0)))</f>
        <v>0.84</v>
      </c>
    </row>
    <row r="148" spans="1:6" x14ac:dyDescent="0.2">
      <c r="A148" t="s">
        <v>72</v>
      </c>
      <c r="B148" s="1"/>
      <c r="C148" s="45" t="str">
        <f>IF(B148="","",INDEX(Workouts!B:B,MATCH(B148,Workouts!A:A,0)))</f>
        <v/>
      </c>
      <c r="D148" s="45" t="str">
        <f>IF(B148="","",INDEX(Workouts!C:C,MATCH(B148,Workouts!A:A,0)))</f>
        <v/>
      </c>
      <c r="E148" s="50" t="str">
        <f>IF(B148="","",INDEX(Workouts!D:D,MATCH(B148,Workouts!A:A,0)))</f>
        <v/>
      </c>
    </row>
    <row r="149" spans="1:6" x14ac:dyDescent="0.2">
      <c r="A149" t="s">
        <v>73</v>
      </c>
      <c r="B149" s="1" t="s">
        <v>324</v>
      </c>
      <c r="C149" s="45">
        <f>IF(B149="","",INDEX(Workouts!B:B,MATCH(B149,Workouts!A:A,0)))</f>
        <v>240</v>
      </c>
      <c r="D149" s="45">
        <f>IF(B149="","",INDEX(Workouts!C:C,MATCH(B149,Workouts!A:A,0)))</f>
        <v>200</v>
      </c>
      <c r="E149" s="50">
        <f>IF(B149="","",INDEX(Workouts!D:D,MATCH(B149,Workouts!A:A,0)))</f>
        <v>0</v>
      </c>
    </row>
    <row r="150" spans="1:6" ht="13.5" thickBot="1" x14ac:dyDescent="0.25">
      <c r="A150" s="4" t="s">
        <v>74</v>
      </c>
      <c r="B150" s="47" t="s">
        <v>325</v>
      </c>
      <c r="C150" s="48">
        <f>IF(B150="","",INDEX(Workouts!B:B,MATCH(B150,Workouts!A:A,0)))</f>
        <v>210</v>
      </c>
      <c r="D150" s="48">
        <f>IF(B150="","",INDEX(Workouts!C:C,MATCH(B150,Workouts!A:A,0)))</f>
        <v>185</v>
      </c>
      <c r="E150" s="51">
        <f>IF(B150="","",INDEX(Workouts!D:D,MATCH(B150,Workouts!A:A,0)))</f>
        <v>0.73</v>
      </c>
      <c r="F150" s="4"/>
    </row>
    <row r="151" spans="1:6" x14ac:dyDescent="0.2">
      <c r="A151" t="s">
        <v>66</v>
      </c>
      <c r="C151" s="45" t="str">
        <f>IF(B151="","",INDEX(Workouts!B:B,MATCH(B151,Workouts!A:A,0)))</f>
        <v/>
      </c>
      <c r="D151" s="45" t="str">
        <f>IF(B151="","",INDEX(Workouts!C:C,MATCH(B151,Workouts!A:A,0)))</f>
        <v/>
      </c>
      <c r="E151" s="50" t="str">
        <f>IF(B151="","",INDEX(Workouts!D:D,MATCH(B151,Workouts!A:A,0)))</f>
        <v/>
      </c>
      <c r="F151" t="str">
        <f>"Week 16: " &amp; INT(SUM(C151:C157)/60) &amp; ":" &amp; LEFT(MOD(SUM(C151:C157),60)&amp;"0",2) &amp; " hrs &amp; " &amp; SUM(D151:D157) &amp; " TSS"</f>
        <v>Week 16: 6:30 hrs &amp; 399 TSS</v>
      </c>
    </row>
    <row r="152" spans="1:6" x14ac:dyDescent="0.2">
      <c r="A152" t="s">
        <v>68</v>
      </c>
      <c r="B152" s="1"/>
      <c r="C152" s="45" t="str">
        <f>IF(B152="","",INDEX(Workouts!B:B,MATCH(B152,Workouts!A:A,0)))</f>
        <v/>
      </c>
      <c r="D152" s="45" t="str">
        <f>IF(B152="","",INDEX(Workouts!C:C,MATCH(B152,Workouts!A:A,0)))</f>
        <v/>
      </c>
      <c r="E152" s="50" t="str">
        <f>IF(B152="","",INDEX(Workouts!D:D,MATCH(B152,Workouts!A:A,0)))</f>
        <v/>
      </c>
    </row>
    <row r="153" spans="1:6" x14ac:dyDescent="0.2">
      <c r="A153" t="s">
        <v>70</v>
      </c>
      <c r="B153" s="1" t="s">
        <v>326</v>
      </c>
      <c r="C153" s="45">
        <f>IF(B153="","",INDEX(Workouts!B:B,MATCH(B153,Workouts!A:A,0)))</f>
        <v>90</v>
      </c>
      <c r="D153" s="45">
        <f>IF(B153="","",INDEX(Workouts!C:C,MATCH(B153,Workouts!A:A,0)))</f>
        <v>91</v>
      </c>
      <c r="E153" s="50">
        <f>IF(B153="","",INDEX(Workouts!D:D,MATCH(B153,Workouts!A:A,0)))</f>
        <v>0.78</v>
      </c>
    </row>
    <row r="154" spans="1:6" x14ac:dyDescent="0.2">
      <c r="A154" t="s">
        <v>71</v>
      </c>
      <c r="B154" s="63" t="s">
        <v>82</v>
      </c>
      <c r="C154" s="45">
        <f>IF(B154="","",INDEX(Workouts!B:B,MATCH(B154,Workouts!A:A,0)))</f>
        <v>30</v>
      </c>
      <c r="D154" s="45">
        <f>IF(B154="","",INDEX(Workouts!C:C,MATCH(B154,Workouts!A:A,0)))</f>
        <v>25</v>
      </c>
      <c r="E154" s="50">
        <f>IF(B154="","",INDEX(Workouts!D:D,MATCH(B154,Workouts!A:A,0)))</f>
        <v>0.75</v>
      </c>
    </row>
    <row r="155" spans="1:6" x14ac:dyDescent="0.2">
      <c r="A155" t="s">
        <v>72</v>
      </c>
      <c r="B155" s="1" t="s">
        <v>327</v>
      </c>
      <c r="C155" s="45">
        <f>IF(B155="","",INDEX(Workouts!B:B,MATCH(B155,Workouts!A:A,0)))</f>
        <v>90</v>
      </c>
      <c r="D155" s="45">
        <f>IF(B155="","",INDEX(Workouts!C:C,MATCH(B155,Workouts!A:A,0)))</f>
        <v>105</v>
      </c>
      <c r="E155" s="50">
        <f>IF(B155="","",INDEX(Workouts!D:D,MATCH(B155,Workouts!A:A,0)))</f>
        <v>0.84</v>
      </c>
    </row>
    <row r="156" spans="1:6" x14ac:dyDescent="0.2">
      <c r="A156" t="s">
        <v>73</v>
      </c>
      <c r="B156" s="1" t="s">
        <v>328</v>
      </c>
      <c r="C156" s="45">
        <f>IF(B156="","",INDEX(Workouts!B:B,MATCH(B156,Workouts!A:A,0)))</f>
        <v>180</v>
      </c>
      <c r="D156" s="45">
        <f>IF(B156="","",INDEX(Workouts!C:C,MATCH(B156,Workouts!A:A,0)))</f>
        <v>178</v>
      </c>
      <c r="E156" s="50">
        <f>IF(B156="","",INDEX(Workouts!D:D,MATCH(B156,Workouts!A:A,0)))</f>
        <v>0.77</v>
      </c>
    </row>
    <row r="157" spans="1:6" ht="13.5" thickBot="1" x14ac:dyDescent="0.25">
      <c r="A157" s="4" t="s">
        <v>74</v>
      </c>
      <c r="B157" s="47"/>
      <c r="C157" s="48" t="str">
        <f>IF(B157="","",INDEX(Workouts!B:B,MATCH(B157,Workouts!A:A,0)))</f>
        <v/>
      </c>
      <c r="D157" s="48" t="str">
        <f>IF(B157="","",INDEX(Workouts!C:C,MATCH(B157,Workouts!A:A,0)))</f>
        <v/>
      </c>
      <c r="E157" s="51" t="str">
        <f>IF(B157="","",INDEX(Workouts!D:D,MATCH(B157,Workouts!A:A,0)))</f>
        <v/>
      </c>
      <c r="F157" s="4"/>
    </row>
    <row r="158" spans="1:6" x14ac:dyDescent="0.2">
      <c r="A158" t="s">
        <v>66</v>
      </c>
      <c r="C158" s="45" t="str">
        <f>IF(B158="","",INDEX(Workouts!B:B,MATCH(B158,Workouts!A:A,0)))</f>
        <v/>
      </c>
      <c r="D158" s="45" t="str">
        <f>IF(B158="","",INDEX(Workouts!C:C,MATCH(B158,Workouts!A:A,0)))</f>
        <v/>
      </c>
      <c r="E158" s="50" t="str">
        <f>IF(B158="","",INDEX(Workouts!D:D,MATCH(B158,Workouts!A:A,0)))</f>
        <v/>
      </c>
      <c r="F158" t="str">
        <f>"Week 17: " &amp; INT(SUM(C158:C164)/60) &amp; ":" &amp; LEFT(MOD(SUM(C158:C164),60)&amp;"0",2) &amp; " hrs &amp; " &amp; SUM(D158:D164) &amp; " TSS"</f>
        <v>Week 17: 11:30 hrs &amp; 699 TSS</v>
      </c>
    </row>
    <row r="159" spans="1:6" x14ac:dyDescent="0.2">
      <c r="A159" t="s">
        <v>68</v>
      </c>
      <c r="B159" s="1" t="s">
        <v>329</v>
      </c>
      <c r="C159" s="45">
        <f>IF(B159="","",INDEX(Workouts!B:B,MATCH(B159,Workouts!A:A,0)))</f>
        <v>90</v>
      </c>
      <c r="D159" s="45">
        <f>IF(B159="","",INDEX(Workouts!C:C,MATCH(B159,Workouts!A:A,0)))</f>
        <v>106</v>
      </c>
      <c r="E159" s="50">
        <f>IF(B159="","",INDEX(Workouts!D:D,MATCH(B159,Workouts!A:A,0)))</f>
        <v>0.84</v>
      </c>
    </row>
    <row r="160" spans="1:6" x14ac:dyDescent="0.2">
      <c r="A160" t="s">
        <v>70</v>
      </c>
      <c r="B160" s="1" t="s">
        <v>330</v>
      </c>
      <c r="C160" s="45">
        <f>IF(B160="","",INDEX(Workouts!B:B,MATCH(B160,Workouts!A:A,0)))</f>
        <v>120</v>
      </c>
      <c r="D160" s="45">
        <f>IF(B160="","",INDEX(Workouts!C:C,MATCH(B160,Workouts!A:A,0)))</f>
        <v>125</v>
      </c>
      <c r="E160" s="50">
        <f>IF(B160="","",INDEX(Workouts!D:D,MATCH(B160,Workouts!A:A,0)))</f>
        <v>0.79</v>
      </c>
    </row>
    <row r="161" spans="1:6" x14ac:dyDescent="0.2">
      <c r="A161" t="s">
        <v>71</v>
      </c>
      <c r="B161" s="1" t="s">
        <v>331</v>
      </c>
      <c r="C161" s="45">
        <f>IF(B161="","",INDEX(Workouts!B:B,MATCH(B161,Workouts!A:A,0)))</f>
        <v>90</v>
      </c>
      <c r="D161" s="45">
        <f>IF(B161="","",INDEX(Workouts!C:C,MATCH(B161,Workouts!A:A,0)))</f>
        <v>94</v>
      </c>
      <c r="E161" s="50">
        <f>IF(B161="","",INDEX(Workouts!D:D,MATCH(B161,Workouts!A:A,0)))</f>
        <v>0.79</v>
      </c>
    </row>
    <row r="162" spans="1:6" x14ac:dyDescent="0.2">
      <c r="A162" t="s">
        <v>72</v>
      </c>
      <c r="B162" s="63" t="s">
        <v>82</v>
      </c>
      <c r="C162" s="45">
        <f>IF(B162="","",INDEX(Workouts!B:B,MATCH(B162,Workouts!A:A,0)))</f>
        <v>30</v>
      </c>
      <c r="D162" s="45">
        <f>IF(B162="","",INDEX(Workouts!C:C,MATCH(B162,Workouts!A:A,0)))</f>
        <v>25</v>
      </c>
      <c r="E162" s="50">
        <f>IF(B162="","",INDEX(Workouts!D:D,MATCH(B162,Workouts!A:A,0)))</f>
        <v>0.75</v>
      </c>
    </row>
    <row r="163" spans="1:6" x14ac:dyDescent="0.2">
      <c r="A163" t="s">
        <v>73</v>
      </c>
      <c r="B163" s="1" t="s">
        <v>332</v>
      </c>
      <c r="C163" s="45">
        <f>IF(B163="","",INDEX(Workouts!B:B,MATCH(B163,Workouts!A:A,0)))</f>
        <v>180</v>
      </c>
      <c r="D163" s="45">
        <f>IF(B163="","",INDEX(Workouts!C:C,MATCH(B163,Workouts!A:A,0)))</f>
        <v>200</v>
      </c>
      <c r="E163" s="50">
        <f>IF(B163="","",INDEX(Workouts!D:D,MATCH(B163,Workouts!A:A,0)))</f>
        <v>0</v>
      </c>
    </row>
    <row r="164" spans="1:6" ht="13.5" thickBot="1" x14ac:dyDescent="0.25">
      <c r="A164" s="4" t="s">
        <v>74</v>
      </c>
      <c r="B164" s="47" t="s">
        <v>333</v>
      </c>
      <c r="C164" s="48">
        <f>IF(B164="","",INDEX(Workouts!B:B,MATCH(B164,Workouts!A:A,0)))</f>
        <v>180</v>
      </c>
      <c r="D164" s="48">
        <f>IF(B164="","",INDEX(Workouts!C:C,MATCH(B164,Workouts!A:A,0)))</f>
        <v>149</v>
      </c>
      <c r="E164" s="51">
        <f>IF(B164="","",INDEX(Workouts!D:D,MATCH(B164,Workouts!A:A,0)))</f>
        <v>0.71</v>
      </c>
      <c r="F164" s="4"/>
    </row>
    <row r="165" spans="1:6" x14ac:dyDescent="0.2">
      <c r="A165" t="s">
        <v>66</v>
      </c>
      <c r="C165" s="45" t="str">
        <f>IF(B165="","",INDEX(Workouts!B:B,MATCH(B165,Workouts!A:A,0)))</f>
        <v/>
      </c>
      <c r="D165" s="45" t="str">
        <f>IF(B165="","",INDEX(Workouts!C:C,MATCH(B165,Workouts!A:A,0)))</f>
        <v/>
      </c>
      <c r="E165" s="50" t="str">
        <f>IF(B165="","",INDEX(Workouts!D:D,MATCH(B165,Workouts!A:A,0)))</f>
        <v/>
      </c>
      <c r="F165" t="str">
        <f>"Week 18: " &amp; INT(SUM(C165:C171)/60) &amp; ":" &amp; LEFT(MOD(SUM(C165:C171),60)&amp;"0",2) &amp; " hrs &amp; " &amp; SUM(D165:D171) &amp; " TSS"</f>
        <v>Week 18: 12:00 hrs &amp; 813 TSS</v>
      </c>
    </row>
    <row r="166" spans="1:6" x14ac:dyDescent="0.2">
      <c r="A166" t="s">
        <v>68</v>
      </c>
      <c r="B166" s="1" t="s">
        <v>334</v>
      </c>
      <c r="C166" s="45">
        <f>IF(B166="","",INDEX(Workouts!B:B,MATCH(B166,Workouts!A:A,0)))</f>
        <v>60</v>
      </c>
      <c r="D166" s="45">
        <f>IF(B166="","",INDEX(Workouts!C:C,MATCH(B166,Workouts!A:A,0)))</f>
        <v>87</v>
      </c>
      <c r="E166" s="50">
        <f>IF(B166="","",INDEX(Workouts!D:D,MATCH(B166,Workouts!A:A,0)))</f>
        <v>0.94</v>
      </c>
    </row>
    <row r="167" spans="1:6" x14ac:dyDescent="0.2">
      <c r="A167" t="s">
        <v>70</v>
      </c>
      <c r="B167" s="1" t="s">
        <v>335</v>
      </c>
      <c r="C167" s="45">
        <f>IF(B167="","",INDEX(Workouts!B:B,MATCH(B167,Workouts!A:A,0)))</f>
        <v>120</v>
      </c>
      <c r="D167" s="45">
        <f>IF(B167="","",INDEX(Workouts!C:C,MATCH(B167,Workouts!A:A,0)))</f>
        <v>125</v>
      </c>
      <c r="E167" s="50">
        <f>IF(B167="","",INDEX(Workouts!D:D,MATCH(B167,Workouts!A:A,0)))</f>
        <v>0.79</v>
      </c>
    </row>
    <row r="168" spans="1:6" x14ac:dyDescent="0.2">
      <c r="A168" t="s">
        <v>71</v>
      </c>
      <c r="B168" s="1" t="s">
        <v>336</v>
      </c>
      <c r="C168" s="45">
        <f>IF(B168="","",INDEX(Workouts!B:B,MATCH(B168,Workouts!A:A,0)))</f>
        <v>120</v>
      </c>
      <c r="D168" s="45">
        <f>IF(B168="","",INDEX(Workouts!C:C,MATCH(B168,Workouts!A:A,0)))</f>
        <v>135</v>
      </c>
      <c r="E168" s="50">
        <f>IF(B168="","",INDEX(Workouts!D:D,MATCH(B168,Workouts!A:A,0)))</f>
        <v>0.82</v>
      </c>
    </row>
    <row r="169" spans="1:6" x14ac:dyDescent="0.2">
      <c r="A169" t="s">
        <v>72</v>
      </c>
      <c r="B169" s="63" t="s">
        <v>82</v>
      </c>
      <c r="C169" s="45">
        <f>IF(B169="","",INDEX(Workouts!B:B,MATCH(B169,Workouts!A:A,0)))</f>
        <v>30</v>
      </c>
      <c r="D169" s="45">
        <f>IF(B169="","",INDEX(Workouts!C:C,MATCH(B169,Workouts!A:A,0)))</f>
        <v>25</v>
      </c>
      <c r="E169" s="50">
        <f>IF(B169="","",INDEX(Workouts!D:D,MATCH(B169,Workouts!A:A,0)))</f>
        <v>0.75</v>
      </c>
    </row>
    <row r="170" spans="1:6" x14ac:dyDescent="0.2">
      <c r="A170" t="s">
        <v>73</v>
      </c>
      <c r="B170" s="1" t="s">
        <v>337</v>
      </c>
      <c r="C170" s="45">
        <f>IF(B170="","",INDEX(Workouts!B:B,MATCH(B170,Workouts!A:A,0)))</f>
        <v>240</v>
      </c>
      <c r="D170" s="45">
        <f>IF(B170="","",INDEX(Workouts!C:C,MATCH(B170,Workouts!A:A,0)))</f>
        <v>256</v>
      </c>
      <c r="E170" s="50">
        <f>IF(B170="","",INDEX(Workouts!D:D,MATCH(B170,Workouts!A:A,0)))</f>
        <v>0.8</v>
      </c>
    </row>
    <row r="171" spans="1:6" ht="13.5" thickBot="1" x14ac:dyDescent="0.25">
      <c r="A171" s="4" t="s">
        <v>74</v>
      </c>
      <c r="B171" s="1" t="s">
        <v>361</v>
      </c>
      <c r="C171" s="48">
        <f>IF(B171="","",INDEX(Workouts!B:B,MATCH(B171,Workouts!A:A,0)))</f>
        <v>150</v>
      </c>
      <c r="D171" s="48">
        <f>IF(B171="","",INDEX(Workouts!C:C,MATCH(B171,Workouts!A:A,0)))</f>
        <v>185</v>
      </c>
      <c r="E171" s="51">
        <f>IF(B171="","",INDEX(Workouts!D:D,MATCH(B171,Workouts!A:A,0)))</f>
        <v>0</v>
      </c>
      <c r="F171" s="4"/>
    </row>
    <row r="172" spans="1:6" ht="22.5" customHeight="1" x14ac:dyDescent="0.2">
      <c r="A172" s="160" t="str">
        <f>"TrainerRoad Sweet Spot Base - High Volume I ( " &amp; ROUND(SUM(C173:C214)/60/6,1) &amp; " hrs &amp; " &amp; ROUND(SUM(D173:D214)/6,0) &amp; " TSS )"</f>
        <v>TrainerRoad Sweet Spot Base - High Volume I ( 8.7 hrs &amp; 505 TSS )</v>
      </c>
      <c r="B172" s="160"/>
      <c r="C172" s="53"/>
      <c r="D172" s="53"/>
      <c r="E172" s="53"/>
      <c r="F172" s="54"/>
    </row>
    <row r="173" spans="1:6" x14ac:dyDescent="0.2">
      <c r="A173" t="s">
        <v>66</v>
      </c>
      <c r="C173" s="45" t="str">
        <f>IF(B173="","",INDEX(Workouts!B:B,MATCH(B173,Workouts!A:A,0)))</f>
        <v/>
      </c>
      <c r="D173" s="45" t="str">
        <f>IF(B173="","",INDEX(Workouts!C:C,MATCH(B173,Workouts!A:A,0)))</f>
        <v/>
      </c>
      <c r="E173" s="50" t="str">
        <f>IF(B173="","",INDEX(Workouts!D:D,MATCH(B173,Workouts!A:A,0)))</f>
        <v/>
      </c>
      <c r="F173" t="str">
        <f>"Week 1: " &amp; INT(SUM(C173:C179)/60) &amp; ":" &amp; LEFT(MOD(SUM(C173:C179),60)&amp;"0",2) &amp; " hrs &amp; " &amp; SUM(D173:D179) &amp; " TSS"</f>
        <v>Week 1: 7:55 hrs &amp; 457 TSS</v>
      </c>
    </row>
    <row r="174" spans="1:6" x14ac:dyDescent="0.2">
      <c r="A174" t="s">
        <v>68</v>
      </c>
      <c r="B174" s="59" t="s">
        <v>69</v>
      </c>
      <c r="C174" s="45">
        <f>IF(B174="","",INDEX(Workouts!B:B,MATCH(B174,Workouts!A:A,0)))</f>
        <v>25</v>
      </c>
      <c r="D174" s="45">
        <f>IF(B174="","",INDEX(Workouts!C:C,MATCH(B174,Workouts!A:A,0)))</f>
        <v>34</v>
      </c>
      <c r="E174" s="50">
        <f>IF(B174="","",INDEX(Workouts!D:D,MATCH(B174,Workouts!A:A,0)))</f>
        <v>0.91</v>
      </c>
    </row>
    <row r="175" spans="1:6" x14ac:dyDescent="0.2">
      <c r="A175" t="s">
        <v>70</v>
      </c>
      <c r="B175" s="79" t="s">
        <v>155</v>
      </c>
      <c r="C175" s="76">
        <f>IF(B175="","",INDEX(Workouts!B:B,MATCH(B175,Workouts!A:A,0)))</f>
        <v>60</v>
      </c>
      <c r="D175" s="76">
        <f>IF(B175="","",INDEX(Workouts!C:C,MATCH(B175,Workouts!A:A,0)))</f>
        <v>43</v>
      </c>
      <c r="E175" s="77">
        <f>IF(B175="","",INDEX(Workouts!D:D,MATCH(B175,Workouts!A:A,0)))</f>
        <v>0.63</v>
      </c>
    </row>
    <row r="176" spans="1:6" x14ac:dyDescent="0.2">
      <c r="A176" t="s">
        <v>71</v>
      </c>
      <c r="B176" s="59" t="s">
        <v>88</v>
      </c>
      <c r="C176" s="45">
        <f>IF(B176="","",INDEX(Workouts!B:B,MATCH(B176,Workouts!A:A,0)))</f>
        <v>90</v>
      </c>
      <c r="D176" s="45">
        <f>IF(B176="","",INDEX(Workouts!C:C,MATCH(B176,Workouts!A:A,0)))</f>
        <v>96</v>
      </c>
      <c r="E176" s="50">
        <f>IF(B176="","",INDEX(Workouts!D:D,MATCH(B176,Workouts!A:A,0)))</f>
        <v>0.8</v>
      </c>
    </row>
    <row r="177" spans="1:6" x14ac:dyDescent="0.2">
      <c r="A177" t="s">
        <v>72</v>
      </c>
      <c r="B177" s="59" t="s">
        <v>89</v>
      </c>
      <c r="C177" s="45">
        <f>IF(B177="","",INDEX(Workouts!B:B,MATCH(B177,Workouts!A:A,0)))</f>
        <v>60</v>
      </c>
      <c r="D177" s="45">
        <f>IF(B177="","",INDEX(Workouts!C:C,MATCH(B177,Workouts!A:A,0)))</f>
        <v>39</v>
      </c>
      <c r="E177" s="50">
        <f>IF(B177="","",INDEX(Workouts!D:D,MATCH(B177,Workouts!A:A,0)))</f>
        <v>0.63</v>
      </c>
    </row>
    <row r="178" spans="1:6" x14ac:dyDescent="0.2">
      <c r="A178" t="s">
        <v>73</v>
      </c>
      <c r="B178" s="79" t="s">
        <v>109</v>
      </c>
      <c r="C178" s="76">
        <f>IF(B178="","",INDEX(Workouts!B:B,MATCH(B178,Workouts!A:A,0)))</f>
        <v>120</v>
      </c>
      <c r="D178" s="76">
        <f>IF(B178="","",INDEX(Workouts!C:C,MATCH(B178,Workouts!A:A,0)))</f>
        <v>129</v>
      </c>
      <c r="E178" s="77">
        <f>IF(B178="","",INDEX(Workouts!D:D,MATCH(B178,Workouts!A:A,0)))</f>
        <v>0.8</v>
      </c>
    </row>
    <row r="179" spans="1:6" ht="13.5" thickBot="1" x14ac:dyDescent="0.25">
      <c r="A179" s="4" t="s">
        <v>74</v>
      </c>
      <c r="B179" s="83" t="s">
        <v>112</v>
      </c>
      <c r="C179" s="84">
        <f>IF(B179="","",INDEX(Workouts!B:B,MATCH(B179,Workouts!A:A,0)))</f>
        <v>120</v>
      </c>
      <c r="D179" s="84">
        <f>IF(B179="","",INDEX(Workouts!C:C,MATCH(B179,Workouts!A:A,0)))</f>
        <v>116</v>
      </c>
      <c r="E179" s="85">
        <f>IF(B179="","",INDEX(Workouts!D:D,MATCH(B179,Workouts!A:A,0)))</f>
        <v>0.76</v>
      </c>
      <c r="F179" s="4"/>
    </row>
    <row r="180" spans="1:6" x14ac:dyDescent="0.2">
      <c r="A180" t="s">
        <v>66</v>
      </c>
      <c r="B180" s="60"/>
      <c r="C180" s="45" t="str">
        <f>IF(B180="","",INDEX(Workouts!B:B,MATCH(B180,Workouts!A:A,0)))</f>
        <v/>
      </c>
      <c r="D180" s="45" t="str">
        <f>IF(B180="","",INDEX(Workouts!C:C,MATCH(B180,Workouts!A:A,0)))</f>
        <v/>
      </c>
      <c r="E180" s="50" t="str">
        <f>IF(B180="","",INDEX(Workouts!D:D,MATCH(B180,Workouts!A:A,0)))</f>
        <v/>
      </c>
      <c r="F180" t="str">
        <f>"Week 2: " &amp; INT(SUM(C180:C186)/60) &amp; ":" &amp; LEFT(MOD(SUM(C180:C186),60)&amp;"0",2) &amp; " hrs &amp; " &amp; SUM(D180:D186) &amp; " TSS"</f>
        <v>Week 2: 9:00 hrs &amp; 540 TSS</v>
      </c>
    </row>
    <row r="181" spans="1:6" x14ac:dyDescent="0.2">
      <c r="A181" t="s">
        <v>68</v>
      </c>
      <c r="B181" s="79" t="s">
        <v>156</v>
      </c>
      <c r="C181" s="76">
        <f>IF(B181="","",INDEX(Workouts!B:B,MATCH(B181,Workouts!A:A,0)))</f>
        <v>90</v>
      </c>
      <c r="D181" s="76">
        <f>IF(B181="","",INDEX(Workouts!C:C,MATCH(B181,Workouts!A:A,0)))</f>
        <v>103</v>
      </c>
      <c r="E181" s="77">
        <f>IF(B181="","",INDEX(Workouts!D:D,MATCH(B181,Workouts!A:A,0)))</f>
        <v>0.83</v>
      </c>
    </row>
    <row r="182" spans="1:6" x14ac:dyDescent="0.2">
      <c r="A182" t="s">
        <v>70</v>
      </c>
      <c r="B182" s="79" t="s">
        <v>155</v>
      </c>
      <c r="C182" s="76">
        <f>IF(B182="","",INDEX(Workouts!B:B,MATCH(B182,Workouts!A:A,0)))</f>
        <v>60</v>
      </c>
      <c r="D182" s="76">
        <f>IF(B182="","",INDEX(Workouts!C:C,MATCH(B182,Workouts!A:A,0)))</f>
        <v>43</v>
      </c>
      <c r="E182" s="77">
        <f>IF(B182="","",INDEX(Workouts!D:D,MATCH(B182,Workouts!A:A,0)))</f>
        <v>0.63</v>
      </c>
    </row>
    <row r="183" spans="1:6" x14ac:dyDescent="0.2">
      <c r="A183" t="s">
        <v>71</v>
      </c>
      <c r="B183" s="59" t="s">
        <v>92</v>
      </c>
      <c r="C183" s="45">
        <f>IF(B183="","",INDEX(Workouts!B:B,MATCH(B183,Workouts!A:A,0)))</f>
        <v>90</v>
      </c>
      <c r="D183" s="45">
        <f>IF(B183="","",INDEX(Workouts!C:C,MATCH(B183,Workouts!A:A,0)))</f>
        <v>103</v>
      </c>
      <c r="E183" s="50">
        <f>IF(B183="","",INDEX(Workouts!D:D,MATCH(B183,Workouts!A:A,0)))</f>
        <v>0.83</v>
      </c>
    </row>
    <row r="184" spans="1:6" x14ac:dyDescent="0.2">
      <c r="A184" t="s">
        <v>72</v>
      </c>
      <c r="B184" s="59" t="s">
        <v>89</v>
      </c>
      <c r="C184" s="45">
        <f>IF(B184="","",INDEX(Workouts!B:B,MATCH(B184,Workouts!A:A,0)))</f>
        <v>60</v>
      </c>
      <c r="D184" s="45">
        <f>IF(B184="","",INDEX(Workouts!C:C,MATCH(B184,Workouts!A:A,0)))</f>
        <v>39</v>
      </c>
      <c r="E184" s="50">
        <f>IF(B184="","",INDEX(Workouts!D:D,MATCH(B184,Workouts!A:A,0)))</f>
        <v>0.63</v>
      </c>
    </row>
    <row r="185" spans="1:6" x14ac:dyDescent="0.2">
      <c r="A185" t="s">
        <v>73</v>
      </c>
      <c r="B185" s="79" t="s">
        <v>157</v>
      </c>
      <c r="C185" s="76">
        <f>IF(B185="","",INDEX(Workouts!B:B,MATCH(B185,Workouts!A:A,0)))</f>
        <v>120</v>
      </c>
      <c r="D185" s="76">
        <f>IF(B185="","",INDEX(Workouts!C:C,MATCH(B185,Workouts!A:A,0)))</f>
        <v>131</v>
      </c>
      <c r="E185" s="77">
        <f>IF(B185="","",INDEX(Workouts!D:D,MATCH(B185,Workouts!A:A,0)))</f>
        <v>0.81</v>
      </c>
    </row>
    <row r="186" spans="1:6" ht="13.5" thickBot="1" x14ac:dyDescent="0.25">
      <c r="A186" s="4" t="s">
        <v>74</v>
      </c>
      <c r="B186" s="83" t="s">
        <v>90</v>
      </c>
      <c r="C186" s="84">
        <f>IF(B186="","",INDEX(Workouts!B:B,MATCH(B186,Workouts!A:A,0)))</f>
        <v>120</v>
      </c>
      <c r="D186" s="84">
        <f>IF(B186="","",INDEX(Workouts!C:C,MATCH(B186,Workouts!A:A,0)))</f>
        <v>121</v>
      </c>
      <c r="E186" s="85">
        <f>IF(B186="","",INDEX(Workouts!D:D,MATCH(B186,Workouts!A:A,0)))</f>
        <v>0.78</v>
      </c>
      <c r="F186" s="4"/>
    </row>
    <row r="187" spans="1:6" x14ac:dyDescent="0.2">
      <c r="A187" t="s">
        <v>66</v>
      </c>
      <c r="B187" s="60"/>
      <c r="C187" s="45" t="str">
        <f>IF(B187="","",INDEX(Workouts!B:B,MATCH(B187,Workouts!A:A,0)))</f>
        <v/>
      </c>
      <c r="D187" s="45" t="str">
        <f>IF(B187="","",INDEX(Workouts!C:C,MATCH(B187,Workouts!A:A,0)))</f>
        <v/>
      </c>
      <c r="E187" s="50" t="str">
        <f>IF(B187="","",INDEX(Workouts!D:D,MATCH(B187,Workouts!A:A,0)))</f>
        <v/>
      </c>
      <c r="F187" t="str">
        <f>"Week 3: " &amp; INT(SUM(C187:C193)/60) &amp; ":" &amp; LEFT(MOD(SUM(C187:C193),60)&amp;"0",2) &amp; " hrs &amp; " &amp; SUM(D187:D193) &amp; " TSS"</f>
        <v>Week 3: 9:00 hrs &amp; 545 TSS</v>
      </c>
    </row>
    <row r="188" spans="1:6" x14ac:dyDescent="0.2">
      <c r="A188" t="s">
        <v>68</v>
      </c>
      <c r="B188" s="59" t="s">
        <v>92</v>
      </c>
      <c r="C188" s="45">
        <f>IF(B188="","",INDEX(Workouts!B:B,MATCH(B188,Workouts!A:A,0)))</f>
        <v>90</v>
      </c>
      <c r="D188" s="45">
        <f>IF(B188="","",INDEX(Workouts!C:C,MATCH(B188,Workouts!A:A,0)))</f>
        <v>103</v>
      </c>
      <c r="E188" s="50">
        <f>IF(B188="","",INDEX(Workouts!D:D,MATCH(B188,Workouts!A:A,0)))</f>
        <v>0.83</v>
      </c>
    </row>
    <row r="189" spans="1:6" x14ac:dyDescent="0.2">
      <c r="A189" t="s">
        <v>70</v>
      </c>
      <c r="B189" s="79" t="s">
        <v>155</v>
      </c>
      <c r="C189" s="76">
        <f>IF(B189="","",INDEX(Workouts!B:B,MATCH(B189,Workouts!A:A,0)))</f>
        <v>60</v>
      </c>
      <c r="D189" s="76">
        <f>IF(B189="","",INDEX(Workouts!C:C,MATCH(B189,Workouts!A:A,0)))</f>
        <v>43</v>
      </c>
      <c r="E189" s="77">
        <f>IF(B189="","",INDEX(Workouts!D:D,MATCH(B189,Workouts!A:A,0)))</f>
        <v>0.63</v>
      </c>
    </row>
    <row r="190" spans="1:6" x14ac:dyDescent="0.2">
      <c r="A190" t="s">
        <v>71</v>
      </c>
      <c r="B190" s="59" t="s">
        <v>94</v>
      </c>
      <c r="C190" s="45">
        <f>IF(B190="","",INDEX(Workouts!B:B,MATCH(B190,Workouts!A:A,0)))</f>
        <v>90</v>
      </c>
      <c r="D190" s="45">
        <f>IF(B190="","",INDEX(Workouts!C:C,MATCH(B190,Workouts!A:A,0)))</f>
        <v>102</v>
      </c>
      <c r="E190" s="50">
        <f>IF(B190="","",INDEX(Workouts!D:D,MATCH(B190,Workouts!A:A,0)))</f>
        <v>0.82</v>
      </c>
    </row>
    <row r="191" spans="1:6" x14ac:dyDescent="0.2">
      <c r="A191" t="s">
        <v>72</v>
      </c>
      <c r="B191" s="59" t="s">
        <v>89</v>
      </c>
      <c r="C191" s="45">
        <f>IF(B191="","",INDEX(Workouts!B:B,MATCH(B191,Workouts!A:A,0)))</f>
        <v>60</v>
      </c>
      <c r="D191" s="45">
        <f>IF(B191="","",INDEX(Workouts!C:C,MATCH(B191,Workouts!A:A,0)))</f>
        <v>39</v>
      </c>
      <c r="E191" s="50">
        <f>IF(B191="","",INDEX(Workouts!D:D,MATCH(B191,Workouts!A:A,0)))</f>
        <v>0.63</v>
      </c>
    </row>
    <row r="192" spans="1:6" x14ac:dyDescent="0.2">
      <c r="A192" t="s">
        <v>73</v>
      </c>
      <c r="B192" s="79" t="s">
        <v>96</v>
      </c>
      <c r="C192" s="76">
        <f>IF(B192="","",INDEX(Workouts!B:B,MATCH(B192,Workouts!A:A,0)))</f>
        <v>120</v>
      </c>
      <c r="D192" s="76">
        <f>IF(B192="","",INDEX(Workouts!C:C,MATCH(B192,Workouts!A:A,0)))</f>
        <v>135</v>
      </c>
      <c r="E192" s="77">
        <f>IF(B192="","",INDEX(Workouts!D:D,MATCH(B192,Workouts!A:A,0)))</f>
        <v>0.82</v>
      </c>
    </row>
    <row r="193" spans="1:6" ht="13.5" thickBot="1" x14ac:dyDescent="0.25">
      <c r="A193" s="4" t="s">
        <v>74</v>
      </c>
      <c r="B193" s="83" t="s">
        <v>108</v>
      </c>
      <c r="C193" s="84">
        <f>IF(B193="","",INDEX(Workouts!B:B,MATCH(B193,Workouts!A:A,0)))</f>
        <v>120</v>
      </c>
      <c r="D193" s="84">
        <f>IF(B193="","",INDEX(Workouts!C:C,MATCH(B193,Workouts!A:A,0)))</f>
        <v>123</v>
      </c>
      <c r="E193" s="85">
        <f>IF(B193="","",INDEX(Workouts!D:D,MATCH(B193,Workouts!A:A,0)))</f>
        <v>0.79</v>
      </c>
      <c r="F193" s="4"/>
    </row>
    <row r="194" spans="1:6" x14ac:dyDescent="0.2">
      <c r="A194" t="s">
        <v>66</v>
      </c>
      <c r="B194" s="60"/>
      <c r="C194" s="45" t="str">
        <f>IF(B194="","",INDEX(Workouts!B:B,MATCH(B194,Workouts!A:A,0)))</f>
        <v/>
      </c>
      <c r="D194" s="45" t="str">
        <f>IF(B194="","",INDEX(Workouts!C:C,MATCH(B194,Workouts!A:A,0)))</f>
        <v/>
      </c>
      <c r="E194" s="50" t="str">
        <f>IF(B194="","",INDEX(Workouts!D:D,MATCH(B194,Workouts!A:A,0)))</f>
        <v/>
      </c>
      <c r="F194" t="str">
        <f>"Week 4: " &amp; INT(SUM(C194:C199)/60) &amp; ":" &amp; LEFT(MOD(SUM(C194:C199),60)&amp;"0",2) &amp; " hrs &amp; " &amp; SUM(D194:D199) &amp; " TSS"</f>
        <v>Week 4: 7:00 hrs &amp; 427 TSS</v>
      </c>
    </row>
    <row r="195" spans="1:6" x14ac:dyDescent="0.2">
      <c r="A195" t="s">
        <v>68</v>
      </c>
      <c r="B195" s="59" t="s">
        <v>97</v>
      </c>
      <c r="C195" s="45">
        <f>IF(B195="","",INDEX(Workouts!B:B,MATCH(B195,Workouts!A:A,0)))</f>
        <v>90</v>
      </c>
      <c r="D195" s="45">
        <f>IF(B195="","",INDEX(Workouts!C:C,MATCH(B195,Workouts!A:A,0)))</f>
        <v>104</v>
      </c>
      <c r="E195" s="50">
        <f>IF(B195="","",INDEX(Workouts!D:D,MATCH(B195,Workouts!A:A,0)))</f>
        <v>0.83</v>
      </c>
    </row>
    <row r="196" spans="1:6" x14ac:dyDescent="0.2">
      <c r="A196" t="s">
        <v>70</v>
      </c>
      <c r="B196" s="79" t="s">
        <v>155</v>
      </c>
      <c r="C196" s="76">
        <f>IF(B196="","",INDEX(Workouts!B:B,MATCH(B196,Workouts!A:A,0)))</f>
        <v>60</v>
      </c>
      <c r="D196" s="76">
        <f>IF(B196="","",INDEX(Workouts!C:C,MATCH(B196,Workouts!A:A,0)))</f>
        <v>43</v>
      </c>
      <c r="E196" s="77">
        <f>IF(B196="","",INDEX(Workouts!D:D,MATCH(B196,Workouts!A:A,0)))</f>
        <v>0.63</v>
      </c>
    </row>
    <row r="197" spans="1:6" x14ac:dyDescent="0.2">
      <c r="A197" t="s">
        <v>71</v>
      </c>
      <c r="B197" s="59" t="s">
        <v>97</v>
      </c>
      <c r="C197" s="45">
        <f>IF(B197="","",INDEX(Workouts!B:B,MATCH(B197,Workouts!A:A,0)))</f>
        <v>90</v>
      </c>
      <c r="D197" s="45">
        <f>IF(B197="","",INDEX(Workouts!C:C,MATCH(B197,Workouts!A:A,0)))</f>
        <v>104</v>
      </c>
      <c r="E197" s="50">
        <f>IF(B197="","",INDEX(Workouts!D:D,MATCH(B197,Workouts!A:A,0)))</f>
        <v>0.83</v>
      </c>
    </row>
    <row r="198" spans="1:6" x14ac:dyDescent="0.2">
      <c r="A198" t="s">
        <v>72</v>
      </c>
      <c r="B198" s="59" t="s">
        <v>89</v>
      </c>
      <c r="C198" s="45">
        <f>IF(B198="","",INDEX(Workouts!B:B,MATCH(B198,Workouts!A:A,0)))</f>
        <v>60</v>
      </c>
      <c r="D198" s="45">
        <f>IF(B198="","",INDEX(Workouts!C:C,MATCH(B198,Workouts!A:A,0)))</f>
        <v>39</v>
      </c>
      <c r="E198" s="50">
        <f>IF(B198="","",INDEX(Workouts!D:D,MATCH(B198,Workouts!A:A,0)))</f>
        <v>0.63</v>
      </c>
    </row>
    <row r="199" spans="1:6" x14ac:dyDescent="0.2">
      <c r="A199" t="s">
        <v>73</v>
      </c>
      <c r="B199" s="80" t="s">
        <v>100</v>
      </c>
      <c r="C199" s="81">
        <f>IF(B199="","",INDEX(Workouts!B:B,MATCH(B199,Workouts!A:A,0)))</f>
        <v>120</v>
      </c>
      <c r="D199" s="81">
        <f>IF(B199="","",INDEX(Workouts!C:C,MATCH(B199,Workouts!A:A,0)))</f>
        <v>137</v>
      </c>
      <c r="E199" s="82">
        <f>IF(B199="","",INDEX(Workouts!D:D,MATCH(B199,Workouts!A:A,0)))</f>
        <v>0.83</v>
      </c>
    </row>
    <row r="200" spans="1:6" ht="13.5" thickBot="1" x14ac:dyDescent="0.25">
      <c r="A200" s="4" t="s">
        <v>74</v>
      </c>
      <c r="B200" s="83" t="s">
        <v>91</v>
      </c>
      <c r="C200" s="84">
        <f>IF(B200="","",INDEX(Workouts!B:B,MATCH(B200,Workouts!A:A,0)))</f>
        <v>120</v>
      </c>
      <c r="D200" s="84">
        <f>IF(B200="","",INDEX(Workouts!C:C,MATCH(B200,Workouts!A:A,0)))</f>
        <v>127</v>
      </c>
      <c r="E200" s="85">
        <f>IF(B200="","",INDEX(Workouts!D:D,MATCH(B200,Workouts!A:A,0)))</f>
        <v>0.8</v>
      </c>
      <c r="F200" s="4"/>
    </row>
    <row r="201" spans="1:6" x14ac:dyDescent="0.2">
      <c r="A201" t="s">
        <v>66</v>
      </c>
      <c r="B201" s="60"/>
      <c r="C201" s="45" t="str">
        <f>IF(B201="","",INDEX(Workouts!B:B,MATCH(B201,Workouts!A:A,0)))</f>
        <v/>
      </c>
      <c r="D201" s="45" t="str">
        <f>IF(B201="","",INDEX(Workouts!C:C,MATCH(B201,Workouts!A:A,0)))</f>
        <v/>
      </c>
      <c r="E201" s="50" t="str">
        <f>IF(B201="","",INDEX(Workouts!D:D,MATCH(B201,Workouts!A:A,0)))</f>
        <v/>
      </c>
      <c r="F201" t="str">
        <f>"Week 5: " &amp; INT(SUM(C201:C207)/60) &amp; ":" &amp; LEFT(MOD(SUM(C201:C207),60)&amp;"0",2) &amp; " hrs &amp; " &amp; SUM(D201:D207) &amp; " TSS"</f>
        <v>Week 5: 9:00 hrs &amp; 568 TSS</v>
      </c>
    </row>
    <row r="202" spans="1:6" x14ac:dyDescent="0.2">
      <c r="A202" t="s">
        <v>68</v>
      </c>
      <c r="B202" s="59" t="s">
        <v>102</v>
      </c>
      <c r="C202" s="45">
        <f>IF(B202="","",INDEX(Workouts!B:B,MATCH(B202,Workouts!A:A,0)))</f>
        <v>90</v>
      </c>
      <c r="D202" s="45">
        <f>IF(B202="","",INDEX(Workouts!C:C,MATCH(B202,Workouts!A:A,0)))</f>
        <v>107</v>
      </c>
      <c r="E202" s="50">
        <f>IF(B202="","",INDEX(Workouts!D:D,MATCH(B202,Workouts!A:A,0)))</f>
        <v>0.85</v>
      </c>
    </row>
    <row r="203" spans="1:6" x14ac:dyDescent="0.2">
      <c r="A203" t="s">
        <v>70</v>
      </c>
      <c r="B203" s="79" t="s">
        <v>155</v>
      </c>
      <c r="C203" s="76">
        <f>IF(B203="","",INDEX(Workouts!B:B,MATCH(B203,Workouts!A:A,0)))</f>
        <v>60</v>
      </c>
      <c r="D203" s="76">
        <f>IF(B203="","",INDEX(Workouts!C:C,MATCH(B203,Workouts!A:A,0)))</f>
        <v>43</v>
      </c>
      <c r="E203" s="77">
        <f>IF(B203="","",INDEX(Workouts!D:D,MATCH(B203,Workouts!A:A,0)))</f>
        <v>0.63</v>
      </c>
    </row>
    <row r="204" spans="1:6" x14ac:dyDescent="0.2">
      <c r="A204" t="s">
        <v>71</v>
      </c>
      <c r="B204" s="59" t="s">
        <v>102</v>
      </c>
      <c r="C204" s="45">
        <f>IF(B204="","",INDEX(Workouts!B:B,MATCH(B204,Workouts!A:A,0)))</f>
        <v>90</v>
      </c>
      <c r="D204" s="45">
        <f>IF(B204="","",INDEX(Workouts!C:C,MATCH(B204,Workouts!A:A,0)))</f>
        <v>107</v>
      </c>
      <c r="E204" s="50">
        <f>IF(B204="","",INDEX(Workouts!D:D,MATCH(B204,Workouts!A:A,0)))</f>
        <v>0.85</v>
      </c>
    </row>
    <row r="205" spans="1:6" x14ac:dyDescent="0.2">
      <c r="A205" t="s">
        <v>72</v>
      </c>
      <c r="B205" s="59" t="s">
        <v>89</v>
      </c>
      <c r="C205" s="45">
        <f>IF(B205="","",INDEX(Workouts!B:B,MATCH(B205,Workouts!A:A,0)))</f>
        <v>60</v>
      </c>
      <c r="D205" s="45">
        <f>IF(B205="","",INDEX(Workouts!C:C,MATCH(B205,Workouts!A:A,0)))</f>
        <v>39</v>
      </c>
      <c r="E205" s="50">
        <f>IF(B205="","",INDEX(Workouts!D:D,MATCH(B205,Workouts!A:A,0)))</f>
        <v>0.63</v>
      </c>
    </row>
    <row r="206" spans="1:6" x14ac:dyDescent="0.2">
      <c r="A206" t="s">
        <v>73</v>
      </c>
      <c r="B206" s="59" t="s">
        <v>99</v>
      </c>
      <c r="C206" s="45">
        <f>IF(B206="","",INDEX(Workouts!B:B,MATCH(B206,Workouts!A:A,0)))</f>
        <v>120</v>
      </c>
      <c r="D206" s="45">
        <f>IF(B206="","",INDEX(Workouts!C:C,MATCH(B206,Workouts!A:A,0)))</f>
        <v>143</v>
      </c>
      <c r="E206" s="50">
        <f>IF(B206="","",INDEX(Workouts!D:D,MATCH(B206,Workouts!A:A,0)))</f>
        <v>0.85</v>
      </c>
    </row>
    <row r="207" spans="1:6" ht="13.5" thickBot="1" x14ac:dyDescent="0.25">
      <c r="A207" s="4" t="s">
        <v>74</v>
      </c>
      <c r="B207" s="83" t="s">
        <v>95</v>
      </c>
      <c r="C207" s="84">
        <f>IF(B207="","",INDEX(Workouts!B:B,MATCH(B207,Workouts!A:A,0)))</f>
        <v>120</v>
      </c>
      <c r="D207" s="84">
        <f>IF(B207="","",INDEX(Workouts!C:C,MATCH(B207,Workouts!A:A,0)))</f>
        <v>129</v>
      </c>
      <c r="E207" s="85">
        <f>IF(B207="","",INDEX(Workouts!D:D,MATCH(B207,Workouts!A:A,0)))</f>
        <v>0.8</v>
      </c>
      <c r="F207" s="4"/>
    </row>
    <row r="208" spans="1:6" x14ac:dyDescent="0.2">
      <c r="A208" t="s">
        <v>66</v>
      </c>
      <c r="B208" s="60"/>
      <c r="C208" s="45" t="str">
        <f>IF(B208="","",INDEX(Workouts!B:B,MATCH(B208,Workouts!A:A,0)))</f>
        <v/>
      </c>
      <c r="D208" s="45" t="str">
        <f>IF(B208="","",INDEX(Workouts!C:C,MATCH(B208,Workouts!A:A,0)))</f>
        <v/>
      </c>
      <c r="E208" s="50" t="str">
        <f>IF(B208="","",INDEX(Workouts!D:D,MATCH(B208,Workouts!A:A,0)))</f>
        <v/>
      </c>
      <c r="F208" t="str">
        <f>"Week 6: " &amp; INT(SUM(C208:C214)/60) &amp; ":" &amp; LEFT(MOD(SUM(C208:C214),60)&amp;"0",2) &amp; " hrs &amp; " &amp; SUM(D208:D214) &amp; " TSS"</f>
        <v>Week 6: 8:00 hrs &amp; 363 TSS</v>
      </c>
    </row>
    <row r="209" spans="1:6" x14ac:dyDescent="0.2">
      <c r="A209" t="s">
        <v>68</v>
      </c>
      <c r="B209" s="59" t="s">
        <v>103</v>
      </c>
      <c r="C209" s="45">
        <f>IF(B209="","",INDEX(Workouts!B:B,MATCH(B209,Workouts!A:A,0)))</f>
        <v>90</v>
      </c>
      <c r="D209" s="45">
        <f>IF(B209="","",INDEX(Workouts!C:C,MATCH(B209,Workouts!A:A,0)))</f>
        <v>65</v>
      </c>
      <c r="E209" s="50">
        <f>IF(B209="","",INDEX(Workouts!D:D,MATCH(B209,Workouts!A:A,0)))</f>
        <v>0.66</v>
      </c>
    </row>
    <row r="210" spans="1:6" x14ac:dyDescent="0.2">
      <c r="A210" t="s">
        <v>70</v>
      </c>
      <c r="B210" s="59" t="s">
        <v>89</v>
      </c>
      <c r="C210" s="45">
        <f>IF(B210="","",INDEX(Workouts!B:B,MATCH(B210,Workouts!A:A,0)))</f>
        <v>60</v>
      </c>
      <c r="D210" s="45">
        <f>IF(B210="","",INDEX(Workouts!C:C,MATCH(B210,Workouts!A:A,0)))</f>
        <v>39</v>
      </c>
      <c r="E210" s="50">
        <f>IF(B210="","",INDEX(Workouts!D:D,MATCH(B210,Workouts!A:A,0)))</f>
        <v>0.63</v>
      </c>
    </row>
    <row r="211" spans="1:6" x14ac:dyDescent="0.2">
      <c r="A211" t="s">
        <v>71</v>
      </c>
      <c r="B211" s="59" t="s">
        <v>104</v>
      </c>
      <c r="C211" s="45">
        <f>IF(B211="","",INDEX(Workouts!B:B,MATCH(B211,Workouts!A:A,0)))</f>
        <v>90</v>
      </c>
      <c r="D211" s="45">
        <f>IF(B211="","",INDEX(Workouts!C:C,MATCH(B211,Workouts!A:A,0)))</f>
        <v>70</v>
      </c>
      <c r="E211" s="50">
        <f>IF(B211="","",INDEX(Workouts!D:D,MATCH(B211,Workouts!A:A,0)))</f>
        <v>0.68</v>
      </c>
    </row>
    <row r="212" spans="1:6" x14ac:dyDescent="0.2">
      <c r="A212" t="s">
        <v>72</v>
      </c>
      <c r="B212" s="59" t="s">
        <v>105</v>
      </c>
      <c r="C212" s="45">
        <f>IF(B212="","",INDEX(Workouts!B:B,MATCH(B212,Workouts!A:A,0)))</f>
        <v>30</v>
      </c>
      <c r="D212" s="45">
        <f>IF(B212="","",INDEX(Workouts!C:C,MATCH(B212,Workouts!A:A,0)))</f>
        <v>19</v>
      </c>
      <c r="E212" s="50">
        <f>IF(B212="","",INDEX(Workouts!D:D,MATCH(B212,Workouts!A:A,0)))</f>
        <v>0.62</v>
      </c>
    </row>
    <row r="213" spans="1:6" x14ac:dyDescent="0.2">
      <c r="A213" t="s">
        <v>73</v>
      </c>
      <c r="B213" s="59" t="s">
        <v>106</v>
      </c>
      <c r="C213" s="45">
        <f>IF(B213="","",INDEX(Workouts!B:B,MATCH(B213,Workouts!A:A,0)))</f>
        <v>120</v>
      </c>
      <c r="D213" s="45">
        <f>IF(B213="","",INDEX(Workouts!C:C,MATCH(B213,Workouts!A:A,0)))</f>
        <v>97</v>
      </c>
      <c r="E213" s="50">
        <f>IF(B213="","",INDEX(Workouts!D:D,MATCH(B213,Workouts!A:A,0)))</f>
        <v>0.7</v>
      </c>
    </row>
    <row r="214" spans="1:6" ht="13.5" thickBot="1" x14ac:dyDescent="0.25">
      <c r="A214" s="4" t="s">
        <v>74</v>
      </c>
      <c r="B214" s="61" t="s">
        <v>107</v>
      </c>
      <c r="C214" s="48">
        <f>IF(B214="","",INDEX(Workouts!B:B,MATCH(B214,Workouts!A:A,0)))</f>
        <v>90</v>
      </c>
      <c r="D214" s="48">
        <f>IF(B214="","",INDEX(Workouts!C:C,MATCH(B214,Workouts!A:A,0)))</f>
        <v>73</v>
      </c>
      <c r="E214" s="51">
        <f>IF(B214="","",INDEX(Workouts!D:D,MATCH(B214,Workouts!A:A,0)))</f>
        <v>0.7</v>
      </c>
      <c r="F214" s="4"/>
    </row>
    <row r="215" spans="1:6" ht="22.5" customHeight="1" x14ac:dyDescent="0.2">
      <c r="A215" s="160" t="str">
        <f>"TrainerRoad Sweet Spot Base - High Volume II ( " &amp; ROUND(SUM(C216:C257)/60/6,1) &amp; " hrs &amp; " &amp; ROUND(SUM(D216:D257)/6,0) &amp; " TSS )"</f>
        <v>TrainerRoad Sweet Spot Base - High Volume II ( 10.3 hrs &amp; 630 TSS )</v>
      </c>
      <c r="B215" s="160"/>
      <c r="C215" s="53"/>
      <c r="D215" s="53"/>
      <c r="E215" s="53"/>
      <c r="F215" s="54"/>
    </row>
    <row r="216" spans="1:6" x14ac:dyDescent="0.2">
      <c r="A216" t="s">
        <v>66</v>
      </c>
      <c r="C216" s="45" t="str">
        <f>IF(B216="","",INDEX(Workouts!B:B,MATCH(B216,Workouts!A:A,0)))</f>
        <v/>
      </c>
      <c r="D216" s="45" t="str">
        <f>IF(B216="","",INDEX(Workouts!C:C,MATCH(B216,Workouts!A:A,0)))</f>
        <v/>
      </c>
      <c r="E216" s="50" t="str">
        <f>IF(B216="","",INDEX(Workouts!D:D,MATCH(B216,Workouts!A:A,0)))</f>
        <v/>
      </c>
      <c r="F216" t="str">
        <f>"Week 1: " &amp; INT(SUM(C216:C222)/60) &amp; ":" &amp; LEFT(MOD(SUM(C216:C222),60)&amp;"0",2) &amp; " hrs &amp; " &amp; SUM(D216:D222) &amp; " TSS"</f>
        <v>Week 1: 9:25 hrs &amp; 596 TSS</v>
      </c>
    </row>
    <row r="217" spans="1:6" x14ac:dyDescent="0.2">
      <c r="A217" t="s">
        <v>68</v>
      </c>
      <c r="B217" s="59" t="s">
        <v>69</v>
      </c>
      <c r="C217" s="45">
        <f>IF(B217="","",INDEX(Workouts!B:B,MATCH(B217,Workouts!A:A,0)))</f>
        <v>25</v>
      </c>
      <c r="D217" s="45">
        <f>IF(B217="","",INDEX(Workouts!C:C,MATCH(B217,Workouts!A:A,0)))</f>
        <v>34</v>
      </c>
      <c r="E217" s="50">
        <f>IF(B217="","",INDEX(Workouts!D:D,MATCH(B217,Workouts!A:A,0)))</f>
        <v>0.91</v>
      </c>
    </row>
    <row r="218" spans="1:6" x14ac:dyDescent="0.2">
      <c r="A218" t="s">
        <v>70</v>
      </c>
      <c r="B218" s="59" t="s">
        <v>94</v>
      </c>
      <c r="C218" s="45">
        <f>IF(B218="","",INDEX(Workouts!B:B,MATCH(B218,Workouts!A:A,0)))</f>
        <v>90</v>
      </c>
      <c r="D218" s="45">
        <f>IF(B218="","",INDEX(Workouts!C:C,MATCH(B218,Workouts!A:A,0)))</f>
        <v>102</v>
      </c>
      <c r="E218" s="50">
        <f>IF(B218="","",INDEX(Workouts!D:D,MATCH(B218,Workouts!A:A,0)))</f>
        <v>0.82</v>
      </c>
    </row>
    <row r="219" spans="1:6" x14ac:dyDescent="0.2">
      <c r="A219" t="s">
        <v>71</v>
      </c>
      <c r="B219" s="59" t="s">
        <v>108</v>
      </c>
      <c r="C219" s="45">
        <f>IF(B219="","",INDEX(Workouts!B:B,MATCH(B219,Workouts!A:A,0)))</f>
        <v>120</v>
      </c>
      <c r="D219" s="45">
        <f>IF(B219="","",INDEX(Workouts!C:C,MATCH(B219,Workouts!A:A,0)))</f>
        <v>123</v>
      </c>
      <c r="E219" s="50">
        <f>IF(B219="","",INDEX(Workouts!D:D,MATCH(B219,Workouts!A:A,0)))</f>
        <v>0.79</v>
      </c>
    </row>
    <row r="220" spans="1:6" x14ac:dyDescent="0.2">
      <c r="A220" t="s">
        <v>72</v>
      </c>
      <c r="B220" s="59" t="s">
        <v>107</v>
      </c>
      <c r="C220" s="45">
        <f>IF(B220="","",INDEX(Workouts!B:B,MATCH(B220,Workouts!A:A,0)))</f>
        <v>90</v>
      </c>
      <c r="D220" s="45">
        <f>IF(B220="","",INDEX(Workouts!C:C,MATCH(B220,Workouts!A:A,0)))</f>
        <v>73</v>
      </c>
      <c r="E220" s="50">
        <f>IF(B220="","",INDEX(Workouts!D:D,MATCH(B220,Workouts!A:A,0)))</f>
        <v>0.7</v>
      </c>
    </row>
    <row r="221" spans="1:6" x14ac:dyDescent="0.2">
      <c r="A221" t="s">
        <v>73</v>
      </c>
      <c r="B221" s="59" t="s">
        <v>96</v>
      </c>
      <c r="C221" s="45">
        <f>IF(B221="","",INDEX(Workouts!B:B,MATCH(B221,Workouts!A:A,0)))</f>
        <v>120</v>
      </c>
      <c r="D221" s="45">
        <f>IF(B221="","",INDEX(Workouts!C:C,MATCH(B221,Workouts!A:A,0)))</f>
        <v>135</v>
      </c>
      <c r="E221" s="50">
        <f>IF(B221="","",INDEX(Workouts!D:D,MATCH(B221,Workouts!A:A,0)))</f>
        <v>0.82</v>
      </c>
    </row>
    <row r="222" spans="1:6" ht="13.5" thickBot="1" x14ac:dyDescent="0.25">
      <c r="A222" s="4" t="s">
        <v>74</v>
      </c>
      <c r="B222" s="61" t="s">
        <v>109</v>
      </c>
      <c r="C222" s="48">
        <f>IF(B222="","",INDEX(Workouts!B:B,MATCH(B222,Workouts!A:A,0)))</f>
        <v>120</v>
      </c>
      <c r="D222" s="48">
        <f>IF(B222="","",INDEX(Workouts!C:C,MATCH(B222,Workouts!A:A,0)))</f>
        <v>129</v>
      </c>
      <c r="E222" s="51">
        <f>IF(B222="","",INDEX(Workouts!D:D,MATCH(B222,Workouts!A:A,0)))</f>
        <v>0.8</v>
      </c>
      <c r="F222" s="4"/>
    </row>
    <row r="223" spans="1:6" x14ac:dyDescent="0.2">
      <c r="A223" t="s">
        <v>66</v>
      </c>
      <c r="B223" s="60"/>
      <c r="C223" s="45" t="str">
        <f>IF(B223="","",INDEX(Workouts!B:B,MATCH(B223,Workouts!A:A,0)))</f>
        <v/>
      </c>
      <c r="D223" s="45" t="str">
        <f>IF(B223="","",INDEX(Workouts!C:C,MATCH(B223,Workouts!A:A,0)))</f>
        <v/>
      </c>
      <c r="E223" s="50" t="str">
        <f>IF(B223="","",INDEX(Workouts!D:D,MATCH(B223,Workouts!A:A,0)))</f>
        <v/>
      </c>
      <c r="F223" t="str">
        <f>"Week 2: " &amp; INT(SUM(C223:C229)/60) &amp; ":" &amp; LEFT(MOD(SUM(C223:C229),60)&amp;"0",2) &amp; " hrs &amp; " &amp; SUM(D223:D229) &amp; " TSS"</f>
        <v>Week 2: 10:45 hrs &amp; 663 TSS</v>
      </c>
    </row>
    <row r="224" spans="1:6" x14ac:dyDescent="0.2">
      <c r="A224" t="s">
        <v>68</v>
      </c>
      <c r="B224" s="59" t="s">
        <v>110</v>
      </c>
      <c r="C224" s="45">
        <f>IF(B224="","",INDEX(Workouts!B:B,MATCH(B224,Workouts!A:A,0)))</f>
        <v>105</v>
      </c>
      <c r="D224" s="45">
        <f>IF(B224="","",INDEX(Workouts!C:C,MATCH(B224,Workouts!A:A,0)))</f>
        <v>114</v>
      </c>
      <c r="E224" s="50">
        <f>IF(B224="","",INDEX(Workouts!D:D,MATCH(B224,Workouts!A:A,0)))</f>
        <v>0.81</v>
      </c>
    </row>
    <row r="225" spans="1:6" x14ac:dyDescent="0.2">
      <c r="A225" t="s">
        <v>70</v>
      </c>
      <c r="B225" s="59" t="s">
        <v>92</v>
      </c>
      <c r="C225" s="45">
        <f>IF(B225="","",INDEX(Workouts!B:B,MATCH(B225,Workouts!A:A,0)))</f>
        <v>90</v>
      </c>
      <c r="D225" s="45">
        <f>IF(B225="","",INDEX(Workouts!C:C,MATCH(B225,Workouts!A:A,0)))</f>
        <v>103</v>
      </c>
      <c r="E225" s="50">
        <f>IF(B225="","",INDEX(Workouts!D:D,MATCH(B225,Workouts!A:A,0)))</f>
        <v>0.83</v>
      </c>
    </row>
    <row r="226" spans="1:6" x14ac:dyDescent="0.2">
      <c r="A226" t="s">
        <v>71</v>
      </c>
      <c r="B226" s="59" t="s">
        <v>90</v>
      </c>
      <c r="C226" s="45">
        <f>IF(B226="","",INDEX(Workouts!B:B,MATCH(B226,Workouts!A:A,0)))</f>
        <v>120</v>
      </c>
      <c r="D226" s="45">
        <f>IF(B226="","",INDEX(Workouts!C:C,MATCH(B226,Workouts!A:A,0)))</f>
        <v>121</v>
      </c>
      <c r="E226" s="50">
        <f>IF(B226="","",INDEX(Workouts!D:D,MATCH(B226,Workouts!A:A,0)))</f>
        <v>0.78</v>
      </c>
    </row>
    <row r="227" spans="1:6" x14ac:dyDescent="0.2">
      <c r="A227" t="s">
        <v>72</v>
      </c>
      <c r="B227" s="59" t="s">
        <v>104</v>
      </c>
      <c r="C227" s="45">
        <f>IF(B227="","",INDEX(Workouts!B:B,MATCH(B227,Workouts!A:A,0)))</f>
        <v>90</v>
      </c>
      <c r="D227" s="45">
        <f>IF(B227="","",INDEX(Workouts!C:C,MATCH(B227,Workouts!A:A,0)))</f>
        <v>70</v>
      </c>
      <c r="E227" s="50">
        <f>IF(B227="","",INDEX(Workouts!D:D,MATCH(B227,Workouts!A:A,0)))</f>
        <v>0.68</v>
      </c>
    </row>
    <row r="228" spans="1:6" x14ac:dyDescent="0.2">
      <c r="A228" t="s">
        <v>73</v>
      </c>
      <c r="B228" s="59" t="s">
        <v>111</v>
      </c>
      <c r="C228" s="45">
        <f>IF(B228="","",INDEX(Workouts!B:B,MATCH(B228,Workouts!A:A,0)))</f>
        <v>120</v>
      </c>
      <c r="D228" s="45">
        <f>IF(B228="","",INDEX(Workouts!C:C,MATCH(B228,Workouts!A:A,0)))</f>
        <v>139</v>
      </c>
      <c r="E228" s="50">
        <f>IF(B228="","",INDEX(Workouts!D:D,MATCH(B228,Workouts!A:A,0)))</f>
        <v>0.83</v>
      </c>
    </row>
    <row r="229" spans="1:6" ht="13.5" thickBot="1" x14ac:dyDescent="0.25">
      <c r="A229" s="4" t="s">
        <v>74</v>
      </c>
      <c r="B229" s="61" t="s">
        <v>112</v>
      </c>
      <c r="C229" s="48">
        <f>IF(B229="","",INDEX(Workouts!B:B,MATCH(B229,Workouts!A:A,0)))</f>
        <v>120</v>
      </c>
      <c r="D229" s="48">
        <f>IF(B229="","",INDEX(Workouts!C:C,MATCH(B229,Workouts!A:A,0)))</f>
        <v>116</v>
      </c>
      <c r="E229" s="51">
        <f>IF(B229="","",INDEX(Workouts!D:D,MATCH(B229,Workouts!A:A,0)))</f>
        <v>0.76</v>
      </c>
      <c r="F229" s="4"/>
    </row>
    <row r="230" spans="1:6" x14ac:dyDescent="0.2">
      <c r="A230" t="s">
        <v>66</v>
      </c>
      <c r="B230" s="60"/>
      <c r="C230" s="45" t="str">
        <f>IF(B230="","",INDEX(Workouts!B:B,MATCH(B230,Workouts!A:A,0)))</f>
        <v/>
      </c>
      <c r="D230" s="45" t="str">
        <f>IF(B230="","",INDEX(Workouts!C:C,MATCH(B230,Workouts!A:A,0)))</f>
        <v/>
      </c>
      <c r="E230" s="50" t="str">
        <f>IF(B230="","",INDEX(Workouts!D:D,MATCH(B230,Workouts!A:A,0)))</f>
        <v/>
      </c>
      <c r="F230" t="str">
        <f>"Week 3: " &amp; INT(SUM(C230:C236)/60) &amp; ":" &amp; LEFT(MOD(SUM(C230:C236),60)&amp;"0",2) &amp; " hrs &amp; " &amp; SUM(D230:D236) &amp; " TSS"</f>
        <v>Week 3: 11:00 hrs &amp; 685 TSS</v>
      </c>
    </row>
    <row r="231" spans="1:6" x14ac:dyDescent="0.2">
      <c r="A231" t="s">
        <v>68</v>
      </c>
      <c r="B231" s="59" t="s">
        <v>108</v>
      </c>
      <c r="C231" s="45">
        <f>IF(B231="","",INDEX(Workouts!B:B,MATCH(B231,Workouts!A:A,0)))</f>
        <v>120</v>
      </c>
      <c r="D231" s="45">
        <f>IF(B231="","",INDEX(Workouts!C:C,MATCH(B231,Workouts!A:A,0)))</f>
        <v>123</v>
      </c>
      <c r="E231" s="50">
        <f>IF(B231="","",INDEX(Workouts!D:D,MATCH(B231,Workouts!A:A,0)))</f>
        <v>0.79</v>
      </c>
    </row>
    <row r="232" spans="1:6" x14ac:dyDescent="0.2">
      <c r="A232" t="s">
        <v>70</v>
      </c>
      <c r="B232" s="59" t="s">
        <v>97</v>
      </c>
      <c r="C232" s="45">
        <f>IF(B232="","",INDEX(Workouts!B:B,MATCH(B232,Workouts!A:A,0)))</f>
        <v>90</v>
      </c>
      <c r="D232" s="45">
        <f>IF(B232="","",INDEX(Workouts!C:C,MATCH(B232,Workouts!A:A,0)))</f>
        <v>104</v>
      </c>
      <c r="E232" s="50">
        <f>IF(B232="","",INDEX(Workouts!D:D,MATCH(B232,Workouts!A:A,0)))</f>
        <v>0.83</v>
      </c>
    </row>
    <row r="233" spans="1:6" x14ac:dyDescent="0.2">
      <c r="A233" t="s">
        <v>71</v>
      </c>
      <c r="B233" s="59" t="s">
        <v>109</v>
      </c>
      <c r="C233" s="45">
        <f>IF(B233="","",INDEX(Workouts!B:B,MATCH(B233,Workouts!A:A,0)))</f>
        <v>120</v>
      </c>
      <c r="D233" s="45">
        <f>IF(B233="","",INDEX(Workouts!C:C,MATCH(B233,Workouts!A:A,0)))</f>
        <v>129</v>
      </c>
      <c r="E233" s="50">
        <f>IF(B233="","",INDEX(Workouts!D:D,MATCH(B233,Workouts!A:A,0)))</f>
        <v>0.8</v>
      </c>
    </row>
    <row r="234" spans="1:6" x14ac:dyDescent="0.2">
      <c r="A234" t="s">
        <v>72</v>
      </c>
      <c r="B234" s="59" t="s">
        <v>103</v>
      </c>
      <c r="C234" s="45">
        <f>IF(B234="","",INDEX(Workouts!B:B,MATCH(B234,Workouts!A:A,0)))</f>
        <v>90</v>
      </c>
      <c r="D234" s="45">
        <f>IF(B234="","",INDEX(Workouts!C:C,MATCH(B234,Workouts!A:A,0)))</f>
        <v>65</v>
      </c>
      <c r="E234" s="50">
        <f>IF(B234="","",INDEX(Workouts!D:D,MATCH(B234,Workouts!A:A,0)))</f>
        <v>0.66</v>
      </c>
    </row>
    <row r="235" spans="1:6" x14ac:dyDescent="0.2">
      <c r="A235" t="s">
        <v>73</v>
      </c>
      <c r="B235" s="59" t="s">
        <v>100</v>
      </c>
      <c r="C235" s="45">
        <f>IF(B235="","",INDEX(Workouts!B:B,MATCH(B235,Workouts!A:A,0)))</f>
        <v>120</v>
      </c>
      <c r="D235" s="45">
        <f>IF(B235="","",INDEX(Workouts!C:C,MATCH(B235,Workouts!A:A,0)))</f>
        <v>137</v>
      </c>
      <c r="E235" s="50">
        <f>IF(B235="","",INDEX(Workouts!D:D,MATCH(B235,Workouts!A:A,0)))</f>
        <v>0.83</v>
      </c>
    </row>
    <row r="236" spans="1:6" ht="13.5" thickBot="1" x14ac:dyDescent="0.25">
      <c r="A236" s="4" t="s">
        <v>74</v>
      </c>
      <c r="B236" s="61" t="s">
        <v>91</v>
      </c>
      <c r="C236" s="48">
        <f>IF(B236="","",INDEX(Workouts!B:B,MATCH(B236,Workouts!A:A,0)))</f>
        <v>120</v>
      </c>
      <c r="D236" s="48">
        <f>IF(B236="","",INDEX(Workouts!C:C,MATCH(B236,Workouts!A:A,0)))</f>
        <v>127</v>
      </c>
      <c r="E236" s="51">
        <f>IF(B236="","",INDEX(Workouts!D:D,MATCH(B236,Workouts!A:A,0)))</f>
        <v>0.8</v>
      </c>
      <c r="F236" s="4"/>
    </row>
    <row r="237" spans="1:6" x14ac:dyDescent="0.2">
      <c r="A237" t="s">
        <v>66</v>
      </c>
      <c r="B237" s="60"/>
      <c r="C237" s="45" t="str">
        <f>IF(B237="","",INDEX(Workouts!B:B,MATCH(B237,Workouts!A:A,0)))</f>
        <v/>
      </c>
      <c r="D237" s="45" t="str">
        <f>IF(B237="","",INDEX(Workouts!C:C,MATCH(B237,Workouts!A:A,0)))</f>
        <v/>
      </c>
      <c r="E237" s="50" t="str">
        <f>IF(B237="","",INDEX(Workouts!D:D,MATCH(B237,Workouts!A:A,0)))</f>
        <v/>
      </c>
      <c r="F237" t="str">
        <f>"Week 4: " &amp; INT(SUM(C237:C243)/60) &amp; ":" &amp; LEFT(MOD(SUM(C237:C243),60)&amp;"0",2) &amp; " hrs &amp; " &amp; SUM(D237:D243) &amp; " TSS"</f>
        <v>Week 4: 11:00 hrs &amp; 713 TSS</v>
      </c>
    </row>
    <row r="238" spans="1:6" x14ac:dyDescent="0.2">
      <c r="A238" t="s">
        <v>68</v>
      </c>
      <c r="B238" s="59" t="s">
        <v>96</v>
      </c>
      <c r="C238" s="45">
        <f>IF(B238="","",INDEX(Workouts!B:B,MATCH(B238,Workouts!A:A,0)))</f>
        <v>120</v>
      </c>
      <c r="D238" s="45">
        <f>IF(B238="","",INDEX(Workouts!C:C,MATCH(B238,Workouts!A:A,0)))</f>
        <v>135</v>
      </c>
      <c r="E238" s="50">
        <f>IF(B238="","",INDEX(Workouts!D:D,MATCH(B238,Workouts!A:A,0)))</f>
        <v>0.82</v>
      </c>
    </row>
    <row r="239" spans="1:6" x14ac:dyDescent="0.2">
      <c r="A239" t="s">
        <v>70</v>
      </c>
      <c r="B239" s="59" t="s">
        <v>113</v>
      </c>
      <c r="C239" s="45">
        <f>IF(B239="","",INDEX(Workouts!B:B,MATCH(B239,Workouts!A:A,0)))</f>
        <v>90</v>
      </c>
      <c r="D239" s="45">
        <f>IF(B239="","",INDEX(Workouts!C:C,MATCH(B239,Workouts!A:A,0)))</f>
        <v>104</v>
      </c>
      <c r="E239" s="50">
        <f>IF(B239="","",INDEX(Workouts!D:D,MATCH(B239,Workouts!A:A,0)))</f>
        <v>0.83</v>
      </c>
    </row>
    <row r="240" spans="1:6" x14ac:dyDescent="0.2">
      <c r="A240" t="s">
        <v>71</v>
      </c>
      <c r="B240" s="59" t="s">
        <v>95</v>
      </c>
      <c r="C240" s="45">
        <f>IF(B240="","",INDEX(Workouts!B:B,MATCH(B240,Workouts!A:A,0)))</f>
        <v>120</v>
      </c>
      <c r="D240" s="45">
        <f>IF(B240="","",INDEX(Workouts!C:C,MATCH(B240,Workouts!A:A,0)))</f>
        <v>129</v>
      </c>
      <c r="E240" s="50">
        <f>IF(B240="","",INDEX(Workouts!D:D,MATCH(B240,Workouts!A:A,0)))</f>
        <v>0.8</v>
      </c>
    </row>
    <row r="241" spans="1:6" x14ac:dyDescent="0.2">
      <c r="A241" t="s">
        <v>72</v>
      </c>
      <c r="B241" s="59" t="s">
        <v>107</v>
      </c>
      <c r="C241" s="45">
        <f>IF(B241="","",INDEX(Workouts!B:B,MATCH(B241,Workouts!A:A,0)))</f>
        <v>90</v>
      </c>
      <c r="D241" s="45">
        <f>IF(B241="","",INDEX(Workouts!C:C,MATCH(B241,Workouts!A:A,0)))</f>
        <v>73</v>
      </c>
      <c r="E241" s="50">
        <f>IF(B241="","",INDEX(Workouts!D:D,MATCH(B241,Workouts!A:A,0)))</f>
        <v>0.7</v>
      </c>
    </row>
    <row r="242" spans="1:6" x14ac:dyDescent="0.2">
      <c r="A242" t="s">
        <v>73</v>
      </c>
      <c r="B242" s="59" t="s">
        <v>99</v>
      </c>
      <c r="C242" s="45">
        <f>IF(B242="","",INDEX(Workouts!B:B,MATCH(B242,Workouts!A:A,0)))</f>
        <v>120</v>
      </c>
      <c r="D242" s="45">
        <f>IF(B242="","",INDEX(Workouts!C:C,MATCH(B242,Workouts!A:A,0)))</f>
        <v>143</v>
      </c>
      <c r="E242" s="50">
        <f>IF(B242="","",INDEX(Workouts!D:D,MATCH(B242,Workouts!A:A,0)))</f>
        <v>0.85</v>
      </c>
    </row>
    <row r="243" spans="1:6" ht="13.5" thickBot="1" x14ac:dyDescent="0.25">
      <c r="A243" s="4" t="s">
        <v>74</v>
      </c>
      <c r="B243" s="61" t="s">
        <v>109</v>
      </c>
      <c r="C243" s="48">
        <f>IF(B243="","",INDEX(Workouts!B:B,MATCH(B243,Workouts!A:A,0)))</f>
        <v>120</v>
      </c>
      <c r="D243" s="48">
        <f>IF(B243="","",INDEX(Workouts!C:C,MATCH(B243,Workouts!A:A,0)))</f>
        <v>129</v>
      </c>
      <c r="E243" s="51">
        <f>IF(B243="","",INDEX(Workouts!D:D,MATCH(B243,Workouts!A:A,0)))</f>
        <v>0.8</v>
      </c>
      <c r="F243" s="4"/>
    </row>
    <row r="244" spans="1:6" x14ac:dyDescent="0.2">
      <c r="A244" t="s">
        <v>66</v>
      </c>
      <c r="B244" s="60"/>
      <c r="C244" s="45" t="str">
        <f>IF(B244="","",INDEX(Workouts!B:B,MATCH(B244,Workouts!A:A,0)))</f>
        <v/>
      </c>
      <c r="D244" s="45" t="str">
        <f>IF(B244="","",INDEX(Workouts!C:C,MATCH(B244,Workouts!A:A,0)))</f>
        <v/>
      </c>
      <c r="E244" s="50" t="str">
        <f>IF(B244="","",INDEX(Workouts!D:D,MATCH(B244,Workouts!A:A,0)))</f>
        <v/>
      </c>
      <c r="F244" t="str">
        <f>"Week 5: " &amp; INT(SUM(C244:C250)/60) &amp; ":" &amp; LEFT(MOD(SUM(C244:C250),60)&amp;"0",2) &amp; " hrs &amp; " &amp; SUM(D244:D250) &amp; " TSS"</f>
        <v>Week 5: 11:00 hrs &amp; 731 TSS</v>
      </c>
    </row>
    <row r="245" spans="1:6" x14ac:dyDescent="0.2">
      <c r="A245" t="s">
        <v>68</v>
      </c>
      <c r="B245" s="59" t="s">
        <v>100</v>
      </c>
      <c r="C245" s="45">
        <f>IF(B245="","",INDEX(Workouts!B:B,MATCH(B245,Workouts!A:A,0)))</f>
        <v>120</v>
      </c>
      <c r="D245" s="45">
        <f>IF(B245="","",INDEX(Workouts!C:C,MATCH(B245,Workouts!A:A,0)))</f>
        <v>137</v>
      </c>
      <c r="E245" s="50">
        <f>IF(B245="","",INDEX(Workouts!D:D,MATCH(B245,Workouts!A:A,0)))</f>
        <v>0.83</v>
      </c>
    </row>
    <row r="246" spans="1:6" x14ac:dyDescent="0.2">
      <c r="A246" t="s">
        <v>70</v>
      </c>
      <c r="B246" s="59" t="s">
        <v>102</v>
      </c>
      <c r="C246" s="45">
        <f>IF(B246="","",INDEX(Workouts!B:B,MATCH(B246,Workouts!A:A,0)))</f>
        <v>90</v>
      </c>
      <c r="D246" s="45">
        <f>IF(B246="","",INDEX(Workouts!C:C,MATCH(B246,Workouts!A:A,0)))</f>
        <v>107</v>
      </c>
      <c r="E246" s="50">
        <f>IF(B246="","",INDEX(Workouts!D:D,MATCH(B246,Workouts!A:A,0)))</f>
        <v>0.85</v>
      </c>
    </row>
    <row r="247" spans="1:6" x14ac:dyDescent="0.2">
      <c r="A247" t="s">
        <v>71</v>
      </c>
      <c r="B247" s="59" t="s">
        <v>99</v>
      </c>
      <c r="C247" s="45">
        <f>IF(B247="","",INDEX(Workouts!B:B,MATCH(B247,Workouts!A:A,0)))</f>
        <v>120</v>
      </c>
      <c r="D247" s="45">
        <f>IF(B247="","",INDEX(Workouts!C:C,MATCH(B247,Workouts!A:A,0)))</f>
        <v>143</v>
      </c>
      <c r="E247" s="50">
        <f>IF(B247="","",INDEX(Workouts!D:D,MATCH(B247,Workouts!A:A,0)))</f>
        <v>0.85</v>
      </c>
    </row>
    <row r="248" spans="1:6" x14ac:dyDescent="0.2">
      <c r="A248" t="s">
        <v>72</v>
      </c>
      <c r="B248" s="59" t="s">
        <v>104</v>
      </c>
      <c r="C248" s="45">
        <f>IF(B248="","",INDEX(Workouts!B:B,MATCH(B248,Workouts!A:A,0)))</f>
        <v>90</v>
      </c>
      <c r="D248" s="45">
        <f>IF(B248="","",INDEX(Workouts!C:C,MATCH(B248,Workouts!A:A,0)))</f>
        <v>70</v>
      </c>
      <c r="E248" s="50">
        <f>IF(B248="","",INDEX(Workouts!D:D,MATCH(B248,Workouts!A:A,0)))</f>
        <v>0.68</v>
      </c>
    </row>
    <row r="249" spans="1:6" x14ac:dyDescent="0.2">
      <c r="A249" t="s">
        <v>73</v>
      </c>
      <c r="B249" s="59" t="s">
        <v>114</v>
      </c>
      <c r="C249" s="45">
        <f>IF(B249="","",INDEX(Workouts!B:B,MATCH(B249,Workouts!A:A,0)))</f>
        <v>120</v>
      </c>
      <c r="D249" s="45">
        <f>IF(B249="","",INDEX(Workouts!C:C,MATCH(B249,Workouts!A:A,0)))</f>
        <v>145</v>
      </c>
      <c r="E249" s="50">
        <f>IF(B249="","",INDEX(Workouts!D:D,MATCH(B249,Workouts!A:A,0)))</f>
        <v>0.85</v>
      </c>
    </row>
    <row r="250" spans="1:6" ht="13.5" thickBot="1" x14ac:dyDescent="0.25">
      <c r="A250" s="4" t="s">
        <v>74</v>
      </c>
      <c r="B250" s="61" t="s">
        <v>95</v>
      </c>
      <c r="C250" s="48">
        <f>IF(B250="","",INDEX(Workouts!B:B,MATCH(B250,Workouts!A:A,0)))</f>
        <v>120</v>
      </c>
      <c r="D250" s="48">
        <f>IF(B250="","",INDEX(Workouts!C:C,MATCH(B250,Workouts!A:A,0)))</f>
        <v>129</v>
      </c>
      <c r="E250" s="51">
        <f>IF(B250="","",INDEX(Workouts!D:D,MATCH(B250,Workouts!A:A,0)))</f>
        <v>0.8</v>
      </c>
      <c r="F250" s="4"/>
    </row>
    <row r="251" spans="1:6" x14ac:dyDescent="0.2">
      <c r="A251" t="s">
        <v>66</v>
      </c>
      <c r="B251" s="60"/>
      <c r="C251" s="45" t="str">
        <f>IF(B251="","",INDEX(Workouts!B:B,MATCH(B251,Workouts!A:A,0)))</f>
        <v/>
      </c>
      <c r="D251" s="45" t="str">
        <f>IF(B251="","",INDEX(Workouts!C:C,MATCH(B251,Workouts!A:A,0)))</f>
        <v/>
      </c>
      <c r="E251" s="50" t="str">
        <f>IF(B251="","",INDEX(Workouts!D:D,MATCH(B251,Workouts!A:A,0)))</f>
        <v/>
      </c>
      <c r="F251" t="str">
        <f>"Week 6: " &amp; INT(SUM(C251:C257)/60) &amp; ":" &amp; LEFT(MOD(SUM(C251:C257),60)&amp;"0",2) &amp; " hrs &amp; " &amp; SUM(D251:D257) &amp; " TSS"</f>
        <v>Week 6: 8:30 hrs &amp; 390 TSS</v>
      </c>
    </row>
    <row r="252" spans="1:6" x14ac:dyDescent="0.2">
      <c r="A252" t="s">
        <v>68</v>
      </c>
      <c r="B252" s="59" t="s">
        <v>103</v>
      </c>
      <c r="C252" s="45">
        <f>IF(B252="","",INDEX(Workouts!B:B,MATCH(B252,Workouts!A:A,0)))</f>
        <v>90</v>
      </c>
      <c r="D252" s="45">
        <f>IF(B252="","",INDEX(Workouts!C:C,MATCH(B252,Workouts!A:A,0)))</f>
        <v>65</v>
      </c>
      <c r="E252" s="50">
        <f>IF(B252="","",INDEX(Workouts!D:D,MATCH(B252,Workouts!A:A,0)))</f>
        <v>0.66</v>
      </c>
    </row>
    <row r="253" spans="1:6" x14ac:dyDescent="0.2">
      <c r="A253" t="s">
        <v>70</v>
      </c>
      <c r="B253" s="59" t="s">
        <v>89</v>
      </c>
      <c r="C253" s="45">
        <f>IF(B253="","",INDEX(Workouts!B:B,MATCH(B253,Workouts!A:A,0)))</f>
        <v>60</v>
      </c>
      <c r="D253" s="45">
        <f>IF(B253="","",INDEX(Workouts!C:C,MATCH(B253,Workouts!A:A,0)))</f>
        <v>39</v>
      </c>
      <c r="E253" s="50">
        <f>IF(B253="","",INDEX(Workouts!D:D,MATCH(B253,Workouts!A:A,0)))</f>
        <v>0.63</v>
      </c>
    </row>
    <row r="254" spans="1:6" x14ac:dyDescent="0.2">
      <c r="A254" t="s">
        <v>71</v>
      </c>
      <c r="B254" s="59" t="s">
        <v>104</v>
      </c>
      <c r="C254" s="45">
        <f>IF(B254="","",INDEX(Workouts!B:B,MATCH(B254,Workouts!A:A,0)))</f>
        <v>90</v>
      </c>
      <c r="D254" s="45">
        <f>IF(B254="","",INDEX(Workouts!C:C,MATCH(B254,Workouts!A:A,0)))</f>
        <v>70</v>
      </c>
      <c r="E254" s="50">
        <f>IF(B254="","",INDEX(Workouts!D:D,MATCH(B254,Workouts!A:A,0)))</f>
        <v>0.68</v>
      </c>
    </row>
    <row r="255" spans="1:6" x14ac:dyDescent="0.2">
      <c r="A255" t="s">
        <v>72</v>
      </c>
      <c r="B255" s="59" t="s">
        <v>115</v>
      </c>
      <c r="C255" s="45">
        <f>IF(B255="","",INDEX(Workouts!B:B,MATCH(B255,Workouts!A:A,0)))</f>
        <v>60</v>
      </c>
      <c r="D255" s="45">
        <f>IF(B255="","",INDEX(Workouts!C:C,MATCH(B255,Workouts!A:A,0)))</f>
        <v>46</v>
      </c>
      <c r="E255" s="50">
        <f>IF(B255="","",INDEX(Workouts!D:D,MATCH(B255,Workouts!A:A,0)))</f>
        <v>0.68</v>
      </c>
    </row>
    <row r="256" spans="1:6" x14ac:dyDescent="0.2">
      <c r="A256" t="s">
        <v>73</v>
      </c>
      <c r="B256" s="59" t="s">
        <v>106</v>
      </c>
      <c r="C256" s="45">
        <f>IF(B256="","",INDEX(Workouts!B:B,MATCH(B256,Workouts!A:A,0)))</f>
        <v>120</v>
      </c>
      <c r="D256" s="45">
        <f>IF(B256="","",INDEX(Workouts!C:C,MATCH(B256,Workouts!A:A,0)))</f>
        <v>97</v>
      </c>
      <c r="E256" s="50">
        <f>IF(B256="","",INDEX(Workouts!D:D,MATCH(B256,Workouts!A:A,0)))</f>
        <v>0.7</v>
      </c>
    </row>
    <row r="257" spans="1:6" ht="13.5" thickBot="1" x14ac:dyDescent="0.25">
      <c r="A257" s="4" t="s">
        <v>74</v>
      </c>
      <c r="B257" s="61" t="s">
        <v>107</v>
      </c>
      <c r="C257" s="48">
        <f>IF(B257="","",INDEX(Workouts!B:B,MATCH(B257,Workouts!A:A,0)))</f>
        <v>90</v>
      </c>
      <c r="D257" s="48">
        <f>IF(B257="","",INDEX(Workouts!C:C,MATCH(B257,Workouts!A:A,0)))</f>
        <v>73</v>
      </c>
      <c r="E257" s="51">
        <f>IF(B257="","",INDEX(Workouts!D:D,MATCH(B257,Workouts!A:A,0)))</f>
        <v>0.7</v>
      </c>
      <c r="F257" s="4"/>
    </row>
    <row r="258" spans="1:6" ht="22.5" customHeight="1" x14ac:dyDescent="0.2">
      <c r="A258" s="160" t="str">
        <f>"TrainerRoad General Build - High Volume ( " &amp; ROUND(SUM(C259:C314)/60/8,1) &amp; " hrs &amp; " &amp; ROUND(SUM(D259:D314)/8,0) &amp; " TSS )"</f>
        <v>TrainerRoad General Build - High Volume ( 9.1 hrs &amp; 551 TSS )</v>
      </c>
      <c r="B258" s="160"/>
      <c r="C258" s="53"/>
      <c r="D258" s="53"/>
      <c r="E258" s="53"/>
      <c r="F258" s="54"/>
    </row>
    <row r="259" spans="1:6" x14ac:dyDescent="0.2">
      <c r="A259" t="s">
        <v>66</v>
      </c>
      <c r="C259" s="45" t="str">
        <f>IF(B259="","",INDEX(Workouts!B:B,MATCH(B259,Workouts!A:A,0)))</f>
        <v/>
      </c>
      <c r="D259" s="45" t="str">
        <f>IF(B259="","",INDEX(Workouts!C:C,MATCH(B259,Workouts!A:A,0)))</f>
        <v/>
      </c>
      <c r="E259" s="50" t="str">
        <f>IF(B259="","",INDEX(Workouts!D:D,MATCH(B259,Workouts!A:A,0)))</f>
        <v/>
      </c>
      <c r="F259" t="str">
        <f>"Week 1: " &amp; INT(SUM(C259:C265)/60) &amp; ":" &amp; LEFT(MOD(SUM(C259:C265),60)&amp;"0",2) &amp; " hrs &amp; " &amp; SUM(D259:D265) &amp; " TSS"</f>
        <v>Week 1: 8:55 hrs &amp; 560 TSS</v>
      </c>
    </row>
    <row r="260" spans="1:6" x14ac:dyDescent="0.2">
      <c r="A260" t="s">
        <v>68</v>
      </c>
      <c r="B260" s="59" t="s">
        <v>69</v>
      </c>
      <c r="C260" s="45">
        <f>IF(B260="","",INDEX(Workouts!B:B,MATCH(B260,Workouts!A:A,0)))</f>
        <v>25</v>
      </c>
      <c r="D260" s="45">
        <f>IF(B260="","",INDEX(Workouts!C:C,MATCH(B260,Workouts!A:A,0)))</f>
        <v>34</v>
      </c>
      <c r="E260" s="50">
        <f>IF(B260="","",INDEX(Workouts!D:D,MATCH(B260,Workouts!A:A,0)))</f>
        <v>0.91</v>
      </c>
    </row>
    <row r="261" spans="1:6" x14ac:dyDescent="0.2">
      <c r="A261" t="s">
        <v>70</v>
      </c>
      <c r="B261" s="59" t="s">
        <v>116</v>
      </c>
      <c r="C261" s="45">
        <f>IF(B261="","",INDEX(Workouts!B:B,MATCH(B261,Workouts!A:A,0)))</f>
        <v>90</v>
      </c>
      <c r="D261" s="45">
        <f>IF(B261="","",INDEX(Workouts!C:C,MATCH(B261,Workouts!A:A,0)))</f>
        <v>84</v>
      </c>
      <c r="E261" s="50">
        <f>IF(B261="","",INDEX(Workouts!D:D,MATCH(B261,Workouts!A:A,0)))</f>
        <v>0.75</v>
      </c>
    </row>
    <row r="262" spans="1:6" x14ac:dyDescent="0.2">
      <c r="A262" t="s">
        <v>71</v>
      </c>
      <c r="B262" s="59" t="s">
        <v>117</v>
      </c>
      <c r="C262" s="45">
        <f>IF(B262="","",INDEX(Workouts!B:B,MATCH(B262,Workouts!A:A,0)))</f>
        <v>120</v>
      </c>
      <c r="D262" s="45">
        <f>IF(B262="","",INDEX(Workouts!C:C,MATCH(B262,Workouts!A:A,0)))</f>
        <v>136</v>
      </c>
      <c r="E262" s="50">
        <f>IF(B262="","",INDEX(Workouts!D:D,MATCH(B262,Workouts!A:A,0)))</f>
        <v>0.82</v>
      </c>
    </row>
    <row r="263" spans="1:6" x14ac:dyDescent="0.2">
      <c r="A263" t="s">
        <v>72</v>
      </c>
      <c r="B263" s="59" t="s">
        <v>104</v>
      </c>
      <c r="C263" s="45">
        <f>IF(B263="","",INDEX(Workouts!B:B,MATCH(B263,Workouts!A:A,0)))</f>
        <v>90</v>
      </c>
      <c r="D263" s="45">
        <f>IF(B263="","",INDEX(Workouts!C:C,MATCH(B263,Workouts!A:A,0)))</f>
        <v>70</v>
      </c>
      <c r="E263" s="50">
        <f>IF(B263="","",INDEX(Workouts!D:D,MATCH(B263,Workouts!A:A,0)))</f>
        <v>0.68</v>
      </c>
    </row>
    <row r="264" spans="1:6" x14ac:dyDescent="0.2">
      <c r="A264" t="s">
        <v>73</v>
      </c>
      <c r="B264" s="59" t="s">
        <v>118</v>
      </c>
      <c r="C264" s="45">
        <f>IF(B264="","",INDEX(Workouts!B:B,MATCH(B264,Workouts!A:A,0)))</f>
        <v>90</v>
      </c>
      <c r="D264" s="45">
        <f>IF(B264="","",INDEX(Workouts!C:C,MATCH(B264,Workouts!A:A,0)))</f>
        <v>114</v>
      </c>
      <c r="E264" s="50">
        <f>IF(B264="","",INDEX(Workouts!D:D,MATCH(B264,Workouts!A:A,0)))</f>
        <v>0.87</v>
      </c>
    </row>
    <row r="265" spans="1:6" ht="13.5" thickBot="1" x14ac:dyDescent="0.25">
      <c r="A265" s="4" t="s">
        <v>74</v>
      </c>
      <c r="B265" s="61" t="s">
        <v>119</v>
      </c>
      <c r="C265" s="48">
        <f>IF(B265="","",INDEX(Workouts!B:B,MATCH(B265,Workouts!A:A,0)))</f>
        <v>120</v>
      </c>
      <c r="D265" s="48">
        <f>IF(B265="","",INDEX(Workouts!C:C,MATCH(B265,Workouts!A:A,0)))</f>
        <v>122</v>
      </c>
      <c r="E265" s="51">
        <f>IF(B265="","",INDEX(Workouts!D:D,MATCH(B265,Workouts!A:A,0)))</f>
        <v>0.78</v>
      </c>
      <c r="F265" s="4"/>
    </row>
    <row r="266" spans="1:6" x14ac:dyDescent="0.2">
      <c r="A266" t="s">
        <v>66</v>
      </c>
      <c r="B266" s="60"/>
      <c r="C266" s="45" t="str">
        <f>IF(B266="","",INDEX(Workouts!B:B,MATCH(B266,Workouts!A:A,0)))</f>
        <v/>
      </c>
      <c r="D266" s="45" t="str">
        <f>IF(B266="","",INDEX(Workouts!C:C,MATCH(B266,Workouts!A:A,0)))</f>
        <v/>
      </c>
      <c r="E266" s="50" t="str">
        <f>IF(B266="","",INDEX(Workouts!D:D,MATCH(B266,Workouts!A:A,0)))</f>
        <v/>
      </c>
      <c r="F266" t="str">
        <f>"Week 2: " &amp; INT(SUM(C266:C272)/60) &amp; ":" &amp; LEFT(MOD(SUM(C266:C272),60)&amp;"0",2) &amp; " hrs &amp; " &amp; SUM(D266:D272) &amp; " TSS"</f>
        <v>Week 2: 9:30 hrs &amp; 624 TSS</v>
      </c>
    </row>
    <row r="267" spans="1:6" x14ac:dyDescent="0.2">
      <c r="A267" t="s">
        <v>68</v>
      </c>
      <c r="B267" s="59" t="s">
        <v>120</v>
      </c>
      <c r="C267" s="45">
        <f>IF(B267="","",INDEX(Workouts!B:B,MATCH(B267,Workouts!A:A,0)))</f>
        <v>120</v>
      </c>
      <c r="D267" s="45">
        <f>IF(B267="","",INDEX(Workouts!C:C,MATCH(B267,Workouts!A:A,0)))</f>
        <v>146</v>
      </c>
      <c r="E267" s="50">
        <f>IF(B267="","",INDEX(Workouts!D:D,MATCH(B267,Workouts!A:A,0)))</f>
        <v>0.85</v>
      </c>
    </row>
    <row r="268" spans="1:6" x14ac:dyDescent="0.2">
      <c r="A268" t="s">
        <v>70</v>
      </c>
      <c r="B268" s="59" t="s">
        <v>121</v>
      </c>
      <c r="C268" s="45">
        <f>IF(B268="","",INDEX(Workouts!B:B,MATCH(B268,Workouts!A:A,0)))</f>
        <v>60</v>
      </c>
      <c r="D268" s="45">
        <f>IF(B268="","",INDEX(Workouts!C:C,MATCH(B268,Workouts!A:A,0)))</f>
        <v>51</v>
      </c>
      <c r="E268" s="50">
        <f>IF(B268="","",INDEX(Workouts!D:D,MATCH(B268,Workouts!A:A,0)))</f>
        <v>0.72</v>
      </c>
    </row>
    <row r="269" spans="1:6" x14ac:dyDescent="0.2">
      <c r="A269" t="s">
        <v>71</v>
      </c>
      <c r="B269" s="59" t="s">
        <v>122</v>
      </c>
      <c r="C269" s="45">
        <f>IF(B269="","",INDEX(Workouts!B:B,MATCH(B269,Workouts!A:A,0)))</f>
        <v>120</v>
      </c>
      <c r="D269" s="45">
        <f>IF(B269="","",INDEX(Workouts!C:C,MATCH(B269,Workouts!A:A,0)))</f>
        <v>139</v>
      </c>
      <c r="E269" s="50">
        <f>IF(B269="","",INDEX(Workouts!D:D,MATCH(B269,Workouts!A:A,0)))</f>
        <v>0.84</v>
      </c>
    </row>
    <row r="270" spans="1:6" x14ac:dyDescent="0.2">
      <c r="A270" t="s">
        <v>72</v>
      </c>
      <c r="B270" s="59" t="s">
        <v>89</v>
      </c>
      <c r="C270" s="45">
        <f>IF(B270="","",INDEX(Workouts!B:B,MATCH(B270,Workouts!A:A,0)))</f>
        <v>60</v>
      </c>
      <c r="D270" s="45">
        <f>IF(B270="","",INDEX(Workouts!C:C,MATCH(B270,Workouts!A:A,0)))</f>
        <v>39</v>
      </c>
      <c r="E270" s="50">
        <f>IF(B270="","",INDEX(Workouts!D:D,MATCH(B270,Workouts!A:A,0)))</f>
        <v>0.63</v>
      </c>
    </row>
    <row r="271" spans="1:6" x14ac:dyDescent="0.2">
      <c r="A271" t="s">
        <v>73</v>
      </c>
      <c r="B271" s="59" t="s">
        <v>123</v>
      </c>
      <c r="C271" s="45">
        <f>IF(B271="","",INDEX(Workouts!B:B,MATCH(B271,Workouts!A:A,0)))</f>
        <v>90</v>
      </c>
      <c r="D271" s="45">
        <f>IF(B271="","",INDEX(Workouts!C:C,MATCH(B271,Workouts!A:A,0)))</f>
        <v>119</v>
      </c>
      <c r="E271" s="50">
        <f>IF(B271="","",INDEX(Workouts!D:D,MATCH(B271,Workouts!A:A,0)))</f>
        <v>0.89</v>
      </c>
    </row>
    <row r="272" spans="1:6" ht="13.5" thickBot="1" x14ac:dyDescent="0.25">
      <c r="A272" s="4" t="s">
        <v>74</v>
      </c>
      <c r="B272" s="61" t="s">
        <v>124</v>
      </c>
      <c r="C272" s="48">
        <f>IF(B272="","",INDEX(Workouts!B:B,MATCH(B272,Workouts!A:A,0)))</f>
        <v>120</v>
      </c>
      <c r="D272" s="48">
        <f>IF(B272="","",INDEX(Workouts!C:C,MATCH(B272,Workouts!A:A,0)))</f>
        <v>130</v>
      </c>
      <c r="E272" s="51">
        <f>IF(B272="","",INDEX(Workouts!D:D,MATCH(B272,Workouts!A:A,0)))</f>
        <v>0.81</v>
      </c>
      <c r="F272" s="4"/>
    </row>
    <row r="273" spans="1:6" x14ac:dyDescent="0.2">
      <c r="A273" t="s">
        <v>66</v>
      </c>
      <c r="B273" s="60"/>
      <c r="C273" s="45" t="str">
        <f>IF(B273="","",INDEX(Workouts!B:B,MATCH(B273,Workouts!A:A,0)))</f>
        <v/>
      </c>
      <c r="D273" s="45" t="str">
        <f>IF(B273="","",INDEX(Workouts!C:C,MATCH(B273,Workouts!A:A,0)))</f>
        <v/>
      </c>
      <c r="E273" s="50" t="str">
        <f>IF(B273="","",INDEX(Workouts!D:D,MATCH(B273,Workouts!A:A,0)))</f>
        <v/>
      </c>
      <c r="F273" t="str">
        <f>"Week 3: " &amp; INT(SUM(C273:C279)/60) &amp; ":" &amp; LEFT(MOD(SUM(C273:C279),60)&amp;"0",2) &amp; " hrs &amp; " &amp; SUM(D273:D279) &amp; " TSS"</f>
        <v>Week 3: 9:30 hrs &amp; 633 TSS</v>
      </c>
    </row>
    <row r="274" spans="1:6" x14ac:dyDescent="0.2">
      <c r="A274" t="s">
        <v>68</v>
      </c>
      <c r="B274" s="59" t="s">
        <v>125</v>
      </c>
      <c r="C274" s="45">
        <f>IF(B274="","",INDEX(Workouts!B:B,MATCH(B274,Workouts!A:A,0)))</f>
        <v>120</v>
      </c>
      <c r="D274" s="45">
        <f>IF(B274="","",INDEX(Workouts!C:C,MATCH(B274,Workouts!A:A,0)))</f>
        <v>135</v>
      </c>
      <c r="E274" s="50">
        <f>IF(B274="","",INDEX(Workouts!D:D,MATCH(B274,Workouts!A:A,0)))</f>
        <v>0.82</v>
      </c>
    </row>
    <row r="275" spans="1:6" x14ac:dyDescent="0.2">
      <c r="A275" t="s">
        <v>70</v>
      </c>
      <c r="B275" s="59" t="s">
        <v>126</v>
      </c>
      <c r="C275" s="45">
        <f>IF(B275="","",INDEX(Workouts!B:B,MATCH(B275,Workouts!A:A,0)))</f>
        <v>60</v>
      </c>
      <c r="D275" s="45">
        <f>IF(B275="","",INDEX(Workouts!C:C,MATCH(B275,Workouts!A:A,0)))</f>
        <v>58</v>
      </c>
      <c r="E275" s="50">
        <f>IF(B275="","",INDEX(Workouts!D:D,MATCH(B275,Workouts!A:A,0)))</f>
        <v>0.76</v>
      </c>
    </row>
    <row r="276" spans="1:6" x14ac:dyDescent="0.2">
      <c r="A276" t="s">
        <v>71</v>
      </c>
      <c r="B276" s="59" t="s">
        <v>127</v>
      </c>
      <c r="C276" s="45">
        <f>IF(B276="","",INDEX(Workouts!B:B,MATCH(B276,Workouts!A:A,0)))</f>
        <v>120</v>
      </c>
      <c r="D276" s="45">
        <f>IF(B276="","",INDEX(Workouts!C:C,MATCH(B276,Workouts!A:A,0)))</f>
        <v>144</v>
      </c>
      <c r="E276" s="50">
        <f>IF(B276="","",INDEX(Workouts!D:D,MATCH(B276,Workouts!A:A,0)))</f>
        <v>0.85</v>
      </c>
    </row>
    <row r="277" spans="1:6" x14ac:dyDescent="0.2">
      <c r="A277" t="s">
        <v>72</v>
      </c>
      <c r="B277" s="59" t="s">
        <v>89</v>
      </c>
      <c r="C277" s="45">
        <f>IF(B277="","",INDEX(Workouts!B:B,MATCH(B277,Workouts!A:A,0)))</f>
        <v>60</v>
      </c>
      <c r="D277" s="45">
        <f>IF(B277="","",INDEX(Workouts!C:C,MATCH(B277,Workouts!A:A,0)))</f>
        <v>39</v>
      </c>
      <c r="E277" s="50">
        <f>IF(B277="","",INDEX(Workouts!D:D,MATCH(B277,Workouts!A:A,0)))</f>
        <v>0.63</v>
      </c>
    </row>
    <row r="278" spans="1:6" x14ac:dyDescent="0.2">
      <c r="A278" t="s">
        <v>73</v>
      </c>
      <c r="B278" s="59" t="s">
        <v>128</v>
      </c>
      <c r="C278" s="45">
        <f>IF(B278="","",INDEX(Workouts!B:B,MATCH(B278,Workouts!A:A,0)))</f>
        <v>90</v>
      </c>
      <c r="D278" s="45">
        <f>IF(B278="","",INDEX(Workouts!C:C,MATCH(B278,Workouts!A:A,0)))</f>
        <v>121</v>
      </c>
      <c r="E278" s="50">
        <f>IF(B278="","",INDEX(Workouts!D:D,MATCH(B278,Workouts!A:A,0)))</f>
        <v>0.9</v>
      </c>
    </row>
    <row r="279" spans="1:6" ht="13.5" thickBot="1" x14ac:dyDescent="0.25">
      <c r="A279" s="4" t="s">
        <v>74</v>
      </c>
      <c r="B279" s="61" t="s">
        <v>129</v>
      </c>
      <c r="C279" s="48">
        <f>IF(B279="","",INDEX(Workouts!B:B,MATCH(B279,Workouts!A:A,0)))</f>
        <v>120</v>
      </c>
      <c r="D279" s="48">
        <f>IF(B279="","",INDEX(Workouts!C:C,MATCH(B279,Workouts!A:A,0)))</f>
        <v>136</v>
      </c>
      <c r="E279" s="51">
        <f>IF(B279="","",INDEX(Workouts!D:D,MATCH(B279,Workouts!A:A,0)))</f>
        <v>0.83</v>
      </c>
      <c r="F279" s="4"/>
    </row>
    <row r="280" spans="1:6" x14ac:dyDescent="0.2">
      <c r="A280" t="s">
        <v>66</v>
      </c>
      <c r="B280" s="60"/>
      <c r="C280" s="45" t="str">
        <f>IF(B280="","",INDEX(Workouts!B:B,MATCH(B280,Workouts!A:A,0)))</f>
        <v/>
      </c>
      <c r="D280" s="45" t="str">
        <f>IF(B280="","",INDEX(Workouts!C:C,MATCH(B280,Workouts!A:A,0)))</f>
        <v/>
      </c>
      <c r="E280" s="50" t="str">
        <f>IF(B280="","",INDEX(Workouts!D:D,MATCH(B280,Workouts!A:A,0)))</f>
        <v/>
      </c>
      <c r="F280" t="str">
        <f>"Week 4: " &amp; INT(SUM(C280:C286)/60) &amp; ":" &amp; LEFT(MOD(SUM(C280:C286),60)&amp;"0",2) &amp; " hrs &amp; " &amp; SUM(D280:D286) &amp; " TSS"</f>
        <v>Week 4: 7:30 hrs &amp; 341 TSS</v>
      </c>
    </row>
    <row r="281" spans="1:6" x14ac:dyDescent="0.2">
      <c r="A281" t="s">
        <v>68</v>
      </c>
      <c r="B281" s="59" t="s">
        <v>104</v>
      </c>
      <c r="C281" s="45">
        <f>IF(B281="","",INDEX(Workouts!B:B,MATCH(B281,Workouts!A:A,0)))</f>
        <v>90</v>
      </c>
      <c r="D281" s="45">
        <f>IF(B281="","",INDEX(Workouts!C:C,MATCH(B281,Workouts!A:A,0)))</f>
        <v>70</v>
      </c>
      <c r="E281" s="50">
        <f>IF(B281="","",INDEX(Workouts!D:D,MATCH(B281,Workouts!A:A,0)))</f>
        <v>0.68</v>
      </c>
    </row>
    <row r="282" spans="1:6" x14ac:dyDescent="0.2">
      <c r="A282" t="s">
        <v>70</v>
      </c>
      <c r="B282" s="59" t="s">
        <v>89</v>
      </c>
      <c r="C282" s="45">
        <f>IF(B282="","",INDEX(Workouts!B:B,MATCH(B282,Workouts!A:A,0)))</f>
        <v>60</v>
      </c>
      <c r="D282" s="45">
        <f>IF(B282="","",INDEX(Workouts!C:C,MATCH(B282,Workouts!A:A,0)))</f>
        <v>39</v>
      </c>
      <c r="E282" s="50">
        <f>IF(B282="","",INDEX(Workouts!D:D,MATCH(B282,Workouts!A:A,0)))</f>
        <v>0.63</v>
      </c>
    </row>
    <row r="283" spans="1:6" x14ac:dyDescent="0.2">
      <c r="A283" t="s">
        <v>71</v>
      </c>
      <c r="B283" s="59" t="s">
        <v>106</v>
      </c>
      <c r="C283" s="45">
        <f>IF(B283="","",INDEX(Workouts!B:B,MATCH(B283,Workouts!A:A,0)))</f>
        <v>120</v>
      </c>
      <c r="D283" s="45">
        <f>IF(B283="","",INDEX(Workouts!C:C,MATCH(B283,Workouts!A:A,0)))</f>
        <v>97</v>
      </c>
      <c r="E283" s="50">
        <f>IF(B283="","",INDEX(Workouts!D:D,MATCH(B283,Workouts!A:A,0)))</f>
        <v>0.7</v>
      </c>
    </row>
    <row r="284" spans="1:6" x14ac:dyDescent="0.2">
      <c r="A284" t="s">
        <v>72</v>
      </c>
      <c r="B284" s="59"/>
      <c r="C284" s="45" t="str">
        <f>IF(B284="","",INDEX(Workouts!B:B,MATCH(B284,Workouts!A:A,0)))</f>
        <v/>
      </c>
      <c r="D284" s="45" t="str">
        <f>IF(B284="","",INDEX(Workouts!C:C,MATCH(B284,Workouts!A:A,0)))</f>
        <v/>
      </c>
      <c r="E284" s="50" t="str">
        <f>IF(B284="","",INDEX(Workouts!D:D,MATCH(B284,Workouts!A:A,0)))</f>
        <v/>
      </c>
    </row>
    <row r="285" spans="1:6" x14ac:dyDescent="0.2">
      <c r="A285" t="s">
        <v>73</v>
      </c>
      <c r="B285" s="59" t="s">
        <v>121</v>
      </c>
      <c r="C285" s="45">
        <f>IF(B285="","",INDEX(Workouts!B:B,MATCH(B285,Workouts!A:A,0)))</f>
        <v>60</v>
      </c>
      <c r="D285" s="45">
        <f>IF(B285="","",INDEX(Workouts!C:C,MATCH(B285,Workouts!A:A,0)))</f>
        <v>51</v>
      </c>
      <c r="E285" s="50">
        <f>IF(B285="","",INDEX(Workouts!D:D,MATCH(B285,Workouts!A:A,0)))</f>
        <v>0.72</v>
      </c>
    </row>
    <row r="286" spans="1:6" ht="13.5" thickBot="1" x14ac:dyDescent="0.25">
      <c r="A286" s="4" t="s">
        <v>74</v>
      </c>
      <c r="B286" s="61" t="s">
        <v>130</v>
      </c>
      <c r="C286" s="48">
        <f>IF(B286="","",INDEX(Workouts!B:B,MATCH(B286,Workouts!A:A,0)))</f>
        <v>120</v>
      </c>
      <c r="D286" s="48">
        <f>IF(B286="","",INDEX(Workouts!C:C,MATCH(B286,Workouts!A:A,0)))</f>
        <v>84</v>
      </c>
      <c r="E286" s="51">
        <f>IF(B286="","",INDEX(Workouts!D:D,MATCH(B286,Workouts!A:A,0)))</f>
        <v>0.65</v>
      </c>
      <c r="F286" s="4"/>
    </row>
    <row r="287" spans="1:6" x14ac:dyDescent="0.2">
      <c r="A287" t="s">
        <v>66</v>
      </c>
      <c r="B287" s="60"/>
      <c r="C287" s="45" t="str">
        <f>IF(B287="","",INDEX(Workouts!B:B,MATCH(B287,Workouts!A:A,0)))</f>
        <v/>
      </c>
      <c r="D287" s="45" t="str">
        <f>IF(B287="","",INDEX(Workouts!C:C,MATCH(B287,Workouts!A:A,0)))</f>
        <v/>
      </c>
      <c r="E287" s="50" t="str">
        <f>IF(B287="","",INDEX(Workouts!D:D,MATCH(B287,Workouts!A:A,0)))</f>
        <v/>
      </c>
      <c r="F287" t="str">
        <f>"Week 5: " &amp; INT(SUM(C287:C293)/60) &amp; ":" &amp; LEFT(MOD(SUM(C287:C293),60)&amp;"0",2) &amp; " hrs &amp; " &amp; SUM(D287:D293) &amp; " TSS"</f>
        <v>Week 5: 9:25 hrs &amp; 592 TSS</v>
      </c>
    </row>
    <row r="288" spans="1:6" x14ac:dyDescent="0.2">
      <c r="A288" t="s">
        <v>68</v>
      </c>
      <c r="B288" s="59" t="s">
        <v>69</v>
      </c>
      <c r="C288" s="45">
        <f>IF(B288="","",INDEX(Workouts!B:B,MATCH(B288,Workouts!A:A,0)))</f>
        <v>25</v>
      </c>
      <c r="D288" s="45">
        <f>IF(B288="","",INDEX(Workouts!C:C,MATCH(B288,Workouts!A:A,0)))</f>
        <v>34</v>
      </c>
      <c r="E288" s="50">
        <f>IF(B288="","",INDEX(Workouts!D:D,MATCH(B288,Workouts!A:A,0)))</f>
        <v>0.91</v>
      </c>
    </row>
    <row r="289" spans="1:6" x14ac:dyDescent="0.2">
      <c r="A289" t="s">
        <v>70</v>
      </c>
      <c r="B289" s="59" t="s">
        <v>116</v>
      </c>
      <c r="C289" s="45">
        <f>IF(B289="","",INDEX(Workouts!B:B,MATCH(B289,Workouts!A:A,0)))</f>
        <v>90</v>
      </c>
      <c r="D289" s="45">
        <f>IF(B289="","",INDEX(Workouts!C:C,MATCH(B289,Workouts!A:A,0)))</f>
        <v>84</v>
      </c>
      <c r="E289" s="50">
        <f>IF(B289="","",INDEX(Workouts!D:D,MATCH(B289,Workouts!A:A,0)))</f>
        <v>0.75</v>
      </c>
    </row>
    <row r="290" spans="1:6" x14ac:dyDescent="0.2">
      <c r="A290" t="s">
        <v>71</v>
      </c>
      <c r="B290" s="59" t="s">
        <v>131</v>
      </c>
      <c r="C290" s="45">
        <f>IF(B290="","",INDEX(Workouts!B:B,MATCH(B290,Workouts!A:A,0)))</f>
        <v>120</v>
      </c>
      <c r="D290" s="45">
        <f>IF(B290="","",INDEX(Workouts!C:C,MATCH(B290,Workouts!A:A,0)))</f>
        <v>139</v>
      </c>
      <c r="E290" s="50">
        <f>IF(B290="","",INDEX(Workouts!D:D,MATCH(B290,Workouts!A:A,0)))</f>
        <v>0.83</v>
      </c>
    </row>
    <row r="291" spans="1:6" x14ac:dyDescent="0.2">
      <c r="A291" t="s">
        <v>72</v>
      </c>
      <c r="B291" s="59" t="s">
        <v>107</v>
      </c>
      <c r="C291" s="45">
        <f>IF(B291="","",INDEX(Workouts!B:B,MATCH(B291,Workouts!A:A,0)))</f>
        <v>90</v>
      </c>
      <c r="D291" s="45">
        <f>IF(B291="","",INDEX(Workouts!C:C,MATCH(B291,Workouts!A:A,0)))</f>
        <v>73</v>
      </c>
      <c r="E291" s="50">
        <f>IF(B291="","",INDEX(Workouts!D:D,MATCH(B291,Workouts!A:A,0)))</f>
        <v>0.7</v>
      </c>
    </row>
    <row r="292" spans="1:6" x14ac:dyDescent="0.2">
      <c r="A292" t="s">
        <v>73</v>
      </c>
      <c r="B292" s="59" t="s">
        <v>132</v>
      </c>
      <c r="C292" s="45">
        <f>IF(B292="","",INDEX(Workouts!B:B,MATCH(B292,Workouts!A:A,0)))</f>
        <v>120</v>
      </c>
      <c r="D292" s="45">
        <f>IF(B292="","",INDEX(Workouts!C:C,MATCH(B292,Workouts!A:A,0)))</f>
        <v>133</v>
      </c>
      <c r="E292" s="50">
        <f>IF(B292="","",INDEX(Workouts!D:D,MATCH(B292,Workouts!A:A,0)))</f>
        <v>0.82</v>
      </c>
    </row>
    <row r="293" spans="1:6" ht="13.5" thickBot="1" x14ac:dyDescent="0.25">
      <c r="A293" s="4" t="s">
        <v>74</v>
      </c>
      <c r="B293" s="61" t="s">
        <v>95</v>
      </c>
      <c r="C293" s="48">
        <f>IF(B293="","",INDEX(Workouts!B:B,MATCH(B293,Workouts!A:A,0)))</f>
        <v>120</v>
      </c>
      <c r="D293" s="48">
        <f>IF(B293="","",INDEX(Workouts!C:C,MATCH(B293,Workouts!A:A,0)))</f>
        <v>129</v>
      </c>
      <c r="E293" s="51">
        <f>IF(B293="","",INDEX(Workouts!D:D,MATCH(B293,Workouts!A:A,0)))</f>
        <v>0.8</v>
      </c>
      <c r="F293" s="4"/>
    </row>
    <row r="294" spans="1:6" x14ac:dyDescent="0.2">
      <c r="A294" t="s">
        <v>66</v>
      </c>
      <c r="B294" s="60"/>
      <c r="C294" s="45" t="str">
        <f>IF(B294="","",INDEX(Workouts!B:B,MATCH(B294,Workouts!A:A,0)))</f>
        <v/>
      </c>
      <c r="D294" s="45" t="str">
        <f>IF(B294="","",INDEX(Workouts!C:C,MATCH(B294,Workouts!A:A,0)))</f>
        <v/>
      </c>
      <c r="E294" s="50" t="str">
        <f>IF(B294="","",INDEX(Workouts!D:D,MATCH(B294,Workouts!A:A,0)))</f>
        <v/>
      </c>
      <c r="F294" t="str">
        <f>"Week 6: " &amp; INT(SUM(C294:C300)/60) &amp; ":" &amp; LEFT(MOD(SUM(C294:C300),60)&amp;"0",2) &amp; " hrs &amp; " &amp; SUM(D294:D300) &amp; " TSS"</f>
        <v>Week 6: 10:00 hrs &amp; 634 TSS</v>
      </c>
    </row>
    <row r="295" spans="1:6" x14ac:dyDescent="0.2">
      <c r="A295" t="s">
        <v>68</v>
      </c>
      <c r="B295" s="59" t="s">
        <v>133</v>
      </c>
      <c r="C295" s="45">
        <f>IF(B295="","",INDEX(Workouts!B:B,MATCH(B295,Workouts!A:A,0)))</f>
        <v>120</v>
      </c>
      <c r="D295" s="45">
        <f>IF(B295="","",INDEX(Workouts!C:C,MATCH(B295,Workouts!A:A,0)))</f>
        <v>141</v>
      </c>
      <c r="E295" s="50">
        <f>IF(B295="","",INDEX(Workouts!D:D,MATCH(B295,Workouts!A:A,0)))</f>
        <v>0.84</v>
      </c>
    </row>
    <row r="296" spans="1:6" x14ac:dyDescent="0.2">
      <c r="A296" t="s">
        <v>70</v>
      </c>
      <c r="B296" s="59" t="s">
        <v>89</v>
      </c>
      <c r="C296" s="45">
        <f>IF(B296="","",INDEX(Workouts!B:B,MATCH(B296,Workouts!A:A,0)))</f>
        <v>60</v>
      </c>
      <c r="D296" s="45">
        <f>IF(B296="","",INDEX(Workouts!C:C,MATCH(B296,Workouts!A:A,0)))</f>
        <v>39</v>
      </c>
      <c r="E296" s="50">
        <f>IF(B296="","",INDEX(Workouts!D:D,MATCH(B296,Workouts!A:A,0)))</f>
        <v>0.63</v>
      </c>
    </row>
    <row r="297" spans="1:6" x14ac:dyDescent="0.2">
      <c r="A297" t="s">
        <v>71</v>
      </c>
      <c r="B297" s="59" t="s">
        <v>134</v>
      </c>
      <c r="C297" s="45">
        <f>IF(B297="","",INDEX(Workouts!B:B,MATCH(B297,Workouts!A:A,0)))</f>
        <v>120</v>
      </c>
      <c r="D297" s="45">
        <f>IF(B297="","",INDEX(Workouts!C:C,MATCH(B297,Workouts!A:A,0)))</f>
        <v>132</v>
      </c>
      <c r="E297" s="50">
        <f>IF(B297="","",INDEX(Workouts!D:D,MATCH(B297,Workouts!A:A,0)))</f>
        <v>0.81</v>
      </c>
    </row>
    <row r="298" spans="1:6" x14ac:dyDescent="0.2">
      <c r="A298" t="s">
        <v>72</v>
      </c>
      <c r="B298" s="59" t="s">
        <v>115</v>
      </c>
      <c r="C298" s="45">
        <f>IF(B298="","",INDEX(Workouts!B:B,MATCH(B298,Workouts!A:A,0)))</f>
        <v>60</v>
      </c>
      <c r="D298" s="45">
        <f>IF(B298="","",INDEX(Workouts!C:C,MATCH(B298,Workouts!A:A,0)))</f>
        <v>46</v>
      </c>
      <c r="E298" s="50">
        <f>IF(B298="","",INDEX(Workouts!D:D,MATCH(B298,Workouts!A:A,0)))</f>
        <v>0.68</v>
      </c>
    </row>
    <row r="299" spans="1:6" x14ac:dyDescent="0.2">
      <c r="A299" t="s">
        <v>73</v>
      </c>
      <c r="B299" s="59" t="s">
        <v>135</v>
      </c>
      <c r="C299" s="45">
        <f>IF(B299="","",INDEX(Workouts!B:B,MATCH(B299,Workouts!A:A,0)))</f>
        <v>120</v>
      </c>
      <c r="D299" s="45">
        <f>IF(B299="","",INDEX(Workouts!C:C,MATCH(B299,Workouts!A:A,0)))</f>
        <v>137</v>
      </c>
      <c r="E299" s="50">
        <f>IF(B299="","",INDEX(Workouts!D:D,MATCH(B299,Workouts!A:A,0)))</f>
        <v>0.83</v>
      </c>
    </row>
    <row r="300" spans="1:6" ht="13.5" thickBot="1" x14ac:dyDescent="0.25">
      <c r="A300" s="4" t="s">
        <v>74</v>
      </c>
      <c r="B300" s="61" t="s">
        <v>111</v>
      </c>
      <c r="C300" s="48">
        <f>IF(B300="","",INDEX(Workouts!B:B,MATCH(B300,Workouts!A:A,0)))</f>
        <v>120</v>
      </c>
      <c r="D300" s="48">
        <f>IF(B300="","",INDEX(Workouts!C:C,MATCH(B300,Workouts!A:A,0)))</f>
        <v>139</v>
      </c>
      <c r="E300" s="51">
        <f>IF(B300="","",INDEX(Workouts!D:D,MATCH(B300,Workouts!A:A,0)))</f>
        <v>0.83</v>
      </c>
      <c r="F300" s="4"/>
    </row>
    <row r="301" spans="1:6" x14ac:dyDescent="0.2">
      <c r="A301" t="s">
        <v>66</v>
      </c>
      <c r="B301" s="60"/>
      <c r="C301" s="45" t="str">
        <f>IF(B301="","",INDEX(Workouts!B:B,MATCH(B301,Workouts!A:A,0)))</f>
        <v/>
      </c>
      <c r="D301" s="45" t="str">
        <f>IF(B301="","",INDEX(Workouts!C:C,MATCH(B301,Workouts!A:A,0)))</f>
        <v/>
      </c>
      <c r="E301" s="50" t="str">
        <f>IF(B301="","",INDEX(Workouts!D:D,MATCH(B301,Workouts!A:A,0)))</f>
        <v/>
      </c>
      <c r="F301" t="str">
        <f>"Week 7: " &amp; INT(SUM(C301:C307)/60) &amp; ":" &amp; LEFT(MOD(SUM(C301:C307),60)&amp;"0",2) &amp; " hrs &amp; " &amp; SUM(D301:D307) &amp; " TSS"</f>
        <v>Week 7: 10:00 hrs &amp; 659 TSS</v>
      </c>
    </row>
    <row r="302" spans="1:6" x14ac:dyDescent="0.2">
      <c r="A302" t="s">
        <v>68</v>
      </c>
      <c r="B302" s="59" t="s">
        <v>136</v>
      </c>
      <c r="C302" s="45">
        <f>IF(B302="","",INDEX(Workouts!B:B,MATCH(B302,Workouts!A:A,0)))</f>
        <v>120</v>
      </c>
      <c r="D302" s="45">
        <f>IF(B302="","",INDEX(Workouts!C:C,MATCH(B302,Workouts!A:A,0)))</f>
        <v>146</v>
      </c>
      <c r="E302" s="50">
        <f>IF(B302="","",INDEX(Workouts!D:D,MATCH(B302,Workouts!A:A,0)))</f>
        <v>0.86</v>
      </c>
    </row>
    <row r="303" spans="1:6" x14ac:dyDescent="0.2">
      <c r="A303" t="s">
        <v>70</v>
      </c>
      <c r="B303" s="59" t="s">
        <v>137</v>
      </c>
      <c r="C303" s="45">
        <f>IF(B303="","",INDEX(Workouts!B:B,MATCH(B303,Workouts!A:A,0)))</f>
        <v>60</v>
      </c>
      <c r="D303" s="45">
        <f>IF(B303="","",INDEX(Workouts!C:C,MATCH(B303,Workouts!A:A,0)))</f>
        <v>44</v>
      </c>
      <c r="E303" s="50">
        <f>IF(B303="","",INDEX(Workouts!D:D,MATCH(B303,Workouts!A:A,0)))</f>
        <v>0.66</v>
      </c>
    </row>
    <row r="304" spans="1:6" x14ac:dyDescent="0.2">
      <c r="A304" t="s">
        <v>71</v>
      </c>
      <c r="B304" s="59" t="s">
        <v>138</v>
      </c>
      <c r="C304" s="45">
        <f>IF(B304="","",INDEX(Workouts!B:B,MATCH(B304,Workouts!A:A,0)))</f>
        <v>120</v>
      </c>
      <c r="D304" s="45">
        <f>IF(B304="","",INDEX(Workouts!C:C,MATCH(B304,Workouts!A:A,0)))</f>
        <v>141</v>
      </c>
      <c r="E304" s="50">
        <f>IF(B304="","",INDEX(Workouts!D:D,MATCH(B304,Workouts!A:A,0)))</f>
        <v>0.84</v>
      </c>
    </row>
    <row r="305" spans="1:6" x14ac:dyDescent="0.2">
      <c r="A305" t="s">
        <v>72</v>
      </c>
      <c r="B305" s="59" t="s">
        <v>139</v>
      </c>
      <c r="C305" s="45">
        <f>IF(B305="","",INDEX(Workouts!B:B,MATCH(B305,Workouts!A:A,0)))</f>
        <v>60</v>
      </c>
      <c r="D305" s="45">
        <f>IF(B305="","",INDEX(Workouts!C:C,MATCH(B305,Workouts!A:A,0)))</f>
        <v>44</v>
      </c>
      <c r="E305" s="50">
        <f>IF(B305="","",INDEX(Workouts!D:D,MATCH(B305,Workouts!A:A,0)))</f>
        <v>0.66</v>
      </c>
    </row>
    <row r="306" spans="1:6" x14ac:dyDescent="0.2">
      <c r="A306" t="s">
        <v>73</v>
      </c>
      <c r="B306" s="59" t="s">
        <v>140</v>
      </c>
      <c r="C306" s="45">
        <f>IF(B306="","",INDEX(Workouts!B:B,MATCH(B306,Workouts!A:A,0)))</f>
        <v>120</v>
      </c>
      <c r="D306" s="45">
        <f>IF(B306="","",INDEX(Workouts!C:C,MATCH(B306,Workouts!A:A,0)))</f>
        <v>139</v>
      </c>
      <c r="E306" s="50">
        <f>IF(B306="","",INDEX(Workouts!D:D,MATCH(B306,Workouts!A:A,0)))</f>
        <v>0.83</v>
      </c>
    </row>
    <row r="307" spans="1:6" ht="13.5" thickBot="1" x14ac:dyDescent="0.25">
      <c r="A307" s="4" t="s">
        <v>74</v>
      </c>
      <c r="B307" s="61" t="s">
        <v>141</v>
      </c>
      <c r="C307" s="48">
        <f>IF(B307="","",INDEX(Workouts!B:B,MATCH(B307,Workouts!A:A,0)))</f>
        <v>120</v>
      </c>
      <c r="D307" s="48">
        <f>IF(B307="","",INDEX(Workouts!C:C,MATCH(B307,Workouts!A:A,0)))</f>
        <v>145</v>
      </c>
      <c r="E307" s="51">
        <f>IF(B307="","",INDEX(Workouts!D:D,MATCH(B307,Workouts!A:A,0)))</f>
        <v>0.85</v>
      </c>
      <c r="F307" s="4"/>
    </row>
    <row r="308" spans="1:6" x14ac:dyDescent="0.2">
      <c r="A308" t="s">
        <v>66</v>
      </c>
      <c r="B308" s="60"/>
      <c r="C308" s="45" t="str">
        <f>IF(B308="","",INDEX(Workouts!B:B,MATCH(B308,Workouts!A:A,0)))</f>
        <v/>
      </c>
      <c r="D308" s="45" t="str">
        <f>IF(B308="","",INDEX(Workouts!C:C,MATCH(B308,Workouts!A:A,0)))</f>
        <v/>
      </c>
      <c r="E308" s="50" t="str">
        <f>IF(B308="","",INDEX(Workouts!D:D,MATCH(B308,Workouts!A:A,0)))</f>
        <v/>
      </c>
      <c r="F308" t="str">
        <f>"Week 8: " &amp; INT(SUM(C308:C314)/60) &amp; ":" &amp; LEFT(MOD(SUM(C308:C314),60)&amp;"0",2) &amp; " hrs &amp; " &amp; SUM(D308:D314) &amp; " TSS"</f>
        <v>Week 8: 8:00 hrs &amp; 362 TSS</v>
      </c>
    </row>
    <row r="309" spans="1:6" x14ac:dyDescent="0.2">
      <c r="A309" t="s">
        <v>68</v>
      </c>
      <c r="B309" s="59" t="s">
        <v>107</v>
      </c>
      <c r="C309" s="45">
        <f>IF(B309="","",INDEX(Workouts!B:B,MATCH(B309,Workouts!A:A,0)))</f>
        <v>90</v>
      </c>
      <c r="D309" s="45">
        <f>IF(B309="","",INDEX(Workouts!C:C,MATCH(B309,Workouts!A:A,0)))</f>
        <v>73</v>
      </c>
      <c r="E309" s="50">
        <f>IF(B309="","",INDEX(Workouts!D:D,MATCH(B309,Workouts!A:A,0)))</f>
        <v>0.7</v>
      </c>
    </row>
    <row r="310" spans="1:6" x14ac:dyDescent="0.2">
      <c r="A310" t="s">
        <v>70</v>
      </c>
      <c r="B310" s="59" t="s">
        <v>89</v>
      </c>
      <c r="C310" s="45">
        <f>IF(B310="","",INDEX(Workouts!B:B,MATCH(B310,Workouts!A:A,0)))</f>
        <v>60</v>
      </c>
      <c r="D310" s="45">
        <f>IF(B310="","",INDEX(Workouts!C:C,MATCH(B310,Workouts!A:A,0)))</f>
        <v>39</v>
      </c>
      <c r="E310" s="50">
        <f>IF(B310="","",INDEX(Workouts!D:D,MATCH(B310,Workouts!A:A,0)))</f>
        <v>0.63</v>
      </c>
    </row>
    <row r="311" spans="1:6" x14ac:dyDescent="0.2">
      <c r="A311" t="s">
        <v>71</v>
      </c>
      <c r="B311" s="59" t="s">
        <v>104</v>
      </c>
      <c r="C311" s="45">
        <f>IF(B311="","",INDEX(Workouts!B:B,MATCH(B311,Workouts!A:A,0)))</f>
        <v>90</v>
      </c>
      <c r="D311" s="45">
        <f>IF(B311="","",INDEX(Workouts!C:C,MATCH(B311,Workouts!A:A,0)))</f>
        <v>70</v>
      </c>
      <c r="E311" s="50">
        <f>IF(B311="","",INDEX(Workouts!D:D,MATCH(B311,Workouts!A:A,0)))</f>
        <v>0.68</v>
      </c>
    </row>
    <row r="312" spans="1:6" x14ac:dyDescent="0.2">
      <c r="A312" t="s">
        <v>72</v>
      </c>
      <c r="B312" s="59"/>
      <c r="C312" s="45" t="str">
        <f>IF(B312="","",INDEX(Workouts!B:B,MATCH(B312,Workouts!A:A,0)))</f>
        <v/>
      </c>
      <c r="D312" s="45" t="str">
        <f>IF(B312="","",INDEX(Workouts!C:C,MATCH(B312,Workouts!A:A,0)))</f>
        <v/>
      </c>
      <c r="E312" s="50" t="str">
        <f>IF(B312="","",INDEX(Workouts!D:D,MATCH(B312,Workouts!A:A,0)))</f>
        <v/>
      </c>
    </row>
    <row r="313" spans="1:6" x14ac:dyDescent="0.2">
      <c r="A313" t="s">
        <v>73</v>
      </c>
      <c r="B313" s="59" t="s">
        <v>142</v>
      </c>
      <c r="C313" s="45">
        <f>IF(B313="","",INDEX(Workouts!B:B,MATCH(B313,Workouts!A:A,0)))</f>
        <v>120</v>
      </c>
      <c r="D313" s="45">
        <f>IF(B313="","",INDEX(Workouts!C:C,MATCH(B313,Workouts!A:A,0)))</f>
        <v>83</v>
      </c>
      <c r="E313" s="50">
        <f>IF(B313="","",INDEX(Workouts!D:D,MATCH(B313,Workouts!A:A,0)))</f>
        <v>0.64</v>
      </c>
    </row>
    <row r="314" spans="1:6" ht="13.5" thickBot="1" x14ac:dyDescent="0.25">
      <c r="A314" s="4" t="s">
        <v>74</v>
      </c>
      <c r="B314" s="61" t="s">
        <v>106</v>
      </c>
      <c r="C314" s="48">
        <f>IF(B314="","",INDEX(Workouts!B:B,MATCH(B314,Workouts!A:A,0)))</f>
        <v>120</v>
      </c>
      <c r="D314" s="48">
        <f>IF(B314="","",INDEX(Workouts!C:C,MATCH(B314,Workouts!A:A,0)))</f>
        <v>97</v>
      </c>
      <c r="E314" s="51">
        <f>IF(B314="","",INDEX(Workouts!D:D,MATCH(B314,Workouts!A:A,0)))</f>
        <v>0.7</v>
      </c>
      <c r="F314" s="4"/>
    </row>
  </sheetData>
  <mergeCells count="4">
    <mergeCell ref="A258:B258"/>
    <mergeCell ref="A45:B45"/>
    <mergeCell ref="A172:B172"/>
    <mergeCell ref="A215:B215"/>
  </mergeCells>
  <pageMargins left="0.7" right="0.7" top="0.75" bottom="0.75" header="0.3" footer="0.3"/>
  <pageSetup orientation="portrait" r:id="rId1"/>
  <ignoredErrors>
    <ignoredError sqref="F10:F171 F172:F31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1A57-6EAA-4B23-92B3-74F696A8BFE0}">
  <dimension ref="A1:G188"/>
  <sheetViews>
    <sheetView zoomScaleNormal="100" workbookViewId="0">
      <pane ySplit="1" topLeftCell="A2" activePane="bottomLeft" state="frozen"/>
      <selection pane="bottomLeft" activeCell="A10" sqref="A10"/>
    </sheetView>
  </sheetViews>
  <sheetFormatPr defaultRowHeight="12.75" x14ac:dyDescent="0.2"/>
  <cols>
    <col min="1" max="1" width="58.140625" style="79" bestFit="1" customWidth="1"/>
    <col min="2" max="3" width="10" style="93" customWidth="1"/>
    <col min="4" max="4" width="10" style="94" customWidth="1"/>
    <col min="5" max="5" width="81.7109375" style="89" customWidth="1"/>
    <col min="6" max="6" width="50.7109375" style="86" customWidth="1"/>
    <col min="7" max="7" width="44" style="145" customWidth="1"/>
    <col min="8" max="16384" width="9.140625" style="72"/>
  </cols>
  <sheetData>
    <row r="1" spans="1:7" x14ac:dyDescent="0.2">
      <c r="A1" s="70" t="s">
        <v>67</v>
      </c>
      <c r="B1" s="70" t="s">
        <v>75</v>
      </c>
      <c r="C1" s="70" t="s">
        <v>1</v>
      </c>
      <c r="D1" s="71" t="s">
        <v>43</v>
      </c>
      <c r="E1" s="91" t="s">
        <v>85</v>
      </c>
      <c r="F1" s="87" t="s">
        <v>185</v>
      </c>
      <c r="G1" s="46" t="s">
        <v>231</v>
      </c>
    </row>
    <row r="2" spans="1:7" x14ac:dyDescent="0.2">
      <c r="A2" s="73" t="s">
        <v>84</v>
      </c>
      <c r="B2" s="74"/>
      <c r="C2" s="74"/>
      <c r="D2" s="73"/>
      <c r="E2" s="92"/>
      <c r="F2" s="75"/>
      <c r="G2" s="144"/>
    </row>
    <row r="3" spans="1:7" x14ac:dyDescent="0.2">
      <c r="A3" s="63" t="s">
        <v>69</v>
      </c>
      <c r="B3" s="138">
        <v>25</v>
      </c>
      <c r="C3" s="138">
        <v>34</v>
      </c>
      <c r="D3" s="94">
        <v>0.91</v>
      </c>
    </row>
    <row r="4" spans="1:7" x14ac:dyDescent="0.2">
      <c r="A4" s="63" t="s">
        <v>82</v>
      </c>
      <c r="B4" s="138">
        <v>30</v>
      </c>
      <c r="C4" s="138">
        <v>25</v>
      </c>
      <c r="D4" s="94">
        <v>0.75</v>
      </c>
    </row>
    <row r="5" spans="1:7" x14ac:dyDescent="0.2">
      <c r="A5" s="63" t="s">
        <v>338</v>
      </c>
      <c r="B5" s="138">
        <v>165</v>
      </c>
      <c r="C5" s="138">
        <v>165</v>
      </c>
      <c r="D5" s="94">
        <v>0.78</v>
      </c>
      <c r="E5" s="89" t="s">
        <v>362</v>
      </c>
    </row>
    <row r="6" spans="1:7" x14ac:dyDescent="0.2">
      <c r="A6" s="63" t="s">
        <v>83</v>
      </c>
      <c r="B6" s="138">
        <v>180</v>
      </c>
      <c r="C6" s="138">
        <v>220</v>
      </c>
      <c r="D6" s="94">
        <v>0.85</v>
      </c>
    </row>
    <row r="7" spans="1:7" x14ac:dyDescent="0.2">
      <c r="A7" s="63" t="s">
        <v>339</v>
      </c>
      <c r="B7" s="138">
        <v>60</v>
      </c>
      <c r="C7" s="138">
        <v>100</v>
      </c>
      <c r="D7" s="94">
        <v>0.95</v>
      </c>
    </row>
    <row r="8" spans="1:7" ht="76.5" x14ac:dyDescent="0.2">
      <c r="A8" s="63" t="s">
        <v>86</v>
      </c>
      <c r="B8" s="138">
        <v>60</v>
      </c>
      <c r="C8" s="138">
        <v>50</v>
      </c>
      <c r="D8" s="94">
        <v>0.71</v>
      </c>
      <c r="E8" s="88" t="s">
        <v>340</v>
      </c>
    </row>
    <row r="9" spans="1:7" x14ac:dyDescent="0.2">
      <c r="A9" s="63" t="s">
        <v>172</v>
      </c>
      <c r="B9" s="139">
        <v>0</v>
      </c>
      <c r="C9" s="139">
        <v>0</v>
      </c>
      <c r="D9" s="95">
        <v>0</v>
      </c>
      <c r="E9" s="88"/>
    </row>
    <row r="10" spans="1:7" x14ac:dyDescent="0.2">
      <c r="A10" s="63"/>
      <c r="B10" s="139"/>
      <c r="C10" s="139"/>
      <c r="D10" s="95"/>
      <c r="E10" s="88"/>
    </row>
    <row r="11" spans="1:7" x14ac:dyDescent="0.2">
      <c r="A11" s="63"/>
      <c r="B11" s="139"/>
      <c r="C11" s="139"/>
      <c r="D11" s="95"/>
      <c r="E11" s="88"/>
    </row>
    <row r="12" spans="1:7" x14ac:dyDescent="0.2">
      <c r="A12" s="63"/>
      <c r="B12" s="139"/>
      <c r="C12" s="139"/>
      <c r="D12" s="95"/>
      <c r="E12" s="88"/>
    </row>
    <row r="14" spans="1:7" x14ac:dyDescent="0.2">
      <c r="A14" s="78" t="s">
        <v>153</v>
      </c>
      <c r="B14" s="78"/>
      <c r="C14" s="78"/>
      <c r="D14" s="78"/>
      <c r="E14" s="92"/>
      <c r="F14" s="75"/>
      <c r="G14" s="144"/>
    </row>
    <row r="15" spans="1:7" x14ac:dyDescent="0.2">
      <c r="A15" s="79" t="s">
        <v>107</v>
      </c>
      <c r="B15" s="138">
        <v>90</v>
      </c>
      <c r="C15" s="138">
        <v>73</v>
      </c>
      <c r="D15" s="94">
        <v>0.7</v>
      </c>
    </row>
    <row r="16" spans="1:7" x14ac:dyDescent="0.2">
      <c r="A16" s="79" t="s">
        <v>88</v>
      </c>
      <c r="B16" s="138">
        <v>90</v>
      </c>
      <c r="C16" s="138">
        <v>96</v>
      </c>
      <c r="D16" s="94">
        <v>0.8</v>
      </c>
    </row>
    <row r="17" spans="1:4" x14ac:dyDescent="0.2">
      <c r="A17" s="79" t="s">
        <v>156</v>
      </c>
      <c r="B17" s="138">
        <v>90</v>
      </c>
      <c r="C17" s="138">
        <v>103</v>
      </c>
      <c r="D17" s="94">
        <v>0.83</v>
      </c>
    </row>
    <row r="18" spans="1:4" x14ac:dyDescent="0.2">
      <c r="A18" s="79" t="s">
        <v>110</v>
      </c>
      <c r="B18" s="138">
        <v>105</v>
      </c>
      <c r="C18" s="138">
        <v>114</v>
      </c>
      <c r="D18" s="94">
        <v>0.81</v>
      </c>
    </row>
    <row r="19" spans="1:4" x14ac:dyDescent="0.2">
      <c r="A19" s="79" t="s">
        <v>109</v>
      </c>
      <c r="B19" s="138">
        <v>120</v>
      </c>
      <c r="C19" s="138">
        <v>129</v>
      </c>
      <c r="D19" s="94">
        <v>0.8</v>
      </c>
    </row>
    <row r="20" spans="1:4" x14ac:dyDescent="0.2">
      <c r="A20" s="79" t="s">
        <v>139</v>
      </c>
      <c r="B20" s="138">
        <v>60</v>
      </c>
      <c r="C20" s="138">
        <v>44</v>
      </c>
      <c r="D20" s="94">
        <v>0.66</v>
      </c>
    </row>
    <row r="21" spans="1:4" x14ac:dyDescent="0.2">
      <c r="A21" s="79" t="s">
        <v>126</v>
      </c>
      <c r="B21" s="138">
        <v>60</v>
      </c>
      <c r="C21" s="138">
        <v>58</v>
      </c>
      <c r="D21" s="94">
        <v>0.76</v>
      </c>
    </row>
    <row r="22" spans="1:4" x14ac:dyDescent="0.2">
      <c r="A22" s="79" t="s">
        <v>116</v>
      </c>
      <c r="B22" s="138">
        <v>90</v>
      </c>
      <c r="C22" s="138">
        <v>84</v>
      </c>
      <c r="D22" s="94">
        <v>0.75</v>
      </c>
    </row>
    <row r="23" spans="1:4" x14ac:dyDescent="0.2">
      <c r="A23" s="79" t="s">
        <v>115</v>
      </c>
      <c r="B23" s="138">
        <v>60</v>
      </c>
      <c r="C23" s="138">
        <v>46</v>
      </c>
      <c r="D23" s="94">
        <v>0.68</v>
      </c>
    </row>
    <row r="24" spans="1:4" x14ac:dyDescent="0.2">
      <c r="A24" s="79" t="s">
        <v>106</v>
      </c>
      <c r="B24" s="138">
        <v>120</v>
      </c>
      <c r="C24" s="138">
        <v>97</v>
      </c>
      <c r="D24" s="94">
        <v>0.7</v>
      </c>
    </row>
    <row r="25" spans="1:4" x14ac:dyDescent="0.2">
      <c r="A25" s="79" t="s">
        <v>130</v>
      </c>
      <c r="B25" s="138">
        <v>120</v>
      </c>
      <c r="C25" s="138">
        <v>84</v>
      </c>
      <c r="D25" s="94">
        <v>0.65</v>
      </c>
    </row>
    <row r="26" spans="1:4" x14ac:dyDescent="0.2">
      <c r="A26" s="79" t="s">
        <v>104</v>
      </c>
      <c r="B26" s="138">
        <v>90</v>
      </c>
      <c r="C26" s="138">
        <v>70</v>
      </c>
      <c r="D26" s="94">
        <v>0.68</v>
      </c>
    </row>
    <row r="27" spans="1:4" x14ac:dyDescent="0.2">
      <c r="A27" s="79" t="s">
        <v>122</v>
      </c>
      <c r="B27" s="138">
        <v>120</v>
      </c>
      <c r="C27" s="138">
        <v>139</v>
      </c>
      <c r="D27" s="94">
        <v>0.84</v>
      </c>
    </row>
    <row r="28" spans="1:4" x14ac:dyDescent="0.2">
      <c r="A28" s="79" t="s">
        <v>94</v>
      </c>
      <c r="B28" s="138">
        <v>90</v>
      </c>
      <c r="C28" s="138">
        <v>102</v>
      </c>
      <c r="D28" s="94">
        <v>0.82</v>
      </c>
    </row>
    <row r="29" spans="1:4" x14ac:dyDescent="0.2">
      <c r="A29" s="79" t="s">
        <v>121</v>
      </c>
      <c r="B29" s="138">
        <v>60</v>
      </c>
      <c r="C29" s="138">
        <v>51</v>
      </c>
      <c r="D29" s="94">
        <v>0.72</v>
      </c>
    </row>
    <row r="30" spans="1:4" x14ac:dyDescent="0.2">
      <c r="A30" s="79" t="s">
        <v>97</v>
      </c>
      <c r="B30" s="138">
        <v>90</v>
      </c>
      <c r="C30" s="138">
        <v>104</v>
      </c>
      <c r="D30" s="94">
        <v>0.83</v>
      </c>
    </row>
    <row r="31" spans="1:4" x14ac:dyDescent="0.2">
      <c r="A31" s="79" t="s">
        <v>111</v>
      </c>
      <c r="B31" s="138">
        <v>120</v>
      </c>
      <c r="C31" s="138">
        <v>139</v>
      </c>
      <c r="D31" s="94">
        <v>0.83</v>
      </c>
    </row>
    <row r="32" spans="1:4" x14ac:dyDescent="0.2">
      <c r="A32" s="79" t="s">
        <v>134</v>
      </c>
      <c r="B32" s="138">
        <v>120</v>
      </c>
      <c r="C32" s="138">
        <v>132</v>
      </c>
      <c r="D32" s="94">
        <v>0.81</v>
      </c>
    </row>
    <row r="33" spans="1:4" x14ac:dyDescent="0.2">
      <c r="A33" s="79" t="s">
        <v>138</v>
      </c>
      <c r="B33" s="138">
        <v>120</v>
      </c>
      <c r="C33" s="138">
        <v>141</v>
      </c>
      <c r="D33" s="94">
        <v>0.84</v>
      </c>
    </row>
    <row r="34" spans="1:4" x14ac:dyDescent="0.2">
      <c r="A34" s="79" t="s">
        <v>103</v>
      </c>
      <c r="B34" s="138">
        <v>90</v>
      </c>
      <c r="C34" s="138">
        <v>65</v>
      </c>
      <c r="D34" s="94">
        <v>0.66</v>
      </c>
    </row>
    <row r="35" spans="1:4" x14ac:dyDescent="0.2">
      <c r="A35" s="79" t="s">
        <v>102</v>
      </c>
      <c r="B35" s="138">
        <v>90</v>
      </c>
      <c r="C35" s="138">
        <v>107</v>
      </c>
      <c r="D35" s="94">
        <v>0.85</v>
      </c>
    </row>
    <row r="36" spans="1:4" x14ac:dyDescent="0.2">
      <c r="A36" s="79" t="s">
        <v>100</v>
      </c>
      <c r="B36" s="138">
        <v>120</v>
      </c>
      <c r="C36" s="138">
        <v>137</v>
      </c>
      <c r="D36" s="94">
        <v>0.83</v>
      </c>
    </row>
    <row r="37" spans="1:4" x14ac:dyDescent="0.2">
      <c r="A37" s="79" t="s">
        <v>92</v>
      </c>
      <c r="B37" s="138">
        <v>90</v>
      </c>
      <c r="C37" s="138">
        <v>103</v>
      </c>
      <c r="D37" s="94">
        <v>0.83</v>
      </c>
    </row>
    <row r="38" spans="1:4" x14ac:dyDescent="0.2">
      <c r="A38" s="79" t="s">
        <v>157</v>
      </c>
      <c r="B38" s="138">
        <v>120</v>
      </c>
      <c r="C38" s="138">
        <v>131</v>
      </c>
      <c r="D38" s="94">
        <v>0.81</v>
      </c>
    </row>
    <row r="39" spans="1:4" x14ac:dyDescent="0.2">
      <c r="A39" s="79" t="s">
        <v>87</v>
      </c>
      <c r="B39" s="138">
        <v>60</v>
      </c>
      <c r="C39" s="138">
        <v>67</v>
      </c>
      <c r="D39" s="94">
        <v>0.82</v>
      </c>
    </row>
    <row r="40" spans="1:4" x14ac:dyDescent="0.2">
      <c r="A40" s="79" t="s">
        <v>98</v>
      </c>
      <c r="B40" s="138">
        <v>80</v>
      </c>
      <c r="C40" s="138">
        <v>81</v>
      </c>
      <c r="D40" s="94">
        <v>0.78</v>
      </c>
    </row>
    <row r="41" spans="1:4" x14ac:dyDescent="0.2">
      <c r="A41" s="79" t="s">
        <v>142</v>
      </c>
      <c r="B41" s="138">
        <v>120</v>
      </c>
      <c r="C41" s="138">
        <v>83</v>
      </c>
      <c r="D41" s="94">
        <v>0.64</v>
      </c>
    </row>
    <row r="42" spans="1:4" x14ac:dyDescent="0.2">
      <c r="A42" s="79" t="s">
        <v>90</v>
      </c>
      <c r="B42" s="138">
        <v>120</v>
      </c>
      <c r="C42" s="138">
        <v>121</v>
      </c>
      <c r="D42" s="94">
        <v>0.78</v>
      </c>
    </row>
    <row r="43" spans="1:4" x14ac:dyDescent="0.2">
      <c r="A43" s="79" t="s">
        <v>108</v>
      </c>
      <c r="B43" s="138">
        <v>120</v>
      </c>
      <c r="C43" s="138">
        <v>123</v>
      </c>
      <c r="D43" s="94">
        <v>0.79</v>
      </c>
    </row>
    <row r="44" spans="1:4" x14ac:dyDescent="0.2">
      <c r="A44" s="79" t="s">
        <v>112</v>
      </c>
      <c r="B44" s="138">
        <v>120</v>
      </c>
      <c r="C44" s="138">
        <v>116</v>
      </c>
      <c r="D44" s="94">
        <v>0.76</v>
      </c>
    </row>
    <row r="45" spans="1:4" x14ac:dyDescent="0.2">
      <c r="A45" s="79" t="s">
        <v>95</v>
      </c>
      <c r="B45" s="138">
        <v>120</v>
      </c>
      <c r="C45" s="138">
        <v>129</v>
      </c>
      <c r="D45" s="94">
        <v>0.8</v>
      </c>
    </row>
    <row r="46" spans="1:4" x14ac:dyDescent="0.2">
      <c r="A46" s="79" t="s">
        <v>135</v>
      </c>
      <c r="B46" s="138">
        <v>120</v>
      </c>
      <c r="C46" s="138">
        <v>137</v>
      </c>
      <c r="D46" s="94">
        <v>0.83</v>
      </c>
    </row>
    <row r="47" spans="1:4" x14ac:dyDescent="0.2">
      <c r="A47" s="79" t="s">
        <v>101</v>
      </c>
      <c r="B47" s="138">
        <v>80</v>
      </c>
      <c r="C47" s="138">
        <v>82</v>
      </c>
      <c r="D47" s="94">
        <v>0.78</v>
      </c>
    </row>
    <row r="48" spans="1:4" x14ac:dyDescent="0.2">
      <c r="A48" s="79" t="s">
        <v>123</v>
      </c>
      <c r="B48" s="138">
        <v>90</v>
      </c>
      <c r="C48" s="138">
        <v>119</v>
      </c>
      <c r="D48" s="94">
        <v>0.89</v>
      </c>
    </row>
    <row r="49" spans="1:4" x14ac:dyDescent="0.2">
      <c r="A49" s="79" t="s">
        <v>140</v>
      </c>
      <c r="B49" s="138">
        <v>120</v>
      </c>
      <c r="C49" s="138">
        <v>139</v>
      </c>
      <c r="D49" s="94">
        <v>0.83</v>
      </c>
    </row>
    <row r="50" spans="1:4" x14ac:dyDescent="0.2">
      <c r="A50" s="79" t="s">
        <v>137</v>
      </c>
      <c r="B50" s="138">
        <v>60</v>
      </c>
      <c r="C50" s="138">
        <v>44</v>
      </c>
      <c r="D50" s="94">
        <v>0.66</v>
      </c>
    </row>
    <row r="51" spans="1:4" x14ac:dyDescent="0.2">
      <c r="A51" s="79" t="s">
        <v>125</v>
      </c>
      <c r="B51" s="138">
        <v>120</v>
      </c>
      <c r="C51" s="138">
        <v>135</v>
      </c>
      <c r="D51" s="94">
        <v>0.82</v>
      </c>
    </row>
    <row r="52" spans="1:4" x14ac:dyDescent="0.2">
      <c r="A52" s="79" t="s">
        <v>118</v>
      </c>
      <c r="B52" s="138">
        <v>90</v>
      </c>
      <c r="C52" s="138">
        <v>114</v>
      </c>
      <c r="D52" s="94">
        <v>0.87</v>
      </c>
    </row>
    <row r="53" spans="1:4" x14ac:dyDescent="0.2">
      <c r="A53" s="79" t="s">
        <v>89</v>
      </c>
      <c r="B53" s="138">
        <v>60</v>
      </c>
      <c r="C53" s="138">
        <v>39</v>
      </c>
      <c r="D53" s="94">
        <v>0.63</v>
      </c>
    </row>
    <row r="54" spans="1:4" x14ac:dyDescent="0.2">
      <c r="A54" s="79" t="s">
        <v>155</v>
      </c>
      <c r="B54" s="138">
        <v>60</v>
      </c>
      <c r="C54" s="138">
        <v>43</v>
      </c>
      <c r="D54" s="94">
        <v>0.63</v>
      </c>
    </row>
    <row r="55" spans="1:4" x14ac:dyDescent="0.2">
      <c r="A55" s="79" t="s">
        <v>128</v>
      </c>
      <c r="B55" s="138">
        <v>90</v>
      </c>
      <c r="C55" s="138">
        <v>121</v>
      </c>
      <c r="D55" s="94">
        <v>0.9</v>
      </c>
    </row>
    <row r="56" spans="1:4" x14ac:dyDescent="0.2">
      <c r="A56" s="79" t="s">
        <v>133</v>
      </c>
      <c r="B56" s="138">
        <v>120</v>
      </c>
      <c r="C56" s="138">
        <v>141</v>
      </c>
      <c r="D56" s="94">
        <v>0.84</v>
      </c>
    </row>
    <row r="57" spans="1:4" x14ac:dyDescent="0.2">
      <c r="A57" s="79" t="s">
        <v>119</v>
      </c>
      <c r="B57" s="138">
        <v>120</v>
      </c>
      <c r="C57" s="138">
        <v>122</v>
      </c>
      <c r="D57" s="94">
        <v>0.78</v>
      </c>
    </row>
    <row r="58" spans="1:4" x14ac:dyDescent="0.2">
      <c r="A58" s="79" t="s">
        <v>120</v>
      </c>
      <c r="B58" s="138">
        <v>120</v>
      </c>
      <c r="C58" s="138">
        <v>146</v>
      </c>
      <c r="D58" s="94">
        <v>0.85</v>
      </c>
    </row>
    <row r="59" spans="1:4" x14ac:dyDescent="0.2">
      <c r="A59" s="79" t="s">
        <v>136</v>
      </c>
      <c r="B59" s="138">
        <v>120</v>
      </c>
      <c r="C59" s="138">
        <v>146</v>
      </c>
      <c r="D59" s="94">
        <v>0.86</v>
      </c>
    </row>
    <row r="60" spans="1:4" x14ac:dyDescent="0.2">
      <c r="A60" s="79" t="s">
        <v>132</v>
      </c>
      <c r="B60" s="138">
        <v>120</v>
      </c>
      <c r="C60" s="138">
        <v>133</v>
      </c>
      <c r="D60" s="94">
        <v>0.82</v>
      </c>
    </row>
    <row r="61" spans="1:4" x14ac:dyDescent="0.2">
      <c r="A61" s="79" t="s">
        <v>124</v>
      </c>
      <c r="B61" s="138">
        <v>120</v>
      </c>
      <c r="C61" s="138">
        <v>130</v>
      </c>
      <c r="D61" s="94">
        <v>0.81</v>
      </c>
    </row>
    <row r="62" spans="1:4" x14ac:dyDescent="0.2">
      <c r="A62" s="79" t="s">
        <v>117</v>
      </c>
      <c r="B62" s="138">
        <v>120</v>
      </c>
      <c r="C62" s="138">
        <v>136</v>
      </c>
      <c r="D62" s="94">
        <v>0.82</v>
      </c>
    </row>
    <row r="63" spans="1:4" x14ac:dyDescent="0.2">
      <c r="A63" s="79" t="s">
        <v>127</v>
      </c>
      <c r="B63" s="138">
        <v>120</v>
      </c>
      <c r="C63" s="138">
        <v>144</v>
      </c>
      <c r="D63" s="94">
        <v>0.85</v>
      </c>
    </row>
    <row r="64" spans="1:4" x14ac:dyDescent="0.2">
      <c r="A64" s="79" t="s">
        <v>105</v>
      </c>
      <c r="B64" s="138">
        <v>30</v>
      </c>
      <c r="C64" s="138">
        <v>19</v>
      </c>
      <c r="D64" s="94">
        <v>0.62</v>
      </c>
    </row>
    <row r="65" spans="1:7" x14ac:dyDescent="0.2">
      <c r="A65" s="79" t="s">
        <v>93</v>
      </c>
      <c r="B65" s="138">
        <v>60</v>
      </c>
      <c r="C65" s="138">
        <v>74</v>
      </c>
      <c r="D65" s="94">
        <v>0.86</v>
      </c>
    </row>
    <row r="66" spans="1:7" x14ac:dyDescent="0.2">
      <c r="A66" s="79" t="s">
        <v>113</v>
      </c>
      <c r="B66" s="138">
        <v>90</v>
      </c>
      <c r="C66" s="138">
        <v>104</v>
      </c>
      <c r="D66" s="94">
        <v>0.83</v>
      </c>
    </row>
    <row r="67" spans="1:7" x14ac:dyDescent="0.2">
      <c r="A67" s="79" t="s">
        <v>96</v>
      </c>
      <c r="B67" s="138">
        <v>120</v>
      </c>
      <c r="C67" s="138">
        <v>135</v>
      </c>
      <c r="D67" s="94">
        <v>0.82</v>
      </c>
    </row>
    <row r="68" spans="1:7" x14ac:dyDescent="0.2">
      <c r="A68" s="79" t="s">
        <v>114</v>
      </c>
      <c r="B68" s="138">
        <v>120</v>
      </c>
      <c r="C68" s="138">
        <v>145</v>
      </c>
      <c r="D68" s="94">
        <v>0.85</v>
      </c>
    </row>
    <row r="69" spans="1:7" x14ac:dyDescent="0.2">
      <c r="A69" s="79" t="s">
        <v>141</v>
      </c>
      <c r="B69" s="138">
        <v>120</v>
      </c>
      <c r="C69" s="138">
        <v>145</v>
      </c>
      <c r="D69" s="94">
        <v>0.85</v>
      </c>
    </row>
    <row r="70" spans="1:7" x14ac:dyDescent="0.2">
      <c r="A70" s="79" t="s">
        <v>131</v>
      </c>
      <c r="B70" s="138">
        <v>120</v>
      </c>
      <c r="C70" s="138">
        <v>139</v>
      </c>
      <c r="D70" s="94">
        <v>0.83</v>
      </c>
    </row>
    <row r="71" spans="1:7" x14ac:dyDescent="0.2">
      <c r="A71" s="79" t="s">
        <v>129</v>
      </c>
      <c r="B71" s="138">
        <v>120</v>
      </c>
      <c r="C71" s="138">
        <v>136</v>
      </c>
      <c r="D71" s="94">
        <v>0.83</v>
      </c>
    </row>
    <row r="72" spans="1:7" x14ac:dyDescent="0.2">
      <c r="A72" s="79" t="s">
        <v>99</v>
      </c>
      <c r="B72" s="138">
        <v>120</v>
      </c>
      <c r="C72" s="138">
        <v>143</v>
      </c>
      <c r="D72" s="94">
        <v>0.85</v>
      </c>
    </row>
    <row r="73" spans="1:7" x14ac:dyDescent="0.2">
      <c r="A73" s="79" t="s">
        <v>91</v>
      </c>
      <c r="B73" s="138">
        <v>120</v>
      </c>
      <c r="C73" s="138">
        <v>127</v>
      </c>
      <c r="D73" s="94">
        <v>0.8</v>
      </c>
    </row>
    <row r="75" spans="1:7" x14ac:dyDescent="0.2">
      <c r="A75" s="73" t="s">
        <v>154</v>
      </c>
      <c r="B75" s="74"/>
      <c r="C75" s="74"/>
      <c r="D75" s="73"/>
      <c r="E75" s="92"/>
      <c r="F75" s="75"/>
      <c r="G75" s="144"/>
    </row>
    <row r="76" spans="1:7" ht="76.5" x14ac:dyDescent="0.2">
      <c r="A76" s="79" t="s">
        <v>251</v>
      </c>
      <c r="B76" s="138">
        <v>75</v>
      </c>
      <c r="C76" s="138">
        <v>68</v>
      </c>
      <c r="D76" s="94">
        <v>0.74</v>
      </c>
      <c r="E76" s="88" t="s">
        <v>160</v>
      </c>
      <c r="G76" s="146" t="str">
        <f>IF(A76&lt;&gt;"",SUBSTITUTE(SUBSTITUTE(SUBSTITUTE(SUBSTITUTE(SUBSTITUTE(SUBSTITUTE(SUBSTITUTE(SUBSTITUTE(SUBSTITUTE(A76," ","_"),"/","-"),"!",""), "'",""),",",""),":",""),"minutes","min"),"minuters","min"),"seconds","sec"),"")</f>
        <v>RR-01_Tempo_3_x_12_min</v>
      </c>
    </row>
    <row r="77" spans="1:7" ht="51" x14ac:dyDescent="0.2">
      <c r="A77" s="79" t="s">
        <v>252</v>
      </c>
      <c r="B77" s="138">
        <v>60</v>
      </c>
      <c r="C77" s="138">
        <v>70</v>
      </c>
      <c r="D77" s="94">
        <v>0.84</v>
      </c>
      <c r="E77" s="88" t="s">
        <v>161</v>
      </c>
      <c r="G77" s="146" t="str">
        <f t="shared" ref="G77:G140" si="0">IF(A77&lt;&gt;"",SUBSTITUTE(SUBSTITUTE(SUBSTITUTE(SUBSTITUTE(SUBSTITUTE(SUBSTITUTE(SUBSTITUTE(SUBSTITUTE(SUBSTITUTE(A77," ","_"),"/","-"),"!",""), "'",""),",",""),":",""),"minutes","min"),"minuters","min"),"seconds","sec"),"")</f>
        <v>RR-02_Openers_4_x_45_sec_FULL_GAS</v>
      </c>
    </row>
    <row r="78" spans="1:7" ht="140.25" x14ac:dyDescent="0.2">
      <c r="A78" s="79" t="s">
        <v>253</v>
      </c>
      <c r="B78" s="138">
        <v>150</v>
      </c>
      <c r="C78" s="138">
        <v>148</v>
      </c>
      <c r="D78" s="94">
        <v>0.77</v>
      </c>
      <c r="E78" s="88" t="s">
        <v>232</v>
      </c>
      <c r="G78" s="146" t="str">
        <f t="shared" si="0"/>
        <v>RR-03_Zone_5-VO2_Max_3_min</v>
      </c>
    </row>
    <row r="79" spans="1:7" x14ac:dyDescent="0.2">
      <c r="A79" s="79" t="s">
        <v>254</v>
      </c>
      <c r="B79" s="138">
        <v>90</v>
      </c>
      <c r="C79" s="138">
        <v>87</v>
      </c>
      <c r="D79" s="94">
        <v>0.76</v>
      </c>
      <c r="E79" s="89" t="s">
        <v>233</v>
      </c>
      <c r="G79" s="146" t="str">
        <f t="shared" si="0"/>
        <v>RR-04_Zone_6_2_sets_of_5x30_sec_ON_1_min_OFF</v>
      </c>
    </row>
    <row r="80" spans="1:7" ht="89.25" x14ac:dyDescent="0.2">
      <c r="A80" s="79" t="s">
        <v>255</v>
      </c>
      <c r="B80" s="138">
        <v>60</v>
      </c>
      <c r="C80" s="138">
        <v>69</v>
      </c>
      <c r="D80" s="94">
        <v>0.84</v>
      </c>
      <c r="E80" s="88" t="s">
        <v>163</v>
      </c>
      <c r="G80" s="146" t="str">
        <f t="shared" si="0"/>
        <v>RR-05_Zone_5-VO2_4_min</v>
      </c>
    </row>
    <row r="81" spans="1:7" ht="204" x14ac:dyDescent="0.2">
      <c r="A81" s="79" t="s">
        <v>256</v>
      </c>
      <c r="B81" s="138">
        <v>60</v>
      </c>
      <c r="C81" s="138">
        <v>61</v>
      </c>
      <c r="D81" s="94">
        <v>0.78</v>
      </c>
      <c r="E81" s="88" t="s">
        <v>164</v>
      </c>
      <c r="G81" s="146" t="str">
        <f t="shared" si="0"/>
        <v>RR-06_Criss_Cross_Tempo_-_Threshold_3_x_10_min</v>
      </c>
    </row>
    <row r="82" spans="1:7" ht="63.75" x14ac:dyDescent="0.2">
      <c r="A82" s="79" t="s">
        <v>257</v>
      </c>
      <c r="B82" s="138">
        <v>60</v>
      </c>
      <c r="C82" s="138">
        <v>65</v>
      </c>
      <c r="D82" s="94">
        <v>0.81</v>
      </c>
      <c r="E82" s="88" t="s">
        <v>234</v>
      </c>
      <c r="G82" s="146" t="str">
        <f t="shared" si="0"/>
        <v>RR-07_Sweet_Spot_3_x_10_min</v>
      </c>
    </row>
    <row r="83" spans="1:7" ht="140.25" x14ac:dyDescent="0.2">
      <c r="A83" s="79" t="s">
        <v>258</v>
      </c>
      <c r="B83" s="138">
        <v>120</v>
      </c>
      <c r="C83" s="138">
        <v>122</v>
      </c>
      <c r="D83" s="94">
        <v>0.78</v>
      </c>
      <c r="E83" s="88" t="s">
        <v>235</v>
      </c>
      <c r="G83" s="146" t="str">
        <f t="shared" si="0"/>
        <v>RR-08_Tabatas_20-10s</v>
      </c>
    </row>
    <row r="84" spans="1:7" ht="89.25" x14ac:dyDescent="0.2">
      <c r="A84" s="79" t="s">
        <v>259</v>
      </c>
      <c r="B84" s="138">
        <v>150</v>
      </c>
      <c r="C84" s="138">
        <v>148</v>
      </c>
      <c r="D84" s="94">
        <v>0.77</v>
      </c>
      <c r="E84" s="88" t="s">
        <v>236</v>
      </c>
      <c r="G84" s="146" t="str">
        <f t="shared" si="0"/>
        <v>RR-09_Weekend_Group_Ride</v>
      </c>
    </row>
    <row r="85" spans="1:7" x14ac:dyDescent="0.2">
      <c r="A85" s="79" t="s">
        <v>260</v>
      </c>
      <c r="B85" s="138">
        <v>60</v>
      </c>
      <c r="C85" s="138">
        <v>75</v>
      </c>
      <c r="D85" s="94">
        <v>0.87</v>
      </c>
      <c r="E85" s="89" t="s">
        <v>162</v>
      </c>
      <c r="G85" s="146" t="str">
        <f t="shared" si="0"/>
        <v>RR-10_Zone_6_2_sets_of_3x1_min_ON_1_min_OFF</v>
      </c>
    </row>
    <row r="86" spans="1:7" ht="89.25" x14ac:dyDescent="0.2">
      <c r="A86" s="79" t="s">
        <v>261</v>
      </c>
      <c r="B86" s="138">
        <v>75</v>
      </c>
      <c r="C86" s="138">
        <v>88</v>
      </c>
      <c r="D86" s="94">
        <v>0.84</v>
      </c>
      <c r="E86" s="88" t="s">
        <v>165</v>
      </c>
      <c r="G86" s="146" t="str">
        <f t="shared" si="0"/>
        <v>RR-11_Zone_5-VO2_5_min</v>
      </c>
    </row>
    <row r="87" spans="1:7" ht="51" x14ac:dyDescent="0.2">
      <c r="A87" s="79" t="s">
        <v>262</v>
      </c>
      <c r="B87" s="138">
        <v>60</v>
      </c>
      <c r="C87" s="138">
        <v>72</v>
      </c>
      <c r="D87" s="94">
        <v>0.85</v>
      </c>
      <c r="E87" s="88" t="s">
        <v>237</v>
      </c>
      <c r="G87" s="146" t="str">
        <f t="shared" si="0"/>
        <v>RR-12_Lactate_Threshold_3_x_10_min</v>
      </c>
    </row>
    <row r="88" spans="1:7" ht="127.5" x14ac:dyDescent="0.2">
      <c r="A88" s="79" t="s">
        <v>263</v>
      </c>
      <c r="B88" s="138">
        <v>120</v>
      </c>
      <c r="C88" s="138">
        <v>132</v>
      </c>
      <c r="D88" s="94">
        <v>0.81</v>
      </c>
      <c r="E88" s="88" t="s">
        <v>238</v>
      </c>
      <c r="G88" s="146" t="str">
        <f t="shared" si="0"/>
        <v>RR-13_Sweet_Spot_Bursts_3_x_15_min</v>
      </c>
    </row>
    <row r="89" spans="1:7" ht="89.25" x14ac:dyDescent="0.2">
      <c r="A89" s="79" t="s">
        <v>264</v>
      </c>
      <c r="B89" s="138">
        <v>180</v>
      </c>
      <c r="C89" s="138">
        <v>178</v>
      </c>
      <c r="D89" s="94">
        <v>0.77</v>
      </c>
      <c r="E89" s="88" t="s">
        <v>239</v>
      </c>
      <c r="G89" s="146" t="str">
        <f t="shared" si="0"/>
        <v>RR-14_Weekend_Group_Ride</v>
      </c>
    </row>
    <row r="90" spans="1:7" ht="127.5" x14ac:dyDescent="0.2">
      <c r="A90" s="79" t="s">
        <v>265</v>
      </c>
      <c r="B90" s="138">
        <v>90</v>
      </c>
      <c r="C90" s="138">
        <v>72</v>
      </c>
      <c r="D90" s="94">
        <v>0.7</v>
      </c>
      <c r="E90" s="88" t="s">
        <v>166</v>
      </c>
      <c r="G90" s="146" t="str">
        <f t="shared" si="0"/>
        <v>RR-15_Zone_2_Endurance_+_SPRINTS</v>
      </c>
    </row>
    <row r="91" spans="1:7" ht="51" x14ac:dyDescent="0.2">
      <c r="A91" s="79" t="s">
        <v>266</v>
      </c>
      <c r="B91" s="138">
        <v>75</v>
      </c>
      <c r="C91" s="138">
        <v>83</v>
      </c>
      <c r="D91" s="94">
        <v>0.82</v>
      </c>
      <c r="E91" s="88" t="s">
        <v>167</v>
      </c>
      <c r="G91" s="146" t="str">
        <f t="shared" si="0"/>
        <v>RR-16_Lactate_Threshold_4_x_8_min</v>
      </c>
    </row>
    <row r="92" spans="1:7" ht="102" x14ac:dyDescent="0.2">
      <c r="A92" s="79" t="s">
        <v>341</v>
      </c>
      <c r="B92" s="138">
        <v>90</v>
      </c>
      <c r="C92" s="138">
        <v>72</v>
      </c>
      <c r="D92" s="94">
        <v>0.7</v>
      </c>
      <c r="E92" s="88" t="s">
        <v>240</v>
      </c>
      <c r="G92" s="146" t="str">
        <f t="shared" si="0"/>
        <v>RR-17_Endurance_Zone_2</v>
      </c>
    </row>
    <row r="93" spans="1:7" x14ac:dyDescent="0.2">
      <c r="A93" s="79" t="s">
        <v>267</v>
      </c>
      <c r="B93" s="138">
        <v>60</v>
      </c>
      <c r="C93" s="138">
        <v>77</v>
      </c>
      <c r="D93" s="94">
        <v>0.88</v>
      </c>
      <c r="E93" s="90"/>
      <c r="G93" s="146" t="str">
        <f t="shared" si="0"/>
        <v>RR-18_Zone_5-VO2_Max_2_min</v>
      </c>
    </row>
    <row r="94" spans="1:7" ht="242.25" x14ac:dyDescent="0.2">
      <c r="A94" s="79" t="s">
        <v>268</v>
      </c>
      <c r="B94" s="138">
        <v>90</v>
      </c>
      <c r="C94" s="138">
        <v>98</v>
      </c>
      <c r="D94" s="94">
        <v>0.81</v>
      </c>
      <c r="E94" s="88" t="s">
        <v>169</v>
      </c>
      <c r="G94" s="146" t="str">
        <f t="shared" si="0"/>
        <v>RR-19_Criss_Cross_Tempo_&gt;_VO2_4_x_8_min</v>
      </c>
    </row>
    <row r="95" spans="1:7" ht="127.5" x14ac:dyDescent="0.2">
      <c r="A95" s="79" t="s">
        <v>269</v>
      </c>
      <c r="B95" s="138">
        <v>90</v>
      </c>
      <c r="C95" s="138">
        <v>115</v>
      </c>
      <c r="D95" s="94">
        <v>0.88</v>
      </c>
      <c r="E95" s="88" t="s">
        <v>241</v>
      </c>
      <c r="G95" s="146" t="str">
        <f t="shared" si="0"/>
        <v>RR-20_Sweet_Spot_Bursts_3_x_15_min</v>
      </c>
    </row>
    <row r="96" spans="1:7" ht="89.25" x14ac:dyDescent="0.2">
      <c r="A96" s="79" t="s">
        <v>270</v>
      </c>
      <c r="B96" s="138">
        <v>120</v>
      </c>
      <c r="C96" s="138">
        <v>119</v>
      </c>
      <c r="D96" s="94">
        <v>0.77</v>
      </c>
      <c r="E96" s="88" t="s">
        <v>242</v>
      </c>
      <c r="G96" s="146" t="str">
        <f t="shared" si="0"/>
        <v>RR-21_Weekend_Group_Ride</v>
      </c>
    </row>
    <row r="97" spans="1:7" ht="76.5" x14ac:dyDescent="0.2">
      <c r="A97" s="79" t="s">
        <v>271</v>
      </c>
      <c r="B97" s="138">
        <v>150</v>
      </c>
      <c r="C97" s="138">
        <v>133</v>
      </c>
      <c r="D97" s="94">
        <v>0.73</v>
      </c>
      <c r="E97" s="88" t="s">
        <v>243</v>
      </c>
      <c r="G97" s="146" t="str">
        <f t="shared" si="0"/>
        <v>RR-22_Tempo_3_x_10_min</v>
      </c>
    </row>
    <row r="98" spans="1:7" ht="102" x14ac:dyDescent="0.2">
      <c r="A98" s="79" t="s">
        <v>272</v>
      </c>
      <c r="B98" s="138">
        <v>90</v>
      </c>
      <c r="C98" s="138">
        <v>94</v>
      </c>
      <c r="D98" s="94">
        <v>0.79</v>
      </c>
      <c r="E98" s="88" t="s">
        <v>170</v>
      </c>
      <c r="G98" s="146" t="str">
        <f t="shared" si="0"/>
        <v>RR-23_Over-Unders_4_x_5_minute_(15_sec)</v>
      </c>
    </row>
    <row r="99" spans="1:7" ht="25.5" x14ac:dyDescent="0.2">
      <c r="A99" s="79" t="s">
        <v>273</v>
      </c>
      <c r="B99" s="138">
        <v>60</v>
      </c>
      <c r="C99" s="138">
        <v>78</v>
      </c>
      <c r="D99" s="94">
        <v>0.89</v>
      </c>
      <c r="E99" s="88" t="s">
        <v>171</v>
      </c>
      <c r="G99" s="146" t="str">
        <f t="shared" si="0"/>
        <v>RR-24_Hill_Work_3_x_5_Full_Gas</v>
      </c>
    </row>
    <row r="100" spans="1:7" ht="76.5" x14ac:dyDescent="0.2">
      <c r="A100" s="79" t="s">
        <v>274</v>
      </c>
      <c r="B100" s="138">
        <v>105</v>
      </c>
      <c r="C100" s="138">
        <v>99</v>
      </c>
      <c r="D100" s="94">
        <v>0.76</v>
      </c>
      <c r="E100" s="88" t="s">
        <v>244</v>
      </c>
      <c r="G100" s="146" t="str">
        <f t="shared" si="0"/>
        <v>RR-25_Tempo_2_x_25_min</v>
      </c>
    </row>
    <row r="101" spans="1:7" ht="89.25" x14ac:dyDescent="0.2">
      <c r="A101" s="79" t="s">
        <v>275</v>
      </c>
      <c r="B101" s="138">
        <v>180</v>
      </c>
      <c r="C101" s="138">
        <v>178</v>
      </c>
      <c r="D101" s="94">
        <v>0.77</v>
      </c>
      <c r="E101" s="88" t="s">
        <v>245</v>
      </c>
      <c r="G101" s="146" t="str">
        <f t="shared" si="0"/>
        <v>RR-26_Weekend_Group_Ride</v>
      </c>
    </row>
    <row r="102" spans="1:7" ht="153" x14ac:dyDescent="0.2">
      <c r="A102" s="79" t="s">
        <v>276</v>
      </c>
      <c r="B102" s="138">
        <v>150</v>
      </c>
      <c r="C102" s="138">
        <v>172</v>
      </c>
      <c r="D102" s="94">
        <v>0.83</v>
      </c>
      <c r="E102" s="88" t="s">
        <v>246</v>
      </c>
      <c r="G102" s="146" t="str">
        <f t="shared" si="0"/>
        <v>RR-27_Tabatas_40-20s</v>
      </c>
    </row>
    <row r="103" spans="1:7" ht="114.75" x14ac:dyDescent="0.2">
      <c r="A103" s="79" t="s">
        <v>277</v>
      </c>
      <c r="B103" s="138">
        <v>60</v>
      </c>
      <c r="C103" s="138">
        <v>60</v>
      </c>
      <c r="D103" s="94">
        <v>0.78</v>
      </c>
      <c r="E103" s="88" t="s">
        <v>173</v>
      </c>
      <c r="G103" s="146" t="str">
        <f t="shared" si="0"/>
        <v>SS-01_Sweet_Spot_3_x_8_min</v>
      </c>
    </row>
    <row r="104" spans="1:7" ht="89.25" x14ac:dyDescent="0.2">
      <c r="A104" s="79" t="s">
        <v>342</v>
      </c>
      <c r="B104" s="138">
        <v>60</v>
      </c>
      <c r="C104" s="138">
        <v>47</v>
      </c>
      <c r="D104" s="94">
        <v>0.69</v>
      </c>
      <c r="E104" s="88" t="s">
        <v>168</v>
      </c>
      <c r="G104" s="146" t="str">
        <f t="shared" si="0"/>
        <v>SS-02_Endurance_Zone_2</v>
      </c>
    </row>
    <row r="105" spans="1:7" ht="344.25" x14ac:dyDescent="0.2">
      <c r="A105" s="79" t="s">
        <v>278</v>
      </c>
      <c r="B105" s="138">
        <v>120</v>
      </c>
      <c r="C105" s="138">
        <v>115</v>
      </c>
      <c r="E105" s="88" t="s">
        <v>174</v>
      </c>
      <c r="G105" s="146" t="str">
        <f t="shared" si="0"/>
        <v>SS-03_Sweet_Spot_Group_Ride</v>
      </c>
    </row>
    <row r="106" spans="1:7" ht="89.25" x14ac:dyDescent="0.2">
      <c r="A106" s="79" t="s">
        <v>348</v>
      </c>
      <c r="B106" s="138">
        <v>90</v>
      </c>
      <c r="C106" s="138">
        <v>74</v>
      </c>
      <c r="D106" s="94">
        <v>0.7</v>
      </c>
      <c r="E106" s="88" t="s">
        <v>168</v>
      </c>
      <c r="G106" s="146" t="str">
        <f t="shared" si="0"/>
        <v>SS-04_Endurance_Zone_2</v>
      </c>
    </row>
    <row r="107" spans="1:7" ht="89.25" x14ac:dyDescent="0.2">
      <c r="A107" s="79" t="s">
        <v>279</v>
      </c>
      <c r="B107" s="138">
        <v>60</v>
      </c>
      <c r="C107" s="138">
        <v>68</v>
      </c>
      <c r="D107" s="94">
        <v>0.83</v>
      </c>
      <c r="E107" s="88" t="s">
        <v>175</v>
      </c>
      <c r="G107" s="146" t="str">
        <f t="shared" si="0"/>
        <v>SS-05_Sweet_Spot_3_x_12_min</v>
      </c>
    </row>
    <row r="108" spans="1:7" ht="76.5" x14ac:dyDescent="0.2">
      <c r="A108" s="79" t="s">
        <v>280</v>
      </c>
      <c r="B108" s="138">
        <v>60</v>
      </c>
      <c r="C108" s="138">
        <v>67</v>
      </c>
      <c r="D108" s="94">
        <v>0.76</v>
      </c>
      <c r="E108" s="88" t="s">
        <v>176</v>
      </c>
      <c r="G108" s="146" t="str">
        <f t="shared" si="0"/>
        <v>SS-06_Tempo_3_x_10_min</v>
      </c>
    </row>
    <row r="109" spans="1:7" ht="89.25" x14ac:dyDescent="0.2">
      <c r="A109" s="79" t="s">
        <v>349</v>
      </c>
      <c r="B109" s="138">
        <v>60</v>
      </c>
      <c r="C109" s="138">
        <v>47</v>
      </c>
      <c r="D109" s="94">
        <v>0.69</v>
      </c>
      <c r="E109" s="88" t="s">
        <v>168</v>
      </c>
      <c r="G109" s="146" t="str">
        <f t="shared" si="0"/>
        <v>SS-07_Endurance_Zone_2</v>
      </c>
    </row>
    <row r="110" spans="1:7" ht="344.25" x14ac:dyDescent="0.2">
      <c r="A110" s="79" t="s">
        <v>281</v>
      </c>
      <c r="B110" s="138">
        <v>150</v>
      </c>
      <c r="C110" s="138">
        <v>140</v>
      </c>
      <c r="E110" s="88" t="s">
        <v>177</v>
      </c>
      <c r="G110" s="146" t="str">
        <f t="shared" si="0"/>
        <v>SS-08_Sweet_Spot_Group_Ride</v>
      </c>
    </row>
    <row r="111" spans="1:7" ht="89.25" x14ac:dyDescent="0.2">
      <c r="A111" s="79" t="s">
        <v>350</v>
      </c>
      <c r="B111" s="138">
        <v>120</v>
      </c>
      <c r="C111" s="138">
        <v>97</v>
      </c>
      <c r="D111" s="94">
        <v>0.7</v>
      </c>
      <c r="E111" s="88" t="s">
        <v>168</v>
      </c>
      <c r="G111" s="146" t="str">
        <f t="shared" si="0"/>
        <v>SS-09_Endurance_Zone_2</v>
      </c>
    </row>
    <row r="112" spans="1:7" ht="63.75" x14ac:dyDescent="0.2">
      <c r="A112" s="79" t="s">
        <v>282</v>
      </c>
      <c r="B112" s="138">
        <v>75</v>
      </c>
      <c r="C112" s="138">
        <v>82</v>
      </c>
      <c r="D112" s="94">
        <v>0.81</v>
      </c>
      <c r="E112" s="88" t="s">
        <v>178</v>
      </c>
      <c r="G112" s="146" t="str">
        <f t="shared" si="0"/>
        <v>SS-10_Sweet_Spot_4_x_10_min</v>
      </c>
    </row>
    <row r="113" spans="1:7" ht="76.5" x14ac:dyDescent="0.2">
      <c r="A113" s="79" t="s">
        <v>283</v>
      </c>
      <c r="B113" s="138">
        <v>60</v>
      </c>
      <c r="C113" s="138">
        <v>55</v>
      </c>
      <c r="D113" s="94">
        <v>0.75</v>
      </c>
      <c r="E113" s="88" t="s">
        <v>179</v>
      </c>
      <c r="G113" s="146" t="str">
        <f t="shared" si="0"/>
        <v>SS-11_Tempo_4_x_8_min</v>
      </c>
    </row>
    <row r="114" spans="1:7" ht="89.25" x14ac:dyDescent="0.2">
      <c r="A114" s="79" t="s">
        <v>351</v>
      </c>
      <c r="B114" s="138">
        <v>60</v>
      </c>
      <c r="C114" s="138">
        <v>47</v>
      </c>
      <c r="D114" s="94">
        <v>0.69</v>
      </c>
      <c r="E114" s="88" t="s">
        <v>168</v>
      </c>
      <c r="G114" s="146" t="str">
        <f t="shared" si="0"/>
        <v>SS-12_Endurance_Zone_2</v>
      </c>
    </row>
    <row r="115" spans="1:7" ht="344.25" x14ac:dyDescent="0.2">
      <c r="A115" s="79" t="s">
        <v>284</v>
      </c>
      <c r="B115" s="138">
        <v>180</v>
      </c>
      <c r="C115" s="138">
        <v>165</v>
      </c>
      <c r="E115" s="88" t="s">
        <v>180</v>
      </c>
      <c r="G115" s="146" t="str">
        <f t="shared" si="0"/>
        <v>SS-13_Sweet_Spot_Group_Ride</v>
      </c>
    </row>
    <row r="116" spans="1:7" ht="89.25" x14ac:dyDescent="0.2">
      <c r="A116" s="79" t="s">
        <v>352</v>
      </c>
      <c r="B116" s="138">
        <v>150</v>
      </c>
      <c r="C116" s="138">
        <v>119</v>
      </c>
      <c r="D116" s="94">
        <v>0.69</v>
      </c>
      <c r="E116" s="88" t="s">
        <v>168</v>
      </c>
      <c r="G116" s="146" t="str">
        <f t="shared" si="0"/>
        <v>SS-14_Endurance_Zone_2</v>
      </c>
    </row>
    <row r="117" spans="1:7" ht="102" x14ac:dyDescent="0.2">
      <c r="A117" s="79" t="s">
        <v>285</v>
      </c>
      <c r="B117" s="138">
        <v>60</v>
      </c>
      <c r="C117" s="138">
        <v>68</v>
      </c>
      <c r="D117" s="94">
        <v>0.83</v>
      </c>
      <c r="E117" s="88" t="s">
        <v>181</v>
      </c>
      <c r="G117" s="146" t="str">
        <f t="shared" si="0"/>
        <v>SS-15_Sweet_Spot_4_x_9_min</v>
      </c>
    </row>
    <row r="118" spans="1:7" ht="127.5" x14ac:dyDescent="0.2">
      <c r="A118" s="79" t="s">
        <v>286</v>
      </c>
      <c r="B118" s="138">
        <v>60</v>
      </c>
      <c r="C118" s="138">
        <v>60</v>
      </c>
      <c r="D118" s="94">
        <v>0.77</v>
      </c>
      <c r="E118" s="88" t="s">
        <v>182</v>
      </c>
      <c r="F118" s="86" t="s">
        <v>184</v>
      </c>
      <c r="G118" s="146" t="str">
        <f t="shared" si="0"/>
        <v>SS-16_Tempo_3_x_12_min</v>
      </c>
    </row>
    <row r="119" spans="1:7" ht="344.25" x14ac:dyDescent="0.2">
      <c r="A119" s="79" t="s">
        <v>287</v>
      </c>
      <c r="B119" s="138">
        <v>120</v>
      </c>
      <c r="C119" s="138">
        <v>115</v>
      </c>
      <c r="E119" s="88" t="s">
        <v>174</v>
      </c>
      <c r="F119" s="86" t="s">
        <v>183</v>
      </c>
      <c r="G119" s="146" t="str">
        <f t="shared" si="0"/>
        <v>SS-17_Sweet_Spot_Group_Ride</v>
      </c>
    </row>
    <row r="120" spans="1:7" ht="127.5" x14ac:dyDescent="0.2">
      <c r="A120" s="79" t="s">
        <v>288</v>
      </c>
      <c r="B120" s="138">
        <v>60</v>
      </c>
      <c r="C120" s="138">
        <v>73</v>
      </c>
      <c r="D120" s="94">
        <v>0.86</v>
      </c>
      <c r="E120" s="88" t="s">
        <v>186</v>
      </c>
      <c r="F120" s="86" t="s">
        <v>187</v>
      </c>
      <c r="G120" s="146" t="str">
        <f t="shared" si="0"/>
        <v>SS-18_Sweet_Spot_Burst_4_x_8_min</v>
      </c>
    </row>
    <row r="121" spans="1:7" ht="63.75" x14ac:dyDescent="0.2">
      <c r="A121" s="79" t="s">
        <v>289</v>
      </c>
      <c r="B121" s="138">
        <v>60</v>
      </c>
      <c r="C121" s="138">
        <v>65</v>
      </c>
      <c r="D121" s="94">
        <v>0.81</v>
      </c>
      <c r="E121" s="88" t="s">
        <v>188</v>
      </c>
      <c r="G121" s="146" t="str">
        <f t="shared" si="0"/>
        <v>SS-19_Sweet_Spot_3_x_10_min</v>
      </c>
    </row>
    <row r="122" spans="1:7" ht="89.25" x14ac:dyDescent="0.2">
      <c r="A122" s="79" t="s">
        <v>353</v>
      </c>
      <c r="B122" s="138">
        <v>90</v>
      </c>
      <c r="C122" s="138">
        <v>70</v>
      </c>
      <c r="D122" s="94">
        <v>0.68</v>
      </c>
      <c r="E122" s="88" t="s">
        <v>168</v>
      </c>
      <c r="G122" s="146" t="str">
        <f t="shared" si="0"/>
        <v>SS-20_Endurance_Zone_2</v>
      </c>
    </row>
    <row r="123" spans="1:7" ht="344.25" x14ac:dyDescent="0.2">
      <c r="A123" s="79" t="s">
        <v>290</v>
      </c>
      <c r="B123" s="138">
        <v>150</v>
      </c>
      <c r="C123" s="138">
        <v>152</v>
      </c>
      <c r="D123" s="94">
        <v>0.78</v>
      </c>
      <c r="E123" s="88" t="s">
        <v>189</v>
      </c>
      <c r="G123" s="146" t="str">
        <f t="shared" si="0"/>
        <v>SS-21_Sweet_Spot_Group_Ride</v>
      </c>
    </row>
    <row r="124" spans="1:7" ht="178.5" x14ac:dyDescent="0.2">
      <c r="A124" s="79" t="s">
        <v>354</v>
      </c>
      <c r="B124" s="138">
        <v>120</v>
      </c>
      <c r="C124" s="138">
        <v>100</v>
      </c>
      <c r="E124" s="88" t="s">
        <v>190</v>
      </c>
      <c r="F124" s="86" t="s">
        <v>191</v>
      </c>
      <c r="G124" s="146" t="str">
        <f t="shared" si="0"/>
        <v>SS-22_FreeStyle_Sweet_Spot_-_45_min_worth</v>
      </c>
    </row>
    <row r="125" spans="1:7" ht="127.5" x14ac:dyDescent="0.2">
      <c r="A125" s="79" t="s">
        <v>291</v>
      </c>
      <c r="B125" s="138">
        <v>60</v>
      </c>
      <c r="C125" s="138">
        <v>73</v>
      </c>
      <c r="D125" s="94">
        <v>0.86</v>
      </c>
      <c r="E125" s="88" t="s">
        <v>192</v>
      </c>
      <c r="G125" s="146" t="str">
        <f t="shared" si="0"/>
        <v>SS-23_Zone_2_Endurance_+_3_SPRINTS</v>
      </c>
    </row>
    <row r="126" spans="1:7" ht="204" x14ac:dyDescent="0.2">
      <c r="A126" s="79" t="s">
        <v>292</v>
      </c>
      <c r="B126" s="138">
        <v>60</v>
      </c>
      <c r="C126" s="138">
        <v>65</v>
      </c>
      <c r="D126" s="94">
        <v>0.81</v>
      </c>
      <c r="E126" s="88" t="s">
        <v>193</v>
      </c>
      <c r="G126" s="146" t="str">
        <f t="shared" si="0"/>
        <v>SS-24_Crisscross_Zone_3_Tempo_-_Sweet_Spot_3_x_10_min</v>
      </c>
    </row>
    <row r="127" spans="1:7" ht="89.25" x14ac:dyDescent="0.2">
      <c r="A127" s="79" t="s">
        <v>355</v>
      </c>
      <c r="B127" s="138">
        <v>90</v>
      </c>
      <c r="C127" s="138">
        <v>70</v>
      </c>
      <c r="D127" s="94">
        <v>0.68</v>
      </c>
      <c r="E127" s="88" t="s">
        <v>168</v>
      </c>
      <c r="G127" s="146" t="str">
        <f t="shared" si="0"/>
        <v>SS-25_Endurance_Zone_2</v>
      </c>
    </row>
    <row r="128" spans="1:7" ht="344.25" x14ac:dyDescent="0.2">
      <c r="A128" s="79" t="s">
        <v>293</v>
      </c>
      <c r="B128" s="138">
        <v>150</v>
      </c>
      <c r="C128" s="138">
        <v>152</v>
      </c>
      <c r="D128" s="94">
        <v>0.78</v>
      </c>
      <c r="E128" s="88" t="s">
        <v>194</v>
      </c>
      <c r="G128" s="146" t="str">
        <f t="shared" si="0"/>
        <v>SS-26_Sweet_Spot_Group_Ride</v>
      </c>
    </row>
    <row r="129" spans="1:7" ht="178.5" x14ac:dyDescent="0.2">
      <c r="A129" s="79" t="s">
        <v>360</v>
      </c>
      <c r="B129" s="138">
        <v>120</v>
      </c>
      <c r="C129" s="138">
        <v>125</v>
      </c>
      <c r="D129" s="94">
        <v>0.79</v>
      </c>
      <c r="E129" s="88" t="s">
        <v>195</v>
      </c>
      <c r="G129" s="146" t="str">
        <f t="shared" si="0"/>
        <v>SS-27_FreeStyle_Sweet_Spot_-_60_min_worth</v>
      </c>
    </row>
    <row r="130" spans="1:7" ht="127.5" x14ac:dyDescent="0.2">
      <c r="A130" s="79" t="s">
        <v>294</v>
      </c>
      <c r="B130" s="138">
        <v>90</v>
      </c>
      <c r="C130" s="138">
        <v>106</v>
      </c>
      <c r="D130" s="94">
        <v>0.84</v>
      </c>
      <c r="E130" s="88" t="s">
        <v>198</v>
      </c>
      <c r="G130" s="146" t="str">
        <f t="shared" si="0"/>
        <v>SS-28_Sweet_Spot_Bursts_3_x_15_min</v>
      </c>
    </row>
    <row r="131" spans="1:7" ht="140.25" x14ac:dyDescent="0.2">
      <c r="A131" s="79" t="s">
        <v>295</v>
      </c>
      <c r="B131" s="138">
        <v>90</v>
      </c>
      <c r="C131" s="138">
        <v>89</v>
      </c>
      <c r="D131" s="94">
        <v>0.77</v>
      </c>
      <c r="E131" s="88" t="s">
        <v>196</v>
      </c>
      <c r="G131" s="146" t="str">
        <f t="shared" si="0"/>
        <v>SS-29_Sweet_Spot_3_x_10_min</v>
      </c>
    </row>
    <row r="132" spans="1:7" ht="89.25" x14ac:dyDescent="0.2">
      <c r="A132" s="79" t="s">
        <v>356</v>
      </c>
      <c r="B132" s="138">
        <v>60</v>
      </c>
      <c r="C132" s="138">
        <v>48</v>
      </c>
      <c r="D132" s="94">
        <v>0.7</v>
      </c>
      <c r="E132" s="88" t="s">
        <v>168</v>
      </c>
      <c r="G132" s="146" t="str">
        <f t="shared" si="0"/>
        <v>SS-30_Endurance_Zone_2</v>
      </c>
    </row>
    <row r="133" spans="1:7" ht="344.25" x14ac:dyDescent="0.2">
      <c r="A133" s="79" t="s">
        <v>296</v>
      </c>
      <c r="B133" s="138">
        <v>270</v>
      </c>
      <c r="C133" s="138">
        <v>274</v>
      </c>
      <c r="D133" s="94">
        <v>0.78</v>
      </c>
      <c r="E133" s="88" t="s">
        <v>197</v>
      </c>
      <c r="G133" s="146" t="str">
        <f t="shared" si="0"/>
        <v>SS-31_Sweet_Spot_Group_Ride</v>
      </c>
    </row>
    <row r="134" spans="1:7" ht="89.25" x14ac:dyDescent="0.2">
      <c r="A134" s="79" t="s">
        <v>357</v>
      </c>
      <c r="B134" s="138">
        <v>120</v>
      </c>
      <c r="C134" s="138">
        <v>97</v>
      </c>
      <c r="D134" s="94">
        <v>0.7</v>
      </c>
      <c r="E134" s="88" t="s">
        <v>168</v>
      </c>
      <c r="G134" s="146" t="str">
        <f t="shared" si="0"/>
        <v>SS-32_Endurance_Zone_2</v>
      </c>
    </row>
    <row r="135" spans="1:7" ht="127.5" x14ac:dyDescent="0.2">
      <c r="A135" s="79" t="s">
        <v>297</v>
      </c>
      <c r="B135" s="138">
        <v>90</v>
      </c>
      <c r="C135" s="138">
        <v>90</v>
      </c>
      <c r="D135" s="94">
        <v>0.78</v>
      </c>
      <c r="E135" s="88" t="s">
        <v>198</v>
      </c>
      <c r="G135" s="146" t="str">
        <f t="shared" si="0"/>
        <v>SS-33_Sweet_Spot_2_x_15_min</v>
      </c>
    </row>
    <row r="136" spans="1:7" ht="76.5" x14ac:dyDescent="0.2">
      <c r="A136" s="79" t="s">
        <v>298</v>
      </c>
      <c r="B136" s="138">
        <v>90</v>
      </c>
      <c r="C136" s="138">
        <v>84</v>
      </c>
      <c r="D136" s="94">
        <v>0.75</v>
      </c>
      <c r="E136" s="88" t="s">
        <v>199</v>
      </c>
      <c r="G136" s="146" t="str">
        <f t="shared" si="0"/>
        <v>SS-34_Tempo_4_x_12_min</v>
      </c>
    </row>
    <row r="137" spans="1:7" ht="344.25" x14ac:dyDescent="0.2">
      <c r="A137" s="79" t="s">
        <v>299</v>
      </c>
      <c r="B137" s="138">
        <v>180</v>
      </c>
      <c r="C137" s="138">
        <v>183</v>
      </c>
      <c r="D137" s="94">
        <v>0.78</v>
      </c>
      <c r="E137" s="88" t="s">
        <v>200</v>
      </c>
      <c r="G137" s="146" t="str">
        <f t="shared" si="0"/>
        <v>SS-35_Sweet_Spot_Group_Ride</v>
      </c>
    </row>
    <row r="138" spans="1:7" ht="114.75" x14ac:dyDescent="0.2">
      <c r="A138" s="79" t="s">
        <v>300</v>
      </c>
      <c r="B138" s="138">
        <v>120</v>
      </c>
      <c r="C138" s="138">
        <v>125</v>
      </c>
      <c r="D138" s="94">
        <v>0.79</v>
      </c>
      <c r="E138" s="88" t="s">
        <v>201</v>
      </c>
      <c r="G138" s="146" t="str">
        <f t="shared" si="0"/>
        <v>SS-36_Sweet_Spot_4_x_12_min</v>
      </c>
    </row>
    <row r="139" spans="1:7" ht="102" x14ac:dyDescent="0.2">
      <c r="A139" s="79" t="s">
        <v>301</v>
      </c>
      <c r="B139" s="138">
        <v>120</v>
      </c>
      <c r="C139" s="138">
        <v>115</v>
      </c>
      <c r="D139" s="94">
        <v>0.76</v>
      </c>
      <c r="E139" s="88" t="s">
        <v>202</v>
      </c>
      <c r="G139" s="146" t="str">
        <f t="shared" si="0"/>
        <v>SS-37_Tempo_3_x_20_min</v>
      </c>
    </row>
    <row r="140" spans="1:7" ht="89.25" x14ac:dyDescent="0.2">
      <c r="A140" s="79" t="s">
        <v>358</v>
      </c>
      <c r="B140" s="138">
        <v>60</v>
      </c>
      <c r="C140" s="138">
        <v>47</v>
      </c>
      <c r="D140" s="94">
        <v>0.69</v>
      </c>
      <c r="E140" s="88" t="s">
        <v>168</v>
      </c>
      <c r="G140" s="146" t="str">
        <f t="shared" si="0"/>
        <v>SS-38_Endurance_Zone_2</v>
      </c>
    </row>
    <row r="141" spans="1:7" ht="344.25" x14ac:dyDescent="0.2">
      <c r="A141" s="79" t="s">
        <v>302</v>
      </c>
      <c r="B141" s="138">
        <v>180</v>
      </c>
      <c r="C141" s="138">
        <v>169</v>
      </c>
      <c r="D141" s="94">
        <v>0.75</v>
      </c>
      <c r="E141" s="88" t="s">
        <v>203</v>
      </c>
      <c r="G141" s="146" t="str">
        <f t="shared" ref="G141:G183" si="1">IF(A141&lt;&gt;"",SUBSTITUTE(SUBSTITUTE(SUBSTITUTE(SUBSTITUTE(SUBSTITUTE(SUBSTITUTE(SUBSTITUTE(SUBSTITUTE(SUBSTITUTE(A141," ","_"),"/","-"),"!",""), "'",""),",",""),":",""),"minutes","min"),"minuters","min"),"seconds","sec"),"")</f>
        <v>SS-39_Sweet_Spot_Group_Ride</v>
      </c>
    </row>
    <row r="142" spans="1:7" ht="89.25" x14ac:dyDescent="0.2">
      <c r="A142" s="79" t="s">
        <v>359</v>
      </c>
      <c r="B142" s="138">
        <v>150</v>
      </c>
      <c r="C142" s="138">
        <v>126</v>
      </c>
      <c r="D142" s="94">
        <v>0.71</v>
      </c>
      <c r="E142" s="88" t="s">
        <v>168</v>
      </c>
      <c r="G142" s="146" t="str">
        <f t="shared" si="1"/>
        <v>SS-40_Endurance_Zone_2</v>
      </c>
    </row>
    <row r="143" spans="1:7" ht="127.5" x14ac:dyDescent="0.2">
      <c r="A143" s="79" t="s">
        <v>303</v>
      </c>
      <c r="B143" s="138">
        <v>120</v>
      </c>
      <c r="C143" s="138">
        <v>124</v>
      </c>
      <c r="D143" s="94">
        <v>0.79</v>
      </c>
      <c r="E143" s="88" t="s">
        <v>204</v>
      </c>
      <c r="G143" s="146" t="str">
        <f t="shared" si="1"/>
        <v>SS-41_Sweet_Spot_3_x_15_min</v>
      </c>
    </row>
    <row r="144" spans="1:7" ht="102" x14ac:dyDescent="0.2">
      <c r="A144" s="79" t="s">
        <v>304</v>
      </c>
      <c r="B144" s="138">
        <v>90</v>
      </c>
      <c r="C144" s="138">
        <v>83</v>
      </c>
      <c r="D144" s="94">
        <v>0.75</v>
      </c>
      <c r="E144" s="88" t="s">
        <v>205</v>
      </c>
      <c r="G144" s="146" t="str">
        <f t="shared" si="1"/>
        <v>SS-42_Tempo_3_x_12_min</v>
      </c>
    </row>
    <row r="145" spans="1:7" ht="89.25" x14ac:dyDescent="0.2">
      <c r="A145" s="79" t="s">
        <v>343</v>
      </c>
      <c r="B145" s="138">
        <v>90</v>
      </c>
      <c r="C145" s="138">
        <v>74</v>
      </c>
      <c r="D145" s="94">
        <v>0.7</v>
      </c>
      <c r="E145" s="88" t="s">
        <v>168</v>
      </c>
      <c r="G145" s="146" t="str">
        <f t="shared" si="1"/>
        <v>SS-43_Endurance_Zone_2</v>
      </c>
    </row>
    <row r="146" spans="1:7" ht="344.25" x14ac:dyDescent="0.2">
      <c r="A146" s="79" t="s">
        <v>305</v>
      </c>
      <c r="B146" s="138">
        <v>180</v>
      </c>
      <c r="C146" s="138">
        <v>183</v>
      </c>
      <c r="D146" s="94">
        <v>0.78</v>
      </c>
      <c r="E146" s="88" t="s">
        <v>203</v>
      </c>
      <c r="G146" s="146" t="str">
        <f t="shared" si="1"/>
        <v>SS-44_Sweet_Spot_Group_Ride</v>
      </c>
    </row>
    <row r="147" spans="1:7" ht="89.25" x14ac:dyDescent="0.2">
      <c r="A147" s="79" t="s">
        <v>344</v>
      </c>
      <c r="B147" s="138">
        <v>180</v>
      </c>
      <c r="C147" s="138">
        <v>151</v>
      </c>
      <c r="D147" s="94">
        <v>0.71</v>
      </c>
      <c r="E147" s="88" t="s">
        <v>168</v>
      </c>
      <c r="G147" s="146" t="str">
        <f t="shared" si="1"/>
        <v>SS-45_Endurance_Zone_2</v>
      </c>
    </row>
    <row r="148" spans="1:7" ht="51" x14ac:dyDescent="0.2">
      <c r="A148" s="79" t="s">
        <v>306</v>
      </c>
      <c r="B148" s="138">
        <v>90</v>
      </c>
      <c r="C148" s="138">
        <v>98</v>
      </c>
      <c r="D148" s="94">
        <v>0.81</v>
      </c>
      <c r="E148" s="88" t="s">
        <v>206</v>
      </c>
      <c r="G148" s="146" t="str">
        <f t="shared" si="1"/>
        <v>SS-46_Threshold_Intervals_2_x_15_min</v>
      </c>
    </row>
    <row r="149" spans="1:7" ht="140.25" x14ac:dyDescent="0.2">
      <c r="A149" s="79" t="s">
        <v>307</v>
      </c>
      <c r="B149" s="138">
        <v>120</v>
      </c>
      <c r="C149" s="138">
        <v>131</v>
      </c>
      <c r="D149" s="94">
        <v>0.81</v>
      </c>
      <c r="E149" s="88" t="s">
        <v>207</v>
      </c>
      <c r="G149" s="146" t="str">
        <f t="shared" si="1"/>
        <v>SS-47_Sweet_Spot_Bursts_4_x_10_min</v>
      </c>
    </row>
    <row r="150" spans="1:7" ht="140.25" x14ac:dyDescent="0.2">
      <c r="A150" s="79" t="s">
        <v>308</v>
      </c>
      <c r="B150" s="138">
        <v>120</v>
      </c>
      <c r="C150" s="138">
        <v>112</v>
      </c>
      <c r="D150" s="94">
        <v>0.75</v>
      </c>
      <c r="E150" s="88" t="s">
        <v>208</v>
      </c>
      <c r="G150" s="146" t="str">
        <f t="shared" si="1"/>
        <v>SS-48_Sweet_Spot_3_x_8_min</v>
      </c>
    </row>
    <row r="151" spans="1:7" ht="344.25" x14ac:dyDescent="0.2">
      <c r="A151" s="79" t="s">
        <v>309</v>
      </c>
      <c r="B151" s="138">
        <v>240</v>
      </c>
      <c r="C151" s="138">
        <v>243</v>
      </c>
      <c r="D151" s="94">
        <v>0.78</v>
      </c>
      <c r="E151" s="88" t="s">
        <v>200</v>
      </c>
      <c r="G151" s="146" t="str">
        <f t="shared" si="1"/>
        <v>SS-49_Sweet_Spot_Group_Ride</v>
      </c>
    </row>
    <row r="152" spans="1:7" ht="178.5" x14ac:dyDescent="0.2">
      <c r="A152" s="79" t="s">
        <v>345</v>
      </c>
      <c r="B152" s="138">
        <v>180</v>
      </c>
      <c r="C152" s="138">
        <v>192</v>
      </c>
      <c r="D152" s="94">
        <v>0.8</v>
      </c>
      <c r="E152" s="88" t="s">
        <v>209</v>
      </c>
      <c r="G152" s="146" t="str">
        <f t="shared" si="1"/>
        <v>SS-50_FreeStyle_Sweet_Spot_-_45_min_worth</v>
      </c>
    </row>
    <row r="153" spans="1:7" ht="114.75" x14ac:dyDescent="0.2">
      <c r="A153" s="79" t="s">
        <v>310</v>
      </c>
      <c r="B153" s="138">
        <v>60</v>
      </c>
      <c r="C153" s="138">
        <v>73</v>
      </c>
      <c r="D153" s="94">
        <v>0.86</v>
      </c>
      <c r="E153" s="88" t="s">
        <v>210</v>
      </c>
      <c r="G153" s="146" t="str">
        <f t="shared" si="1"/>
        <v>SS-51_Sweet_Spot_Bursts_4_x_8_min</v>
      </c>
    </row>
    <row r="154" spans="1:7" ht="89.25" x14ac:dyDescent="0.2">
      <c r="A154" s="79" t="s">
        <v>346</v>
      </c>
      <c r="B154" s="138">
        <v>60</v>
      </c>
      <c r="C154" s="138">
        <v>47</v>
      </c>
      <c r="D154" s="94">
        <v>0.69</v>
      </c>
      <c r="E154" s="88" t="s">
        <v>168</v>
      </c>
      <c r="G154" s="146" t="str">
        <f t="shared" si="1"/>
        <v>SS-52_Endurance_Zone_2</v>
      </c>
    </row>
    <row r="155" spans="1:7" ht="344.25" x14ac:dyDescent="0.2">
      <c r="A155" s="79" t="s">
        <v>311</v>
      </c>
      <c r="B155" s="138">
        <v>240</v>
      </c>
      <c r="C155" s="138">
        <v>200</v>
      </c>
      <c r="E155" s="88" t="s">
        <v>203</v>
      </c>
      <c r="G155" s="146" t="str">
        <f t="shared" si="1"/>
        <v>SS-53_Sweet_Spot_Group_Ride</v>
      </c>
    </row>
    <row r="156" spans="1:7" ht="114.75" x14ac:dyDescent="0.2">
      <c r="A156" s="79" t="s">
        <v>312</v>
      </c>
      <c r="B156" s="138">
        <v>105</v>
      </c>
      <c r="C156" s="138">
        <v>113</v>
      </c>
      <c r="D156" s="94">
        <v>0.8</v>
      </c>
      <c r="E156" s="88" t="s">
        <v>211</v>
      </c>
      <c r="G156" s="146" t="str">
        <f t="shared" si="1"/>
        <v>SS-54_Sweet_Spot_2_x_20_min_and_Tempo</v>
      </c>
    </row>
    <row r="157" spans="1:7" ht="89.25" x14ac:dyDescent="0.2">
      <c r="A157" s="79" t="s">
        <v>347</v>
      </c>
      <c r="B157" s="138">
        <v>120</v>
      </c>
      <c r="C157" s="138">
        <v>97</v>
      </c>
      <c r="D157" s="94">
        <v>0.7</v>
      </c>
      <c r="E157" s="88" t="s">
        <v>168</v>
      </c>
      <c r="G157" s="146" t="str">
        <f t="shared" si="1"/>
        <v>SS-55_Endurance_Zone_2</v>
      </c>
    </row>
    <row r="158" spans="1:7" ht="204" x14ac:dyDescent="0.2">
      <c r="A158" s="79" t="s">
        <v>313</v>
      </c>
      <c r="B158" s="138">
        <v>90</v>
      </c>
      <c r="C158" s="138">
        <v>85</v>
      </c>
      <c r="D158" s="94">
        <v>0.75</v>
      </c>
      <c r="E158" s="88" t="s">
        <v>212</v>
      </c>
      <c r="G158" s="146" t="str">
        <f t="shared" si="1"/>
        <v>SS-56_Crisscross_Tempo_-_Sweet_Spot_3_x_10_min</v>
      </c>
    </row>
    <row r="159" spans="1:7" ht="344.25" x14ac:dyDescent="0.2">
      <c r="A159" s="79" t="s">
        <v>314</v>
      </c>
      <c r="B159" s="138">
        <v>180</v>
      </c>
      <c r="C159" s="138">
        <v>178</v>
      </c>
      <c r="D159" s="94">
        <v>0.77</v>
      </c>
      <c r="E159" s="88" t="s">
        <v>213</v>
      </c>
      <c r="G159" s="146" t="str">
        <f t="shared" si="1"/>
        <v>SS-57_Sweet_Spot_Group_Ride</v>
      </c>
    </row>
    <row r="160" spans="1:7" ht="153" x14ac:dyDescent="0.2">
      <c r="A160" s="79" t="s">
        <v>315</v>
      </c>
      <c r="B160" s="138">
        <v>180</v>
      </c>
      <c r="C160" s="138">
        <v>192</v>
      </c>
      <c r="D160" s="94">
        <v>0.8</v>
      </c>
      <c r="E160" s="88" t="s">
        <v>214</v>
      </c>
      <c r="G160" s="146" t="str">
        <f t="shared" si="1"/>
        <v>SS-58_FreeStyle_Sweet_Spot_-_45_min_worth</v>
      </c>
    </row>
    <row r="161" spans="1:7" ht="204" x14ac:dyDescent="0.2">
      <c r="A161" s="79" t="s">
        <v>316</v>
      </c>
      <c r="B161" s="138">
        <v>90</v>
      </c>
      <c r="C161" s="138">
        <v>87</v>
      </c>
      <c r="D161" s="94">
        <v>0.76</v>
      </c>
      <c r="E161" s="88" t="s">
        <v>215</v>
      </c>
      <c r="G161" s="146" t="str">
        <f t="shared" si="1"/>
        <v>SS-59_Crisscross_Tempo_-_Sweet_Spot_4_x_10_min</v>
      </c>
    </row>
    <row r="162" spans="1:7" ht="76.5" x14ac:dyDescent="0.2">
      <c r="A162" s="79" t="s">
        <v>317</v>
      </c>
      <c r="B162" s="138">
        <v>120</v>
      </c>
      <c r="C162" s="138">
        <v>110</v>
      </c>
      <c r="D162" s="94">
        <v>0.74</v>
      </c>
      <c r="E162" s="88" t="s">
        <v>216</v>
      </c>
      <c r="G162" s="146" t="str">
        <f t="shared" si="1"/>
        <v>SS-60_Tempo_2_x_20_min</v>
      </c>
    </row>
    <row r="163" spans="1:7" ht="102" x14ac:dyDescent="0.2">
      <c r="A163" s="79" t="s">
        <v>318</v>
      </c>
      <c r="B163" s="138">
        <v>90</v>
      </c>
      <c r="C163" s="138">
        <v>100</v>
      </c>
      <c r="D163" s="94">
        <v>0.82</v>
      </c>
      <c r="E163" s="88" t="s">
        <v>217</v>
      </c>
      <c r="G163" s="146" t="str">
        <f t="shared" si="1"/>
        <v>SS-61_Sweet_Spot_Over-Unders_4_x_5_min</v>
      </c>
    </row>
    <row r="164" spans="1:7" ht="344.25" x14ac:dyDescent="0.2">
      <c r="A164" s="79" t="s">
        <v>319</v>
      </c>
      <c r="B164" s="138">
        <v>210</v>
      </c>
      <c r="C164" s="138">
        <v>202</v>
      </c>
      <c r="D164" s="94">
        <v>0.76</v>
      </c>
      <c r="E164" s="88" t="s">
        <v>203</v>
      </c>
      <c r="G164" s="146" t="str">
        <f t="shared" si="1"/>
        <v>SS-62_Sweet_Spot_Group_Ride</v>
      </c>
    </row>
    <row r="165" spans="1:7" ht="153" x14ac:dyDescent="0.2">
      <c r="A165" s="79" t="s">
        <v>320</v>
      </c>
      <c r="B165" s="138">
        <v>180</v>
      </c>
      <c r="C165" s="138">
        <v>210</v>
      </c>
      <c r="E165" s="88" t="s">
        <v>218</v>
      </c>
      <c r="G165" s="146" t="str">
        <f t="shared" si="1"/>
        <v>SS-63_FreeStyle_Sweet_Spot_Climbing_-_60_min_worth</v>
      </c>
    </row>
    <row r="166" spans="1:7" ht="204" x14ac:dyDescent="0.2">
      <c r="A166" s="79" t="s">
        <v>321</v>
      </c>
      <c r="B166" s="138">
        <v>90</v>
      </c>
      <c r="C166" s="138">
        <v>87</v>
      </c>
      <c r="D166" s="94">
        <v>0.76</v>
      </c>
      <c r="E166" s="88" t="s">
        <v>219</v>
      </c>
      <c r="G166" s="146" t="str">
        <f t="shared" si="1"/>
        <v>SS-64_Crisscross_Tempo_-_Zone_4_Threshold_4_x_8_min</v>
      </c>
    </row>
    <row r="167" spans="1:7" ht="127.5" x14ac:dyDescent="0.2">
      <c r="A167" s="79" t="s">
        <v>322</v>
      </c>
      <c r="B167" s="138">
        <v>120</v>
      </c>
      <c r="C167" s="138">
        <v>121</v>
      </c>
      <c r="D167" s="94">
        <v>0.78</v>
      </c>
      <c r="E167" s="88" t="s">
        <v>220</v>
      </c>
      <c r="G167" s="146" t="str">
        <f t="shared" si="1"/>
        <v>SS-65_Tempo_Bursts_3_x_15_min</v>
      </c>
    </row>
    <row r="168" spans="1:7" ht="102" x14ac:dyDescent="0.2">
      <c r="A168" s="79" t="s">
        <v>323</v>
      </c>
      <c r="B168" s="138">
        <v>90</v>
      </c>
      <c r="C168" s="138">
        <v>105</v>
      </c>
      <c r="D168" s="94">
        <v>0.84</v>
      </c>
      <c r="E168" s="88" t="s">
        <v>221</v>
      </c>
      <c r="G168" s="146" t="str">
        <f t="shared" si="1"/>
        <v>SS-66_Sweet_Spot_Over-Unders_5_x_4_min</v>
      </c>
    </row>
    <row r="169" spans="1:7" ht="344.25" x14ac:dyDescent="0.2">
      <c r="A169" s="79" t="s">
        <v>324</v>
      </c>
      <c r="B169" s="138">
        <v>240</v>
      </c>
      <c r="C169" s="138">
        <v>200</v>
      </c>
      <c r="E169" s="88" t="s">
        <v>174</v>
      </c>
      <c r="G169" s="146" t="str">
        <f t="shared" si="1"/>
        <v>SS-67_Sweet_Spot_Group_Ride</v>
      </c>
    </row>
    <row r="170" spans="1:7" ht="38.25" x14ac:dyDescent="0.2">
      <c r="A170" s="79" t="s">
        <v>325</v>
      </c>
      <c r="B170" s="138">
        <v>210</v>
      </c>
      <c r="C170" s="138">
        <v>185</v>
      </c>
      <c r="D170" s="94">
        <v>0.73</v>
      </c>
      <c r="E170" s="88" t="s">
        <v>222</v>
      </c>
      <c r="G170" s="146" t="str">
        <f t="shared" si="1"/>
        <v>SS-68_Zone_6_FOUR_1_min</v>
      </c>
    </row>
    <row r="171" spans="1:7" ht="204" x14ac:dyDescent="0.2">
      <c r="A171" s="79" t="s">
        <v>326</v>
      </c>
      <c r="B171" s="138">
        <v>90</v>
      </c>
      <c r="C171" s="138">
        <v>91</v>
      </c>
      <c r="D171" s="94">
        <v>0.78</v>
      </c>
      <c r="E171" s="88" t="s">
        <v>223</v>
      </c>
      <c r="G171" s="146" t="str">
        <f t="shared" si="1"/>
        <v>SS-69_Criss_Cross_Tempo_&gt;_VO2_3_x_10_min</v>
      </c>
    </row>
    <row r="172" spans="1:7" ht="102" x14ac:dyDescent="0.2">
      <c r="A172" s="79" t="s">
        <v>327</v>
      </c>
      <c r="B172" s="138">
        <v>90</v>
      </c>
      <c r="C172" s="138">
        <v>105</v>
      </c>
      <c r="D172" s="94">
        <v>0.84</v>
      </c>
      <c r="E172" s="88" t="s">
        <v>224</v>
      </c>
      <c r="G172" s="146" t="str">
        <f t="shared" si="1"/>
        <v>SS-70_Sweet_Spot_Over-Unders_4_x_8_min</v>
      </c>
    </row>
    <row r="173" spans="1:7" ht="344.25" x14ac:dyDescent="0.2">
      <c r="A173" s="79" t="s">
        <v>328</v>
      </c>
      <c r="B173" s="138">
        <v>180</v>
      </c>
      <c r="C173" s="138">
        <v>178</v>
      </c>
      <c r="D173" s="94">
        <v>0.77</v>
      </c>
      <c r="E173" s="88" t="s">
        <v>213</v>
      </c>
      <c r="G173" s="146" t="str">
        <f t="shared" si="1"/>
        <v>SS-71_Sweet_Spot_Group_Ride</v>
      </c>
    </row>
    <row r="174" spans="1:7" ht="216.75" x14ac:dyDescent="0.2">
      <c r="A174" s="79" t="s">
        <v>329</v>
      </c>
      <c r="B174" s="138">
        <v>90</v>
      </c>
      <c r="C174" s="138">
        <v>106</v>
      </c>
      <c r="D174" s="94">
        <v>0.84</v>
      </c>
      <c r="E174" s="88" t="s">
        <v>225</v>
      </c>
      <c r="G174" s="146" t="str">
        <f t="shared" si="1"/>
        <v>SS-72_Criss_Cross_Threshold_&gt;_Zone_6_2_x_10_min_(Diabolical)</v>
      </c>
    </row>
    <row r="175" spans="1:7" ht="114.75" x14ac:dyDescent="0.2">
      <c r="A175" s="79" t="s">
        <v>330</v>
      </c>
      <c r="B175" s="138">
        <v>120</v>
      </c>
      <c r="C175" s="138">
        <v>125</v>
      </c>
      <c r="D175" s="94">
        <v>0.79</v>
      </c>
      <c r="E175" s="88" t="s">
        <v>226</v>
      </c>
      <c r="G175" s="146" t="str">
        <f t="shared" si="1"/>
        <v>SS-73_Sweet_Spot_Bursts_3_x_10_min</v>
      </c>
    </row>
    <row r="176" spans="1:7" ht="102" x14ac:dyDescent="0.2">
      <c r="A176" s="79" t="s">
        <v>331</v>
      </c>
      <c r="B176" s="138">
        <v>90</v>
      </c>
      <c r="C176" s="138">
        <v>94</v>
      </c>
      <c r="D176" s="94">
        <v>0.79</v>
      </c>
      <c r="E176" s="88" t="s">
        <v>170</v>
      </c>
      <c r="G176" s="146" t="str">
        <f t="shared" si="1"/>
        <v>SS-74_Over-Unders_4_x_5_minute_(15_sec)</v>
      </c>
    </row>
    <row r="177" spans="1:7" ht="89.25" x14ac:dyDescent="0.2">
      <c r="A177" s="79" t="s">
        <v>332</v>
      </c>
      <c r="B177" s="138">
        <v>180</v>
      </c>
      <c r="C177" s="138">
        <v>200</v>
      </c>
      <c r="E177" s="88" t="s">
        <v>227</v>
      </c>
      <c r="G177" s="146" t="str">
        <f t="shared" si="1"/>
        <v>SS-75_Attack_Interval-Esque_Group_Ride</v>
      </c>
    </row>
    <row r="178" spans="1:7" ht="127.5" x14ac:dyDescent="0.2">
      <c r="A178" s="79" t="s">
        <v>333</v>
      </c>
      <c r="B178" s="138">
        <v>180</v>
      </c>
      <c r="C178" s="138">
        <v>149</v>
      </c>
      <c r="D178" s="94">
        <v>0.71</v>
      </c>
      <c r="E178" s="88" t="s">
        <v>166</v>
      </c>
      <c r="G178" s="146" t="str">
        <f t="shared" si="1"/>
        <v>SS-76_Zone_2_Endurance_+_SPRINTS</v>
      </c>
    </row>
    <row r="179" spans="1:7" ht="216.75" x14ac:dyDescent="0.2">
      <c r="A179" s="79" t="s">
        <v>334</v>
      </c>
      <c r="B179" s="138">
        <v>60</v>
      </c>
      <c r="C179" s="138">
        <v>87</v>
      </c>
      <c r="D179" s="94">
        <v>0.94</v>
      </c>
      <c r="E179" s="88" t="s">
        <v>228</v>
      </c>
      <c r="G179" s="146" t="str">
        <f t="shared" si="1"/>
        <v>SS-77_Criss_Cross_Threshold_&gt;_Zone_6_3_x_8_min_(Diabolical)</v>
      </c>
    </row>
    <row r="180" spans="1:7" ht="114.75" x14ac:dyDescent="0.2">
      <c r="A180" s="79" t="s">
        <v>335</v>
      </c>
      <c r="B180" s="138">
        <v>120</v>
      </c>
      <c r="C180" s="138">
        <v>125</v>
      </c>
      <c r="D180" s="94">
        <v>0.79</v>
      </c>
      <c r="E180" s="88" t="s">
        <v>210</v>
      </c>
      <c r="G180" s="146" t="str">
        <f t="shared" si="1"/>
        <v>SS-78_Sweet_Spot_Bursts_4_x_8_min</v>
      </c>
    </row>
    <row r="181" spans="1:7" ht="102" x14ac:dyDescent="0.2">
      <c r="A181" s="79" t="s">
        <v>336</v>
      </c>
      <c r="B181" s="138">
        <v>120</v>
      </c>
      <c r="C181" s="138">
        <v>135</v>
      </c>
      <c r="D181" s="94">
        <v>0.82</v>
      </c>
      <c r="E181" s="88" t="s">
        <v>229</v>
      </c>
      <c r="G181" s="146" t="str">
        <f t="shared" si="1"/>
        <v>SS-79_Over-Unders_4_x_5_minute_(30_sec)</v>
      </c>
    </row>
    <row r="182" spans="1:7" ht="89.25" x14ac:dyDescent="0.2">
      <c r="A182" s="79" t="s">
        <v>337</v>
      </c>
      <c r="B182" s="138">
        <v>240</v>
      </c>
      <c r="C182" s="138">
        <v>256</v>
      </c>
      <c r="D182" s="94">
        <v>0.8</v>
      </c>
      <c r="E182" s="88" t="s">
        <v>227</v>
      </c>
      <c r="G182" s="146" t="str">
        <f t="shared" si="1"/>
        <v>SS-80_Attack_Interval-Esque_Group_Ride</v>
      </c>
    </row>
    <row r="183" spans="1:7" ht="178.5" x14ac:dyDescent="0.2">
      <c r="A183" s="79" t="s">
        <v>361</v>
      </c>
      <c r="B183" s="138">
        <v>150</v>
      </c>
      <c r="C183" s="138">
        <v>185</v>
      </c>
      <c r="E183" s="88" t="s">
        <v>230</v>
      </c>
      <c r="G183" s="146" t="str">
        <f t="shared" si="1"/>
        <v>SS-81_FreeStyle_Sweet_Spot_-_90_min_worth</v>
      </c>
    </row>
    <row r="184" spans="1:7" x14ac:dyDescent="0.2">
      <c r="E184" s="88"/>
    </row>
    <row r="185" spans="1:7" x14ac:dyDescent="0.2">
      <c r="E185" s="88"/>
    </row>
    <row r="186" spans="1:7" x14ac:dyDescent="0.2">
      <c r="E186" s="88"/>
    </row>
    <row r="187" spans="1:7" x14ac:dyDescent="0.2">
      <c r="E187" s="88"/>
    </row>
    <row r="188" spans="1:7" x14ac:dyDescent="0.2">
      <c r="E188" s="8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74D7-3AF9-4FA0-A0E9-EF3BB09C9173}">
  <dimension ref="A1:E367"/>
  <sheetViews>
    <sheetView topLeftCell="A360" workbookViewId="0">
      <selection activeCell="A371" sqref="A371"/>
    </sheetView>
  </sheetViews>
  <sheetFormatPr defaultRowHeight="12.75" x14ac:dyDescent="0.2"/>
  <cols>
    <col min="1" max="1" width="29.28515625" bestFit="1" customWidth="1"/>
    <col min="2" max="2" width="58.28515625" style="98" customWidth="1"/>
    <col min="5" max="5" width="65" customWidth="1"/>
  </cols>
  <sheetData>
    <row r="1" spans="1:5" x14ac:dyDescent="0.2">
      <c r="A1" s="96" t="s">
        <v>5</v>
      </c>
      <c r="B1" s="108" t="s">
        <v>247</v>
      </c>
      <c r="C1" s="55" t="s">
        <v>6</v>
      </c>
      <c r="D1" s="55" t="s">
        <v>15</v>
      </c>
      <c r="E1" s="55" t="s">
        <v>13</v>
      </c>
    </row>
    <row r="2" spans="1:5" s="109" customFormat="1" ht="50.1" customHeight="1" x14ac:dyDescent="0.2">
      <c r="A2" s="110">
        <f>'Ride Log'!A2</f>
        <v>44197</v>
      </c>
      <c r="B2" s="109" t="str">
        <f>_xlfn.IFNA(INDEX('Ride Log'!$C:$C,MATCH(A2,'Ride Log'!$A:$A,0))
&amp;CHAR(10)&amp;INDEX(INT(Workouts!$B:$B/60)&amp;":"&amp;RIGHT("00"&amp;MOD(Workouts!$B:$B,60),2),MATCH(INDEX('Ride Log'!$C:$C,MATCH(A2,'Ride Log'!$A:$A,0)),Workouts!$A:$A,0))
&amp;CHAR(10)&amp;INDEX(Workouts!$C:$C,MATCH(INDEX('Ride Log'!$C:$C,MATCH(A2,'Ride Log'!$A:$A,0)),Workouts!$A:$A,0))&amp;" TSS","")</f>
        <v/>
      </c>
    </row>
    <row r="3" spans="1:5" s="109" customFormat="1" ht="50.1" customHeight="1" x14ac:dyDescent="0.2">
      <c r="A3" s="110">
        <f>A2+1</f>
        <v>44198</v>
      </c>
      <c r="B3" s="109" t="str">
        <f>_xlfn.IFNA(INDEX('Ride Log'!$C:$C,MATCH(A3,'Ride Log'!$A:$A,0))
&amp;CHAR(10)&amp;INDEX(INT(Workouts!$B:$B/60)&amp;":"&amp;RIGHT("00"&amp;MOD(Workouts!$B:$B,60),2),MATCH(INDEX('Ride Log'!$C:$C,MATCH(A3,'Ride Log'!$A:$A,0)),Workouts!$A:$A,0))
&amp;CHAR(10)&amp;INDEX(Workouts!$C:$C,MATCH(INDEX('Ride Log'!$C:$C,MATCH(A3,'Ride Log'!$A:$A,0)),Workouts!$A:$A,0))&amp;" TSS","")</f>
        <v/>
      </c>
    </row>
    <row r="4" spans="1:5" s="109" customFormat="1" ht="50.1" customHeight="1" x14ac:dyDescent="0.2">
      <c r="A4" s="110">
        <f t="shared" ref="A4:A67" si="0">A3+1</f>
        <v>44199</v>
      </c>
      <c r="B4" s="109" t="str">
        <f>_xlfn.IFNA(INDEX('Ride Log'!$C:$C,MATCH(A4,'Ride Log'!$A:$A,0))
&amp;CHAR(10)&amp;INDEX(INT(Workouts!$B:$B/60)&amp;":"&amp;RIGHT("00"&amp;MOD(Workouts!$B:$B,60),2),MATCH(INDEX('Ride Log'!$C:$C,MATCH(A4,'Ride Log'!$A:$A,0)),Workouts!$A:$A,0))
&amp;CHAR(10)&amp;INDEX(Workouts!$C:$C,MATCH(INDEX('Ride Log'!$C:$C,MATCH(A4,'Ride Log'!$A:$A,0)),Workouts!$A:$A,0))&amp;" TSS","")</f>
        <v/>
      </c>
    </row>
    <row r="5" spans="1:5" s="109" customFormat="1" ht="50.1" customHeight="1" x14ac:dyDescent="0.2">
      <c r="A5" s="110">
        <f t="shared" si="0"/>
        <v>44200</v>
      </c>
      <c r="B5" s="109" t="str">
        <f>_xlfn.IFNA(INDEX('Ride Log'!$C:$C,MATCH(A5,'Ride Log'!$A:$A,0))
&amp;CHAR(10)&amp;INDEX(INT(Workouts!$B:$B/60)&amp;":"&amp;RIGHT("00"&amp;MOD(Workouts!$B:$B,60),2),MATCH(INDEX('Ride Log'!$C:$C,MATCH(A5,'Ride Log'!$A:$A,0)),Workouts!$A:$A,0))
&amp;CHAR(10)&amp;INDEX(Workouts!$C:$C,MATCH(INDEX('Ride Log'!$C:$C,MATCH(A5,'Ride Log'!$A:$A,0)),Workouts!$A:$A,0))&amp;" TSS","")</f>
        <v/>
      </c>
    </row>
    <row r="6" spans="1:5" s="109" customFormat="1" ht="50.1" customHeight="1" x14ac:dyDescent="0.2">
      <c r="A6" s="110">
        <f t="shared" si="0"/>
        <v>44201</v>
      </c>
      <c r="B6" s="109" t="str">
        <f>_xlfn.IFNA(INDEX('Ride Log'!$C:$C,MATCH(A6,'Ride Log'!$A:$A,0))
&amp;CHAR(10)&amp;INDEX(INT(Workouts!$B:$B/60)&amp;":"&amp;RIGHT("00"&amp;MOD(Workouts!$B:$B,60),2),MATCH(INDEX('Ride Log'!$C:$C,MATCH(A6,'Ride Log'!$A:$A,0)),Workouts!$A:$A,0))
&amp;CHAR(10)&amp;INDEX(Workouts!$C:$C,MATCH(INDEX('Ride Log'!$C:$C,MATCH(A6,'Ride Log'!$A:$A,0)),Workouts!$A:$A,0))&amp;" TSS","")</f>
        <v/>
      </c>
    </row>
    <row r="7" spans="1:5" s="109" customFormat="1" ht="50.1" customHeight="1" x14ac:dyDescent="0.2">
      <c r="A7" s="110">
        <f t="shared" si="0"/>
        <v>44202</v>
      </c>
      <c r="B7" s="109" t="str">
        <f>_xlfn.IFNA(INDEX('Ride Log'!$C:$C,MATCH(A7,'Ride Log'!$A:$A,0))
&amp;CHAR(10)&amp;INDEX(INT(Workouts!$B:$B/60)&amp;":"&amp;RIGHT("00"&amp;MOD(Workouts!$B:$B,60),2),MATCH(INDEX('Ride Log'!$C:$C,MATCH(A7,'Ride Log'!$A:$A,0)),Workouts!$A:$A,0))
&amp;CHAR(10)&amp;INDEX(Workouts!$C:$C,MATCH(INDEX('Ride Log'!$C:$C,MATCH(A7,'Ride Log'!$A:$A,0)),Workouts!$A:$A,0))&amp;" TSS","")</f>
        <v/>
      </c>
    </row>
    <row r="8" spans="1:5" s="109" customFormat="1" ht="50.1" customHeight="1" x14ac:dyDescent="0.2">
      <c r="A8" s="110">
        <f t="shared" si="0"/>
        <v>44203</v>
      </c>
      <c r="B8" s="109" t="str">
        <f>_xlfn.IFNA(INDEX('Ride Log'!$C:$C,MATCH(A8,'Ride Log'!$A:$A,0))
&amp;CHAR(10)&amp;INDEX(INT(Workouts!$B:$B/60)&amp;":"&amp;RIGHT("00"&amp;MOD(Workouts!$B:$B,60),2),MATCH(INDEX('Ride Log'!$C:$C,MATCH(A8,'Ride Log'!$A:$A,0)),Workouts!$A:$A,0))
&amp;CHAR(10)&amp;INDEX(Workouts!$C:$C,MATCH(INDEX('Ride Log'!$C:$C,MATCH(A8,'Ride Log'!$A:$A,0)),Workouts!$A:$A,0))&amp;" TSS","")</f>
        <v/>
      </c>
    </row>
    <row r="9" spans="1:5" s="109" customFormat="1" ht="50.1" customHeight="1" x14ac:dyDescent="0.2">
      <c r="A9" s="110">
        <f t="shared" si="0"/>
        <v>44204</v>
      </c>
      <c r="B9" s="109" t="str">
        <f>_xlfn.IFNA(INDEX('Ride Log'!$C:$C,MATCH(A9,'Ride Log'!$A:$A,0))
&amp;CHAR(10)&amp;INDEX(INT(Workouts!$B:$B/60)&amp;":"&amp;RIGHT("00"&amp;MOD(Workouts!$B:$B,60),2),MATCH(INDEX('Ride Log'!$C:$C,MATCH(A9,'Ride Log'!$A:$A,0)),Workouts!$A:$A,0))
&amp;CHAR(10)&amp;INDEX(Workouts!$C:$C,MATCH(INDEX('Ride Log'!$C:$C,MATCH(A9,'Ride Log'!$A:$A,0)),Workouts!$A:$A,0))&amp;" TSS","")</f>
        <v/>
      </c>
    </row>
    <row r="10" spans="1:5" s="109" customFormat="1" ht="50.1" customHeight="1" x14ac:dyDescent="0.2">
      <c r="A10" s="110">
        <f t="shared" si="0"/>
        <v>44205</v>
      </c>
      <c r="B10" s="109" t="str">
        <f>_xlfn.IFNA(INDEX('Ride Log'!$C:$C,MATCH(A10,'Ride Log'!$A:$A,0))
&amp;CHAR(10)&amp;INDEX(INT(Workouts!$B:$B/60)&amp;":"&amp;RIGHT("00"&amp;MOD(Workouts!$B:$B,60),2),MATCH(INDEX('Ride Log'!$C:$C,MATCH(A10,'Ride Log'!$A:$A,0)),Workouts!$A:$A,0))
&amp;CHAR(10)&amp;INDEX(Workouts!$C:$C,MATCH(INDEX('Ride Log'!$C:$C,MATCH(A10,'Ride Log'!$A:$A,0)),Workouts!$A:$A,0))&amp;" TSS","")</f>
        <v/>
      </c>
    </row>
    <row r="11" spans="1:5" s="109" customFormat="1" ht="50.1" customHeight="1" x14ac:dyDescent="0.2">
      <c r="A11" s="110">
        <f t="shared" si="0"/>
        <v>44206</v>
      </c>
      <c r="B11" s="109" t="str">
        <f>_xlfn.IFNA(INDEX('Ride Log'!$C:$C,MATCH(A11,'Ride Log'!$A:$A,0))
&amp;CHAR(10)&amp;INDEX(INT(Workouts!$B:$B/60)&amp;":"&amp;RIGHT("00"&amp;MOD(Workouts!$B:$B,60),2),MATCH(INDEX('Ride Log'!$C:$C,MATCH(A11,'Ride Log'!$A:$A,0)),Workouts!$A:$A,0))
&amp;CHAR(10)&amp;INDEX(Workouts!$C:$C,MATCH(INDEX('Ride Log'!$C:$C,MATCH(A11,'Ride Log'!$A:$A,0)),Workouts!$A:$A,0))&amp;" TSS","")</f>
        <v/>
      </c>
    </row>
    <row r="12" spans="1:5" s="109" customFormat="1" ht="50.1" customHeight="1" x14ac:dyDescent="0.2">
      <c r="A12" s="110">
        <f t="shared" si="0"/>
        <v>44207</v>
      </c>
      <c r="B12" s="109" t="str">
        <f>_xlfn.IFNA(INDEX('Ride Log'!$C:$C,MATCH(A12,'Ride Log'!$A:$A,0))
&amp;CHAR(10)&amp;INDEX(INT(Workouts!$B:$B/60)&amp;":"&amp;RIGHT("00"&amp;MOD(Workouts!$B:$B,60),2),MATCH(INDEX('Ride Log'!$C:$C,MATCH(A12,'Ride Log'!$A:$A,0)),Workouts!$A:$A,0))
&amp;CHAR(10)&amp;INDEX(Workouts!$C:$C,MATCH(INDEX('Ride Log'!$C:$C,MATCH(A12,'Ride Log'!$A:$A,0)),Workouts!$A:$A,0))&amp;" TSS","")</f>
        <v/>
      </c>
    </row>
    <row r="13" spans="1:5" s="109" customFormat="1" ht="50.1" customHeight="1" x14ac:dyDescent="0.2">
      <c r="A13" s="110">
        <f t="shared" si="0"/>
        <v>44208</v>
      </c>
      <c r="B13" s="109" t="str">
        <f>_xlfn.IFNA(INDEX('Ride Log'!$C:$C,MATCH(A13,'Ride Log'!$A:$A,0))
&amp;CHAR(10)&amp;INDEX(INT(Workouts!$B:$B/60)&amp;":"&amp;RIGHT("00"&amp;MOD(Workouts!$B:$B,60),2),MATCH(INDEX('Ride Log'!$C:$C,MATCH(A13,'Ride Log'!$A:$A,0)),Workouts!$A:$A,0))
&amp;CHAR(10)&amp;INDEX(Workouts!$C:$C,MATCH(INDEX('Ride Log'!$C:$C,MATCH(A13,'Ride Log'!$A:$A,0)),Workouts!$A:$A,0))&amp;" TSS","")</f>
        <v/>
      </c>
    </row>
    <row r="14" spans="1:5" s="109" customFormat="1" ht="50.1" customHeight="1" x14ac:dyDescent="0.2">
      <c r="A14" s="110">
        <f t="shared" si="0"/>
        <v>44209</v>
      </c>
      <c r="B14" s="109" t="str">
        <f>_xlfn.IFNA(INDEX('Ride Log'!$C:$C,MATCH(A14,'Ride Log'!$A:$A,0))
&amp;CHAR(10)&amp;INDEX(INT(Workouts!$B:$B/60)&amp;":"&amp;RIGHT("00"&amp;MOD(Workouts!$B:$B,60),2),MATCH(INDEX('Ride Log'!$C:$C,MATCH(A14,'Ride Log'!$A:$A,0)),Workouts!$A:$A,0))
&amp;CHAR(10)&amp;INDEX(Workouts!$C:$C,MATCH(INDEX('Ride Log'!$C:$C,MATCH(A14,'Ride Log'!$A:$A,0)),Workouts!$A:$A,0))&amp;" TSS","")</f>
        <v/>
      </c>
    </row>
    <row r="15" spans="1:5" s="109" customFormat="1" ht="50.1" customHeight="1" x14ac:dyDescent="0.2">
      <c r="A15" s="110">
        <f t="shared" si="0"/>
        <v>44210</v>
      </c>
      <c r="B15" s="109" t="str">
        <f>_xlfn.IFNA(INDEX('Ride Log'!$C:$C,MATCH(A15,'Ride Log'!$A:$A,0))
&amp;CHAR(10)&amp;INDEX(INT(Workouts!$B:$B/60)&amp;":"&amp;RIGHT("00"&amp;MOD(Workouts!$B:$B,60),2),MATCH(INDEX('Ride Log'!$C:$C,MATCH(A15,'Ride Log'!$A:$A,0)),Workouts!$A:$A,0))
&amp;CHAR(10)&amp;INDEX(Workouts!$C:$C,MATCH(INDEX('Ride Log'!$C:$C,MATCH(A15,'Ride Log'!$A:$A,0)),Workouts!$A:$A,0))&amp;" TSS","")</f>
        <v/>
      </c>
    </row>
    <row r="16" spans="1:5" s="109" customFormat="1" ht="50.1" customHeight="1" x14ac:dyDescent="0.2">
      <c r="A16" s="110">
        <f t="shared" si="0"/>
        <v>44211</v>
      </c>
      <c r="B16" s="109" t="str">
        <f>_xlfn.IFNA(INDEX('Ride Log'!$C:$C,MATCH(A16,'Ride Log'!$A:$A,0))
&amp;CHAR(10)&amp;INDEX(INT(Workouts!$B:$B/60)&amp;":"&amp;RIGHT("00"&amp;MOD(Workouts!$B:$B,60),2),MATCH(INDEX('Ride Log'!$C:$C,MATCH(A16,'Ride Log'!$A:$A,0)),Workouts!$A:$A,0))
&amp;CHAR(10)&amp;INDEX(Workouts!$C:$C,MATCH(INDEX('Ride Log'!$C:$C,MATCH(A16,'Ride Log'!$A:$A,0)),Workouts!$A:$A,0))&amp;" TSS","")</f>
        <v/>
      </c>
    </row>
    <row r="17" spans="1:2" s="109" customFormat="1" ht="50.1" customHeight="1" x14ac:dyDescent="0.2">
      <c r="A17" s="110">
        <f t="shared" si="0"/>
        <v>44212</v>
      </c>
      <c r="B17" s="109" t="str">
        <f>_xlfn.IFNA(INDEX('Ride Log'!$C:$C,MATCH(A17,'Ride Log'!$A:$A,0))
&amp;CHAR(10)&amp;INDEX(INT(Workouts!$B:$B/60)&amp;":"&amp;RIGHT("00"&amp;MOD(Workouts!$B:$B,60),2),MATCH(INDEX('Ride Log'!$C:$C,MATCH(A17,'Ride Log'!$A:$A,0)),Workouts!$A:$A,0))
&amp;CHAR(10)&amp;INDEX(Workouts!$C:$C,MATCH(INDEX('Ride Log'!$C:$C,MATCH(A17,'Ride Log'!$A:$A,0)),Workouts!$A:$A,0))&amp;" TSS","")</f>
        <v/>
      </c>
    </row>
    <row r="18" spans="1:2" s="109" customFormat="1" ht="50.1" customHeight="1" x14ac:dyDescent="0.2">
      <c r="A18" s="110">
        <f t="shared" si="0"/>
        <v>44213</v>
      </c>
      <c r="B18" s="109" t="str">
        <f>_xlfn.IFNA(INDEX('Ride Log'!$C:$C,MATCH(A18,'Ride Log'!$A:$A,0))
&amp;CHAR(10)&amp;INDEX(INT(Workouts!$B:$B/60)&amp;":"&amp;RIGHT("00"&amp;MOD(Workouts!$B:$B,60),2),MATCH(INDEX('Ride Log'!$C:$C,MATCH(A18,'Ride Log'!$A:$A,0)),Workouts!$A:$A,0))
&amp;CHAR(10)&amp;INDEX(Workouts!$C:$C,MATCH(INDEX('Ride Log'!$C:$C,MATCH(A18,'Ride Log'!$A:$A,0)),Workouts!$A:$A,0))&amp;" TSS","")</f>
        <v/>
      </c>
    </row>
    <row r="19" spans="1:2" s="109" customFormat="1" ht="50.1" customHeight="1" x14ac:dyDescent="0.2">
      <c r="A19" s="110">
        <f t="shared" si="0"/>
        <v>44214</v>
      </c>
      <c r="B19" s="109" t="str">
        <f>_xlfn.IFNA(INDEX('Ride Log'!$C:$C,MATCH(A19,'Ride Log'!$A:$A,0))
&amp;CHAR(10)&amp;INDEX(INT(Workouts!$B:$B/60)&amp;":"&amp;RIGHT("00"&amp;MOD(Workouts!$B:$B,60),2),MATCH(INDEX('Ride Log'!$C:$C,MATCH(A19,'Ride Log'!$A:$A,0)),Workouts!$A:$A,0))
&amp;CHAR(10)&amp;INDEX(Workouts!$C:$C,MATCH(INDEX('Ride Log'!$C:$C,MATCH(A19,'Ride Log'!$A:$A,0)),Workouts!$A:$A,0))&amp;" TSS","")</f>
        <v/>
      </c>
    </row>
    <row r="20" spans="1:2" s="109" customFormat="1" ht="50.1" customHeight="1" x14ac:dyDescent="0.2">
      <c r="A20" s="110">
        <f t="shared" si="0"/>
        <v>44215</v>
      </c>
      <c r="B20" s="109" t="str">
        <f>_xlfn.IFNA(INDEX('Ride Log'!$C:$C,MATCH(A20,'Ride Log'!$A:$A,0))
&amp;CHAR(10)&amp;INDEX(INT(Workouts!$B:$B/60)&amp;":"&amp;RIGHT("00"&amp;MOD(Workouts!$B:$B,60),2),MATCH(INDEX('Ride Log'!$C:$C,MATCH(A20,'Ride Log'!$A:$A,0)),Workouts!$A:$A,0))
&amp;CHAR(10)&amp;INDEX(Workouts!$C:$C,MATCH(INDEX('Ride Log'!$C:$C,MATCH(A20,'Ride Log'!$A:$A,0)),Workouts!$A:$A,0))&amp;" TSS","")</f>
        <v/>
      </c>
    </row>
    <row r="21" spans="1:2" s="109" customFormat="1" ht="50.1" customHeight="1" x14ac:dyDescent="0.2">
      <c r="A21" s="110">
        <f t="shared" si="0"/>
        <v>44216</v>
      </c>
      <c r="B21" s="109" t="str">
        <f>_xlfn.IFNA(INDEX('Ride Log'!$C:$C,MATCH(A21,'Ride Log'!$A:$A,0))
&amp;CHAR(10)&amp;INDEX(INT(Workouts!$B:$B/60)&amp;":"&amp;RIGHT("00"&amp;MOD(Workouts!$B:$B,60),2),MATCH(INDEX('Ride Log'!$C:$C,MATCH(A21,'Ride Log'!$A:$A,0)),Workouts!$A:$A,0))
&amp;CHAR(10)&amp;INDEX(Workouts!$C:$C,MATCH(INDEX('Ride Log'!$C:$C,MATCH(A21,'Ride Log'!$A:$A,0)),Workouts!$A:$A,0))&amp;" TSS","")</f>
        <v/>
      </c>
    </row>
    <row r="22" spans="1:2" s="109" customFormat="1" ht="50.1" customHeight="1" x14ac:dyDescent="0.2">
      <c r="A22" s="110">
        <f t="shared" si="0"/>
        <v>44217</v>
      </c>
      <c r="B22" s="109" t="str">
        <f>_xlfn.IFNA(INDEX('Ride Log'!$C:$C,MATCH(A22,'Ride Log'!$A:$A,0))
&amp;CHAR(10)&amp;INDEX(INT(Workouts!$B:$B/60)&amp;":"&amp;RIGHT("00"&amp;MOD(Workouts!$B:$B,60),2),MATCH(INDEX('Ride Log'!$C:$C,MATCH(A22,'Ride Log'!$A:$A,0)),Workouts!$A:$A,0))
&amp;CHAR(10)&amp;INDEX(Workouts!$C:$C,MATCH(INDEX('Ride Log'!$C:$C,MATCH(A22,'Ride Log'!$A:$A,0)),Workouts!$A:$A,0))&amp;" TSS","")</f>
        <v/>
      </c>
    </row>
    <row r="23" spans="1:2" s="109" customFormat="1" ht="50.1" customHeight="1" x14ac:dyDescent="0.2">
      <c r="A23" s="110">
        <f t="shared" si="0"/>
        <v>44218</v>
      </c>
      <c r="B23" s="109" t="str">
        <f>_xlfn.IFNA(INDEX('Ride Log'!$C:$C,MATCH(A23,'Ride Log'!$A:$A,0))
&amp;CHAR(10)&amp;INDEX(INT(Workouts!$B:$B/60)&amp;":"&amp;RIGHT("00"&amp;MOD(Workouts!$B:$B,60),2),MATCH(INDEX('Ride Log'!$C:$C,MATCH(A23,'Ride Log'!$A:$A,0)),Workouts!$A:$A,0))
&amp;CHAR(10)&amp;INDEX(Workouts!$C:$C,MATCH(INDEX('Ride Log'!$C:$C,MATCH(A23,'Ride Log'!$A:$A,0)),Workouts!$A:$A,0))&amp;" TSS","")</f>
        <v/>
      </c>
    </row>
    <row r="24" spans="1:2" s="109" customFormat="1" ht="50.1" customHeight="1" x14ac:dyDescent="0.2">
      <c r="A24" s="110">
        <f t="shared" si="0"/>
        <v>44219</v>
      </c>
      <c r="B24" s="109" t="str">
        <f>_xlfn.IFNA(INDEX('Ride Log'!$C:$C,MATCH(A24,'Ride Log'!$A:$A,0))
&amp;CHAR(10)&amp;INDEX(INT(Workouts!$B:$B/60)&amp;":"&amp;RIGHT("00"&amp;MOD(Workouts!$B:$B,60),2),MATCH(INDEX('Ride Log'!$C:$C,MATCH(A24,'Ride Log'!$A:$A,0)),Workouts!$A:$A,0))
&amp;CHAR(10)&amp;INDEX(Workouts!$C:$C,MATCH(INDEX('Ride Log'!$C:$C,MATCH(A24,'Ride Log'!$A:$A,0)),Workouts!$A:$A,0))&amp;" TSS","")</f>
        <v/>
      </c>
    </row>
    <row r="25" spans="1:2" s="109" customFormat="1" ht="50.1" customHeight="1" x14ac:dyDescent="0.2">
      <c r="A25" s="110">
        <f t="shared" si="0"/>
        <v>44220</v>
      </c>
      <c r="B25" s="109" t="str">
        <f>_xlfn.IFNA(INDEX('Ride Log'!$C:$C,MATCH(A25,'Ride Log'!$A:$A,0))
&amp;CHAR(10)&amp;INDEX(INT(Workouts!$B:$B/60)&amp;":"&amp;RIGHT("00"&amp;MOD(Workouts!$B:$B,60),2),MATCH(INDEX('Ride Log'!$C:$C,MATCH(A25,'Ride Log'!$A:$A,0)),Workouts!$A:$A,0))
&amp;CHAR(10)&amp;INDEX(Workouts!$C:$C,MATCH(INDEX('Ride Log'!$C:$C,MATCH(A25,'Ride Log'!$A:$A,0)),Workouts!$A:$A,0))&amp;" TSS","")</f>
        <v/>
      </c>
    </row>
    <row r="26" spans="1:2" s="109" customFormat="1" ht="50.1" customHeight="1" x14ac:dyDescent="0.2">
      <c r="A26" s="110">
        <f t="shared" si="0"/>
        <v>44221</v>
      </c>
      <c r="B26" s="109" t="str">
        <f>_xlfn.IFNA(INDEX('Ride Log'!$C:$C,MATCH(A26,'Ride Log'!$A:$A,0))
&amp;CHAR(10)&amp;INDEX(INT(Workouts!$B:$B/60)&amp;":"&amp;RIGHT("00"&amp;MOD(Workouts!$B:$B,60),2),MATCH(INDEX('Ride Log'!$C:$C,MATCH(A26,'Ride Log'!$A:$A,0)),Workouts!$A:$A,0))
&amp;CHAR(10)&amp;INDEX(Workouts!$C:$C,MATCH(INDEX('Ride Log'!$C:$C,MATCH(A26,'Ride Log'!$A:$A,0)),Workouts!$A:$A,0))&amp;" TSS","")</f>
        <v/>
      </c>
    </row>
    <row r="27" spans="1:2" s="109" customFormat="1" ht="50.1" customHeight="1" x14ac:dyDescent="0.2">
      <c r="A27" s="110">
        <f t="shared" si="0"/>
        <v>44222</v>
      </c>
      <c r="B27" s="109" t="str">
        <f>_xlfn.IFNA(INDEX('Ride Log'!$C:$C,MATCH(A27,'Ride Log'!$A:$A,0))
&amp;CHAR(10)&amp;INDEX(INT(Workouts!$B:$B/60)&amp;":"&amp;RIGHT("00"&amp;MOD(Workouts!$B:$B,60),2),MATCH(INDEX('Ride Log'!$C:$C,MATCH(A27,'Ride Log'!$A:$A,0)),Workouts!$A:$A,0))
&amp;CHAR(10)&amp;INDEX(Workouts!$C:$C,MATCH(INDEX('Ride Log'!$C:$C,MATCH(A27,'Ride Log'!$A:$A,0)),Workouts!$A:$A,0))&amp;" TSS","")</f>
        <v/>
      </c>
    </row>
    <row r="28" spans="1:2" s="109" customFormat="1" ht="50.1" customHeight="1" x14ac:dyDescent="0.2">
      <c r="A28" s="110">
        <f t="shared" si="0"/>
        <v>44223</v>
      </c>
      <c r="B28" s="109" t="str">
        <f>_xlfn.IFNA(INDEX('Ride Log'!$C:$C,MATCH(A28,'Ride Log'!$A:$A,0))
&amp;CHAR(10)&amp;INDEX(INT(Workouts!$B:$B/60)&amp;":"&amp;RIGHT("00"&amp;MOD(Workouts!$B:$B,60),2),MATCH(INDEX('Ride Log'!$C:$C,MATCH(A28,'Ride Log'!$A:$A,0)),Workouts!$A:$A,0))
&amp;CHAR(10)&amp;INDEX(Workouts!$C:$C,MATCH(INDEX('Ride Log'!$C:$C,MATCH(A28,'Ride Log'!$A:$A,0)),Workouts!$A:$A,0))&amp;" TSS","")</f>
        <v/>
      </c>
    </row>
    <row r="29" spans="1:2" s="109" customFormat="1" ht="50.1" customHeight="1" x14ac:dyDescent="0.2">
      <c r="A29" s="110">
        <f t="shared" si="0"/>
        <v>44224</v>
      </c>
      <c r="B29" s="109" t="str">
        <f>_xlfn.IFNA(INDEX('Ride Log'!$C:$C,MATCH(A29,'Ride Log'!$A:$A,0))
&amp;CHAR(10)&amp;INDEX(INT(Workouts!$B:$B/60)&amp;":"&amp;RIGHT("00"&amp;MOD(Workouts!$B:$B,60),2),MATCH(INDEX('Ride Log'!$C:$C,MATCH(A29,'Ride Log'!$A:$A,0)),Workouts!$A:$A,0))
&amp;CHAR(10)&amp;INDEX(Workouts!$C:$C,MATCH(INDEX('Ride Log'!$C:$C,MATCH(A29,'Ride Log'!$A:$A,0)),Workouts!$A:$A,0))&amp;" TSS","")</f>
        <v/>
      </c>
    </row>
    <row r="30" spans="1:2" s="109" customFormat="1" ht="50.1" customHeight="1" x14ac:dyDescent="0.2">
      <c r="A30" s="110">
        <f t="shared" si="0"/>
        <v>44225</v>
      </c>
      <c r="B30" s="109" t="str">
        <f>_xlfn.IFNA(INDEX('Ride Log'!$C:$C,MATCH(A30,'Ride Log'!$A:$A,0))
&amp;CHAR(10)&amp;INDEX(INT(Workouts!$B:$B/60)&amp;":"&amp;RIGHT("00"&amp;MOD(Workouts!$B:$B,60),2),MATCH(INDEX('Ride Log'!$C:$C,MATCH(A30,'Ride Log'!$A:$A,0)),Workouts!$A:$A,0))
&amp;CHAR(10)&amp;INDEX(Workouts!$C:$C,MATCH(INDEX('Ride Log'!$C:$C,MATCH(A30,'Ride Log'!$A:$A,0)),Workouts!$A:$A,0))&amp;" TSS","")</f>
        <v/>
      </c>
    </row>
    <row r="31" spans="1:2" s="109" customFormat="1" ht="50.1" customHeight="1" x14ac:dyDescent="0.2">
      <c r="A31" s="110">
        <f t="shared" si="0"/>
        <v>44226</v>
      </c>
      <c r="B31" s="109" t="str">
        <f>_xlfn.IFNA(INDEX('Ride Log'!$C:$C,MATCH(A31,'Ride Log'!$A:$A,0))
&amp;CHAR(10)&amp;INDEX(INT(Workouts!$B:$B/60)&amp;":"&amp;RIGHT("00"&amp;MOD(Workouts!$B:$B,60),2),MATCH(INDEX('Ride Log'!$C:$C,MATCH(A31,'Ride Log'!$A:$A,0)),Workouts!$A:$A,0))
&amp;CHAR(10)&amp;INDEX(Workouts!$C:$C,MATCH(INDEX('Ride Log'!$C:$C,MATCH(A31,'Ride Log'!$A:$A,0)),Workouts!$A:$A,0))&amp;" TSS","")</f>
        <v/>
      </c>
    </row>
    <row r="32" spans="1:2" s="109" customFormat="1" ht="50.1" customHeight="1" x14ac:dyDescent="0.2">
      <c r="A32" s="110">
        <f t="shared" si="0"/>
        <v>44227</v>
      </c>
      <c r="B32" s="109" t="str">
        <f>_xlfn.IFNA(INDEX('Ride Log'!$C:$C,MATCH(A32,'Ride Log'!$A:$A,0))
&amp;CHAR(10)&amp;INDEX(INT(Workouts!$B:$B/60)&amp;":"&amp;RIGHT("00"&amp;MOD(Workouts!$B:$B,60),2),MATCH(INDEX('Ride Log'!$C:$C,MATCH(A32,'Ride Log'!$A:$A,0)),Workouts!$A:$A,0))
&amp;CHAR(10)&amp;INDEX(Workouts!$C:$C,MATCH(INDEX('Ride Log'!$C:$C,MATCH(A32,'Ride Log'!$A:$A,0)),Workouts!$A:$A,0))&amp;" TSS","")</f>
        <v/>
      </c>
    </row>
    <row r="33" spans="1:2" s="109" customFormat="1" ht="50.1" customHeight="1" x14ac:dyDescent="0.2">
      <c r="A33" s="110">
        <f t="shared" si="0"/>
        <v>44228</v>
      </c>
      <c r="B33" s="109" t="str">
        <f>_xlfn.IFNA(INDEX('Ride Log'!$C:$C,MATCH(A33,'Ride Log'!$A:$A,0))
&amp;CHAR(10)&amp;INDEX(INT(Workouts!$B:$B/60)&amp;":"&amp;RIGHT("00"&amp;MOD(Workouts!$B:$B,60),2),MATCH(INDEX('Ride Log'!$C:$C,MATCH(A33,'Ride Log'!$A:$A,0)),Workouts!$A:$A,0))
&amp;CHAR(10)&amp;INDEX(Workouts!$C:$C,MATCH(INDEX('Ride Log'!$C:$C,MATCH(A33,'Ride Log'!$A:$A,0)),Workouts!$A:$A,0))&amp;" TSS","")</f>
        <v/>
      </c>
    </row>
    <row r="34" spans="1:2" s="109" customFormat="1" ht="50.1" customHeight="1" x14ac:dyDescent="0.2">
      <c r="A34" s="110">
        <f t="shared" si="0"/>
        <v>44229</v>
      </c>
      <c r="B34" s="109" t="str">
        <f>_xlfn.IFNA(INDEX('Ride Log'!$C:$C,MATCH(A34,'Ride Log'!$A:$A,0))
&amp;CHAR(10)&amp;INDEX(INT(Workouts!$B:$B/60)&amp;":"&amp;RIGHT("00"&amp;MOD(Workouts!$B:$B,60),2),MATCH(INDEX('Ride Log'!$C:$C,MATCH(A34,'Ride Log'!$A:$A,0)),Workouts!$A:$A,0))
&amp;CHAR(10)&amp;INDEX(Workouts!$C:$C,MATCH(INDEX('Ride Log'!$C:$C,MATCH(A34,'Ride Log'!$A:$A,0)),Workouts!$A:$A,0))&amp;" TSS","")</f>
        <v/>
      </c>
    </row>
    <row r="35" spans="1:2" s="109" customFormat="1" ht="50.1" customHeight="1" x14ac:dyDescent="0.2">
      <c r="A35" s="110">
        <f t="shared" si="0"/>
        <v>44230</v>
      </c>
      <c r="B35" s="109" t="str">
        <f>_xlfn.IFNA(INDEX('Ride Log'!$C:$C,MATCH(A35,'Ride Log'!$A:$A,0))
&amp;CHAR(10)&amp;INDEX(INT(Workouts!$B:$B/60)&amp;":"&amp;RIGHT("00"&amp;MOD(Workouts!$B:$B,60),2),MATCH(INDEX('Ride Log'!$C:$C,MATCH(A35,'Ride Log'!$A:$A,0)),Workouts!$A:$A,0))
&amp;CHAR(10)&amp;INDEX(Workouts!$C:$C,MATCH(INDEX('Ride Log'!$C:$C,MATCH(A35,'Ride Log'!$A:$A,0)),Workouts!$A:$A,0))&amp;" TSS","")</f>
        <v/>
      </c>
    </row>
    <row r="36" spans="1:2" s="109" customFormat="1" ht="50.1" customHeight="1" x14ac:dyDescent="0.2">
      <c r="A36" s="110">
        <f t="shared" si="0"/>
        <v>44231</v>
      </c>
      <c r="B36" s="109" t="str">
        <f>_xlfn.IFNA(INDEX('Ride Log'!$C:$C,MATCH(A36,'Ride Log'!$A:$A,0))
&amp;CHAR(10)&amp;INDEX(INT(Workouts!$B:$B/60)&amp;":"&amp;RIGHT("00"&amp;MOD(Workouts!$B:$B,60),2),MATCH(INDEX('Ride Log'!$C:$C,MATCH(A36,'Ride Log'!$A:$A,0)),Workouts!$A:$A,0))
&amp;CHAR(10)&amp;INDEX(Workouts!$C:$C,MATCH(INDEX('Ride Log'!$C:$C,MATCH(A36,'Ride Log'!$A:$A,0)),Workouts!$A:$A,0))&amp;" TSS","")</f>
        <v/>
      </c>
    </row>
    <row r="37" spans="1:2" s="109" customFormat="1" ht="50.1" customHeight="1" x14ac:dyDescent="0.2">
      <c r="A37" s="110">
        <f t="shared" si="0"/>
        <v>44232</v>
      </c>
      <c r="B37" s="109" t="str">
        <f>_xlfn.IFNA(INDEX('Ride Log'!$C:$C,MATCH(A37,'Ride Log'!$A:$A,0))
&amp;CHAR(10)&amp;INDEX(INT(Workouts!$B:$B/60)&amp;":"&amp;RIGHT("00"&amp;MOD(Workouts!$B:$B,60),2),MATCH(INDEX('Ride Log'!$C:$C,MATCH(A37,'Ride Log'!$A:$A,0)),Workouts!$A:$A,0))
&amp;CHAR(10)&amp;INDEX(Workouts!$C:$C,MATCH(INDEX('Ride Log'!$C:$C,MATCH(A37,'Ride Log'!$A:$A,0)),Workouts!$A:$A,0))&amp;" TSS","")</f>
        <v/>
      </c>
    </row>
    <row r="38" spans="1:2" s="109" customFormat="1" ht="50.1" customHeight="1" x14ac:dyDescent="0.2">
      <c r="A38" s="110">
        <f t="shared" si="0"/>
        <v>44233</v>
      </c>
      <c r="B38" s="109" t="str">
        <f>_xlfn.IFNA(INDEX('Ride Log'!$C:$C,MATCH(A38,'Ride Log'!$A:$A,0))
&amp;CHAR(10)&amp;INDEX(INT(Workouts!$B:$B/60)&amp;":"&amp;RIGHT("00"&amp;MOD(Workouts!$B:$B,60),2),MATCH(INDEX('Ride Log'!$C:$C,MATCH(A38,'Ride Log'!$A:$A,0)),Workouts!$A:$A,0))
&amp;CHAR(10)&amp;INDEX(Workouts!$C:$C,MATCH(INDEX('Ride Log'!$C:$C,MATCH(A38,'Ride Log'!$A:$A,0)),Workouts!$A:$A,0))&amp;" TSS","")</f>
        <v/>
      </c>
    </row>
    <row r="39" spans="1:2" s="109" customFormat="1" ht="50.1" customHeight="1" x14ac:dyDescent="0.2">
      <c r="A39" s="110">
        <f t="shared" si="0"/>
        <v>44234</v>
      </c>
      <c r="B39" s="109" t="str">
        <f>_xlfn.IFNA(INDEX('Ride Log'!$C:$C,MATCH(A39,'Ride Log'!$A:$A,0))
&amp;CHAR(10)&amp;INDEX(INT(Workouts!$B:$B/60)&amp;":"&amp;RIGHT("00"&amp;MOD(Workouts!$B:$B,60),2),MATCH(INDEX('Ride Log'!$C:$C,MATCH(A39,'Ride Log'!$A:$A,0)),Workouts!$A:$A,0))
&amp;CHAR(10)&amp;INDEX(Workouts!$C:$C,MATCH(INDEX('Ride Log'!$C:$C,MATCH(A39,'Ride Log'!$A:$A,0)),Workouts!$A:$A,0))&amp;" TSS","")</f>
        <v/>
      </c>
    </row>
    <row r="40" spans="1:2" s="109" customFormat="1" ht="50.1" customHeight="1" x14ac:dyDescent="0.2">
      <c r="A40" s="110">
        <f t="shared" si="0"/>
        <v>44235</v>
      </c>
      <c r="B40" s="109" t="str">
        <f>_xlfn.IFNA(INDEX('Ride Log'!$C:$C,MATCH(A40,'Ride Log'!$A:$A,0))
&amp;CHAR(10)&amp;INDEX(INT(Workouts!$B:$B/60)&amp;":"&amp;RIGHT("00"&amp;MOD(Workouts!$B:$B,60),2),MATCH(INDEX('Ride Log'!$C:$C,MATCH(A40,'Ride Log'!$A:$A,0)),Workouts!$A:$A,0))
&amp;CHAR(10)&amp;INDEX(Workouts!$C:$C,MATCH(INDEX('Ride Log'!$C:$C,MATCH(A40,'Ride Log'!$A:$A,0)),Workouts!$A:$A,0))&amp;" TSS","")</f>
        <v/>
      </c>
    </row>
    <row r="41" spans="1:2" s="109" customFormat="1" ht="50.1" customHeight="1" x14ac:dyDescent="0.2">
      <c r="A41" s="110">
        <f t="shared" si="0"/>
        <v>44236</v>
      </c>
      <c r="B41" s="109" t="str">
        <f>_xlfn.IFNA(INDEX('Ride Log'!$C:$C,MATCH(A41,'Ride Log'!$A:$A,0))
&amp;CHAR(10)&amp;INDEX(INT(Workouts!$B:$B/60)&amp;":"&amp;RIGHT("00"&amp;MOD(Workouts!$B:$B,60),2),MATCH(INDEX('Ride Log'!$C:$C,MATCH(A41,'Ride Log'!$A:$A,0)),Workouts!$A:$A,0))
&amp;CHAR(10)&amp;INDEX(Workouts!$C:$C,MATCH(INDEX('Ride Log'!$C:$C,MATCH(A41,'Ride Log'!$A:$A,0)),Workouts!$A:$A,0))&amp;" TSS","")</f>
        <v/>
      </c>
    </row>
    <row r="42" spans="1:2" s="109" customFormat="1" ht="50.1" customHeight="1" x14ac:dyDescent="0.2">
      <c r="A42" s="110">
        <f t="shared" si="0"/>
        <v>44237</v>
      </c>
      <c r="B42" s="109" t="str">
        <f>_xlfn.IFNA(INDEX('Ride Log'!$C:$C,MATCH(A42,'Ride Log'!$A:$A,0))
&amp;CHAR(10)&amp;INDEX(INT(Workouts!$B:$B/60)&amp;":"&amp;RIGHT("00"&amp;MOD(Workouts!$B:$B,60),2),MATCH(INDEX('Ride Log'!$C:$C,MATCH(A42,'Ride Log'!$A:$A,0)),Workouts!$A:$A,0))
&amp;CHAR(10)&amp;INDEX(Workouts!$C:$C,MATCH(INDEX('Ride Log'!$C:$C,MATCH(A42,'Ride Log'!$A:$A,0)),Workouts!$A:$A,0))&amp;" TSS","")</f>
        <v/>
      </c>
    </row>
    <row r="43" spans="1:2" s="109" customFormat="1" ht="50.1" customHeight="1" x14ac:dyDescent="0.2">
      <c r="A43" s="110">
        <f t="shared" si="0"/>
        <v>44238</v>
      </c>
      <c r="B43" s="109" t="str">
        <f>_xlfn.IFNA(INDEX('Ride Log'!$C:$C,MATCH(A43,'Ride Log'!$A:$A,0))
&amp;CHAR(10)&amp;INDEX(INT(Workouts!$B:$B/60)&amp;":"&amp;RIGHT("00"&amp;MOD(Workouts!$B:$B,60),2),MATCH(INDEX('Ride Log'!$C:$C,MATCH(A43,'Ride Log'!$A:$A,0)),Workouts!$A:$A,0))
&amp;CHAR(10)&amp;INDEX(Workouts!$C:$C,MATCH(INDEX('Ride Log'!$C:$C,MATCH(A43,'Ride Log'!$A:$A,0)),Workouts!$A:$A,0))&amp;" TSS","")</f>
        <v/>
      </c>
    </row>
    <row r="44" spans="1:2" s="109" customFormat="1" ht="50.1" customHeight="1" x14ac:dyDescent="0.2">
      <c r="A44" s="110">
        <f t="shared" si="0"/>
        <v>44239</v>
      </c>
      <c r="B44" s="109" t="str">
        <f>_xlfn.IFNA(INDEX('Ride Log'!$C:$C,MATCH(A44,'Ride Log'!$A:$A,0))
&amp;CHAR(10)&amp;INDEX(INT(Workouts!$B:$B/60)&amp;":"&amp;RIGHT("00"&amp;MOD(Workouts!$B:$B,60),2),MATCH(INDEX('Ride Log'!$C:$C,MATCH(A44,'Ride Log'!$A:$A,0)),Workouts!$A:$A,0))
&amp;CHAR(10)&amp;INDEX(Workouts!$C:$C,MATCH(INDEX('Ride Log'!$C:$C,MATCH(A44,'Ride Log'!$A:$A,0)),Workouts!$A:$A,0))&amp;" TSS","")</f>
        <v/>
      </c>
    </row>
    <row r="45" spans="1:2" s="109" customFormat="1" ht="50.1" customHeight="1" x14ac:dyDescent="0.2">
      <c r="A45" s="110">
        <f t="shared" si="0"/>
        <v>44240</v>
      </c>
      <c r="B45" s="109" t="str">
        <f>_xlfn.IFNA(INDEX('Ride Log'!$C:$C,MATCH(A45,'Ride Log'!$A:$A,0))
&amp;CHAR(10)&amp;INDEX(INT(Workouts!$B:$B/60)&amp;":"&amp;RIGHT("00"&amp;MOD(Workouts!$B:$B,60),2),MATCH(INDEX('Ride Log'!$C:$C,MATCH(A45,'Ride Log'!$A:$A,0)),Workouts!$A:$A,0))
&amp;CHAR(10)&amp;INDEX(Workouts!$C:$C,MATCH(INDEX('Ride Log'!$C:$C,MATCH(A45,'Ride Log'!$A:$A,0)),Workouts!$A:$A,0))&amp;" TSS","")</f>
        <v/>
      </c>
    </row>
    <row r="46" spans="1:2" s="109" customFormat="1" ht="50.1" customHeight="1" x14ac:dyDescent="0.2">
      <c r="A46" s="110">
        <f t="shared" si="0"/>
        <v>44241</v>
      </c>
      <c r="B46" s="109" t="str">
        <f>_xlfn.IFNA(INDEX('Ride Log'!$C:$C,MATCH(A46,'Ride Log'!$A:$A,0))
&amp;CHAR(10)&amp;INDEX(INT(Workouts!$B:$B/60)&amp;":"&amp;RIGHT("00"&amp;MOD(Workouts!$B:$B,60),2),MATCH(INDEX('Ride Log'!$C:$C,MATCH(A46,'Ride Log'!$A:$A,0)),Workouts!$A:$A,0))
&amp;CHAR(10)&amp;INDEX(Workouts!$C:$C,MATCH(INDEX('Ride Log'!$C:$C,MATCH(A46,'Ride Log'!$A:$A,0)),Workouts!$A:$A,0))&amp;" TSS","")</f>
        <v/>
      </c>
    </row>
    <row r="47" spans="1:2" s="109" customFormat="1" ht="50.1" customHeight="1" x14ac:dyDescent="0.2">
      <c r="A47" s="110">
        <f t="shared" si="0"/>
        <v>44242</v>
      </c>
      <c r="B47" s="109" t="str">
        <f>_xlfn.IFNA(INDEX('Ride Log'!$C:$C,MATCH(A47,'Ride Log'!$A:$A,0))
&amp;CHAR(10)&amp;INDEX(INT(Workouts!$B:$B/60)&amp;":"&amp;RIGHT("00"&amp;MOD(Workouts!$B:$B,60),2),MATCH(INDEX('Ride Log'!$C:$C,MATCH(A47,'Ride Log'!$A:$A,0)),Workouts!$A:$A,0))
&amp;CHAR(10)&amp;INDEX(Workouts!$C:$C,MATCH(INDEX('Ride Log'!$C:$C,MATCH(A47,'Ride Log'!$A:$A,0)),Workouts!$A:$A,0))&amp;" TSS","")</f>
        <v/>
      </c>
    </row>
    <row r="48" spans="1:2" s="109" customFormat="1" ht="50.1" customHeight="1" x14ac:dyDescent="0.2">
      <c r="A48" s="110">
        <f t="shared" si="0"/>
        <v>44243</v>
      </c>
      <c r="B48" s="109" t="str">
        <f>_xlfn.IFNA(INDEX('Ride Log'!$C:$C,MATCH(A48,'Ride Log'!$A:$A,0))
&amp;CHAR(10)&amp;INDEX(INT(Workouts!$B:$B/60)&amp;":"&amp;RIGHT("00"&amp;MOD(Workouts!$B:$B,60),2),MATCH(INDEX('Ride Log'!$C:$C,MATCH(A48,'Ride Log'!$A:$A,0)),Workouts!$A:$A,0))
&amp;CHAR(10)&amp;INDEX(Workouts!$C:$C,MATCH(INDEX('Ride Log'!$C:$C,MATCH(A48,'Ride Log'!$A:$A,0)),Workouts!$A:$A,0))&amp;" TSS","")</f>
        <v/>
      </c>
    </row>
    <row r="49" spans="1:2" s="109" customFormat="1" ht="50.1" customHeight="1" x14ac:dyDescent="0.2">
      <c r="A49" s="110">
        <f t="shared" si="0"/>
        <v>44244</v>
      </c>
      <c r="B49" s="109" t="str">
        <f>_xlfn.IFNA(INDEX('Ride Log'!$C:$C,MATCH(A49,'Ride Log'!$A:$A,0))
&amp;CHAR(10)&amp;INDEX(INT(Workouts!$B:$B/60)&amp;":"&amp;RIGHT("00"&amp;MOD(Workouts!$B:$B,60),2),MATCH(INDEX('Ride Log'!$C:$C,MATCH(A49,'Ride Log'!$A:$A,0)),Workouts!$A:$A,0))
&amp;CHAR(10)&amp;INDEX(Workouts!$C:$C,MATCH(INDEX('Ride Log'!$C:$C,MATCH(A49,'Ride Log'!$A:$A,0)),Workouts!$A:$A,0))&amp;" TSS","")</f>
        <v/>
      </c>
    </row>
    <row r="50" spans="1:2" s="109" customFormat="1" ht="50.1" customHeight="1" x14ac:dyDescent="0.2">
      <c r="A50" s="110">
        <f t="shared" si="0"/>
        <v>44245</v>
      </c>
      <c r="B50" s="109" t="str">
        <f>_xlfn.IFNA(INDEX('Ride Log'!$C:$C,MATCH(A50,'Ride Log'!$A:$A,0))
&amp;CHAR(10)&amp;INDEX(INT(Workouts!$B:$B/60)&amp;":"&amp;RIGHT("00"&amp;MOD(Workouts!$B:$B,60),2),MATCH(INDEX('Ride Log'!$C:$C,MATCH(A50,'Ride Log'!$A:$A,0)),Workouts!$A:$A,0))
&amp;CHAR(10)&amp;INDEX(Workouts!$C:$C,MATCH(INDEX('Ride Log'!$C:$C,MATCH(A50,'Ride Log'!$A:$A,0)),Workouts!$A:$A,0))&amp;" TSS","")</f>
        <v/>
      </c>
    </row>
    <row r="51" spans="1:2" s="109" customFormat="1" ht="50.1" customHeight="1" x14ac:dyDescent="0.2">
      <c r="A51" s="110">
        <f t="shared" si="0"/>
        <v>44246</v>
      </c>
      <c r="B51" s="109" t="str">
        <f>_xlfn.IFNA(INDEX('Ride Log'!$C:$C,MATCH(A51,'Ride Log'!$A:$A,0))
&amp;CHAR(10)&amp;INDEX(INT(Workouts!$B:$B/60)&amp;":"&amp;RIGHT("00"&amp;MOD(Workouts!$B:$B,60),2),MATCH(INDEX('Ride Log'!$C:$C,MATCH(A51,'Ride Log'!$A:$A,0)),Workouts!$A:$A,0))
&amp;CHAR(10)&amp;INDEX(Workouts!$C:$C,MATCH(INDEX('Ride Log'!$C:$C,MATCH(A51,'Ride Log'!$A:$A,0)),Workouts!$A:$A,0))&amp;" TSS","")</f>
        <v/>
      </c>
    </row>
    <row r="52" spans="1:2" s="109" customFormat="1" ht="50.1" customHeight="1" x14ac:dyDescent="0.2">
      <c r="A52" s="110">
        <f t="shared" si="0"/>
        <v>44247</v>
      </c>
      <c r="B52" s="109" t="str">
        <f>_xlfn.IFNA(INDEX('Ride Log'!$C:$C,MATCH(A52,'Ride Log'!$A:$A,0))
&amp;CHAR(10)&amp;INDEX(INT(Workouts!$B:$B/60)&amp;":"&amp;RIGHT("00"&amp;MOD(Workouts!$B:$B,60),2),MATCH(INDEX('Ride Log'!$C:$C,MATCH(A52,'Ride Log'!$A:$A,0)),Workouts!$A:$A,0))
&amp;CHAR(10)&amp;INDEX(Workouts!$C:$C,MATCH(INDEX('Ride Log'!$C:$C,MATCH(A52,'Ride Log'!$A:$A,0)),Workouts!$A:$A,0))&amp;" TSS","")</f>
        <v/>
      </c>
    </row>
    <row r="53" spans="1:2" s="109" customFormat="1" ht="50.1" customHeight="1" x14ac:dyDescent="0.2">
      <c r="A53" s="110">
        <f t="shared" si="0"/>
        <v>44248</v>
      </c>
      <c r="B53" s="109" t="str">
        <f>_xlfn.IFNA(INDEX('Ride Log'!$C:$C,MATCH(A53,'Ride Log'!$A:$A,0))
&amp;CHAR(10)&amp;INDEX(INT(Workouts!$B:$B/60)&amp;":"&amp;RIGHT("00"&amp;MOD(Workouts!$B:$B,60),2),MATCH(INDEX('Ride Log'!$C:$C,MATCH(A53,'Ride Log'!$A:$A,0)),Workouts!$A:$A,0))
&amp;CHAR(10)&amp;INDEX(Workouts!$C:$C,MATCH(INDEX('Ride Log'!$C:$C,MATCH(A53,'Ride Log'!$A:$A,0)),Workouts!$A:$A,0))&amp;" TSS","")</f>
        <v/>
      </c>
    </row>
    <row r="54" spans="1:2" s="109" customFormat="1" ht="50.1" customHeight="1" x14ac:dyDescent="0.2">
      <c r="A54" s="110">
        <f t="shared" si="0"/>
        <v>44249</v>
      </c>
      <c r="B54" s="109" t="str">
        <f>_xlfn.IFNA(INDEX('Ride Log'!$C:$C,MATCH(A54,'Ride Log'!$A:$A,0))
&amp;CHAR(10)&amp;INDEX(INT(Workouts!$B:$B/60)&amp;":"&amp;RIGHT("00"&amp;MOD(Workouts!$B:$B,60),2),MATCH(INDEX('Ride Log'!$C:$C,MATCH(A54,'Ride Log'!$A:$A,0)),Workouts!$A:$A,0))
&amp;CHAR(10)&amp;INDEX(Workouts!$C:$C,MATCH(INDEX('Ride Log'!$C:$C,MATCH(A54,'Ride Log'!$A:$A,0)),Workouts!$A:$A,0))&amp;" TSS","")</f>
        <v/>
      </c>
    </row>
    <row r="55" spans="1:2" s="109" customFormat="1" ht="50.1" customHeight="1" x14ac:dyDescent="0.2">
      <c r="A55" s="110">
        <f t="shared" si="0"/>
        <v>44250</v>
      </c>
      <c r="B55" s="109" t="str">
        <f>_xlfn.IFNA(INDEX('Ride Log'!$C:$C,MATCH(A55,'Ride Log'!$A:$A,0))
&amp;CHAR(10)&amp;INDEX(INT(Workouts!$B:$B/60)&amp;":"&amp;RIGHT("00"&amp;MOD(Workouts!$B:$B,60),2),MATCH(INDEX('Ride Log'!$C:$C,MATCH(A55,'Ride Log'!$A:$A,0)),Workouts!$A:$A,0))
&amp;CHAR(10)&amp;INDEX(Workouts!$C:$C,MATCH(INDEX('Ride Log'!$C:$C,MATCH(A55,'Ride Log'!$A:$A,0)),Workouts!$A:$A,0))&amp;" TSS","")</f>
        <v/>
      </c>
    </row>
    <row r="56" spans="1:2" s="109" customFormat="1" ht="50.1" customHeight="1" x14ac:dyDescent="0.2">
      <c r="A56" s="110">
        <f t="shared" si="0"/>
        <v>44251</v>
      </c>
      <c r="B56" s="109" t="str">
        <f>_xlfn.IFNA(INDEX('Ride Log'!$C:$C,MATCH(A56,'Ride Log'!$A:$A,0))
&amp;CHAR(10)&amp;INDEX(INT(Workouts!$B:$B/60)&amp;":"&amp;RIGHT("00"&amp;MOD(Workouts!$B:$B,60),2),MATCH(INDEX('Ride Log'!$C:$C,MATCH(A56,'Ride Log'!$A:$A,0)),Workouts!$A:$A,0))
&amp;CHAR(10)&amp;INDEX(Workouts!$C:$C,MATCH(INDEX('Ride Log'!$C:$C,MATCH(A56,'Ride Log'!$A:$A,0)),Workouts!$A:$A,0))&amp;" TSS","")</f>
        <v/>
      </c>
    </row>
    <row r="57" spans="1:2" s="109" customFormat="1" ht="50.1" customHeight="1" x14ac:dyDescent="0.2">
      <c r="A57" s="110">
        <f t="shared" si="0"/>
        <v>44252</v>
      </c>
      <c r="B57" s="109" t="str">
        <f>_xlfn.IFNA(INDEX('Ride Log'!$C:$C,MATCH(A57,'Ride Log'!$A:$A,0))
&amp;CHAR(10)&amp;INDEX(INT(Workouts!$B:$B/60)&amp;":"&amp;RIGHT("00"&amp;MOD(Workouts!$B:$B,60),2),MATCH(INDEX('Ride Log'!$C:$C,MATCH(A57,'Ride Log'!$A:$A,0)),Workouts!$A:$A,0))
&amp;CHAR(10)&amp;INDEX(Workouts!$C:$C,MATCH(INDEX('Ride Log'!$C:$C,MATCH(A57,'Ride Log'!$A:$A,0)),Workouts!$A:$A,0))&amp;" TSS","")</f>
        <v/>
      </c>
    </row>
    <row r="58" spans="1:2" s="109" customFormat="1" ht="50.1" customHeight="1" x14ac:dyDescent="0.2">
      <c r="A58" s="110">
        <f t="shared" si="0"/>
        <v>44253</v>
      </c>
      <c r="B58" s="109" t="str">
        <f>_xlfn.IFNA(INDEX('Ride Log'!$C:$C,MATCH(A58,'Ride Log'!$A:$A,0))
&amp;CHAR(10)&amp;INDEX(INT(Workouts!$B:$B/60)&amp;":"&amp;RIGHT("00"&amp;MOD(Workouts!$B:$B,60),2),MATCH(INDEX('Ride Log'!$C:$C,MATCH(A58,'Ride Log'!$A:$A,0)),Workouts!$A:$A,0))
&amp;CHAR(10)&amp;INDEX(Workouts!$C:$C,MATCH(INDEX('Ride Log'!$C:$C,MATCH(A58,'Ride Log'!$A:$A,0)),Workouts!$A:$A,0))&amp;" TSS","")</f>
        <v/>
      </c>
    </row>
    <row r="59" spans="1:2" s="109" customFormat="1" ht="50.1" customHeight="1" x14ac:dyDescent="0.2">
      <c r="A59" s="110">
        <f t="shared" si="0"/>
        <v>44254</v>
      </c>
      <c r="B59" s="109" t="str">
        <f>_xlfn.IFNA(INDEX('Ride Log'!$C:$C,MATCH(A59,'Ride Log'!$A:$A,0))
&amp;CHAR(10)&amp;INDEX(INT(Workouts!$B:$B/60)&amp;":"&amp;RIGHT("00"&amp;MOD(Workouts!$B:$B,60),2),MATCH(INDEX('Ride Log'!$C:$C,MATCH(A59,'Ride Log'!$A:$A,0)),Workouts!$A:$A,0))
&amp;CHAR(10)&amp;INDEX(Workouts!$C:$C,MATCH(INDEX('Ride Log'!$C:$C,MATCH(A59,'Ride Log'!$A:$A,0)),Workouts!$A:$A,0))&amp;" TSS","")</f>
        <v/>
      </c>
    </row>
    <row r="60" spans="1:2" s="109" customFormat="1" ht="50.1" customHeight="1" x14ac:dyDescent="0.2">
      <c r="A60" s="110">
        <f t="shared" si="0"/>
        <v>44255</v>
      </c>
      <c r="B60" s="109" t="str">
        <f>_xlfn.IFNA(INDEX('Ride Log'!$C:$C,MATCH(A60,'Ride Log'!$A:$A,0))
&amp;CHAR(10)&amp;INDEX(INT(Workouts!$B:$B/60)&amp;":"&amp;RIGHT("00"&amp;MOD(Workouts!$B:$B,60),2),MATCH(INDEX('Ride Log'!$C:$C,MATCH(A60,'Ride Log'!$A:$A,0)),Workouts!$A:$A,0))
&amp;CHAR(10)&amp;INDEX(Workouts!$C:$C,MATCH(INDEX('Ride Log'!$C:$C,MATCH(A60,'Ride Log'!$A:$A,0)),Workouts!$A:$A,0))&amp;" TSS","")</f>
        <v/>
      </c>
    </row>
    <row r="61" spans="1:2" s="109" customFormat="1" ht="50.1" customHeight="1" x14ac:dyDescent="0.2">
      <c r="A61" s="110">
        <f t="shared" si="0"/>
        <v>44256</v>
      </c>
      <c r="B61" s="109" t="str">
        <f>_xlfn.IFNA(INDEX('Ride Log'!$C:$C,MATCH(A61,'Ride Log'!$A:$A,0))
&amp;CHAR(10)&amp;INDEX(INT(Workouts!$B:$B/60)&amp;":"&amp;RIGHT("00"&amp;MOD(Workouts!$B:$B,60),2),MATCH(INDEX('Ride Log'!$C:$C,MATCH(A61,'Ride Log'!$A:$A,0)),Workouts!$A:$A,0))
&amp;CHAR(10)&amp;INDEX(Workouts!$C:$C,MATCH(INDEX('Ride Log'!$C:$C,MATCH(A61,'Ride Log'!$A:$A,0)),Workouts!$A:$A,0))&amp;" TSS","")</f>
        <v/>
      </c>
    </row>
    <row r="62" spans="1:2" s="109" customFormat="1" ht="50.1" customHeight="1" x14ac:dyDescent="0.2">
      <c r="A62" s="110">
        <f t="shared" si="0"/>
        <v>44257</v>
      </c>
      <c r="B62" s="109" t="str">
        <f>_xlfn.IFNA(INDEX('Ride Log'!$C:$C,MATCH(A62,'Ride Log'!$A:$A,0))
&amp;CHAR(10)&amp;INDEX(INT(Workouts!$B:$B/60)&amp;":"&amp;RIGHT("00"&amp;MOD(Workouts!$B:$B,60),2),MATCH(INDEX('Ride Log'!$C:$C,MATCH(A62,'Ride Log'!$A:$A,0)),Workouts!$A:$A,0))
&amp;CHAR(10)&amp;INDEX(Workouts!$C:$C,MATCH(INDEX('Ride Log'!$C:$C,MATCH(A62,'Ride Log'!$A:$A,0)),Workouts!$A:$A,0))&amp;" TSS","")</f>
        <v/>
      </c>
    </row>
    <row r="63" spans="1:2" s="109" customFormat="1" ht="50.1" customHeight="1" x14ac:dyDescent="0.2">
      <c r="A63" s="110">
        <f t="shared" si="0"/>
        <v>44258</v>
      </c>
      <c r="B63" s="109" t="str">
        <f>_xlfn.IFNA(INDEX('Ride Log'!$C:$C,MATCH(A63,'Ride Log'!$A:$A,0))
&amp;CHAR(10)&amp;INDEX(INT(Workouts!$B:$B/60)&amp;":"&amp;RIGHT("00"&amp;MOD(Workouts!$B:$B,60),2),MATCH(INDEX('Ride Log'!$C:$C,MATCH(A63,'Ride Log'!$A:$A,0)),Workouts!$A:$A,0))
&amp;CHAR(10)&amp;INDEX(Workouts!$C:$C,MATCH(INDEX('Ride Log'!$C:$C,MATCH(A63,'Ride Log'!$A:$A,0)),Workouts!$A:$A,0))&amp;" TSS","")</f>
        <v/>
      </c>
    </row>
    <row r="64" spans="1:2" s="109" customFormat="1" ht="50.1" customHeight="1" x14ac:dyDescent="0.2">
      <c r="A64" s="110">
        <f t="shared" si="0"/>
        <v>44259</v>
      </c>
      <c r="B64" s="109" t="str">
        <f>_xlfn.IFNA(INDEX('Ride Log'!$C:$C,MATCH(A64,'Ride Log'!$A:$A,0))
&amp;CHAR(10)&amp;INDEX(INT(Workouts!$B:$B/60)&amp;":"&amp;RIGHT("00"&amp;MOD(Workouts!$B:$B,60),2),MATCH(INDEX('Ride Log'!$C:$C,MATCH(A64,'Ride Log'!$A:$A,0)),Workouts!$A:$A,0))
&amp;CHAR(10)&amp;INDEX(Workouts!$C:$C,MATCH(INDEX('Ride Log'!$C:$C,MATCH(A64,'Ride Log'!$A:$A,0)),Workouts!$A:$A,0))&amp;" TSS","")</f>
        <v/>
      </c>
    </row>
    <row r="65" spans="1:2" s="109" customFormat="1" ht="50.1" customHeight="1" x14ac:dyDescent="0.2">
      <c r="A65" s="110">
        <f t="shared" si="0"/>
        <v>44260</v>
      </c>
      <c r="B65" s="109" t="str">
        <f>_xlfn.IFNA(INDEX('Ride Log'!$C:$C,MATCH(A65,'Ride Log'!$A:$A,0))
&amp;CHAR(10)&amp;INDEX(INT(Workouts!$B:$B/60)&amp;":"&amp;RIGHT("00"&amp;MOD(Workouts!$B:$B,60),2),MATCH(INDEX('Ride Log'!$C:$C,MATCH(A65,'Ride Log'!$A:$A,0)),Workouts!$A:$A,0))
&amp;CHAR(10)&amp;INDEX(Workouts!$C:$C,MATCH(INDEX('Ride Log'!$C:$C,MATCH(A65,'Ride Log'!$A:$A,0)),Workouts!$A:$A,0))&amp;" TSS","")</f>
        <v/>
      </c>
    </row>
    <row r="66" spans="1:2" s="109" customFormat="1" ht="50.1" customHeight="1" x14ac:dyDescent="0.2">
      <c r="A66" s="110">
        <f t="shared" si="0"/>
        <v>44261</v>
      </c>
      <c r="B66" s="109" t="str">
        <f>_xlfn.IFNA(INDEX('Ride Log'!$C:$C,MATCH(A66,'Ride Log'!$A:$A,0))
&amp;CHAR(10)&amp;INDEX(INT(Workouts!$B:$B/60)&amp;":"&amp;RIGHT("00"&amp;MOD(Workouts!$B:$B,60),2),MATCH(INDEX('Ride Log'!$C:$C,MATCH(A66,'Ride Log'!$A:$A,0)),Workouts!$A:$A,0))
&amp;CHAR(10)&amp;INDEX(Workouts!$C:$C,MATCH(INDEX('Ride Log'!$C:$C,MATCH(A66,'Ride Log'!$A:$A,0)),Workouts!$A:$A,0))&amp;" TSS","")</f>
        <v/>
      </c>
    </row>
    <row r="67" spans="1:2" s="109" customFormat="1" ht="50.1" customHeight="1" x14ac:dyDescent="0.2">
      <c r="A67" s="110">
        <f t="shared" si="0"/>
        <v>44262</v>
      </c>
      <c r="B67" s="109" t="str">
        <f>_xlfn.IFNA(INDEX('Ride Log'!$C:$C,MATCH(A67,'Ride Log'!$A:$A,0))
&amp;CHAR(10)&amp;INDEX(INT(Workouts!$B:$B/60)&amp;":"&amp;RIGHT("00"&amp;MOD(Workouts!$B:$B,60),2),MATCH(INDEX('Ride Log'!$C:$C,MATCH(A67,'Ride Log'!$A:$A,0)),Workouts!$A:$A,0))
&amp;CHAR(10)&amp;INDEX(Workouts!$C:$C,MATCH(INDEX('Ride Log'!$C:$C,MATCH(A67,'Ride Log'!$A:$A,0)),Workouts!$A:$A,0))&amp;" TSS","")</f>
        <v/>
      </c>
    </row>
    <row r="68" spans="1:2" s="109" customFormat="1" ht="50.1" customHeight="1" x14ac:dyDescent="0.2">
      <c r="A68" s="110">
        <f t="shared" ref="A68:A131" si="1">A67+1</f>
        <v>44263</v>
      </c>
      <c r="B68" s="109" t="str">
        <f>_xlfn.IFNA(INDEX('Ride Log'!$C:$C,MATCH(A68,'Ride Log'!$A:$A,0))
&amp;CHAR(10)&amp;INDEX(INT(Workouts!$B:$B/60)&amp;":"&amp;RIGHT("00"&amp;MOD(Workouts!$B:$B,60),2),MATCH(INDEX('Ride Log'!$C:$C,MATCH(A68,'Ride Log'!$A:$A,0)),Workouts!$A:$A,0))
&amp;CHAR(10)&amp;INDEX(Workouts!$C:$C,MATCH(INDEX('Ride Log'!$C:$C,MATCH(A68,'Ride Log'!$A:$A,0)),Workouts!$A:$A,0))&amp;" TSS","")</f>
        <v/>
      </c>
    </row>
    <row r="69" spans="1:2" s="109" customFormat="1" ht="50.1" customHeight="1" x14ac:dyDescent="0.2">
      <c r="A69" s="110">
        <f t="shared" si="1"/>
        <v>44264</v>
      </c>
      <c r="B69" s="109" t="str">
        <f>_xlfn.IFNA(INDEX('Ride Log'!$C:$C,MATCH(A69,'Ride Log'!$A:$A,0))
&amp;CHAR(10)&amp;INDEX(INT(Workouts!$B:$B/60)&amp;":"&amp;RIGHT("00"&amp;MOD(Workouts!$B:$B,60),2),MATCH(INDEX('Ride Log'!$C:$C,MATCH(A69,'Ride Log'!$A:$A,0)),Workouts!$A:$A,0))
&amp;CHAR(10)&amp;INDEX(Workouts!$C:$C,MATCH(INDEX('Ride Log'!$C:$C,MATCH(A69,'Ride Log'!$A:$A,0)),Workouts!$A:$A,0))&amp;" TSS","")</f>
        <v/>
      </c>
    </row>
    <row r="70" spans="1:2" s="109" customFormat="1" ht="50.1" customHeight="1" x14ac:dyDescent="0.2">
      <c r="A70" s="110">
        <f t="shared" si="1"/>
        <v>44265</v>
      </c>
      <c r="B70" s="109" t="str">
        <f>_xlfn.IFNA(INDEX('Ride Log'!$C:$C,MATCH(A70,'Ride Log'!$A:$A,0))
&amp;CHAR(10)&amp;INDEX(INT(Workouts!$B:$B/60)&amp;":"&amp;RIGHT("00"&amp;MOD(Workouts!$B:$B,60),2),MATCH(INDEX('Ride Log'!$C:$C,MATCH(A70,'Ride Log'!$A:$A,0)),Workouts!$A:$A,0))
&amp;CHAR(10)&amp;INDEX(Workouts!$C:$C,MATCH(INDEX('Ride Log'!$C:$C,MATCH(A70,'Ride Log'!$A:$A,0)),Workouts!$A:$A,0))&amp;" TSS","")</f>
        <v/>
      </c>
    </row>
    <row r="71" spans="1:2" s="109" customFormat="1" ht="50.1" customHeight="1" x14ac:dyDescent="0.2">
      <c r="A71" s="110">
        <f t="shared" si="1"/>
        <v>44266</v>
      </c>
      <c r="B71" s="109" t="str">
        <f>_xlfn.IFNA(INDEX('Ride Log'!$C:$C,MATCH(A71,'Ride Log'!$A:$A,0))
&amp;CHAR(10)&amp;INDEX(INT(Workouts!$B:$B/60)&amp;":"&amp;RIGHT("00"&amp;MOD(Workouts!$B:$B,60),2),MATCH(INDEX('Ride Log'!$C:$C,MATCH(A71,'Ride Log'!$A:$A,0)),Workouts!$A:$A,0))
&amp;CHAR(10)&amp;INDEX(Workouts!$C:$C,MATCH(INDEX('Ride Log'!$C:$C,MATCH(A71,'Ride Log'!$A:$A,0)),Workouts!$A:$A,0))&amp;" TSS","")</f>
        <v/>
      </c>
    </row>
    <row r="72" spans="1:2" s="109" customFormat="1" ht="50.1" customHeight="1" x14ac:dyDescent="0.2">
      <c r="A72" s="110">
        <f t="shared" si="1"/>
        <v>44267</v>
      </c>
      <c r="B72" s="109" t="str">
        <f>_xlfn.IFNA(INDEX('Ride Log'!$C:$C,MATCH(A72,'Ride Log'!$A:$A,0))
&amp;CHAR(10)&amp;INDEX(INT(Workouts!$B:$B/60)&amp;":"&amp;RIGHT("00"&amp;MOD(Workouts!$B:$B,60),2),MATCH(INDEX('Ride Log'!$C:$C,MATCH(A72,'Ride Log'!$A:$A,0)),Workouts!$A:$A,0))
&amp;CHAR(10)&amp;INDEX(Workouts!$C:$C,MATCH(INDEX('Ride Log'!$C:$C,MATCH(A72,'Ride Log'!$A:$A,0)),Workouts!$A:$A,0))&amp;" TSS","")</f>
        <v/>
      </c>
    </row>
    <row r="73" spans="1:2" s="109" customFormat="1" ht="50.1" customHeight="1" x14ac:dyDescent="0.2">
      <c r="A73" s="110">
        <f t="shared" si="1"/>
        <v>44268</v>
      </c>
      <c r="B73" s="109" t="str">
        <f>_xlfn.IFNA(INDEX('Ride Log'!$C:$C,MATCH(A73,'Ride Log'!$A:$A,0))
&amp;CHAR(10)&amp;INDEX(INT(Workouts!$B:$B/60)&amp;":"&amp;RIGHT("00"&amp;MOD(Workouts!$B:$B,60),2),MATCH(INDEX('Ride Log'!$C:$C,MATCH(A73,'Ride Log'!$A:$A,0)),Workouts!$A:$A,0))
&amp;CHAR(10)&amp;INDEX(Workouts!$C:$C,MATCH(INDEX('Ride Log'!$C:$C,MATCH(A73,'Ride Log'!$A:$A,0)),Workouts!$A:$A,0))&amp;" TSS","")</f>
        <v/>
      </c>
    </row>
    <row r="74" spans="1:2" s="109" customFormat="1" ht="50.1" customHeight="1" x14ac:dyDescent="0.2">
      <c r="A74" s="110">
        <f t="shared" si="1"/>
        <v>44269</v>
      </c>
      <c r="B74" s="109" t="str">
        <f>_xlfn.IFNA(INDEX('Ride Log'!$C:$C,MATCH(A74,'Ride Log'!$A:$A,0))
&amp;CHAR(10)&amp;INDEX(INT(Workouts!$B:$B/60)&amp;":"&amp;RIGHT("00"&amp;MOD(Workouts!$B:$B,60),2),MATCH(INDEX('Ride Log'!$C:$C,MATCH(A74,'Ride Log'!$A:$A,0)),Workouts!$A:$A,0))
&amp;CHAR(10)&amp;INDEX(Workouts!$C:$C,MATCH(INDEX('Ride Log'!$C:$C,MATCH(A74,'Ride Log'!$A:$A,0)),Workouts!$A:$A,0))&amp;" TSS","")</f>
        <v/>
      </c>
    </row>
    <row r="75" spans="1:2" s="109" customFormat="1" ht="50.1" customHeight="1" x14ac:dyDescent="0.2">
      <c r="A75" s="110">
        <f t="shared" si="1"/>
        <v>44270</v>
      </c>
      <c r="B75" s="109" t="str">
        <f>_xlfn.IFNA(INDEX('Ride Log'!$C:$C,MATCH(A75,'Ride Log'!$A:$A,0))
&amp;CHAR(10)&amp;INDEX(INT(Workouts!$B:$B/60)&amp;":"&amp;RIGHT("00"&amp;MOD(Workouts!$B:$B,60),2),MATCH(INDEX('Ride Log'!$C:$C,MATCH(A75,'Ride Log'!$A:$A,0)),Workouts!$A:$A,0))
&amp;CHAR(10)&amp;INDEX(Workouts!$C:$C,MATCH(INDEX('Ride Log'!$C:$C,MATCH(A75,'Ride Log'!$A:$A,0)),Workouts!$A:$A,0))&amp;" TSS","")</f>
        <v/>
      </c>
    </row>
    <row r="76" spans="1:2" s="109" customFormat="1" ht="50.1" customHeight="1" x14ac:dyDescent="0.2">
      <c r="A76" s="110">
        <f t="shared" si="1"/>
        <v>44271</v>
      </c>
      <c r="B76" s="109" t="str">
        <f>_xlfn.IFNA(INDEX('Ride Log'!$C:$C,MATCH(A76,'Ride Log'!$A:$A,0))
&amp;CHAR(10)&amp;INDEX(INT(Workouts!$B:$B/60)&amp;":"&amp;RIGHT("00"&amp;MOD(Workouts!$B:$B,60),2),MATCH(INDEX('Ride Log'!$C:$C,MATCH(A76,'Ride Log'!$A:$A,0)),Workouts!$A:$A,0))
&amp;CHAR(10)&amp;INDEX(Workouts!$C:$C,MATCH(INDEX('Ride Log'!$C:$C,MATCH(A76,'Ride Log'!$A:$A,0)),Workouts!$A:$A,0))&amp;" TSS","")</f>
        <v/>
      </c>
    </row>
    <row r="77" spans="1:2" s="109" customFormat="1" ht="50.1" customHeight="1" x14ac:dyDescent="0.2">
      <c r="A77" s="110">
        <f t="shared" si="1"/>
        <v>44272</v>
      </c>
      <c r="B77" s="109" t="str">
        <f>_xlfn.IFNA(INDEX('Ride Log'!$C:$C,MATCH(A77,'Ride Log'!$A:$A,0))
&amp;CHAR(10)&amp;INDEX(INT(Workouts!$B:$B/60)&amp;":"&amp;RIGHT("00"&amp;MOD(Workouts!$B:$B,60),2),MATCH(INDEX('Ride Log'!$C:$C,MATCH(A77,'Ride Log'!$A:$A,0)),Workouts!$A:$A,0))
&amp;CHAR(10)&amp;INDEX(Workouts!$C:$C,MATCH(INDEX('Ride Log'!$C:$C,MATCH(A77,'Ride Log'!$A:$A,0)),Workouts!$A:$A,0))&amp;" TSS","")</f>
        <v/>
      </c>
    </row>
    <row r="78" spans="1:2" s="109" customFormat="1" ht="50.1" customHeight="1" x14ac:dyDescent="0.2">
      <c r="A78" s="110">
        <f t="shared" si="1"/>
        <v>44273</v>
      </c>
      <c r="B78" s="109" t="str">
        <f>_xlfn.IFNA(INDEX('Ride Log'!$C:$C,MATCH(A78,'Ride Log'!$A:$A,0))
&amp;CHAR(10)&amp;INDEX(INT(Workouts!$B:$B/60)&amp;":"&amp;RIGHT("00"&amp;MOD(Workouts!$B:$B,60),2),MATCH(INDEX('Ride Log'!$C:$C,MATCH(A78,'Ride Log'!$A:$A,0)),Workouts!$A:$A,0))
&amp;CHAR(10)&amp;INDEX(Workouts!$C:$C,MATCH(INDEX('Ride Log'!$C:$C,MATCH(A78,'Ride Log'!$A:$A,0)),Workouts!$A:$A,0))&amp;" TSS","")</f>
        <v/>
      </c>
    </row>
    <row r="79" spans="1:2" s="109" customFormat="1" ht="50.1" customHeight="1" x14ac:dyDescent="0.2">
      <c r="A79" s="110">
        <f t="shared" si="1"/>
        <v>44274</v>
      </c>
      <c r="B79" s="109" t="str">
        <f>_xlfn.IFNA(INDEX('Ride Log'!$C:$C,MATCH(A79,'Ride Log'!$A:$A,0))
&amp;CHAR(10)&amp;INDEX(INT(Workouts!$B:$B/60)&amp;":"&amp;RIGHT("00"&amp;MOD(Workouts!$B:$B,60),2),MATCH(INDEX('Ride Log'!$C:$C,MATCH(A79,'Ride Log'!$A:$A,0)),Workouts!$A:$A,0))
&amp;CHAR(10)&amp;INDEX(Workouts!$C:$C,MATCH(INDEX('Ride Log'!$C:$C,MATCH(A79,'Ride Log'!$A:$A,0)),Workouts!$A:$A,0))&amp;" TSS","")</f>
        <v/>
      </c>
    </row>
    <row r="80" spans="1:2" s="109" customFormat="1" ht="50.1" customHeight="1" x14ac:dyDescent="0.2">
      <c r="A80" s="110">
        <f t="shared" si="1"/>
        <v>44275</v>
      </c>
      <c r="B80" s="109" t="str">
        <f>_xlfn.IFNA(INDEX('Ride Log'!$C:$C,MATCH(A80,'Ride Log'!$A:$A,0))
&amp;CHAR(10)&amp;INDEX(INT(Workouts!$B:$B/60)&amp;":"&amp;RIGHT("00"&amp;MOD(Workouts!$B:$B,60),2),MATCH(INDEX('Ride Log'!$C:$C,MATCH(A80,'Ride Log'!$A:$A,0)),Workouts!$A:$A,0))
&amp;CHAR(10)&amp;INDEX(Workouts!$C:$C,MATCH(INDEX('Ride Log'!$C:$C,MATCH(A80,'Ride Log'!$A:$A,0)),Workouts!$A:$A,0))&amp;" TSS","")</f>
        <v/>
      </c>
    </row>
    <row r="81" spans="1:2" s="109" customFormat="1" ht="50.1" customHeight="1" x14ac:dyDescent="0.2">
      <c r="A81" s="110">
        <f t="shared" si="1"/>
        <v>44276</v>
      </c>
      <c r="B81" s="109" t="str">
        <f>_xlfn.IFNA(INDEX('Ride Log'!$C:$C,MATCH(A81,'Ride Log'!$A:$A,0))
&amp;CHAR(10)&amp;INDEX(INT(Workouts!$B:$B/60)&amp;":"&amp;RIGHT("00"&amp;MOD(Workouts!$B:$B,60),2),MATCH(INDEX('Ride Log'!$C:$C,MATCH(A81,'Ride Log'!$A:$A,0)),Workouts!$A:$A,0))
&amp;CHAR(10)&amp;INDEX(Workouts!$C:$C,MATCH(INDEX('Ride Log'!$C:$C,MATCH(A81,'Ride Log'!$A:$A,0)),Workouts!$A:$A,0))&amp;" TSS","")</f>
        <v/>
      </c>
    </row>
    <row r="82" spans="1:2" s="109" customFormat="1" ht="50.1" customHeight="1" x14ac:dyDescent="0.2">
      <c r="A82" s="110">
        <f t="shared" si="1"/>
        <v>44277</v>
      </c>
      <c r="B82" s="109" t="str">
        <f>_xlfn.IFNA(INDEX('Ride Log'!$C:$C,MATCH(A82,'Ride Log'!$A:$A,0))
&amp;CHAR(10)&amp;INDEX(INT(Workouts!$B:$B/60)&amp;":"&amp;RIGHT("00"&amp;MOD(Workouts!$B:$B,60),2),MATCH(INDEX('Ride Log'!$C:$C,MATCH(A82,'Ride Log'!$A:$A,0)),Workouts!$A:$A,0))
&amp;CHAR(10)&amp;INDEX(Workouts!$C:$C,MATCH(INDEX('Ride Log'!$C:$C,MATCH(A82,'Ride Log'!$A:$A,0)),Workouts!$A:$A,0))&amp;" TSS","")</f>
        <v/>
      </c>
    </row>
    <row r="83" spans="1:2" s="109" customFormat="1" ht="50.1" customHeight="1" x14ac:dyDescent="0.2">
      <c r="A83" s="110">
        <f t="shared" si="1"/>
        <v>44278</v>
      </c>
      <c r="B83" s="109" t="str">
        <f>_xlfn.IFNA(INDEX('Ride Log'!$C:$C,MATCH(A83,'Ride Log'!$A:$A,0))
&amp;CHAR(10)&amp;INDEX(INT(Workouts!$B:$B/60)&amp;":"&amp;RIGHT("00"&amp;MOD(Workouts!$B:$B,60),2),MATCH(INDEX('Ride Log'!$C:$C,MATCH(A83,'Ride Log'!$A:$A,0)),Workouts!$A:$A,0))
&amp;CHAR(10)&amp;INDEX(Workouts!$C:$C,MATCH(INDEX('Ride Log'!$C:$C,MATCH(A83,'Ride Log'!$A:$A,0)),Workouts!$A:$A,0))&amp;" TSS","")</f>
        <v/>
      </c>
    </row>
    <row r="84" spans="1:2" s="109" customFormat="1" ht="50.1" customHeight="1" x14ac:dyDescent="0.2">
      <c r="A84" s="110">
        <f t="shared" si="1"/>
        <v>44279</v>
      </c>
      <c r="B84" s="109" t="str">
        <f>_xlfn.IFNA(INDEX('Ride Log'!$C:$C,MATCH(A84,'Ride Log'!$A:$A,0))
&amp;CHAR(10)&amp;INDEX(INT(Workouts!$B:$B/60)&amp;":"&amp;RIGHT("00"&amp;MOD(Workouts!$B:$B,60),2),MATCH(INDEX('Ride Log'!$C:$C,MATCH(A84,'Ride Log'!$A:$A,0)),Workouts!$A:$A,0))
&amp;CHAR(10)&amp;INDEX(Workouts!$C:$C,MATCH(INDEX('Ride Log'!$C:$C,MATCH(A84,'Ride Log'!$A:$A,0)),Workouts!$A:$A,0))&amp;" TSS","")</f>
        <v/>
      </c>
    </row>
    <row r="85" spans="1:2" s="109" customFormat="1" ht="50.1" customHeight="1" x14ac:dyDescent="0.2">
      <c r="A85" s="110">
        <f t="shared" si="1"/>
        <v>44280</v>
      </c>
      <c r="B85" s="109" t="str">
        <f>_xlfn.IFNA(INDEX('Ride Log'!$C:$C,MATCH(A85,'Ride Log'!$A:$A,0))
&amp;CHAR(10)&amp;INDEX(INT(Workouts!$B:$B/60)&amp;":"&amp;RIGHT("00"&amp;MOD(Workouts!$B:$B,60),2),MATCH(INDEX('Ride Log'!$C:$C,MATCH(A85,'Ride Log'!$A:$A,0)),Workouts!$A:$A,0))
&amp;CHAR(10)&amp;INDEX(Workouts!$C:$C,MATCH(INDEX('Ride Log'!$C:$C,MATCH(A85,'Ride Log'!$A:$A,0)),Workouts!$A:$A,0))&amp;" TSS","")</f>
        <v/>
      </c>
    </row>
    <row r="86" spans="1:2" s="109" customFormat="1" ht="50.1" customHeight="1" x14ac:dyDescent="0.2">
      <c r="A86" s="110">
        <f t="shared" si="1"/>
        <v>44281</v>
      </c>
      <c r="B86" s="109" t="str">
        <f>_xlfn.IFNA(INDEX('Ride Log'!$C:$C,MATCH(A86,'Ride Log'!$A:$A,0))
&amp;CHAR(10)&amp;INDEX(INT(Workouts!$B:$B/60)&amp;":"&amp;RIGHT("00"&amp;MOD(Workouts!$B:$B,60),2),MATCH(INDEX('Ride Log'!$C:$C,MATCH(A86,'Ride Log'!$A:$A,0)),Workouts!$A:$A,0))
&amp;CHAR(10)&amp;INDEX(Workouts!$C:$C,MATCH(INDEX('Ride Log'!$C:$C,MATCH(A86,'Ride Log'!$A:$A,0)),Workouts!$A:$A,0))&amp;" TSS","")</f>
        <v/>
      </c>
    </row>
    <row r="87" spans="1:2" s="109" customFormat="1" ht="50.1" customHeight="1" x14ac:dyDescent="0.2">
      <c r="A87" s="110">
        <f t="shared" si="1"/>
        <v>44282</v>
      </c>
      <c r="B87" s="109" t="str">
        <f>_xlfn.IFNA(INDEX('Ride Log'!$C:$C,MATCH(A87,'Ride Log'!$A:$A,0))
&amp;CHAR(10)&amp;INDEX(INT(Workouts!$B:$B/60)&amp;":"&amp;RIGHT("00"&amp;MOD(Workouts!$B:$B,60),2),MATCH(INDEX('Ride Log'!$C:$C,MATCH(A87,'Ride Log'!$A:$A,0)),Workouts!$A:$A,0))
&amp;CHAR(10)&amp;INDEX(Workouts!$C:$C,MATCH(INDEX('Ride Log'!$C:$C,MATCH(A87,'Ride Log'!$A:$A,0)),Workouts!$A:$A,0))&amp;" TSS","")</f>
        <v/>
      </c>
    </row>
    <row r="88" spans="1:2" s="109" customFormat="1" ht="50.1" customHeight="1" x14ac:dyDescent="0.2">
      <c r="A88" s="110">
        <f t="shared" si="1"/>
        <v>44283</v>
      </c>
      <c r="B88" s="109" t="str">
        <f>_xlfn.IFNA(INDEX('Ride Log'!$C:$C,MATCH(A88,'Ride Log'!$A:$A,0))
&amp;CHAR(10)&amp;INDEX(INT(Workouts!$B:$B/60)&amp;":"&amp;RIGHT("00"&amp;MOD(Workouts!$B:$B,60),2),MATCH(INDEX('Ride Log'!$C:$C,MATCH(A88,'Ride Log'!$A:$A,0)),Workouts!$A:$A,0))
&amp;CHAR(10)&amp;INDEX(Workouts!$C:$C,MATCH(INDEX('Ride Log'!$C:$C,MATCH(A88,'Ride Log'!$A:$A,0)),Workouts!$A:$A,0))&amp;" TSS","")</f>
        <v/>
      </c>
    </row>
    <row r="89" spans="1:2" s="109" customFormat="1" ht="50.1" customHeight="1" x14ac:dyDescent="0.2">
      <c r="A89" s="110">
        <f t="shared" si="1"/>
        <v>44284</v>
      </c>
      <c r="B89" s="109" t="str">
        <f>_xlfn.IFNA(INDEX('Ride Log'!$C:$C,MATCH(A89,'Ride Log'!$A:$A,0))
&amp;CHAR(10)&amp;INDEX(INT(Workouts!$B:$B/60)&amp;":"&amp;RIGHT("00"&amp;MOD(Workouts!$B:$B,60),2),MATCH(INDEX('Ride Log'!$C:$C,MATCH(A89,'Ride Log'!$A:$A,0)),Workouts!$A:$A,0))
&amp;CHAR(10)&amp;INDEX(Workouts!$C:$C,MATCH(INDEX('Ride Log'!$C:$C,MATCH(A89,'Ride Log'!$A:$A,0)),Workouts!$A:$A,0))&amp;" TSS","")</f>
        <v/>
      </c>
    </row>
    <row r="90" spans="1:2" s="109" customFormat="1" ht="50.1" customHeight="1" x14ac:dyDescent="0.2">
      <c r="A90" s="110">
        <f t="shared" si="1"/>
        <v>44285</v>
      </c>
      <c r="B90" s="109" t="str">
        <f>_xlfn.IFNA(INDEX('Ride Log'!$C:$C,MATCH(A90,'Ride Log'!$A:$A,0))
&amp;CHAR(10)&amp;INDEX(INT(Workouts!$B:$B/60)&amp;":"&amp;RIGHT("00"&amp;MOD(Workouts!$B:$B,60),2),MATCH(INDEX('Ride Log'!$C:$C,MATCH(A90,'Ride Log'!$A:$A,0)),Workouts!$A:$A,0))
&amp;CHAR(10)&amp;INDEX(Workouts!$C:$C,MATCH(INDEX('Ride Log'!$C:$C,MATCH(A90,'Ride Log'!$A:$A,0)),Workouts!$A:$A,0))&amp;" TSS","")</f>
        <v/>
      </c>
    </row>
    <row r="91" spans="1:2" s="109" customFormat="1" ht="50.1" customHeight="1" x14ac:dyDescent="0.2">
      <c r="A91" s="110">
        <f t="shared" si="1"/>
        <v>44286</v>
      </c>
      <c r="B91" s="109" t="str">
        <f>_xlfn.IFNA(INDEX('Ride Log'!$C:$C,MATCH(A91,'Ride Log'!$A:$A,0))
&amp;CHAR(10)&amp;INDEX(INT(Workouts!$B:$B/60)&amp;":"&amp;RIGHT("00"&amp;MOD(Workouts!$B:$B,60),2),MATCH(INDEX('Ride Log'!$C:$C,MATCH(A91,'Ride Log'!$A:$A,0)),Workouts!$A:$A,0))
&amp;CHAR(10)&amp;INDEX(Workouts!$C:$C,MATCH(INDEX('Ride Log'!$C:$C,MATCH(A91,'Ride Log'!$A:$A,0)),Workouts!$A:$A,0))&amp;" TSS","")</f>
        <v/>
      </c>
    </row>
    <row r="92" spans="1:2" s="109" customFormat="1" ht="50.1" customHeight="1" x14ac:dyDescent="0.2">
      <c r="A92" s="110">
        <f t="shared" si="1"/>
        <v>44287</v>
      </c>
      <c r="B92" s="109" t="str">
        <f>_xlfn.IFNA(INDEX('Ride Log'!$C:$C,MATCH(A92,'Ride Log'!$A:$A,0))
&amp;CHAR(10)&amp;INDEX(INT(Workouts!$B:$B/60)&amp;":"&amp;RIGHT("00"&amp;MOD(Workouts!$B:$B,60),2),MATCH(INDEX('Ride Log'!$C:$C,MATCH(A92,'Ride Log'!$A:$A,0)),Workouts!$A:$A,0))
&amp;CHAR(10)&amp;INDEX(Workouts!$C:$C,MATCH(INDEX('Ride Log'!$C:$C,MATCH(A92,'Ride Log'!$A:$A,0)),Workouts!$A:$A,0))&amp;" TSS","")</f>
        <v/>
      </c>
    </row>
    <row r="93" spans="1:2" s="109" customFormat="1" ht="50.1" customHeight="1" x14ac:dyDescent="0.2">
      <c r="A93" s="110">
        <f t="shared" si="1"/>
        <v>44288</v>
      </c>
      <c r="B93" s="109" t="str">
        <f>_xlfn.IFNA(INDEX('Ride Log'!$C:$C,MATCH(A93,'Ride Log'!$A:$A,0))
&amp;CHAR(10)&amp;INDEX(INT(Workouts!$B:$B/60)&amp;":"&amp;RIGHT("00"&amp;MOD(Workouts!$B:$B,60),2),MATCH(INDEX('Ride Log'!$C:$C,MATCH(A93,'Ride Log'!$A:$A,0)),Workouts!$A:$A,0))
&amp;CHAR(10)&amp;INDEX(Workouts!$C:$C,MATCH(INDEX('Ride Log'!$C:$C,MATCH(A93,'Ride Log'!$A:$A,0)),Workouts!$A:$A,0))&amp;" TSS","")</f>
        <v/>
      </c>
    </row>
    <row r="94" spans="1:2" s="109" customFormat="1" ht="50.1" customHeight="1" x14ac:dyDescent="0.2">
      <c r="A94" s="110">
        <f t="shared" si="1"/>
        <v>44289</v>
      </c>
      <c r="B94" s="109" t="str">
        <f>_xlfn.IFNA(INDEX('Ride Log'!$C:$C,MATCH(A94,'Ride Log'!$A:$A,0))
&amp;CHAR(10)&amp;INDEX(INT(Workouts!$B:$B/60)&amp;":"&amp;RIGHT("00"&amp;MOD(Workouts!$B:$B,60),2),MATCH(INDEX('Ride Log'!$C:$C,MATCH(A94,'Ride Log'!$A:$A,0)),Workouts!$A:$A,0))
&amp;CHAR(10)&amp;INDEX(Workouts!$C:$C,MATCH(INDEX('Ride Log'!$C:$C,MATCH(A94,'Ride Log'!$A:$A,0)),Workouts!$A:$A,0))&amp;" TSS","")</f>
        <v/>
      </c>
    </row>
    <row r="95" spans="1:2" s="109" customFormat="1" ht="50.1" customHeight="1" x14ac:dyDescent="0.2">
      <c r="A95" s="110">
        <f t="shared" si="1"/>
        <v>44290</v>
      </c>
      <c r="B95" s="109" t="str">
        <f>_xlfn.IFNA(INDEX('Ride Log'!$C:$C,MATCH(A95,'Ride Log'!$A:$A,0))
&amp;CHAR(10)&amp;INDEX(INT(Workouts!$B:$B/60)&amp;":"&amp;RIGHT("00"&amp;MOD(Workouts!$B:$B,60),2),MATCH(INDEX('Ride Log'!$C:$C,MATCH(A95,'Ride Log'!$A:$A,0)),Workouts!$A:$A,0))
&amp;CHAR(10)&amp;INDEX(Workouts!$C:$C,MATCH(INDEX('Ride Log'!$C:$C,MATCH(A95,'Ride Log'!$A:$A,0)),Workouts!$A:$A,0))&amp;" TSS","")</f>
        <v/>
      </c>
    </row>
    <row r="96" spans="1:2" s="109" customFormat="1" ht="50.1" customHeight="1" x14ac:dyDescent="0.2">
      <c r="A96" s="110">
        <f t="shared" si="1"/>
        <v>44291</v>
      </c>
      <c r="B96" s="109" t="str">
        <f>_xlfn.IFNA(INDEX('Ride Log'!$C:$C,MATCH(A96,'Ride Log'!$A:$A,0))
&amp;CHAR(10)&amp;INDEX(INT(Workouts!$B:$B/60)&amp;":"&amp;RIGHT("00"&amp;MOD(Workouts!$B:$B,60),2),MATCH(INDEX('Ride Log'!$C:$C,MATCH(A96,'Ride Log'!$A:$A,0)),Workouts!$A:$A,0))
&amp;CHAR(10)&amp;INDEX(Workouts!$C:$C,MATCH(INDEX('Ride Log'!$C:$C,MATCH(A96,'Ride Log'!$A:$A,0)),Workouts!$A:$A,0))&amp;" TSS","")</f>
        <v/>
      </c>
    </row>
    <row r="97" spans="1:2" s="109" customFormat="1" ht="50.1" customHeight="1" x14ac:dyDescent="0.2">
      <c r="A97" s="110">
        <f t="shared" si="1"/>
        <v>44292</v>
      </c>
      <c r="B97" s="109" t="str">
        <f>_xlfn.IFNA(INDEX('Ride Log'!$C:$C,MATCH(A97,'Ride Log'!$A:$A,0))
&amp;CHAR(10)&amp;INDEX(INT(Workouts!$B:$B/60)&amp;":"&amp;RIGHT("00"&amp;MOD(Workouts!$B:$B,60),2),MATCH(INDEX('Ride Log'!$C:$C,MATCH(A97,'Ride Log'!$A:$A,0)),Workouts!$A:$A,0))
&amp;CHAR(10)&amp;INDEX(Workouts!$C:$C,MATCH(INDEX('Ride Log'!$C:$C,MATCH(A97,'Ride Log'!$A:$A,0)),Workouts!$A:$A,0))&amp;" TSS","")</f>
        <v/>
      </c>
    </row>
    <row r="98" spans="1:2" s="109" customFormat="1" ht="50.1" customHeight="1" x14ac:dyDescent="0.2">
      <c r="A98" s="110">
        <f t="shared" si="1"/>
        <v>44293</v>
      </c>
      <c r="B98" s="109" t="str">
        <f>_xlfn.IFNA(INDEX('Ride Log'!$C:$C,MATCH(A98,'Ride Log'!$A:$A,0))
&amp;CHAR(10)&amp;INDEX(INT(Workouts!$B:$B/60)&amp;":"&amp;RIGHT("00"&amp;MOD(Workouts!$B:$B,60),2),MATCH(INDEX('Ride Log'!$C:$C,MATCH(A98,'Ride Log'!$A:$A,0)),Workouts!$A:$A,0))
&amp;CHAR(10)&amp;INDEX(Workouts!$C:$C,MATCH(INDEX('Ride Log'!$C:$C,MATCH(A98,'Ride Log'!$A:$A,0)),Workouts!$A:$A,0))&amp;" TSS","")</f>
        <v/>
      </c>
    </row>
    <row r="99" spans="1:2" s="109" customFormat="1" ht="50.1" customHeight="1" x14ac:dyDescent="0.2">
      <c r="A99" s="110">
        <f t="shared" si="1"/>
        <v>44294</v>
      </c>
      <c r="B99" s="109" t="str">
        <f>_xlfn.IFNA(INDEX('Ride Log'!$C:$C,MATCH(A99,'Ride Log'!$A:$A,0))
&amp;CHAR(10)&amp;INDEX(INT(Workouts!$B:$B/60)&amp;":"&amp;RIGHT("00"&amp;MOD(Workouts!$B:$B,60),2),MATCH(INDEX('Ride Log'!$C:$C,MATCH(A99,'Ride Log'!$A:$A,0)),Workouts!$A:$A,0))
&amp;CHAR(10)&amp;INDEX(Workouts!$C:$C,MATCH(INDEX('Ride Log'!$C:$C,MATCH(A99,'Ride Log'!$A:$A,0)),Workouts!$A:$A,0))&amp;" TSS","")</f>
        <v/>
      </c>
    </row>
    <row r="100" spans="1:2" s="109" customFormat="1" ht="50.1" customHeight="1" x14ac:dyDescent="0.2">
      <c r="A100" s="110">
        <f t="shared" si="1"/>
        <v>44295</v>
      </c>
      <c r="B100" s="109" t="str">
        <f>_xlfn.IFNA(INDEX('Ride Log'!$C:$C,MATCH(A100,'Ride Log'!$A:$A,0))
&amp;CHAR(10)&amp;INDEX(INT(Workouts!$B:$B/60)&amp;":"&amp;RIGHT("00"&amp;MOD(Workouts!$B:$B,60),2),MATCH(INDEX('Ride Log'!$C:$C,MATCH(A100,'Ride Log'!$A:$A,0)),Workouts!$A:$A,0))
&amp;CHAR(10)&amp;INDEX(Workouts!$C:$C,MATCH(INDEX('Ride Log'!$C:$C,MATCH(A100,'Ride Log'!$A:$A,0)),Workouts!$A:$A,0))&amp;" TSS","")</f>
        <v/>
      </c>
    </row>
    <row r="101" spans="1:2" s="109" customFormat="1" ht="50.1" customHeight="1" x14ac:dyDescent="0.2">
      <c r="A101" s="110">
        <f t="shared" si="1"/>
        <v>44296</v>
      </c>
      <c r="B101" s="109" t="str">
        <f>_xlfn.IFNA(INDEX('Ride Log'!$C:$C,MATCH(A101,'Ride Log'!$A:$A,0))
&amp;CHAR(10)&amp;INDEX(INT(Workouts!$B:$B/60)&amp;":"&amp;RIGHT("00"&amp;MOD(Workouts!$B:$B,60),2),MATCH(INDEX('Ride Log'!$C:$C,MATCH(A101,'Ride Log'!$A:$A,0)),Workouts!$A:$A,0))
&amp;CHAR(10)&amp;INDEX(Workouts!$C:$C,MATCH(INDEX('Ride Log'!$C:$C,MATCH(A101,'Ride Log'!$A:$A,0)),Workouts!$A:$A,0))&amp;" TSS","")</f>
        <v/>
      </c>
    </row>
    <row r="102" spans="1:2" s="109" customFormat="1" ht="50.1" customHeight="1" x14ac:dyDescent="0.2">
      <c r="A102" s="110">
        <f t="shared" si="1"/>
        <v>44297</v>
      </c>
      <c r="B102" s="109" t="str">
        <f>_xlfn.IFNA(INDEX('Ride Log'!$C:$C,MATCH(A102,'Ride Log'!$A:$A,0))
&amp;CHAR(10)&amp;INDEX(INT(Workouts!$B:$B/60)&amp;":"&amp;RIGHT("00"&amp;MOD(Workouts!$B:$B,60),2),MATCH(INDEX('Ride Log'!$C:$C,MATCH(A102,'Ride Log'!$A:$A,0)),Workouts!$A:$A,0))
&amp;CHAR(10)&amp;INDEX(Workouts!$C:$C,MATCH(INDEX('Ride Log'!$C:$C,MATCH(A102,'Ride Log'!$A:$A,0)),Workouts!$A:$A,0))&amp;" TSS","")</f>
        <v/>
      </c>
    </row>
    <row r="103" spans="1:2" s="109" customFormat="1" ht="50.1" customHeight="1" x14ac:dyDescent="0.2">
      <c r="A103" s="110">
        <f t="shared" si="1"/>
        <v>44298</v>
      </c>
      <c r="B103" s="109" t="str">
        <f>_xlfn.IFNA(INDEX('Ride Log'!$C:$C,MATCH(A103,'Ride Log'!$A:$A,0))
&amp;CHAR(10)&amp;INDEX(INT(Workouts!$B:$B/60)&amp;":"&amp;RIGHT("00"&amp;MOD(Workouts!$B:$B,60),2),MATCH(INDEX('Ride Log'!$C:$C,MATCH(A103,'Ride Log'!$A:$A,0)),Workouts!$A:$A,0))
&amp;CHAR(10)&amp;INDEX(Workouts!$C:$C,MATCH(INDEX('Ride Log'!$C:$C,MATCH(A103,'Ride Log'!$A:$A,0)),Workouts!$A:$A,0))&amp;" TSS","")</f>
        <v/>
      </c>
    </row>
    <row r="104" spans="1:2" s="109" customFormat="1" ht="50.1" customHeight="1" x14ac:dyDescent="0.2">
      <c r="A104" s="110">
        <f t="shared" si="1"/>
        <v>44299</v>
      </c>
      <c r="B104" s="109" t="str">
        <f>_xlfn.IFNA(INDEX('Ride Log'!$C:$C,MATCH(A104,'Ride Log'!$A:$A,0))
&amp;CHAR(10)&amp;INDEX(INT(Workouts!$B:$B/60)&amp;":"&amp;RIGHT("00"&amp;MOD(Workouts!$B:$B,60),2),MATCH(INDEX('Ride Log'!$C:$C,MATCH(A104,'Ride Log'!$A:$A,0)),Workouts!$A:$A,0))
&amp;CHAR(10)&amp;INDEX(Workouts!$C:$C,MATCH(INDEX('Ride Log'!$C:$C,MATCH(A104,'Ride Log'!$A:$A,0)),Workouts!$A:$A,0))&amp;" TSS","")</f>
        <v/>
      </c>
    </row>
    <row r="105" spans="1:2" s="109" customFormat="1" ht="50.1" customHeight="1" x14ac:dyDescent="0.2">
      <c r="A105" s="110">
        <f t="shared" si="1"/>
        <v>44300</v>
      </c>
      <c r="B105" s="109" t="str">
        <f>_xlfn.IFNA(INDEX('Ride Log'!$C:$C,MATCH(A105,'Ride Log'!$A:$A,0))
&amp;CHAR(10)&amp;INDEX(INT(Workouts!$B:$B/60)&amp;":"&amp;RIGHT("00"&amp;MOD(Workouts!$B:$B,60),2),MATCH(INDEX('Ride Log'!$C:$C,MATCH(A105,'Ride Log'!$A:$A,0)),Workouts!$A:$A,0))
&amp;CHAR(10)&amp;INDEX(Workouts!$C:$C,MATCH(INDEX('Ride Log'!$C:$C,MATCH(A105,'Ride Log'!$A:$A,0)),Workouts!$A:$A,0))&amp;" TSS","")</f>
        <v/>
      </c>
    </row>
    <row r="106" spans="1:2" s="109" customFormat="1" ht="50.1" customHeight="1" x14ac:dyDescent="0.2">
      <c r="A106" s="110">
        <f t="shared" si="1"/>
        <v>44301</v>
      </c>
      <c r="B106" s="109" t="str">
        <f>_xlfn.IFNA(INDEX('Ride Log'!$C:$C,MATCH(A106,'Ride Log'!$A:$A,0))
&amp;CHAR(10)&amp;INDEX(INT(Workouts!$B:$B/60)&amp;":"&amp;RIGHT("00"&amp;MOD(Workouts!$B:$B,60),2),MATCH(INDEX('Ride Log'!$C:$C,MATCH(A106,'Ride Log'!$A:$A,0)),Workouts!$A:$A,0))
&amp;CHAR(10)&amp;INDEX(Workouts!$C:$C,MATCH(INDEX('Ride Log'!$C:$C,MATCH(A106,'Ride Log'!$A:$A,0)),Workouts!$A:$A,0))&amp;" TSS","")</f>
        <v/>
      </c>
    </row>
    <row r="107" spans="1:2" s="109" customFormat="1" ht="50.1" customHeight="1" x14ac:dyDescent="0.2">
      <c r="A107" s="110">
        <f t="shared" si="1"/>
        <v>44302</v>
      </c>
      <c r="B107" s="109" t="str">
        <f>_xlfn.IFNA(INDEX('Ride Log'!$C:$C,MATCH(A107,'Ride Log'!$A:$A,0))
&amp;CHAR(10)&amp;INDEX(INT(Workouts!$B:$B/60)&amp;":"&amp;RIGHT("00"&amp;MOD(Workouts!$B:$B,60),2),MATCH(INDEX('Ride Log'!$C:$C,MATCH(A107,'Ride Log'!$A:$A,0)),Workouts!$A:$A,0))
&amp;CHAR(10)&amp;INDEX(Workouts!$C:$C,MATCH(INDEX('Ride Log'!$C:$C,MATCH(A107,'Ride Log'!$A:$A,0)),Workouts!$A:$A,0))&amp;" TSS","")</f>
        <v/>
      </c>
    </row>
    <row r="108" spans="1:2" s="109" customFormat="1" ht="50.1" customHeight="1" x14ac:dyDescent="0.2">
      <c r="A108" s="110">
        <f t="shared" si="1"/>
        <v>44303</v>
      </c>
      <c r="B108" s="109" t="str">
        <f>_xlfn.IFNA(INDEX('Ride Log'!$C:$C,MATCH(A108,'Ride Log'!$A:$A,0))
&amp;CHAR(10)&amp;INDEX(INT(Workouts!$B:$B/60)&amp;":"&amp;RIGHT("00"&amp;MOD(Workouts!$B:$B,60),2),MATCH(INDEX('Ride Log'!$C:$C,MATCH(A108,'Ride Log'!$A:$A,0)),Workouts!$A:$A,0))
&amp;CHAR(10)&amp;INDEX(Workouts!$C:$C,MATCH(INDEX('Ride Log'!$C:$C,MATCH(A108,'Ride Log'!$A:$A,0)),Workouts!$A:$A,0))&amp;" TSS","")</f>
        <v/>
      </c>
    </row>
    <row r="109" spans="1:2" s="109" customFormat="1" ht="50.1" customHeight="1" x14ac:dyDescent="0.2">
      <c r="A109" s="110">
        <f t="shared" si="1"/>
        <v>44304</v>
      </c>
      <c r="B109" s="109" t="str">
        <f>_xlfn.IFNA(INDEX('Ride Log'!$C:$C,MATCH(A109,'Ride Log'!$A:$A,0))
&amp;CHAR(10)&amp;INDEX(INT(Workouts!$B:$B/60)&amp;":"&amp;RIGHT("00"&amp;MOD(Workouts!$B:$B,60),2),MATCH(INDEX('Ride Log'!$C:$C,MATCH(A109,'Ride Log'!$A:$A,0)),Workouts!$A:$A,0))
&amp;CHAR(10)&amp;INDEX(Workouts!$C:$C,MATCH(INDEX('Ride Log'!$C:$C,MATCH(A109,'Ride Log'!$A:$A,0)),Workouts!$A:$A,0))&amp;" TSS","")</f>
        <v/>
      </c>
    </row>
    <row r="110" spans="1:2" s="109" customFormat="1" ht="50.1" customHeight="1" x14ac:dyDescent="0.2">
      <c r="A110" s="110">
        <f t="shared" si="1"/>
        <v>44305</v>
      </c>
      <c r="B110" s="109" t="str">
        <f>_xlfn.IFNA(INDEX('Ride Log'!$C:$C,MATCH(A110,'Ride Log'!$A:$A,0))
&amp;CHAR(10)&amp;INDEX(INT(Workouts!$B:$B/60)&amp;":"&amp;RIGHT("00"&amp;MOD(Workouts!$B:$B,60),2),MATCH(INDEX('Ride Log'!$C:$C,MATCH(A110,'Ride Log'!$A:$A,0)),Workouts!$A:$A,0))
&amp;CHAR(10)&amp;INDEX(Workouts!$C:$C,MATCH(INDEX('Ride Log'!$C:$C,MATCH(A110,'Ride Log'!$A:$A,0)),Workouts!$A:$A,0))&amp;" TSS","")</f>
        <v/>
      </c>
    </row>
    <row r="111" spans="1:2" s="109" customFormat="1" ht="50.1" customHeight="1" x14ac:dyDescent="0.2">
      <c r="A111" s="110">
        <f t="shared" si="1"/>
        <v>44306</v>
      </c>
      <c r="B111" s="109" t="str">
        <f>_xlfn.IFNA(INDEX('Ride Log'!$C:$C,MATCH(A111,'Ride Log'!$A:$A,0))
&amp;CHAR(10)&amp;INDEX(INT(Workouts!$B:$B/60)&amp;":"&amp;RIGHT("00"&amp;MOD(Workouts!$B:$B,60),2),MATCH(INDEX('Ride Log'!$C:$C,MATCH(A111,'Ride Log'!$A:$A,0)),Workouts!$A:$A,0))
&amp;CHAR(10)&amp;INDEX(Workouts!$C:$C,MATCH(INDEX('Ride Log'!$C:$C,MATCH(A111,'Ride Log'!$A:$A,0)),Workouts!$A:$A,0))&amp;" TSS","")</f>
        <v/>
      </c>
    </row>
    <row r="112" spans="1:2" s="109" customFormat="1" ht="50.1" customHeight="1" x14ac:dyDescent="0.2">
      <c r="A112" s="110">
        <f t="shared" si="1"/>
        <v>44307</v>
      </c>
      <c r="B112" s="109" t="str">
        <f>_xlfn.IFNA(INDEX('Ride Log'!$C:$C,MATCH(A112,'Ride Log'!$A:$A,0))
&amp;CHAR(10)&amp;INDEX(INT(Workouts!$B:$B/60)&amp;":"&amp;RIGHT("00"&amp;MOD(Workouts!$B:$B,60),2),MATCH(INDEX('Ride Log'!$C:$C,MATCH(A112,'Ride Log'!$A:$A,0)),Workouts!$A:$A,0))
&amp;CHAR(10)&amp;INDEX(Workouts!$C:$C,MATCH(INDEX('Ride Log'!$C:$C,MATCH(A112,'Ride Log'!$A:$A,0)),Workouts!$A:$A,0))&amp;" TSS","")</f>
        <v/>
      </c>
    </row>
    <row r="113" spans="1:2" s="109" customFormat="1" ht="50.1" customHeight="1" x14ac:dyDescent="0.2">
      <c r="A113" s="110">
        <f t="shared" si="1"/>
        <v>44308</v>
      </c>
      <c r="B113" s="109" t="str">
        <f>_xlfn.IFNA(INDEX('Ride Log'!$C:$C,MATCH(A113,'Ride Log'!$A:$A,0))
&amp;CHAR(10)&amp;INDEX(INT(Workouts!$B:$B/60)&amp;":"&amp;RIGHT("00"&amp;MOD(Workouts!$B:$B,60),2),MATCH(INDEX('Ride Log'!$C:$C,MATCH(A113,'Ride Log'!$A:$A,0)),Workouts!$A:$A,0))
&amp;CHAR(10)&amp;INDEX(Workouts!$C:$C,MATCH(INDEX('Ride Log'!$C:$C,MATCH(A113,'Ride Log'!$A:$A,0)),Workouts!$A:$A,0))&amp;" TSS","")</f>
        <v/>
      </c>
    </row>
    <row r="114" spans="1:2" s="109" customFormat="1" ht="50.1" customHeight="1" x14ac:dyDescent="0.2">
      <c r="A114" s="110">
        <f t="shared" si="1"/>
        <v>44309</v>
      </c>
      <c r="B114" s="109" t="str">
        <f>_xlfn.IFNA(INDEX('Ride Log'!$C:$C,MATCH(A114,'Ride Log'!$A:$A,0))
&amp;CHAR(10)&amp;INDEX(INT(Workouts!$B:$B/60)&amp;":"&amp;RIGHT("00"&amp;MOD(Workouts!$B:$B,60),2),MATCH(INDEX('Ride Log'!$C:$C,MATCH(A114,'Ride Log'!$A:$A,0)),Workouts!$A:$A,0))
&amp;CHAR(10)&amp;INDEX(Workouts!$C:$C,MATCH(INDEX('Ride Log'!$C:$C,MATCH(A114,'Ride Log'!$A:$A,0)),Workouts!$A:$A,0))&amp;" TSS","")</f>
        <v/>
      </c>
    </row>
    <row r="115" spans="1:2" s="109" customFormat="1" ht="50.1" customHeight="1" x14ac:dyDescent="0.2">
      <c r="A115" s="110">
        <f t="shared" si="1"/>
        <v>44310</v>
      </c>
      <c r="B115" s="109" t="str">
        <f>_xlfn.IFNA(INDEX('Ride Log'!$C:$C,MATCH(A115,'Ride Log'!$A:$A,0))
&amp;CHAR(10)&amp;INDEX(INT(Workouts!$B:$B/60)&amp;":"&amp;RIGHT("00"&amp;MOD(Workouts!$B:$B,60),2),MATCH(INDEX('Ride Log'!$C:$C,MATCH(A115,'Ride Log'!$A:$A,0)),Workouts!$A:$A,0))
&amp;CHAR(10)&amp;INDEX(Workouts!$C:$C,MATCH(INDEX('Ride Log'!$C:$C,MATCH(A115,'Ride Log'!$A:$A,0)),Workouts!$A:$A,0))&amp;" TSS","")</f>
        <v/>
      </c>
    </row>
    <row r="116" spans="1:2" s="109" customFormat="1" ht="50.1" customHeight="1" x14ac:dyDescent="0.2">
      <c r="A116" s="110">
        <f t="shared" si="1"/>
        <v>44311</v>
      </c>
      <c r="B116" s="109" t="str">
        <f>_xlfn.IFNA(INDEX('Ride Log'!$C:$C,MATCH(A116,'Ride Log'!$A:$A,0))
&amp;CHAR(10)&amp;INDEX(INT(Workouts!$B:$B/60)&amp;":"&amp;RIGHT("00"&amp;MOD(Workouts!$B:$B,60),2),MATCH(INDEX('Ride Log'!$C:$C,MATCH(A116,'Ride Log'!$A:$A,0)),Workouts!$A:$A,0))
&amp;CHAR(10)&amp;INDEX(Workouts!$C:$C,MATCH(INDEX('Ride Log'!$C:$C,MATCH(A116,'Ride Log'!$A:$A,0)),Workouts!$A:$A,0))&amp;" TSS","")</f>
        <v/>
      </c>
    </row>
    <row r="117" spans="1:2" s="109" customFormat="1" ht="50.1" customHeight="1" x14ac:dyDescent="0.2">
      <c r="A117" s="110">
        <f t="shared" si="1"/>
        <v>44312</v>
      </c>
      <c r="B117" s="109" t="str">
        <f>_xlfn.IFNA(INDEX('Ride Log'!$C:$C,MATCH(A117,'Ride Log'!$A:$A,0))
&amp;CHAR(10)&amp;INDEX(INT(Workouts!$B:$B/60)&amp;":"&amp;RIGHT("00"&amp;MOD(Workouts!$B:$B,60),2),MATCH(INDEX('Ride Log'!$C:$C,MATCH(A117,'Ride Log'!$A:$A,0)),Workouts!$A:$A,0))
&amp;CHAR(10)&amp;INDEX(Workouts!$C:$C,MATCH(INDEX('Ride Log'!$C:$C,MATCH(A117,'Ride Log'!$A:$A,0)),Workouts!$A:$A,0))&amp;" TSS","")</f>
        <v/>
      </c>
    </row>
    <row r="118" spans="1:2" s="109" customFormat="1" ht="50.1" customHeight="1" x14ac:dyDescent="0.2">
      <c r="A118" s="110">
        <f t="shared" si="1"/>
        <v>44313</v>
      </c>
      <c r="B118" s="109" t="str">
        <f>_xlfn.IFNA(INDEX('Ride Log'!$C:$C,MATCH(A118,'Ride Log'!$A:$A,0))
&amp;CHAR(10)&amp;INDEX(INT(Workouts!$B:$B/60)&amp;":"&amp;RIGHT("00"&amp;MOD(Workouts!$B:$B,60),2),MATCH(INDEX('Ride Log'!$C:$C,MATCH(A118,'Ride Log'!$A:$A,0)),Workouts!$A:$A,0))
&amp;CHAR(10)&amp;INDEX(Workouts!$C:$C,MATCH(INDEX('Ride Log'!$C:$C,MATCH(A118,'Ride Log'!$A:$A,0)),Workouts!$A:$A,0))&amp;" TSS","")</f>
        <v/>
      </c>
    </row>
    <row r="119" spans="1:2" s="109" customFormat="1" ht="50.1" customHeight="1" x14ac:dyDescent="0.2">
      <c r="A119" s="110">
        <f t="shared" si="1"/>
        <v>44314</v>
      </c>
      <c r="B119" s="109" t="str">
        <f>_xlfn.IFNA(INDEX('Ride Log'!$C:$C,MATCH(A119,'Ride Log'!$A:$A,0))
&amp;CHAR(10)&amp;INDEX(INT(Workouts!$B:$B/60)&amp;":"&amp;RIGHT("00"&amp;MOD(Workouts!$B:$B,60),2),MATCH(INDEX('Ride Log'!$C:$C,MATCH(A119,'Ride Log'!$A:$A,0)),Workouts!$A:$A,0))
&amp;CHAR(10)&amp;INDEX(Workouts!$C:$C,MATCH(INDEX('Ride Log'!$C:$C,MATCH(A119,'Ride Log'!$A:$A,0)),Workouts!$A:$A,0))&amp;" TSS","")</f>
        <v/>
      </c>
    </row>
    <row r="120" spans="1:2" s="109" customFormat="1" ht="50.1" customHeight="1" x14ac:dyDescent="0.2">
      <c r="A120" s="110">
        <f t="shared" si="1"/>
        <v>44315</v>
      </c>
      <c r="B120" s="109" t="str">
        <f>_xlfn.IFNA(INDEX('Ride Log'!$C:$C,MATCH(A120,'Ride Log'!$A:$A,0))
&amp;CHAR(10)&amp;INDEX(INT(Workouts!$B:$B/60)&amp;":"&amp;RIGHT("00"&amp;MOD(Workouts!$B:$B,60),2),MATCH(INDEX('Ride Log'!$C:$C,MATCH(A120,'Ride Log'!$A:$A,0)),Workouts!$A:$A,0))
&amp;CHAR(10)&amp;INDEX(Workouts!$C:$C,MATCH(INDEX('Ride Log'!$C:$C,MATCH(A120,'Ride Log'!$A:$A,0)),Workouts!$A:$A,0))&amp;" TSS","")</f>
        <v/>
      </c>
    </row>
    <row r="121" spans="1:2" s="109" customFormat="1" ht="50.1" customHeight="1" x14ac:dyDescent="0.2">
      <c r="A121" s="110">
        <f t="shared" si="1"/>
        <v>44316</v>
      </c>
      <c r="B121" s="109" t="str">
        <f>_xlfn.IFNA(INDEX('Ride Log'!$C:$C,MATCH(A121,'Ride Log'!$A:$A,0))
&amp;CHAR(10)&amp;INDEX(INT(Workouts!$B:$B/60)&amp;":"&amp;RIGHT("00"&amp;MOD(Workouts!$B:$B,60),2),MATCH(INDEX('Ride Log'!$C:$C,MATCH(A121,'Ride Log'!$A:$A,0)),Workouts!$A:$A,0))
&amp;CHAR(10)&amp;INDEX(Workouts!$C:$C,MATCH(INDEX('Ride Log'!$C:$C,MATCH(A121,'Ride Log'!$A:$A,0)),Workouts!$A:$A,0))&amp;" TSS","")</f>
        <v/>
      </c>
    </row>
    <row r="122" spans="1:2" s="109" customFormat="1" ht="50.1" customHeight="1" x14ac:dyDescent="0.2">
      <c r="A122" s="110">
        <f t="shared" si="1"/>
        <v>44317</v>
      </c>
      <c r="B122" s="109" t="str">
        <f>_xlfn.IFNA(INDEX('Ride Log'!$C:$C,MATCH(A122,'Ride Log'!$A:$A,0))
&amp;CHAR(10)&amp;INDEX(INT(Workouts!$B:$B/60)&amp;":"&amp;RIGHT("00"&amp;MOD(Workouts!$B:$B,60),2),MATCH(INDEX('Ride Log'!$C:$C,MATCH(A122,'Ride Log'!$A:$A,0)),Workouts!$A:$A,0))
&amp;CHAR(10)&amp;INDEX(Workouts!$C:$C,MATCH(INDEX('Ride Log'!$C:$C,MATCH(A122,'Ride Log'!$A:$A,0)),Workouts!$A:$A,0))&amp;" TSS","")</f>
        <v/>
      </c>
    </row>
    <row r="123" spans="1:2" s="109" customFormat="1" ht="50.1" customHeight="1" x14ac:dyDescent="0.2">
      <c r="A123" s="110">
        <f t="shared" si="1"/>
        <v>44318</v>
      </c>
      <c r="B123" s="109" t="str">
        <f>_xlfn.IFNA(INDEX('Ride Log'!$C:$C,MATCH(A123,'Ride Log'!$A:$A,0))
&amp;CHAR(10)&amp;INDEX(INT(Workouts!$B:$B/60)&amp;":"&amp;RIGHT("00"&amp;MOD(Workouts!$B:$B,60),2),MATCH(INDEX('Ride Log'!$C:$C,MATCH(A123,'Ride Log'!$A:$A,0)),Workouts!$A:$A,0))
&amp;CHAR(10)&amp;INDEX(Workouts!$C:$C,MATCH(INDEX('Ride Log'!$C:$C,MATCH(A123,'Ride Log'!$A:$A,0)),Workouts!$A:$A,0))&amp;" TSS","")</f>
        <v/>
      </c>
    </row>
    <row r="124" spans="1:2" s="109" customFormat="1" ht="50.1" customHeight="1" x14ac:dyDescent="0.2">
      <c r="A124" s="110">
        <f t="shared" si="1"/>
        <v>44319</v>
      </c>
      <c r="B124" s="109" t="str">
        <f>_xlfn.IFNA(INDEX('Ride Log'!$C:$C,MATCH(A124,'Ride Log'!$A:$A,0))
&amp;CHAR(10)&amp;INDEX(INT(Workouts!$B:$B/60)&amp;":"&amp;RIGHT("00"&amp;MOD(Workouts!$B:$B,60),2),MATCH(INDEX('Ride Log'!$C:$C,MATCH(A124,'Ride Log'!$A:$A,0)),Workouts!$A:$A,0))
&amp;CHAR(10)&amp;INDEX(Workouts!$C:$C,MATCH(INDEX('Ride Log'!$C:$C,MATCH(A124,'Ride Log'!$A:$A,0)),Workouts!$A:$A,0))&amp;" TSS","")</f>
        <v/>
      </c>
    </row>
    <row r="125" spans="1:2" s="109" customFormat="1" ht="50.1" customHeight="1" x14ac:dyDescent="0.2">
      <c r="A125" s="110">
        <f t="shared" si="1"/>
        <v>44320</v>
      </c>
      <c r="B125" s="109" t="str">
        <f>_xlfn.IFNA(INDEX('Ride Log'!$C:$C,MATCH(A125,'Ride Log'!$A:$A,0))
&amp;CHAR(10)&amp;INDEX(INT(Workouts!$B:$B/60)&amp;":"&amp;RIGHT("00"&amp;MOD(Workouts!$B:$B,60),2),MATCH(INDEX('Ride Log'!$C:$C,MATCH(A125,'Ride Log'!$A:$A,0)),Workouts!$A:$A,0))
&amp;CHAR(10)&amp;INDEX(Workouts!$C:$C,MATCH(INDEX('Ride Log'!$C:$C,MATCH(A125,'Ride Log'!$A:$A,0)),Workouts!$A:$A,0))&amp;" TSS","")</f>
        <v/>
      </c>
    </row>
    <row r="126" spans="1:2" s="109" customFormat="1" ht="50.1" customHeight="1" x14ac:dyDescent="0.2">
      <c r="A126" s="110">
        <f t="shared" si="1"/>
        <v>44321</v>
      </c>
      <c r="B126" s="109" t="str">
        <f>_xlfn.IFNA(INDEX('Ride Log'!$C:$C,MATCH(A126,'Ride Log'!$A:$A,0))
&amp;CHAR(10)&amp;INDEX(INT(Workouts!$B:$B/60)&amp;":"&amp;RIGHT("00"&amp;MOD(Workouts!$B:$B,60),2),MATCH(INDEX('Ride Log'!$C:$C,MATCH(A126,'Ride Log'!$A:$A,0)),Workouts!$A:$A,0))
&amp;CHAR(10)&amp;INDEX(Workouts!$C:$C,MATCH(INDEX('Ride Log'!$C:$C,MATCH(A126,'Ride Log'!$A:$A,0)),Workouts!$A:$A,0))&amp;" TSS","")</f>
        <v/>
      </c>
    </row>
    <row r="127" spans="1:2" s="109" customFormat="1" ht="50.1" customHeight="1" x14ac:dyDescent="0.2">
      <c r="A127" s="110">
        <f t="shared" si="1"/>
        <v>44322</v>
      </c>
      <c r="B127" s="109" t="str">
        <f>_xlfn.IFNA(INDEX('Ride Log'!$C:$C,MATCH(A127,'Ride Log'!$A:$A,0))
&amp;CHAR(10)&amp;INDEX(INT(Workouts!$B:$B/60)&amp;":"&amp;RIGHT("00"&amp;MOD(Workouts!$B:$B,60),2),MATCH(INDEX('Ride Log'!$C:$C,MATCH(A127,'Ride Log'!$A:$A,0)),Workouts!$A:$A,0))
&amp;CHAR(10)&amp;INDEX(Workouts!$C:$C,MATCH(INDEX('Ride Log'!$C:$C,MATCH(A127,'Ride Log'!$A:$A,0)),Workouts!$A:$A,0))&amp;" TSS","")</f>
        <v/>
      </c>
    </row>
    <row r="128" spans="1:2" s="109" customFormat="1" ht="50.1" customHeight="1" x14ac:dyDescent="0.2">
      <c r="A128" s="110">
        <f t="shared" si="1"/>
        <v>44323</v>
      </c>
      <c r="B128" s="109" t="str">
        <f>_xlfn.IFNA(INDEX('Ride Log'!$C:$C,MATCH(A128,'Ride Log'!$A:$A,0))
&amp;CHAR(10)&amp;INDEX(INT(Workouts!$B:$B/60)&amp;":"&amp;RIGHT("00"&amp;MOD(Workouts!$B:$B,60),2),MATCH(INDEX('Ride Log'!$C:$C,MATCH(A128,'Ride Log'!$A:$A,0)),Workouts!$A:$A,0))
&amp;CHAR(10)&amp;INDEX(Workouts!$C:$C,MATCH(INDEX('Ride Log'!$C:$C,MATCH(A128,'Ride Log'!$A:$A,0)),Workouts!$A:$A,0))&amp;" TSS","")</f>
        <v/>
      </c>
    </row>
    <row r="129" spans="1:2" s="109" customFormat="1" ht="50.1" customHeight="1" x14ac:dyDescent="0.2">
      <c r="A129" s="110">
        <f t="shared" si="1"/>
        <v>44324</v>
      </c>
      <c r="B129" s="109" t="str">
        <f>_xlfn.IFNA(INDEX('Ride Log'!$C:$C,MATCH(A129,'Ride Log'!$A:$A,0))
&amp;CHAR(10)&amp;INDEX(INT(Workouts!$B:$B/60)&amp;":"&amp;RIGHT("00"&amp;MOD(Workouts!$B:$B,60),2),MATCH(INDEX('Ride Log'!$C:$C,MATCH(A129,'Ride Log'!$A:$A,0)),Workouts!$A:$A,0))
&amp;CHAR(10)&amp;INDEX(Workouts!$C:$C,MATCH(INDEX('Ride Log'!$C:$C,MATCH(A129,'Ride Log'!$A:$A,0)),Workouts!$A:$A,0))&amp;" TSS","")</f>
        <v/>
      </c>
    </row>
    <row r="130" spans="1:2" s="109" customFormat="1" ht="50.1" customHeight="1" x14ac:dyDescent="0.2">
      <c r="A130" s="110">
        <f t="shared" si="1"/>
        <v>44325</v>
      </c>
      <c r="B130" s="109" t="str">
        <f>_xlfn.IFNA(INDEX('Ride Log'!$C:$C,MATCH(A130,'Ride Log'!$A:$A,0))
&amp;CHAR(10)&amp;INDEX(INT(Workouts!$B:$B/60)&amp;":"&amp;RIGHT("00"&amp;MOD(Workouts!$B:$B,60),2),MATCH(INDEX('Ride Log'!$C:$C,MATCH(A130,'Ride Log'!$A:$A,0)),Workouts!$A:$A,0))
&amp;CHAR(10)&amp;INDEX(Workouts!$C:$C,MATCH(INDEX('Ride Log'!$C:$C,MATCH(A130,'Ride Log'!$A:$A,0)),Workouts!$A:$A,0))&amp;" TSS","")</f>
        <v/>
      </c>
    </row>
    <row r="131" spans="1:2" s="109" customFormat="1" ht="50.1" customHeight="1" x14ac:dyDescent="0.2">
      <c r="A131" s="110">
        <f t="shared" si="1"/>
        <v>44326</v>
      </c>
      <c r="B131" s="109" t="str">
        <f>_xlfn.IFNA(INDEX('Ride Log'!$C:$C,MATCH(A131,'Ride Log'!$A:$A,0))
&amp;CHAR(10)&amp;INDEX(INT(Workouts!$B:$B/60)&amp;":"&amp;RIGHT("00"&amp;MOD(Workouts!$B:$B,60),2),MATCH(INDEX('Ride Log'!$C:$C,MATCH(A131,'Ride Log'!$A:$A,0)),Workouts!$A:$A,0))
&amp;CHAR(10)&amp;INDEX(Workouts!$C:$C,MATCH(INDEX('Ride Log'!$C:$C,MATCH(A131,'Ride Log'!$A:$A,0)),Workouts!$A:$A,0))&amp;" TSS","")</f>
        <v/>
      </c>
    </row>
    <row r="132" spans="1:2" s="109" customFormat="1" ht="50.1" customHeight="1" x14ac:dyDescent="0.2">
      <c r="A132" s="110">
        <f t="shared" ref="A132:A195" si="2">A131+1</f>
        <v>44327</v>
      </c>
      <c r="B132" s="109" t="str">
        <f>_xlfn.IFNA(INDEX('Ride Log'!$C:$C,MATCH(A132,'Ride Log'!$A:$A,0))
&amp;CHAR(10)&amp;INDEX(INT(Workouts!$B:$B/60)&amp;":"&amp;RIGHT("00"&amp;MOD(Workouts!$B:$B,60),2),MATCH(INDEX('Ride Log'!$C:$C,MATCH(A132,'Ride Log'!$A:$A,0)),Workouts!$A:$A,0))
&amp;CHAR(10)&amp;INDEX(Workouts!$C:$C,MATCH(INDEX('Ride Log'!$C:$C,MATCH(A132,'Ride Log'!$A:$A,0)),Workouts!$A:$A,0))&amp;" TSS","")</f>
        <v/>
      </c>
    </row>
    <row r="133" spans="1:2" s="109" customFormat="1" ht="50.1" customHeight="1" x14ac:dyDescent="0.2">
      <c r="A133" s="110">
        <f t="shared" si="2"/>
        <v>44328</v>
      </c>
      <c r="B133" s="109" t="str">
        <f>_xlfn.IFNA(INDEX('Ride Log'!$C:$C,MATCH(A133,'Ride Log'!$A:$A,0))
&amp;CHAR(10)&amp;INDEX(INT(Workouts!$B:$B/60)&amp;":"&amp;RIGHT("00"&amp;MOD(Workouts!$B:$B,60),2),MATCH(INDEX('Ride Log'!$C:$C,MATCH(A133,'Ride Log'!$A:$A,0)),Workouts!$A:$A,0))
&amp;CHAR(10)&amp;INDEX(Workouts!$C:$C,MATCH(INDEX('Ride Log'!$C:$C,MATCH(A133,'Ride Log'!$A:$A,0)),Workouts!$A:$A,0))&amp;" TSS","")</f>
        <v/>
      </c>
    </row>
    <row r="134" spans="1:2" s="109" customFormat="1" ht="50.1" customHeight="1" x14ac:dyDescent="0.2">
      <c r="A134" s="110">
        <f t="shared" si="2"/>
        <v>44329</v>
      </c>
      <c r="B134" s="109" t="str">
        <f>_xlfn.IFNA(INDEX('Ride Log'!$C:$C,MATCH(A134,'Ride Log'!$A:$A,0))
&amp;CHAR(10)&amp;INDEX(INT(Workouts!$B:$B/60)&amp;":"&amp;RIGHT("00"&amp;MOD(Workouts!$B:$B,60),2),MATCH(INDEX('Ride Log'!$C:$C,MATCH(A134,'Ride Log'!$A:$A,0)),Workouts!$A:$A,0))
&amp;CHAR(10)&amp;INDEX(Workouts!$C:$C,MATCH(INDEX('Ride Log'!$C:$C,MATCH(A134,'Ride Log'!$A:$A,0)),Workouts!$A:$A,0))&amp;" TSS","")</f>
        <v/>
      </c>
    </row>
    <row r="135" spans="1:2" s="109" customFormat="1" ht="50.1" customHeight="1" x14ac:dyDescent="0.2">
      <c r="A135" s="110">
        <f t="shared" si="2"/>
        <v>44330</v>
      </c>
      <c r="B135" s="109" t="str">
        <f>_xlfn.IFNA(INDEX('Ride Log'!$C:$C,MATCH(A135,'Ride Log'!$A:$A,0))
&amp;CHAR(10)&amp;INDEX(INT(Workouts!$B:$B/60)&amp;":"&amp;RIGHT("00"&amp;MOD(Workouts!$B:$B,60),2),MATCH(INDEX('Ride Log'!$C:$C,MATCH(A135,'Ride Log'!$A:$A,0)),Workouts!$A:$A,0))
&amp;CHAR(10)&amp;INDEX(Workouts!$C:$C,MATCH(INDEX('Ride Log'!$C:$C,MATCH(A135,'Ride Log'!$A:$A,0)),Workouts!$A:$A,0))&amp;" TSS","")</f>
        <v/>
      </c>
    </row>
    <row r="136" spans="1:2" s="109" customFormat="1" ht="50.1" customHeight="1" x14ac:dyDescent="0.2">
      <c r="A136" s="110">
        <f t="shared" si="2"/>
        <v>44331</v>
      </c>
      <c r="B136" s="109" t="str">
        <f>_xlfn.IFNA(INDEX('Ride Log'!$C:$C,MATCH(A136,'Ride Log'!$A:$A,0))
&amp;CHAR(10)&amp;INDEX(INT(Workouts!$B:$B/60)&amp;":"&amp;RIGHT("00"&amp;MOD(Workouts!$B:$B,60),2),MATCH(INDEX('Ride Log'!$C:$C,MATCH(A136,'Ride Log'!$A:$A,0)),Workouts!$A:$A,0))
&amp;CHAR(10)&amp;INDEX(Workouts!$C:$C,MATCH(INDEX('Ride Log'!$C:$C,MATCH(A136,'Ride Log'!$A:$A,0)),Workouts!$A:$A,0))&amp;" TSS","")</f>
        <v/>
      </c>
    </row>
    <row r="137" spans="1:2" s="109" customFormat="1" ht="50.1" customHeight="1" x14ac:dyDescent="0.2">
      <c r="A137" s="110">
        <f t="shared" si="2"/>
        <v>44332</v>
      </c>
      <c r="B137" s="109" t="str">
        <f>_xlfn.IFNA(INDEX('Ride Log'!$C:$C,MATCH(A137,'Ride Log'!$A:$A,0))
&amp;CHAR(10)&amp;INDEX(INT(Workouts!$B:$B/60)&amp;":"&amp;RIGHT("00"&amp;MOD(Workouts!$B:$B,60),2),MATCH(INDEX('Ride Log'!$C:$C,MATCH(A137,'Ride Log'!$A:$A,0)),Workouts!$A:$A,0))
&amp;CHAR(10)&amp;INDEX(Workouts!$C:$C,MATCH(INDEX('Ride Log'!$C:$C,MATCH(A137,'Ride Log'!$A:$A,0)),Workouts!$A:$A,0))&amp;" TSS","")</f>
        <v/>
      </c>
    </row>
    <row r="138" spans="1:2" s="109" customFormat="1" ht="50.1" customHeight="1" x14ac:dyDescent="0.2">
      <c r="A138" s="110">
        <f t="shared" si="2"/>
        <v>44333</v>
      </c>
      <c r="B138" s="109" t="str">
        <f>_xlfn.IFNA(INDEX('Ride Log'!$C:$C,MATCH(A138,'Ride Log'!$A:$A,0))
&amp;CHAR(10)&amp;INDEX(INT(Workouts!$B:$B/60)&amp;":"&amp;RIGHT("00"&amp;MOD(Workouts!$B:$B,60),2),MATCH(INDEX('Ride Log'!$C:$C,MATCH(A138,'Ride Log'!$A:$A,0)),Workouts!$A:$A,0))
&amp;CHAR(10)&amp;INDEX(Workouts!$C:$C,MATCH(INDEX('Ride Log'!$C:$C,MATCH(A138,'Ride Log'!$A:$A,0)),Workouts!$A:$A,0))&amp;" TSS","")</f>
        <v/>
      </c>
    </row>
    <row r="139" spans="1:2" s="109" customFormat="1" ht="50.1" customHeight="1" x14ac:dyDescent="0.2">
      <c r="A139" s="110">
        <f t="shared" si="2"/>
        <v>44334</v>
      </c>
      <c r="B139" s="109" t="str">
        <f>_xlfn.IFNA(INDEX('Ride Log'!$C:$C,MATCH(A139,'Ride Log'!$A:$A,0))
&amp;CHAR(10)&amp;INDEX(INT(Workouts!$B:$B/60)&amp;":"&amp;RIGHT("00"&amp;MOD(Workouts!$B:$B,60),2),MATCH(INDEX('Ride Log'!$C:$C,MATCH(A139,'Ride Log'!$A:$A,0)),Workouts!$A:$A,0))
&amp;CHAR(10)&amp;INDEX(Workouts!$C:$C,MATCH(INDEX('Ride Log'!$C:$C,MATCH(A139,'Ride Log'!$A:$A,0)),Workouts!$A:$A,0))&amp;" TSS","")</f>
        <v/>
      </c>
    </row>
    <row r="140" spans="1:2" s="109" customFormat="1" ht="50.1" customHeight="1" x14ac:dyDescent="0.2">
      <c r="A140" s="110">
        <f t="shared" si="2"/>
        <v>44335</v>
      </c>
      <c r="B140" s="109" t="str">
        <f>_xlfn.IFNA(INDEX('Ride Log'!$C:$C,MATCH(A140,'Ride Log'!$A:$A,0))
&amp;CHAR(10)&amp;INDEX(INT(Workouts!$B:$B/60)&amp;":"&amp;RIGHT("00"&amp;MOD(Workouts!$B:$B,60),2),MATCH(INDEX('Ride Log'!$C:$C,MATCH(A140,'Ride Log'!$A:$A,0)),Workouts!$A:$A,0))
&amp;CHAR(10)&amp;INDEX(Workouts!$C:$C,MATCH(INDEX('Ride Log'!$C:$C,MATCH(A140,'Ride Log'!$A:$A,0)),Workouts!$A:$A,0))&amp;" TSS","")</f>
        <v/>
      </c>
    </row>
    <row r="141" spans="1:2" s="109" customFormat="1" ht="50.1" customHeight="1" x14ac:dyDescent="0.2">
      <c r="A141" s="110">
        <f t="shared" si="2"/>
        <v>44336</v>
      </c>
      <c r="B141" s="109" t="str">
        <f>_xlfn.IFNA(INDEX('Ride Log'!$C:$C,MATCH(A141,'Ride Log'!$A:$A,0))
&amp;CHAR(10)&amp;INDEX(INT(Workouts!$B:$B/60)&amp;":"&amp;RIGHT("00"&amp;MOD(Workouts!$B:$B,60),2),MATCH(INDEX('Ride Log'!$C:$C,MATCH(A141,'Ride Log'!$A:$A,0)),Workouts!$A:$A,0))
&amp;CHAR(10)&amp;INDEX(Workouts!$C:$C,MATCH(INDEX('Ride Log'!$C:$C,MATCH(A141,'Ride Log'!$A:$A,0)),Workouts!$A:$A,0))&amp;" TSS","")</f>
        <v/>
      </c>
    </row>
    <row r="142" spans="1:2" s="109" customFormat="1" ht="50.1" customHeight="1" x14ac:dyDescent="0.2">
      <c r="A142" s="110">
        <f t="shared" si="2"/>
        <v>44337</v>
      </c>
      <c r="B142" s="109" t="str">
        <f>_xlfn.IFNA(INDEX('Ride Log'!$C:$C,MATCH(A142,'Ride Log'!$A:$A,0))
&amp;CHAR(10)&amp;INDEX(INT(Workouts!$B:$B/60)&amp;":"&amp;RIGHT("00"&amp;MOD(Workouts!$B:$B,60),2),MATCH(INDEX('Ride Log'!$C:$C,MATCH(A142,'Ride Log'!$A:$A,0)),Workouts!$A:$A,0))
&amp;CHAR(10)&amp;INDEX(Workouts!$C:$C,MATCH(INDEX('Ride Log'!$C:$C,MATCH(A142,'Ride Log'!$A:$A,0)),Workouts!$A:$A,0))&amp;" TSS","")</f>
        <v/>
      </c>
    </row>
    <row r="143" spans="1:2" s="109" customFormat="1" ht="50.1" customHeight="1" x14ac:dyDescent="0.2">
      <c r="A143" s="110">
        <f t="shared" si="2"/>
        <v>44338</v>
      </c>
      <c r="B143" s="109" t="str">
        <f>_xlfn.IFNA(INDEX('Ride Log'!$C:$C,MATCH(A143,'Ride Log'!$A:$A,0))
&amp;CHAR(10)&amp;INDEX(INT(Workouts!$B:$B/60)&amp;":"&amp;RIGHT("00"&amp;MOD(Workouts!$B:$B,60),2),MATCH(INDEX('Ride Log'!$C:$C,MATCH(A143,'Ride Log'!$A:$A,0)),Workouts!$A:$A,0))
&amp;CHAR(10)&amp;INDEX(Workouts!$C:$C,MATCH(INDEX('Ride Log'!$C:$C,MATCH(A143,'Ride Log'!$A:$A,0)),Workouts!$A:$A,0))&amp;" TSS","")</f>
        <v/>
      </c>
    </row>
    <row r="144" spans="1:2" s="109" customFormat="1" ht="50.1" customHeight="1" x14ac:dyDescent="0.2">
      <c r="A144" s="110">
        <f t="shared" si="2"/>
        <v>44339</v>
      </c>
      <c r="B144" s="109" t="str">
        <f>_xlfn.IFNA(INDEX('Ride Log'!$C:$C,MATCH(A144,'Ride Log'!$A:$A,0))
&amp;CHAR(10)&amp;INDEX(INT(Workouts!$B:$B/60)&amp;":"&amp;RIGHT("00"&amp;MOD(Workouts!$B:$B,60),2),MATCH(INDEX('Ride Log'!$C:$C,MATCH(A144,'Ride Log'!$A:$A,0)),Workouts!$A:$A,0))
&amp;CHAR(10)&amp;INDEX(Workouts!$C:$C,MATCH(INDEX('Ride Log'!$C:$C,MATCH(A144,'Ride Log'!$A:$A,0)),Workouts!$A:$A,0))&amp;" TSS","")</f>
        <v/>
      </c>
    </row>
    <row r="145" spans="1:2" s="109" customFormat="1" ht="50.1" customHeight="1" x14ac:dyDescent="0.2">
      <c r="A145" s="110">
        <f t="shared" si="2"/>
        <v>44340</v>
      </c>
      <c r="B145" s="109" t="str">
        <f>_xlfn.IFNA(INDEX('Ride Log'!$C:$C,MATCH(A145,'Ride Log'!$A:$A,0))
&amp;CHAR(10)&amp;INDEX(INT(Workouts!$B:$B/60)&amp;":"&amp;RIGHT("00"&amp;MOD(Workouts!$B:$B,60),2),MATCH(INDEX('Ride Log'!$C:$C,MATCH(A145,'Ride Log'!$A:$A,0)),Workouts!$A:$A,0))
&amp;CHAR(10)&amp;INDEX(Workouts!$C:$C,MATCH(INDEX('Ride Log'!$C:$C,MATCH(A145,'Ride Log'!$A:$A,0)),Workouts!$A:$A,0))&amp;" TSS","")</f>
        <v/>
      </c>
    </row>
    <row r="146" spans="1:2" s="109" customFormat="1" ht="50.1" customHeight="1" x14ac:dyDescent="0.2">
      <c r="A146" s="110">
        <f t="shared" si="2"/>
        <v>44341</v>
      </c>
      <c r="B146" s="109" t="str">
        <f>_xlfn.IFNA(INDEX('Ride Log'!$C:$C,MATCH(A146,'Ride Log'!$A:$A,0))
&amp;CHAR(10)&amp;INDEX(INT(Workouts!$B:$B/60)&amp;":"&amp;RIGHT("00"&amp;MOD(Workouts!$B:$B,60),2),MATCH(INDEX('Ride Log'!$C:$C,MATCH(A146,'Ride Log'!$A:$A,0)),Workouts!$A:$A,0))
&amp;CHAR(10)&amp;INDEX(Workouts!$C:$C,MATCH(INDEX('Ride Log'!$C:$C,MATCH(A146,'Ride Log'!$A:$A,0)),Workouts!$A:$A,0))&amp;" TSS","")</f>
        <v/>
      </c>
    </row>
    <row r="147" spans="1:2" s="109" customFormat="1" ht="50.1" customHeight="1" x14ac:dyDescent="0.2">
      <c r="A147" s="110">
        <f t="shared" si="2"/>
        <v>44342</v>
      </c>
      <c r="B147" s="109" t="str">
        <f>_xlfn.IFNA(INDEX('Ride Log'!$C:$C,MATCH(A147,'Ride Log'!$A:$A,0))
&amp;CHAR(10)&amp;INDEX(INT(Workouts!$B:$B/60)&amp;":"&amp;RIGHT("00"&amp;MOD(Workouts!$B:$B,60),2),MATCH(INDEX('Ride Log'!$C:$C,MATCH(A147,'Ride Log'!$A:$A,0)),Workouts!$A:$A,0))
&amp;CHAR(10)&amp;INDEX(Workouts!$C:$C,MATCH(INDEX('Ride Log'!$C:$C,MATCH(A147,'Ride Log'!$A:$A,0)),Workouts!$A:$A,0))&amp;" TSS","")</f>
        <v/>
      </c>
    </row>
    <row r="148" spans="1:2" s="109" customFormat="1" ht="50.1" customHeight="1" x14ac:dyDescent="0.2">
      <c r="A148" s="110">
        <f t="shared" si="2"/>
        <v>44343</v>
      </c>
      <c r="B148" s="109" t="str">
        <f>_xlfn.IFNA(INDEX('Ride Log'!$C:$C,MATCH(A148,'Ride Log'!$A:$A,0))
&amp;CHAR(10)&amp;INDEX(INT(Workouts!$B:$B/60)&amp;":"&amp;RIGHT("00"&amp;MOD(Workouts!$B:$B,60),2),MATCH(INDEX('Ride Log'!$C:$C,MATCH(A148,'Ride Log'!$A:$A,0)),Workouts!$A:$A,0))
&amp;CHAR(10)&amp;INDEX(Workouts!$C:$C,MATCH(INDEX('Ride Log'!$C:$C,MATCH(A148,'Ride Log'!$A:$A,0)),Workouts!$A:$A,0))&amp;" TSS","")</f>
        <v/>
      </c>
    </row>
    <row r="149" spans="1:2" s="109" customFormat="1" ht="50.1" customHeight="1" x14ac:dyDescent="0.2">
      <c r="A149" s="110">
        <f t="shared" si="2"/>
        <v>44344</v>
      </c>
      <c r="B149" s="109" t="str">
        <f>_xlfn.IFNA(INDEX('Ride Log'!$C:$C,MATCH(A149,'Ride Log'!$A:$A,0))
&amp;CHAR(10)&amp;INDEX(INT(Workouts!$B:$B/60)&amp;":"&amp;RIGHT("00"&amp;MOD(Workouts!$B:$B,60),2),MATCH(INDEX('Ride Log'!$C:$C,MATCH(A149,'Ride Log'!$A:$A,0)),Workouts!$A:$A,0))
&amp;CHAR(10)&amp;INDEX(Workouts!$C:$C,MATCH(INDEX('Ride Log'!$C:$C,MATCH(A149,'Ride Log'!$A:$A,0)),Workouts!$A:$A,0))&amp;" TSS","")</f>
        <v/>
      </c>
    </row>
    <row r="150" spans="1:2" s="109" customFormat="1" ht="50.1" customHeight="1" x14ac:dyDescent="0.2">
      <c r="A150" s="110">
        <f t="shared" si="2"/>
        <v>44345</v>
      </c>
      <c r="B150" s="109" t="str">
        <f>_xlfn.IFNA(INDEX('Ride Log'!$C:$C,MATCH(A150,'Ride Log'!$A:$A,0))
&amp;CHAR(10)&amp;INDEX(INT(Workouts!$B:$B/60)&amp;":"&amp;RIGHT("00"&amp;MOD(Workouts!$B:$B,60),2),MATCH(INDEX('Ride Log'!$C:$C,MATCH(A150,'Ride Log'!$A:$A,0)),Workouts!$A:$A,0))
&amp;CHAR(10)&amp;INDEX(Workouts!$C:$C,MATCH(INDEX('Ride Log'!$C:$C,MATCH(A150,'Ride Log'!$A:$A,0)),Workouts!$A:$A,0))&amp;" TSS","")</f>
        <v/>
      </c>
    </row>
    <row r="151" spans="1:2" s="109" customFormat="1" ht="50.1" customHeight="1" x14ac:dyDescent="0.2">
      <c r="A151" s="110">
        <f t="shared" si="2"/>
        <v>44346</v>
      </c>
      <c r="B151" s="109" t="str">
        <f>_xlfn.IFNA(INDEX('Ride Log'!$C:$C,MATCH(A151,'Ride Log'!$A:$A,0))
&amp;CHAR(10)&amp;INDEX(INT(Workouts!$B:$B/60)&amp;":"&amp;RIGHT("00"&amp;MOD(Workouts!$B:$B,60),2),MATCH(INDEX('Ride Log'!$C:$C,MATCH(A151,'Ride Log'!$A:$A,0)),Workouts!$A:$A,0))
&amp;CHAR(10)&amp;INDEX(Workouts!$C:$C,MATCH(INDEX('Ride Log'!$C:$C,MATCH(A151,'Ride Log'!$A:$A,0)),Workouts!$A:$A,0))&amp;" TSS","")</f>
        <v/>
      </c>
    </row>
    <row r="152" spans="1:2" s="109" customFormat="1" ht="50.1" customHeight="1" x14ac:dyDescent="0.2">
      <c r="A152" s="110">
        <f t="shared" si="2"/>
        <v>44347</v>
      </c>
      <c r="B152" s="109" t="str">
        <f>_xlfn.IFNA(INDEX('Ride Log'!$C:$C,MATCH(A152,'Ride Log'!$A:$A,0))
&amp;CHAR(10)&amp;INDEX(INT(Workouts!$B:$B/60)&amp;":"&amp;RIGHT("00"&amp;MOD(Workouts!$B:$B,60),2),MATCH(INDEX('Ride Log'!$C:$C,MATCH(A152,'Ride Log'!$A:$A,0)),Workouts!$A:$A,0))
&amp;CHAR(10)&amp;INDEX(Workouts!$C:$C,MATCH(INDEX('Ride Log'!$C:$C,MATCH(A152,'Ride Log'!$A:$A,0)),Workouts!$A:$A,0))&amp;" TSS","")</f>
        <v/>
      </c>
    </row>
    <row r="153" spans="1:2" s="109" customFormat="1" ht="50.1" customHeight="1" x14ac:dyDescent="0.2">
      <c r="A153" s="110">
        <f t="shared" si="2"/>
        <v>44348</v>
      </c>
      <c r="B153" s="109" t="str">
        <f>_xlfn.IFNA(INDEX('Ride Log'!$C:$C,MATCH(A153,'Ride Log'!$A:$A,0))
&amp;CHAR(10)&amp;INDEX(INT(Workouts!$B:$B/60)&amp;":"&amp;RIGHT("00"&amp;MOD(Workouts!$B:$B,60),2),MATCH(INDEX('Ride Log'!$C:$C,MATCH(A153,'Ride Log'!$A:$A,0)),Workouts!$A:$A,0))
&amp;CHAR(10)&amp;INDEX(Workouts!$C:$C,MATCH(INDEX('Ride Log'!$C:$C,MATCH(A153,'Ride Log'!$A:$A,0)),Workouts!$A:$A,0))&amp;" TSS","")</f>
        <v/>
      </c>
    </row>
    <row r="154" spans="1:2" s="109" customFormat="1" ht="50.1" customHeight="1" x14ac:dyDescent="0.2">
      <c r="A154" s="110">
        <f t="shared" si="2"/>
        <v>44349</v>
      </c>
      <c r="B154" s="109" t="str">
        <f>_xlfn.IFNA(INDEX('Ride Log'!$C:$C,MATCH(A154,'Ride Log'!$A:$A,0))
&amp;CHAR(10)&amp;INDEX(INT(Workouts!$B:$B/60)&amp;":"&amp;RIGHT("00"&amp;MOD(Workouts!$B:$B,60),2),MATCH(INDEX('Ride Log'!$C:$C,MATCH(A154,'Ride Log'!$A:$A,0)),Workouts!$A:$A,0))
&amp;CHAR(10)&amp;INDEX(Workouts!$C:$C,MATCH(INDEX('Ride Log'!$C:$C,MATCH(A154,'Ride Log'!$A:$A,0)),Workouts!$A:$A,0))&amp;" TSS","")</f>
        <v/>
      </c>
    </row>
    <row r="155" spans="1:2" s="109" customFormat="1" ht="50.1" customHeight="1" x14ac:dyDescent="0.2">
      <c r="A155" s="110">
        <f t="shared" si="2"/>
        <v>44350</v>
      </c>
      <c r="B155" s="109" t="str">
        <f>_xlfn.IFNA(INDEX('Ride Log'!$C:$C,MATCH(A155,'Ride Log'!$A:$A,0))
&amp;CHAR(10)&amp;INDEX(INT(Workouts!$B:$B/60)&amp;":"&amp;RIGHT("00"&amp;MOD(Workouts!$B:$B,60),2),MATCH(INDEX('Ride Log'!$C:$C,MATCH(A155,'Ride Log'!$A:$A,0)),Workouts!$A:$A,0))
&amp;CHAR(10)&amp;INDEX(Workouts!$C:$C,MATCH(INDEX('Ride Log'!$C:$C,MATCH(A155,'Ride Log'!$A:$A,0)),Workouts!$A:$A,0))&amp;" TSS","")</f>
        <v/>
      </c>
    </row>
    <row r="156" spans="1:2" s="109" customFormat="1" ht="50.1" customHeight="1" x14ac:dyDescent="0.2">
      <c r="A156" s="110">
        <f t="shared" si="2"/>
        <v>44351</v>
      </c>
      <c r="B156" s="109" t="str">
        <f>_xlfn.IFNA(INDEX('Ride Log'!$C:$C,MATCH(A156,'Ride Log'!$A:$A,0))
&amp;CHAR(10)&amp;INDEX(INT(Workouts!$B:$B/60)&amp;":"&amp;RIGHT("00"&amp;MOD(Workouts!$B:$B,60),2),MATCH(INDEX('Ride Log'!$C:$C,MATCH(A156,'Ride Log'!$A:$A,0)),Workouts!$A:$A,0))
&amp;CHAR(10)&amp;INDEX(Workouts!$C:$C,MATCH(INDEX('Ride Log'!$C:$C,MATCH(A156,'Ride Log'!$A:$A,0)),Workouts!$A:$A,0))&amp;" TSS","")</f>
        <v/>
      </c>
    </row>
    <row r="157" spans="1:2" s="109" customFormat="1" ht="50.1" customHeight="1" x14ac:dyDescent="0.2">
      <c r="A157" s="110">
        <f t="shared" si="2"/>
        <v>44352</v>
      </c>
      <c r="B157" s="109" t="str">
        <f>_xlfn.IFNA(INDEX('Ride Log'!$C:$C,MATCH(A157,'Ride Log'!$A:$A,0))
&amp;CHAR(10)&amp;INDEX(INT(Workouts!$B:$B/60)&amp;":"&amp;RIGHT("00"&amp;MOD(Workouts!$B:$B,60),2),MATCH(INDEX('Ride Log'!$C:$C,MATCH(A157,'Ride Log'!$A:$A,0)),Workouts!$A:$A,0))
&amp;CHAR(10)&amp;INDEX(Workouts!$C:$C,MATCH(INDEX('Ride Log'!$C:$C,MATCH(A157,'Ride Log'!$A:$A,0)),Workouts!$A:$A,0))&amp;" TSS","")</f>
        <v/>
      </c>
    </row>
    <row r="158" spans="1:2" s="109" customFormat="1" ht="50.1" customHeight="1" x14ac:dyDescent="0.2">
      <c r="A158" s="110">
        <f t="shared" si="2"/>
        <v>44353</v>
      </c>
      <c r="B158" s="109" t="str">
        <f>_xlfn.IFNA(INDEX('Ride Log'!$C:$C,MATCH(A158,'Ride Log'!$A:$A,0))
&amp;CHAR(10)&amp;INDEX(INT(Workouts!$B:$B/60)&amp;":"&amp;RIGHT("00"&amp;MOD(Workouts!$B:$B,60),2),MATCH(INDEX('Ride Log'!$C:$C,MATCH(A158,'Ride Log'!$A:$A,0)),Workouts!$A:$A,0))
&amp;CHAR(10)&amp;INDEX(Workouts!$C:$C,MATCH(INDEX('Ride Log'!$C:$C,MATCH(A158,'Ride Log'!$A:$A,0)),Workouts!$A:$A,0))&amp;" TSS","")</f>
        <v/>
      </c>
    </row>
    <row r="159" spans="1:2" s="109" customFormat="1" ht="50.1" customHeight="1" x14ac:dyDescent="0.2">
      <c r="A159" s="110">
        <f t="shared" si="2"/>
        <v>44354</v>
      </c>
      <c r="B159" s="109" t="str">
        <f>_xlfn.IFNA(INDEX('Ride Log'!$C:$C,MATCH(A159,'Ride Log'!$A:$A,0))
&amp;CHAR(10)&amp;INDEX(INT(Workouts!$B:$B/60)&amp;":"&amp;RIGHT("00"&amp;MOD(Workouts!$B:$B,60),2),MATCH(INDEX('Ride Log'!$C:$C,MATCH(A159,'Ride Log'!$A:$A,0)),Workouts!$A:$A,0))
&amp;CHAR(10)&amp;INDEX(Workouts!$C:$C,MATCH(INDEX('Ride Log'!$C:$C,MATCH(A159,'Ride Log'!$A:$A,0)),Workouts!$A:$A,0))&amp;" TSS","")</f>
        <v/>
      </c>
    </row>
    <row r="160" spans="1:2" s="109" customFormat="1" ht="50.1" customHeight="1" x14ac:dyDescent="0.2">
      <c r="A160" s="110">
        <f t="shared" si="2"/>
        <v>44355</v>
      </c>
      <c r="B160" s="109" t="str">
        <f>_xlfn.IFNA(INDEX('Ride Log'!$C:$C,MATCH(A160,'Ride Log'!$A:$A,0))
&amp;CHAR(10)&amp;INDEX(INT(Workouts!$B:$B/60)&amp;":"&amp;RIGHT("00"&amp;MOD(Workouts!$B:$B,60),2),MATCH(INDEX('Ride Log'!$C:$C,MATCH(A160,'Ride Log'!$A:$A,0)),Workouts!$A:$A,0))
&amp;CHAR(10)&amp;INDEX(Workouts!$C:$C,MATCH(INDEX('Ride Log'!$C:$C,MATCH(A160,'Ride Log'!$A:$A,0)),Workouts!$A:$A,0))&amp;" TSS","")</f>
        <v/>
      </c>
    </row>
    <row r="161" spans="1:2" s="109" customFormat="1" ht="50.1" customHeight="1" x14ac:dyDescent="0.2">
      <c r="A161" s="110">
        <f t="shared" si="2"/>
        <v>44356</v>
      </c>
      <c r="B161" s="109" t="str">
        <f>_xlfn.IFNA(INDEX('Ride Log'!$C:$C,MATCH(A161,'Ride Log'!$A:$A,0))
&amp;CHAR(10)&amp;INDEX(INT(Workouts!$B:$B/60)&amp;":"&amp;RIGHT("00"&amp;MOD(Workouts!$B:$B,60),2),MATCH(INDEX('Ride Log'!$C:$C,MATCH(A161,'Ride Log'!$A:$A,0)),Workouts!$A:$A,0))
&amp;CHAR(10)&amp;INDEX(Workouts!$C:$C,MATCH(INDEX('Ride Log'!$C:$C,MATCH(A161,'Ride Log'!$A:$A,0)),Workouts!$A:$A,0))&amp;" TSS","")</f>
        <v/>
      </c>
    </row>
    <row r="162" spans="1:2" s="109" customFormat="1" ht="50.1" customHeight="1" x14ac:dyDescent="0.2">
      <c r="A162" s="110">
        <f t="shared" si="2"/>
        <v>44357</v>
      </c>
      <c r="B162" s="109" t="str">
        <f>_xlfn.IFNA(INDEX('Ride Log'!$C:$C,MATCH(A162,'Ride Log'!$A:$A,0))
&amp;CHAR(10)&amp;INDEX(INT(Workouts!$B:$B/60)&amp;":"&amp;RIGHT("00"&amp;MOD(Workouts!$B:$B,60),2),MATCH(INDEX('Ride Log'!$C:$C,MATCH(A162,'Ride Log'!$A:$A,0)),Workouts!$A:$A,0))
&amp;CHAR(10)&amp;INDEX(Workouts!$C:$C,MATCH(INDEX('Ride Log'!$C:$C,MATCH(A162,'Ride Log'!$A:$A,0)),Workouts!$A:$A,0))&amp;" TSS","")</f>
        <v/>
      </c>
    </row>
    <row r="163" spans="1:2" s="109" customFormat="1" ht="50.1" customHeight="1" x14ac:dyDescent="0.2">
      <c r="A163" s="110">
        <f t="shared" si="2"/>
        <v>44358</v>
      </c>
      <c r="B163" s="109" t="str">
        <f>_xlfn.IFNA(INDEX('Ride Log'!$C:$C,MATCH(A163,'Ride Log'!$A:$A,0))
&amp;CHAR(10)&amp;INDEX(INT(Workouts!$B:$B/60)&amp;":"&amp;RIGHT("00"&amp;MOD(Workouts!$B:$B,60),2),MATCH(INDEX('Ride Log'!$C:$C,MATCH(A163,'Ride Log'!$A:$A,0)),Workouts!$A:$A,0))
&amp;CHAR(10)&amp;INDEX(Workouts!$C:$C,MATCH(INDEX('Ride Log'!$C:$C,MATCH(A163,'Ride Log'!$A:$A,0)),Workouts!$A:$A,0))&amp;" TSS","")</f>
        <v/>
      </c>
    </row>
    <row r="164" spans="1:2" s="109" customFormat="1" ht="50.1" customHeight="1" x14ac:dyDescent="0.2">
      <c r="A164" s="110">
        <f t="shared" si="2"/>
        <v>44359</v>
      </c>
      <c r="B164" s="109" t="str">
        <f>_xlfn.IFNA(INDEX('Ride Log'!$C:$C,MATCH(A164,'Ride Log'!$A:$A,0))
&amp;CHAR(10)&amp;INDEX(INT(Workouts!$B:$B/60)&amp;":"&amp;RIGHT("00"&amp;MOD(Workouts!$B:$B,60),2),MATCH(INDEX('Ride Log'!$C:$C,MATCH(A164,'Ride Log'!$A:$A,0)),Workouts!$A:$A,0))
&amp;CHAR(10)&amp;INDEX(Workouts!$C:$C,MATCH(INDEX('Ride Log'!$C:$C,MATCH(A164,'Ride Log'!$A:$A,0)),Workouts!$A:$A,0))&amp;" TSS","")</f>
        <v/>
      </c>
    </row>
    <row r="165" spans="1:2" s="109" customFormat="1" ht="50.1" customHeight="1" x14ac:dyDescent="0.2">
      <c r="A165" s="110">
        <f t="shared" si="2"/>
        <v>44360</v>
      </c>
      <c r="B165" s="109" t="str">
        <f>_xlfn.IFNA(INDEX('Ride Log'!$C:$C,MATCH(A165,'Ride Log'!$A:$A,0))
&amp;CHAR(10)&amp;INDEX(INT(Workouts!$B:$B/60)&amp;":"&amp;RIGHT("00"&amp;MOD(Workouts!$B:$B,60),2),MATCH(INDEX('Ride Log'!$C:$C,MATCH(A165,'Ride Log'!$A:$A,0)),Workouts!$A:$A,0))
&amp;CHAR(10)&amp;INDEX(Workouts!$C:$C,MATCH(INDEX('Ride Log'!$C:$C,MATCH(A165,'Ride Log'!$A:$A,0)),Workouts!$A:$A,0))&amp;" TSS","")</f>
        <v/>
      </c>
    </row>
    <row r="166" spans="1:2" s="109" customFormat="1" ht="50.1" customHeight="1" x14ac:dyDescent="0.2">
      <c r="A166" s="110">
        <f t="shared" si="2"/>
        <v>44361</v>
      </c>
      <c r="B166" s="109" t="str">
        <f>_xlfn.IFNA(INDEX('Ride Log'!$C:$C,MATCH(A166,'Ride Log'!$A:$A,0))
&amp;CHAR(10)&amp;INDEX(INT(Workouts!$B:$B/60)&amp;":"&amp;RIGHT("00"&amp;MOD(Workouts!$B:$B,60),2),MATCH(INDEX('Ride Log'!$C:$C,MATCH(A166,'Ride Log'!$A:$A,0)),Workouts!$A:$A,0))
&amp;CHAR(10)&amp;INDEX(Workouts!$C:$C,MATCH(INDEX('Ride Log'!$C:$C,MATCH(A166,'Ride Log'!$A:$A,0)),Workouts!$A:$A,0))&amp;" TSS","")</f>
        <v/>
      </c>
    </row>
    <row r="167" spans="1:2" s="109" customFormat="1" ht="50.1" customHeight="1" x14ac:dyDescent="0.2">
      <c r="A167" s="110">
        <f t="shared" si="2"/>
        <v>44362</v>
      </c>
      <c r="B167" s="109" t="str">
        <f>_xlfn.IFNA(INDEX('Ride Log'!$C:$C,MATCH(A167,'Ride Log'!$A:$A,0))
&amp;CHAR(10)&amp;INDEX(INT(Workouts!$B:$B/60)&amp;":"&amp;RIGHT("00"&amp;MOD(Workouts!$B:$B,60),2),MATCH(INDEX('Ride Log'!$C:$C,MATCH(A167,'Ride Log'!$A:$A,0)),Workouts!$A:$A,0))
&amp;CHAR(10)&amp;INDEX(Workouts!$C:$C,MATCH(INDEX('Ride Log'!$C:$C,MATCH(A167,'Ride Log'!$A:$A,0)),Workouts!$A:$A,0))&amp;" TSS","")</f>
        <v/>
      </c>
    </row>
    <row r="168" spans="1:2" s="109" customFormat="1" ht="50.1" customHeight="1" x14ac:dyDescent="0.2">
      <c r="A168" s="110">
        <f t="shared" si="2"/>
        <v>44363</v>
      </c>
      <c r="B168" s="109" t="str">
        <f>_xlfn.IFNA(INDEX('Ride Log'!$C:$C,MATCH(A168,'Ride Log'!$A:$A,0))
&amp;CHAR(10)&amp;INDEX(INT(Workouts!$B:$B/60)&amp;":"&amp;RIGHT("00"&amp;MOD(Workouts!$B:$B,60),2),MATCH(INDEX('Ride Log'!$C:$C,MATCH(A168,'Ride Log'!$A:$A,0)),Workouts!$A:$A,0))
&amp;CHAR(10)&amp;INDEX(Workouts!$C:$C,MATCH(INDEX('Ride Log'!$C:$C,MATCH(A168,'Ride Log'!$A:$A,0)),Workouts!$A:$A,0))&amp;" TSS","")</f>
        <v/>
      </c>
    </row>
    <row r="169" spans="1:2" s="109" customFormat="1" ht="50.1" customHeight="1" x14ac:dyDescent="0.2">
      <c r="A169" s="110">
        <f t="shared" si="2"/>
        <v>44364</v>
      </c>
      <c r="B169" s="109" t="str">
        <f>_xlfn.IFNA(INDEX('Ride Log'!$C:$C,MATCH(A169,'Ride Log'!$A:$A,0))
&amp;CHAR(10)&amp;INDEX(INT(Workouts!$B:$B/60)&amp;":"&amp;RIGHT("00"&amp;MOD(Workouts!$B:$B,60),2),MATCH(INDEX('Ride Log'!$C:$C,MATCH(A169,'Ride Log'!$A:$A,0)),Workouts!$A:$A,0))
&amp;CHAR(10)&amp;INDEX(Workouts!$C:$C,MATCH(INDEX('Ride Log'!$C:$C,MATCH(A169,'Ride Log'!$A:$A,0)),Workouts!$A:$A,0))&amp;" TSS","")</f>
        <v/>
      </c>
    </row>
    <row r="170" spans="1:2" s="109" customFormat="1" ht="50.1" customHeight="1" x14ac:dyDescent="0.2">
      <c r="A170" s="110">
        <f t="shared" si="2"/>
        <v>44365</v>
      </c>
      <c r="B170" s="109" t="str">
        <f>_xlfn.IFNA(INDEX('Ride Log'!$C:$C,MATCH(A170,'Ride Log'!$A:$A,0))
&amp;CHAR(10)&amp;INDEX(INT(Workouts!$B:$B/60)&amp;":"&amp;RIGHT("00"&amp;MOD(Workouts!$B:$B,60),2),MATCH(INDEX('Ride Log'!$C:$C,MATCH(A170,'Ride Log'!$A:$A,0)),Workouts!$A:$A,0))
&amp;CHAR(10)&amp;INDEX(Workouts!$C:$C,MATCH(INDEX('Ride Log'!$C:$C,MATCH(A170,'Ride Log'!$A:$A,0)),Workouts!$A:$A,0))&amp;" TSS","")</f>
        <v/>
      </c>
    </row>
    <row r="171" spans="1:2" s="109" customFormat="1" ht="50.1" customHeight="1" x14ac:dyDescent="0.2">
      <c r="A171" s="110">
        <f t="shared" si="2"/>
        <v>44366</v>
      </c>
      <c r="B171" s="109" t="str">
        <f>_xlfn.IFNA(INDEX('Ride Log'!$C:$C,MATCH(A171,'Ride Log'!$A:$A,0))
&amp;CHAR(10)&amp;INDEX(INT(Workouts!$B:$B/60)&amp;":"&amp;RIGHT("00"&amp;MOD(Workouts!$B:$B,60),2),MATCH(INDEX('Ride Log'!$C:$C,MATCH(A171,'Ride Log'!$A:$A,0)),Workouts!$A:$A,0))
&amp;CHAR(10)&amp;INDEX(Workouts!$C:$C,MATCH(INDEX('Ride Log'!$C:$C,MATCH(A171,'Ride Log'!$A:$A,0)),Workouts!$A:$A,0))&amp;" TSS","")</f>
        <v/>
      </c>
    </row>
    <row r="172" spans="1:2" s="109" customFormat="1" ht="50.1" customHeight="1" x14ac:dyDescent="0.2">
      <c r="A172" s="110">
        <f t="shared" si="2"/>
        <v>44367</v>
      </c>
      <c r="B172" s="109" t="str">
        <f>_xlfn.IFNA(INDEX('Ride Log'!$C:$C,MATCH(A172,'Ride Log'!$A:$A,0))
&amp;CHAR(10)&amp;INDEX(INT(Workouts!$B:$B/60)&amp;":"&amp;RIGHT("00"&amp;MOD(Workouts!$B:$B,60),2),MATCH(INDEX('Ride Log'!$C:$C,MATCH(A172,'Ride Log'!$A:$A,0)),Workouts!$A:$A,0))
&amp;CHAR(10)&amp;INDEX(Workouts!$C:$C,MATCH(INDEX('Ride Log'!$C:$C,MATCH(A172,'Ride Log'!$A:$A,0)),Workouts!$A:$A,0))&amp;" TSS","")</f>
        <v/>
      </c>
    </row>
    <row r="173" spans="1:2" s="109" customFormat="1" ht="50.1" customHeight="1" x14ac:dyDescent="0.2">
      <c r="A173" s="110">
        <f t="shared" si="2"/>
        <v>44368</v>
      </c>
      <c r="B173" s="109" t="str">
        <f>_xlfn.IFNA(INDEX('Ride Log'!$C:$C,MATCH(A173,'Ride Log'!$A:$A,0))
&amp;CHAR(10)&amp;INDEX(INT(Workouts!$B:$B/60)&amp;":"&amp;RIGHT("00"&amp;MOD(Workouts!$B:$B,60),2),MATCH(INDEX('Ride Log'!$C:$C,MATCH(A173,'Ride Log'!$A:$A,0)),Workouts!$A:$A,0))
&amp;CHAR(10)&amp;INDEX(Workouts!$C:$C,MATCH(INDEX('Ride Log'!$C:$C,MATCH(A173,'Ride Log'!$A:$A,0)),Workouts!$A:$A,0))&amp;" TSS","")</f>
        <v/>
      </c>
    </row>
    <row r="174" spans="1:2" s="109" customFormat="1" ht="50.1" customHeight="1" x14ac:dyDescent="0.2">
      <c r="A174" s="110">
        <f t="shared" si="2"/>
        <v>44369</v>
      </c>
      <c r="B174" s="109" t="str">
        <f>_xlfn.IFNA(INDEX('Ride Log'!$C:$C,MATCH(A174,'Ride Log'!$A:$A,0))
&amp;CHAR(10)&amp;INDEX(INT(Workouts!$B:$B/60)&amp;":"&amp;RIGHT("00"&amp;MOD(Workouts!$B:$B,60),2),MATCH(INDEX('Ride Log'!$C:$C,MATCH(A174,'Ride Log'!$A:$A,0)),Workouts!$A:$A,0))
&amp;CHAR(10)&amp;INDEX(Workouts!$C:$C,MATCH(INDEX('Ride Log'!$C:$C,MATCH(A174,'Ride Log'!$A:$A,0)),Workouts!$A:$A,0))&amp;" TSS","")</f>
        <v/>
      </c>
    </row>
    <row r="175" spans="1:2" s="109" customFormat="1" ht="50.1" customHeight="1" x14ac:dyDescent="0.2">
      <c r="A175" s="110">
        <f t="shared" si="2"/>
        <v>44370</v>
      </c>
      <c r="B175" s="109" t="str">
        <f>_xlfn.IFNA(INDEX('Ride Log'!$C:$C,MATCH(A175,'Ride Log'!$A:$A,0))
&amp;CHAR(10)&amp;INDEX(INT(Workouts!$B:$B/60)&amp;":"&amp;RIGHT("00"&amp;MOD(Workouts!$B:$B,60),2),MATCH(INDEX('Ride Log'!$C:$C,MATCH(A175,'Ride Log'!$A:$A,0)),Workouts!$A:$A,0))
&amp;CHAR(10)&amp;INDEX(Workouts!$C:$C,MATCH(INDEX('Ride Log'!$C:$C,MATCH(A175,'Ride Log'!$A:$A,0)),Workouts!$A:$A,0))&amp;" TSS","")</f>
        <v/>
      </c>
    </row>
    <row r="176" spans="1:2" s="109" customFormat="1" ht="50.1" customHeight="1" x14ac:dyDescent="0.2">
      <c r="A176" s="110">
        <f t="shared" si="2"/>
        <v>44371</v>
      </c>
      <c r="B176" s="109" t="str">
        <f>_xlfn.IFNA(INDEX('Ride Log'!$C:$C,MATCH(A176,'Ride Log'!$A:$A,0))
&amp;CHAR(10)&amp;INDEX(INT(Workouts!$B:$B/60)&amp;":"&amp;RIGHT("00"&amp;MOD(Workouts!$B:$B,60),2),MATCH(INDEX('Ride Log'!$C:$C,MATCH(A176,'Ride Log'!$A:$A,0)),Workouts!$A:$A,0))
&amp;CHAR(10)&amp;INDEX(Workouts!$C:$C,MATCH(INDEX('Ride Log'!$C:$C,MATCH(A176,'Ride Log'!$A:$A,0)),Workouts!$A:$A,0))&amp;" TSS","")</f>
        <v/>
      </c>
    </row>
    <row r="177" spans="1:2" s="109" customFormat="1" ht="50.1" customHeight="1" x14ac:dyDescent="0.2">
      <c r="A177" s="110">
        <f t="shared" si="2"/>
        <v>44372</v>
      </c>
      <c r="B177" s="109" t="str">
        <f>_xlfn.IFNA(INDEX('Ride Log'!$C:$C,MATCH(A177,'Ride Log'!$A:$A,0))
&amp;CHAR(10)&amp;INDEX(INT(Workouts!$B:$B/60)&amp;":"&amp;RIGHT("00"&amp;MOD(Workouts!$B:$B,60),2),MATCH(INDEX('Ride Log'!$C:$C,MATCH(A177,'Ride Log'!$A:$A,0)),Workouts!$A:$A,0))
&amp;CHAR(10)&amp;INDEX(Workouts!$C:$C,MATCH(INDEX('Ride Log'!$C:$C,MATCH(A177,'Ride Log'!$A:$A,0)),Workouts!$A:$A,0))&amp;" TSS","")</f>
        <v/>
      </c>
    </row>
    <row r="178" spans="1:2" s="109" customFormat="1" ht="50.1" customHeight="1" x14ac:dyDescent="0.2">
      <c r="A178" s="110">
        <f t="shared" si="2"/>
        <v>44373</v>
      </c>
      <c r="B178" s="109" t="str">
        <f>_xlfn.IFNA(INDEX('Ride Log'!$C:$C,MATCH(A178,'Ride Log'!$A:$A,0))
&amp;CHAR(10)&amp;INDEX(INT(Workouts!$B:$B/60)&amp;":"&amp;RIGHT("00"&amp;MOD(Workouts!$B:$B,60),2),MATCH(INDEX('Ride Log'!$C:$C,MATCH(A178,'Ride Log'!$A:$A,0)),Workouts!$A:$A,0))
&amp;CHAR(10)&amp;INDEX(Workouts!$C:$C,MATCH(INDEX('Ride Log'!$C:$C,MATCH(A178,'Ride Log'!$A:$A,0)),Workouts!$A:$A,0))&amp;" TSS","")</f>
        <v/>
      </c>
    </row>
    <row r="179" spans="1:2" s="109" customFormat="1" ht="50.1" customHeight="1" x14ac:dyDescent="0.2">
      <c r="A179" s="110">
        <f t="shared" si="2"/>
        <v>44374</v>
      </c>
      <c r="B179" s="109" t="str">
        <f>_xlfn.IFNA(INDEX('Ride Log'!$C:$C,MATCH(A179,'Ride Log'!$A:$A,0))
&amp;CHAR(10)&amp;INDEX(INT(Workouts!$B:$B/60)&amp;":"&amp;RIGHT("00"&amp;MOD(Workouts!$B:$B,60),2),MATCH(INDEX('Ride Log'!$C:$C,MATCH(A179,'Ride Log'!$A:$A,0)),Workouts!$A:$A,0))
&amp;CHAR(10)&amp;INDEX(Workouts!$C:$C,MATCH(INDEX('Ride Log'!$C:$C,MATCH(A179,'Ride Log'!$A:$A,0)),Workouts!$A:$A,0))&amp;" TSS","")</f>
        <v/>
      </c>
    </row>
    <row r="180" spans="1:2" s="109" customFormat="1" ht="50.1" customHeight="1" x14ac:dyDescent="0.2">
      <c r="A180" s="110">
        <f t="shared" si="2"/>
        <v>44375</v>
      </c>
      <c r="B180" s="109" t="str">
        <f>_xlfn.IFNA(INDEX('Ride Log'!$C:$C,MATCH(A180,'Ride Log'!$A:$A,0))
&amp;CHAR(10)&amp;INDEX(INT(Workouts!$B:$B/60)&amp;":"&amp;RIGHT("00"&amp;MOD(Workouts!$B:$B,60),2),MATCH(INDEX('Ride Log'!$C:$C,MATCH(A180,'Ride Log'!$A:$A,0)),Workouts!$A:$A,0))
&amp;CHAR(10)&amp;INDEX(Workouts!$C:$C,MATCH(INDEX('Ride Log'!$C:$C,MATCH(A180,'Ride Log'!$A:$A,0)),Workouts!$A:$A,0))&amp;" TSS","")</f>
        <v/>
      </c>
    </row>
    <row r="181" spans="1:2" s="109" customFormat="1" ht="50.1" customHeight="1" x14ac:dyDescent="0.2">
      <c r="A181" s="110">
        <f t="shared" si="2"/>
        <v>44376</v>
      </c>
      <c r="B181" s="109" t="str">
        <f>_xlfn.IFNA(INDEX('Ride Log'!$C:$C,MATCH(A181,'Ride Log'!$A:$A,0))
&amp;CHAR(10)&amp;INDEX(INT(Workouts!$B:$B/60)&amp;":"&amp;RIGHT("00"&amp;MOD(Workouts!$B:$B,60),2),MATCH(INDEX('Ride Log'!$C:$C,MATCH(A181,'Ride Log'!$A:$A,0)),Workouts!$A:$A,0))
&amp;CHAR(10)&amp;INDEX(Workouts!$C:$C,MATCH(INDEX('Ride Log'!$C:$C,MATCH(A181,'Ride Log'!$A:$A,0)),Workouts!$A:$A,0))&amp;" TSS","")</f>
        <v/>
      </c>
    </row>
    <row r="182" spans="1:2" s="109" customFormat="1" ht="50.1" customHeight="1" x14ac:dyDescent="0.2">
      <c r="A182" s="110">
        <f t="shared" si="2"/>
        <v>44377</v>
      </c>
      <c r="B182" s="109" t="str">
        <f>_xlfn.IFNA(INDEX('Ride Log'!$C:$C,MATCH(A182,'Ride Log'!$A:$A,0))
&amp;CHAR(10)&amp;INDEX(INT(Workouts!$B:$B/60)&amp;":"&amp;RIGHT("00"&amp;MOD(Workouts!$B:$B,60),2),MATCH(INDEX('Ride Log'!$C:$C,MATCH(A182,'Ride Log'!$A:$A,0)),Workouts!$A:$A,0))
&amp;CHAR(10)&amp;INDEX(Workouts!$C:$C,MATCH(INDEX('Ride Log'!$C:$C,MATCH(A182,'Ride Log'!$A:$A,0)),Workouts!$A:$A,0))&amp;" TSS","")</f>
        <v/>
      </c>
    </row>
    <row r="183" spans="1:2" s="109" customFormat="1" ht="50.1" customHeight="1" x14ac:dyDescent="0.2">
      <c r="A183" s="110">
        <f t="shared" si="2"/>
        <v>44378</v>
      </c>
      <c r="B183" s="109" t="str">
        <f>_xlfn.IFNA(INDEX('Ride Log'!$C:$C,MATCH(A183,'Ride Log'!$A:$A,0))
&amp;CHAR(10)&amp;INDEX(INT(Workouts!$B:$B/60)&amp;":"&amp;RIGHT("00"&amp;MOD(Workouts!$B:$B,60),2),MATCH(INDEX('Ride Log'!$C:$C,MATCH(A183,'Ride Log'!$A:$A,0)),Workouts!$A:$A,0))
&amp;CHAR(10)&amp;INDEX(Workouts!$C:$C,MATCH(INDEX('Ride Log'!$C:$C,MATCH(A183,'Ride Log'!$A:$A,0)),Workouts!$A:$A,0))&amp;" TSS","")</f>
        <v/>
      </c>
    </row>
    <row r="184" spans="1:2" s="109" customFormat="1" ht="50.1" customHeight="1" x14ac:dyDescent="0.2">
      <c r="A184" s="110">
        <f t="shared" si="2"/>
        <v>44379</v>
      </c>
      <c r="B184" s="109" t="str">
        <f>_xlfn.IFNA(INDEX('Ride Log'!$C:$C,MATCH(A184,'Ride Log'!$A:$A,0))
&amp;CHAR(10)&amp;INDEX(INT(Workouts!$B:$B/60)&amp;":"&amp;RIGHT("00"&amp;MOD(Workouts!$B:$B,60),2),MATCH(INDEX('Ride Log'!$C:$C,MATCH(A184,'Ride Log'!$A:$A,0)),Workouts!$A:$A,0))
&amp;CHAR(10)&amp;INDEX(Workouts!$C:$C,MATCH(INDEX('Ride Log'!$C:$C,MATCH(A184,'Ride Log'!$A:$A,0)),Workouts!$A:$A,0))&amp;" TSS","")</f>
        <v/>
      </c>
    </row>
    <row r="185" spans="1:2" s="109" customFormat="1" ht="50.1" customHeight="1" x14ac:dyDescent="0.2">
      <c r="A185" s="110">
        <f t="shared" si="2"/>
        <v>44380</v>
      </c>
      <c r="B185" s="109" t="str">
        <f>_xlfn.IFNA(INDEX('Ride Log'!$C:$C,MATCH(A185,'Ride Log'!$A:$A,0))
&amp;CHAR(10)&amp;INDEX(INT(Workouts!$B:$B/60)&amp;":"&amp;RIGHT("00"&amp;MOD(Workouts!$B:$B,60),2),MATCH(INDEX('Ride Log'!$C:$C,MATCH(A185,'Ride Log'!$A:$A,0)),Workouts!$A:$A,0))
&amp;CHAR(10)&amp;INDEX(Workouts!$C:$C,MATCH(INDEX('Ride Log'!$C:$C,MATCH(A185,'Ride Log'!$A:$A,0)),Workouts!$A:$A,0))&amp;" TSS","")</f>
        <v/>
      </c>
    </row>
    <row r="186" spans="1:2" s="109" customFormat="1" ht="50.1" customHeight="1" x14ac:dyDescent="0.2">
      <c r="A186" s="110">
        <f t="shared" si="2"/>
        <v>44381</v>
      </c>
      <c r="B186" s="109" t="str">
        <f>_xlfn.IFNA(INDEX('Ride Log'!$C:$C,MATCH(A186,'Ride Log'!$A:$A,0))
&amp;CHAR(10)&amp;INDEX(INT(Workouts!$B:$B/60)&amp;":"&amp;RIGHT("00"&amp;MOD(Workouts!$B:$B,60),2),MATCH(INDEX('Ride Log'!$C:$C,MATCH(A186,'Ride Log'!$A:$A,0)),Workouts!$A:$A,0))
&amp;CHAR(10)&amp;INDEX(Workouts!$C:$C,MATCH(INDEX('Ride Log'!$C:$C,MATCH(A186,'Ride Log'!$A:$A,0)),Workouts!$A:$A,0))&amp;" TSS","")</f>
        <v/>
      </c>
    </row>
    <row r="187" spans="1:2" s="109" customFormat="1" ht="50.1" customHeight="1" x14ac:dyDescent="0.2">
      <c r="A187" s="110">
        <f t="shared" si="2"/>
        <v>44382</v>
      </c>
      <c r="B187" s="109" t="str">
        <f>_xlfn.IFNA(INDEX('Ride Log'!$C:$C,MATCH(A187,'Ride Log'!$A:$A,0))
&amp;CHAR(10)&amp;INDEX(INT(Workouts!$B:$B/60)&amp;":"&amp;RIGHT("00"&amp;MOD(Workouts!$B:$B,60),2),MATCH(INDEX('Ride Log'!$C:$C,MATCH(A187,'Ride Log'!$A:$A,0)),Workouts!$A:$A,0))
&amp;CHAR(10)&amp;INDEX(Workouts!$C:$C,MATCH(INDEX('Ride Log'!$C:$C,MATCH(A187,'Ride Log'!$A:$A,0)),Workouts!$A:$A,0))&amp;" TSS","")</f>
        <v/>
      </c>
    </row>
    <row r="188" spans="1:2" s="109" customFormat="1" ht="50.1" customHeight="1" x14ac:dyDescent="0.2">
      <c r="A188" s="110">
        <f t="shared" si="2"/>
        <v>44383</v>
      </c>
      <c r="B188" s="109" t="str">
        <f>_xlfn.IFNA(INDEX('Ride Log'!$C:$C,MATCH(A188,'Ride Log'!$A:$A,0))
&amp;CHAR(10)&amp;INDEX(INT(Workouts!$B:$B/60)&amp;":"&amp;RIGHT("00"&amp;MOD(Workouts!$B:$B,60),2),MATCH(INDEX('Ride Log'!$C:$C,MATCH(A188,'Ride Log'!$A:$A,0)),Workouts!$A:$A,0))
&amp;CHAR(10)&amp;INDEX(Workouts!$C:$C,MATCH(INDEX('Ride Log'!$C:$C,MATCH(A188,'Ride Log'!$A:$A,0)),Workouts!$A:$A,0))&amp;" TSS","")</f>
        <v/>
      </c>
    </row>
    <row r="189" spans="1:2" s="109" customFormat="1" ht="50.1" customHeight="1" x14ac:dyDescent="0.2">
      <c r="A189" s="110">
        <f t="shared" si="2"/>
        <v>44384</v>
      </c>
      <c r="B189" s="109" t="str">
        <f>_xlfn.IFNA(INDEX('Ride Log'!$C:$C,MATCH(A189,'Ride Log'!$A:$A,0))
&amp;CHAR(10)&amp;INDEX(INT(Workouts!$B:$B/60)&amp;":"&amp;RIGHT("00"&amp;MOD(Workouts!$B:$B,60),2),MATCH(INDEX('Ride Log'!$C:$C,MATCH(A189,'Ride Log'!$A:$A,0)),Workouts!$A:$A,0))
&amp;CHAR(10)&amp;INDEX(Workouts!$C:$C,MATCH(INDEX('Ride Log'!$C:$C,MATCH(A189,'Ride Log'!$A:$A,0)),Workouts!$A:$A,0))&amp;" TSS","")</f>
        <v/>
      </c>
    </row>
    <row r="190" spans="1:2" s="109" customFormat="1" ht="50.1" customHeight="1" x14ac:dyDescent="0.2">
      <c r="A190" s="110">
        <f t="shared" si="2"/>
        <v>44385</v>
      </c>
      <c r="B190" s="109" t="str">
        <f>_xlfn.IFNA(INDEX('Ride Log'!$C:$C,MATCH(A190,'Ride Log'!$A:$A,0))
&amp;CHAR(10)&amp;INDEX(INT(Workouts!$B:$B/60)&amp;":"&amp;RIGHT("00"&amp;MOD(Workouts!$B:$B,60),2),MATCH(INDEX('Ride Log'!$C:$C,MATCH(A190,'Ride Log'!$A:$A,0)),Workouts!$A:$A,0))
&amp;CHAR(10)&amp;INDEX(Workouts!$C:$C,MATCH(INDEX('Ride Log'!$C:$C,MATCH(A190,'Ride Log'!$A:$A,0)),Workouts!$A:$A,0))&amp;" TSS","")</f>
        <v/>
      </c>
    </row>
    <row r="191" spans="1:2" s="109" customFormat="1" ht="50.1" customHeight="1" x14ac:dyDescent="0.2">
      <c r="A191" s="110">
        <f t="shared" si="2"/>
        <v>44386</v>
      </c>
      <c r="B191" s="109" t="str">
        <f>_xlfn.IFNA(INDEX('Ride Log'!$C:$C,MATCH(A191,'Ride Log'!$A:$A,0))
&amp;CHAR(10)&amp;INDEX(INT(Workouts!$B:$B/60)&amp;":"&amp;RIGHT("00"&amp;MOD(Workouts!$B:$B,60),2),MATCH(INDEX('Ride Log'!$C:$C,MATCH(A191,'Ride Log'!$A:$A,0)),Workouts!$A:$A,0))
&amp;CHAR(10)&amp;INDEX(Workouts!$C:$C,MATCH(INDEX('Ride Log'!$C:$C,MATCH(A191,'Ride Log'!$A:$A,0)),Workouts!$A:$A,0))&amp;" TSS","")</f>
        <v/>
      </c>
    </row>
    <row r="192" spans="1:2" s="109" customFormat="1" ht="50.1" customHeight="1" x14ac:dyDescent="0.2">
      <c r="A192" s="110">
        <f t="shared" si="2"/>
        <v>44387</v>
      </c>
      <c r="B192" s="109" t="str">
        <f>_xlfn.IFNA(INDEX('Ride Log'!$C:$C,MATCH(A192,'Ride Log'!$A:$A,0))
&amp;CHAR(10)&amp;INDEX(INT(Workouts!$B:$B/60)&amp;":"&amp;RIGHT("00"&amp;MOD(Workouts!$B:$B,60),2),MATCH(INDEX('Ride Log'!$C:$C,MATCH(A192,'Ride Log'!$A:$A,0)),Workouts!$A:$A,0))
&amp;CHAR(10)&amp;INDEX(Workouts!$C:$C,MATCH(INDEX('Ride Log'!$C:$C,MATCH(A192,'Ride Log'!$A:$A,0)),Workouts!$A:$A,0))&amp;" TSS","")</f>
        <v/>
      </c>
    </row>
    <row r="193" spans="1:2" s="109" customFormat="1" ht="50.1" customHeight="1" x14ac:dyDescent="0.2">
      <c r="A193" s="110">
        <f t="shared" si="2"/>
        <v>44388</v>
      </c>
      <c r="B193" s="109" t="str">
        <f>_xlfn.IFNA(INDEX('Ride Log'!$C:$C,MATCH(A193,'Ride Log'!$A:$A,0))
&amp;CHAR(10)&amp;INDEX(INT(Workouts!$B:$B/60)&amp;":"&amp;RIGHT("00"&amp;MOD(Workouts!$B:$B,60),2),MATCH(INDEX('Ride Log'!$C:$C,MATCH(A193,'Ride Log'!$A:$A,0)),Workouts!$A:$A,0))
&amp;CHAR(10)&amp;INDEX(Workouts!$C:$C,MATCH(INDEX('Ride Log'!$C:$C,MATCH(A193,'Ride Log'!$A:$A,0)),Workouts!$A:$A,0))&amp;" TSS","")</f>
        <v/>
      </c>
    </row>
    <row r="194" spans="1:2" s="109" customFormat="1" ht="50.1" customHeight="1" x14ac:dyDescent="0.2">
      <c r="A194" s="110">
        <f t="shared" si="2"/>
        <v>44389</v>
      </c>
      <c r="B194" s="109" t="str">
        <f>_xlfn.IFNA(INDEX('Ride Log'!$C:$C,MATCH(A194,'Ride Log'!$A:$A,0))
&amp;CHAR(10)&amp;INDEX(INT(Workouts!$B:$B/60)&amp;":"&amp;RIGHT("00"&amp;MOD(Workouts!$B:$B,60),2),MATCH(INDEX('Ride Log'!$C:$C,MATCH(A194,'Ride Log'!$A:$A,0)),Workouts!$A:$A,0))
&amp;CHAR(10)&amp;INDEX(Workouts!$C:$C,MATCH(INDEX('Ride Log'!$C:$C,MATCH(A194,'Ride Log'!$A:$A,0)),Workouts!$A:$A,0))&amp;" TSS","")</f>
        <v/>
      </c>
    </row>
    <row r="195" spans="1:2" s="109" customFormat="1" ht="50.1" customHeight="1" x14ac:dyDescent="0.2">
      <c r="A195" s="110">
        <f t="shared" si="2"/>
        <v>44390</v>
      </c>
      <c r="B195" s="109" t="str">
        <f>_xlfn.IFNA(INDEX('Ride Log'!$C:$C,MATCH(A195,'Ride Log'!$A:$A,0))
&amp;CHAR(10)&amp;INDEX(INT(Workouts!$B:$B/60)&amp;":"&amp;RIGHT("00"&amp;MOD(Workouts!$B:$B,60),2),MATCH(INDEX('Ride Log'!$C:$C,MATCH(A195,'Ride Log'!$A:$A,0)),Workouts!$A:$A,0))
&amp;CHAR(10)&amp;INDEX(Workouts!$C:$C,MATCH(INDEX('Ride Log'!$C:$C,MATCH(A195,'Ride Log'!$A:$A,0)),Workouts!$A:$A,0))&amp;" TSS","")</f>
        <v/>
      </c>
    </row>
    <row r="196" spans="1:2" s="109" customFormat="1" ht="50.1" customHeight="1" x14ac:dyDescent="0.2">
      <c r="A196" s="110">
        <f t="shared" ref="A196:A259" si="3">A195+1</f>
        <v>44391</v>
      </c>
      <c r="B196" s="109" t="str">
        <f>_xlfn.IFNA(INDEX('Ride Log'!$C:$C,MATCH(A196,'Ride Log'!$A:$A,0))
&amp;CHAR(10)&amp;INDEX(INT(Workouts!$B:$B/60)&amp;":"&amp;RIGHT("00"&amp;MOD(Workouts!$B:$B,60),2),MATCH(INDEX('Ride Log'!$C:$C,MATCH(A196,'Ride Log'!$A:$A,0)),Workouts!$A:$A,0))
&amp;CHAR(10)&amp;INDEX(Workouts!$C:$C,MATCH(INDEX('Ride Log'!$C:$C,MATCH(A196,'Ride Log'!$A:$A,0)),Workouts!$A:$A,0))&amp;" TSS","")</f>
        <v/>
      </c>
    </row>
    <row r="197" spans="1:2" s="109" customFormat="1" ht="50.1" customHeight="1" x14ac:dyDescent="0.2">
      <c r="A197" s="110">
        <f t="shared" si="3"/>
        <v>44392</v>
      </c>
      <c r="B197" s="109" t="str">
        <f>_xlfn.IFNA(INDEX('Ride Log'!$C:$C,MATCH(A197,'Ride Log'!$A:$A,0))
&amp;CHAR(10)&amp;INDEX(INT(Workouts!$B:$B/60)&amp;":"&amp;RIGHT("00"&amp;MOD(Workouts!$B:$B,60),2),MATCH(INDEX('Ride Log'!$C:$C,MATCH(A197,'Ride Log'!$A:$A,0)),Workouts!$A:$A,0))
&amp;CHAR(10)&amp;INDEX(Workouts!$C:$C,MATCH(INDEX('Ride Log'!$C:$C,MATCH(A197,'Ride Log'!$A:$A,0)),Workouts!$A:$A,0))&amp;" TSS","")</f>
        <v/>
      </c>
    </row>
    <row r="198" spans="1:2" s="109" customFormat="1" ht="50.1" customHeight="1" x14ac:dyDescent="0.2">
      <c r="A198" s="110">
        <f t="shared" si="3"/>
        <v>44393</v>
      </c>
      <c r="B198" s="109" t="str">
        <f>_xlfn.IFNA(INDEX('Ride Log'!$C:$C,MATCH(A198,'Ride Log'!$A:$A,0))
&amp;CHAR(10)&amp;INDEX(INT(Workouts!$B:$B/60)&amp;":"&amp;RIGHT("00"&amp;MOD(Workouts!$B:$B,60),2),MATCH(INDEX('Ride Log'!$C:$C,MATCH(A198,'Ride Log'!$A:$A,0)),Workouts!$A:$A,0))
&amp;CHAR(10)&amp;INDEX(Workouts!$C:$C,MATCH(INDEX('Ride Log'!$C:$C,MATCH(A198,'Ride Log'!$A:$A,0)),Workouts!$A:$A,0))&amp;" TSS","")</f>
        <v/>
      </c>
    </row>
    <row r="199" spans="1:2" s="109" customFormat="1" ht="50.1" customHeight="1" x14ac:dyDescent="0.2">
      <c r="A199" s="110">
        <f t="shared" si="3"/>
        <v>44394</v>
      </c>
      <c r="B199" s="109" t="str">
        <f>_xlfn.IFNA(INDEX('Ride Log'!$C:$C,MATCH(A199,'Ride Log'!$A:$A,0))
&amp;CHAR(10)&amp;INDEX(INT(Workouts!$B:$B/60)&amp;":"&amp;RIGHT("00"&amp;MOD(Workouts!$B:$B,60),2),MATCH(INDEX('Ride Log'!$C:$C,MATCH(A199,'Ride Log'!$A:$A,0)),Workouts!$A:$A,0))
&amp;CHAR(10)&amp;INDEX(Workouts!$C:$C,MATCH(INDEX('Ride Log'!$C:$C,MATCH(A199,'Ride Log'!$A:$A,0)),Workouts!$A:$A,0))&amp;" TSS","")</f>
        <v/>
      </c>
    </row>
    <row r="200" spans="1:2" s="109" customFormat="1" ht="50.1" customHeight="1" x14ac:dyDescent="0.2">
      <c r="A200" s="110">
        <f t="shared" si="3"/>
        <v>44395</v>
      </c>
      <c r="B200" s="109" t="str">
        <f>_xlfn.IFNA(INDEX('Ride Log'!$C:$C,MATCH(A200,'Ride Log'!$A:$A,0))
&amp;CHAR(10)&amp;INDEX(INT(Workouts!$B:$B/60)&amp;":"&amp;RIGHT("00"&amp;MOD(Workouts!$B:$B,60),2),MATCH(INDEX('Ride Log'!$C:$C,MATCH(A200,'Ride Log'!$A:$A,0)),Workouts!$A:$A,0))
&amp;CHAR(10)&amp;INDEX(Workouts!$C:$C,MATCH(INDEX('Ride Log'!$C:$C,MATCH(A200,'Ride Log'!$A:$A,0)),Workouts!$A:$A,0))&amp;" TSS","")</f>
        <v/>
      </c>
    </row>
    <row r="201" spans="1:2" s="109" customFormat="1" ht="50.1" customHeight="1" x14ac:dyDescent="0.2">
      <c r="A201" s="110">
        <f t="shared" si="3"/>
        <v>44396</v>
      </c>
      <c r="B201" s="109" t="str">
        <f>_xlfn.IFNA(INDEX('Ride Log'!$C:$C,MATCH(A201,'Ride Log'!$A:$A,0))
&amp;CHAR(10)&amp;INDEX(INT(Workouts!$B:$B/60)&amp;":"&amp;RIGHT("00"&amp;MOD(Workouts!$B:$B,60),2),MATCH(INDEX('Ride Log'!$C:$C,MATCH(A201,'Ride Log'!$A:$A,0)),Workouts!$A:$A,0))
&amp;CHAR(10)&amp;INDEX(Workouts!$C:$C,MATCH(INDEX('Ride Log'!$C:$C,MATCH(A201,'Ride Log'!$A:$A,0)),Workouts!$A:$A,0))&amp;" TSS","")</f>
        <v/>
      </c>
    </row>
    <row r="202" spans="1:2" s="109" customFormat="1" ht="50.1" customHeight="1" x14ac:dyDescent="0.2">
      <c r="A202" s="110">
        <f t="shared" si="3"/>
        <v>44397</v>
      </c>
      <c r="B202" s="109" t="str">
        <f>_xlfn.IFNA(INDEX('Ride Log'!$C:$C,MATCH(A202,'Ride Log'!$A:$A,0))
&amp;CHAR(10)&amp;INDEX(INT(Workouts!$B:$B/60)&amp;":"&amp;RIGHT("00"&amp;MOD(Workouts!$B:$B,60),2),MATCH(INDEX('Ride Log'!$C:$C,MATCH(A202,'Ride Log'!$A:$A,0)),Workouts!$A:$A,0))
&amp;CHAR(10)&amp;INDEX(Workouts!$C:$C,MATCH(INDEX('Ride Log'!$C:$C,MATCH(A202,'Ride Log'!$A:$A,0)),Workouts!$A:$A,0))&amp;" TSS","")</f>
        <v/>
      </c>
    </row>
    <row r="203" spans="1:2" s="109" customFormat="1" ht="50.1" customHeight="1" x14ac:dyDescent="0.2">
      <c r="A203" s="110">
        <f t="shared" si="3"/>
        <v>44398</v>
      </c>
      <c r="B203" s="109" t="str">
        <f>_xlfn.IFNA(INDEX('Ride Log'!$C:$C,MATCH(A203,'Ride Log'!$A:$A,0))
&amp;CHAR(10)&amp;INDEX(INT(Workouts!$B:$B/60)&amp;":"&amp;RIGHT("00"&amp;MOD(Workouts!$B:$B,60),2),MATCH(INDEX('Ride Log'!$C:$C,MATCH(A203,'Ride Log'!$A:$A,0)),Workouts!$A:$A,0))
&amp;CHAR(10)&amp;INDEX(Workouts!$C:$C,MATCH(INDEX('Ride Log'!$C:$C,MATCH(A203,'Ride Log'!$A:$A,0)),Workouts!$A:$A,0))&amp;" TSS","")</f>
        <v/>
      </c>
    </row>
    <row r="204" spans="1:2" s="109" customFormat="1" ht="50.1" customHeight="1" x14ac:dyDescent="0.2">
      <c r="A204" s="110">
        <f t="shared" si="3"/>
        <v>44399</v>
      </c>
      <c r="B204" s="109" t="str">
        <f>_xlfn.IFNA(INDEX('Ride Log'!$C:$C,MATCH(A204,'Ride Log'!$A:$A,0))
&amp;CHAR(10)&amp;INDEX(INT(Workouts!$B:$B/60)&amp;":"&amp;RIGHT("00"&amp;MOD(Workouts!$B:$B,60),2),MATCH(INDEX('Ride Log'!$C:$C,MATCH(A204,'Ride Log'!$A:$A,0)),Workouts!$A:$A,0))
&amp;CHAR(10)&amp;INDEX(Workouts!$C:$C,MATCH(INDEX('Ride Log'!$C:$C,MATCH(A204,'Ride Log'!$A:$A,0)),Workouts!$A:$A,0))&amp;" TSS","")</f>
        <v/>
      </c>
    </row>
    <row r="205" spans="1:2" s="109" customFormat="1" ht="50.1" customHeight="1" x14ac:dyDescent="0.2">
      <c r="A205" s="110">
        <f t="shared" si="3"/>
        <v>44400</v>
      </c>
      <c r="B205" s="109" t="str">
        <f>_xlfn.IFNA(INDEX('Ride Log'!$C:$C,MATCH(A205,'Ride Log'!$A:$A,0))
&amp;CHAR(10)&amp;INDEX(INT(Workouts!$B:$B/60)&amp;":"&amp;RIGHT("00"&amp;MOD(Workouts!$B:$B,60),2),MATCH(INDEX('Ride Log'!$C:$C,MATCH(A205,'Ride Log'!$A:$A,0)),Workouts!$A:$A,0))
&amp;CHAR(10)&amp;INDEX(Workouts!$C:$C,MATCH(INDEX('Ride Log'!$C:$C,MATCH(A205,'Ride Log'!$A:$A,0)),Workouts!$A:$A,0))&amp;" TSS","")</f>
        <v/>
      </c>
    </row>
    <row r="206" spans="1:2" s="109" customFormat="1" ht="50.1" customHeight="1" x14ac:dyDescent="0.2">
      <c r="A206" s="110">
        <f t="shared" si="3"/>
        <v>44401</v>
      </c>
      <c r="B206" s="109" t="str">
        <f>_xlfn.IFNA(INDEX('Ride Log'!$C:$C,MATCH(A206,'Ride Log'!$A:$A,0))
&amp;CHAR(10)&amp;INDEX(INT(Workouts!$B:$B/60)&amp;":"&amp;RIGHT("00"&amp;MOD(Workouts!$B:$B,60),2),MATCH(INDEX('Ride Log'!$C:$C,MATCH(A206,'Ride Log'!$A:$A,0)),Workouts!$A:$A,0))
&amp;CHAR(10)&amp;INDEX(Workouts!$C:$C,MATCH(INDEX('Ride Log'!$C:$C,MATCH(A206,'Ride Log'!$A:$A,0)),Workouts!$A:$A,0))&amp;" TSS","")</f>
        <v/>
      </c>
    </row>
    <row r="207" spans="1:2" s="109" customFormat="1" ht="50.1" customHeight="1" x14ac:dyDescent="0.2">
      <c r="A207" s="110">
        <f t="shared" si="3"/>
        <v>44402</v>
      </c>
      <c r="B207" s="109" t="str">
        <f>_xlfn.IFNA(INDEX('Ride Log'!$C:$C,MATCH(A207,'Ride Log'!$A:$A,0))
&amp;CHAR(10)&amp;INDEX(INT(Workouts!$B:$B/60)&amp;":"&amp;RIGHT("00"&amp;MOD(Workouts!$B:$B,60),2),MATCH(INDEX('Ride Log'!$C:$C,MATCH(A207,'Ride Log'!$A:$A,0)),Workouts!$A:$A,0))
&amp;CHAR(10)&amp;INDEX(Workouts!$C:$C,MATCH(INDEX('Ride Log'!$C:$C,MATCH(A207,'Ride Log'!$A:$A,0)),Workouts!$A:$A,0))&amp;" TSS","")</f>
        <v/>
      </c>
    </row>
    <row r="208" spans="1:2" s="109" customFormat="1" ht="50.1" customHeight="1" x14ac:dyDescent="0.2">
      <c r="A208" s="110">
        <f t="shared" si="3"/>
        <v>44403</v>
      </c>
      <c r="B208" s="109" t="str">
        <f>_xlfn.IFNA(INDEX('Ride Log'!$C:$C,MATCH(A208,'Ride Log'!$A:$A,0))
&amp;CHAR(10)&amp;INDEX(INT(Workouts!$B:$B/60)&amp;":"&amp;RIGHT("00"&amp;MOD(Workouts!$B:$B,60),2),MATCH(INDEX('Ride Log'!$C:$C,MATCH(A208,'Ride Log'!$A:$A,0)),Workouts!$A:$A,0))
&amp;CHAR(10)&amp;INDEX(Workouts!$C:$C,MATCH(INDEX('Ride Log'!$C:$C,MATCH(A208,'Ride Log'!$A:$A,0)),Workouts!$A:$A,0))&amp;" TSS","")</f>
        <v/>
      </c>
    </row>
    <row r="209" spans="1:2" s="109" customFormat="1" ht="50.1" customHeight="1" x14ac:dyDescent="0.2">
      <c r="A209" s="110">
        <f t="shared" si="3"/>
        <v>44404</v>
      </c>
      <c r="B209" s="109" t="str">
        <f>_xlfn.IFNA(INDEX('Ride Log'!$C:$C,MATCH(A209,'Ride Log'!$A:$A,0))
&amp;CHAR(10)&amp;INDEX(INT(Workouts!$B:$B/60)&amp;":"&amp;RIGHT("00"&amp;MOD(Workouts!$B:$B,60),2),MATCH(INDEX('Ride Log'!$C:$C,MATCH(A209,'Ride Log'!$A:$A,0)),Workouts!$A:$A,0))
&amp;CHAR(10)&amp;INDEX(Workouts!$C:$C,MATCH(INDEX('Ride Log'!$C:$C,MATCH(A209,'Ride Log'!$A:$A,0)),Workouts!$A:$A,0))&amp;" TSS","")</f>
        <v/>
      </c>
    </row>
    <row r="210" spans="1:2" s="109" customFormat="1" ht="50.1" customHeight="1" x14ac:dyDescent="0.2">
      <c r="A210" s="110">
        <f t="shared" si="3"/>
        <v>44405</v>
      </c>
      <c r="B210" s="109" t="str">
        <f>_xlfn.IFNA(INDEX('Ride Log'!$C:$C,MATCH(A210,'Ride Log'!$A:$A,0))
&amp;CHAR(10)&amp;INDEX(INT(Workouts!$B:$B/60)&amp;":"&amp;RIGHT("00"&amp;MOD(Workouts!$B:$B,60),2),MATCH(INDEX('Ride Log'!$C:$C,MATCH(A210,'Ride Log'!$A:$A,0)),Workouts!$A:$A,0))
&amp;CHAR(10)&amp;INDEX(Workouts!$C:$C,MATCH(INDEX('Ride Log'!$C:$C,MATCH(A210,'Ride Log'!$A:$A,0)),Workouts!$A:$A,0))&amp;" TSS","")</f>
        <v/>
      </c>
    </row>
    <row r="211" spans="1:2" s="109" customFormat="1" ht="50.1" customHeight="1" x14ac:dyDescent="0.2">
      <c r="A211" s="110">
        <f t="shared" si="3"/>
        <v>44406</v>
      </c>
      <c r="B211" s="109" t="str">
        <f>_xlfn.IFNA(INDEX('Ride Log'!$C:$C,MATCH(A211,'Ride Log'!$A:$A,0))
&amp;CHAR(10)&amp;INDEX(INT(Workouts!$B:$B/60)&amp;":"&amp;RIGHT("00"&amp;MOD(Workouts!$B:$B,60),2),MATCH(INDEX('Ride Log'!$C:$C,MATCH(A211,'Ride Log'!$A:$A,0)),Workouts!$A:$A,0))
&amp;CHAR(10)&amp;INDEX(Workouts!$C:$C,MATCH(INDEX('Ride Log'!$C:$C,MATCH(A211,'Ride Log'!$A:$A,0)),Workouts!$A:$A,0))&amp;" TSS","")</f>
        <v/>
      </c>
    </row>
    <row r="212" spans="1:2" s="109" customFormat="1" ht="50.1" customHeight="1" x14ac:dyDescent="0.2">
      <c r="A212" s="110">
        <f t="shared" si="3"/>
        <v>44407</v>
      </c>
      <c r="B212" s="109" t="str">
        <f>_xlfn.IFNA(INDEX('Ride Log'!$C:$C,MATCH(A212,'Ride Log'!$A:$A,0))
&amp;CHAR(10)&amp;INDEX(INT(Workouts!$B:$B/60)&amp;":"&amp;RIGHT("00"&amp;MOD(Workouts!$B:$B,60),2),MATCH(INDEX('Ride Log'!$C:$C,MATCH(A212,'Ride Log'!$A:$A,0)),Workouts!$A:$A,0))
&amp;CHAR(10)&amp;INDEX(Workouts!$C:$C,MATCH(INDEX('Ride Log'!$C:$C,MATCH(A212,'Ride Log'!$A:$A,0)),Workouts!$A:$A,0))&amp;" TSS","")</f>
        <v/>
      </c>
    </row>
    <row r="213" spans="1:2" s="109" customFormat="1" ht="50.1" customHeight="1" x14ac:dyDescent="0.2">
      <c r="A213" s="110">
        <f t="shared" si="3"/>
        <v>44408</v>
      </c>
      <c r="B213" s="109" t="str">
        <f>_xlfn.IFNA(INDEX('Ride Log'!$C:$C,MATCH(A213,'Ride Log'!$A:$A,0))
&amp;CHAR(10)&amp;INDEX(INT(Workouts!$B:$B/60)&amp;":"&amp;RIGHT("00"&amp;MOD(Workouts!$B:$B,60),2),MATCH(INDEX('Ride Log'!$C:$C,MATCH(A213,'Ride Log'!$A:$A,0)),Workouts!$A:$A,0))
&amp;CHAR(10)&amp;INDEX(Workouts!$C:$C,MATCH(INDEX('Ride Log'!$C:$C,MATCH(A213,'Ride Log'!$A:$A,0)),Workouts!$A:$A,0))&amp;" TSS","")</f>
        <v/>
      </c>
    </row>
    <row r="214" spans="1:2" s="109" customFormat="1" ht="50.1" customHeight="1" x14ac:dyDescent="0.2">
      <c r="A214" s="110">
        <f t="shared" si="3"/>
        <v>44409</v>
      </c>
      <c r="B214" s="109" t="str">
        <f>_xlfn.IFNA(INDEX('Ride Log'!$C:$C,MATCH(A214,'Ride Log'!$A:$A,0))
&amp;CHAR(10)&amp;INDEX(INT(Workouts!$B:$B/60)&amp;":"&amp;RIGHT("00"&amp;MOD(Workouts!$B:$B,60),2),MATCH(INDEX('Ride Log'!$C:$C,MATCH(A214,'Ride Log'!$A:$A,0)),Workouts!$A:$A,0))
&amp;CHAR(10)&amp;INDEX(Workouts!$C:$C,MATCH(INDEX('Ride Log'!$C:$C,MATCH(A214,'Ride Log'!$A:$A,0)),Workouts!$A:$A,0))&amp;" TSS","")</f>
        <v/>
      </c>
    </row>
    <row r="215" spans="1:2" s="109" customFormat="1" ht="50.1" customHeight="1" x14ac:dyDescent="0.2">
      <c r="A215" s="110">
        <f t="shared" si="3"/>
        <v>44410</v>
      </c>
      <c r="B215" s="109" t="str">
        <f>_xlfn.IFNA(INDEX('Ride Log'!$C:$C,MATCH(A215,'Ride Log'!$A:$A,0))
&amp;CHAR(10)&amp;INDEX(INT(Workouts!$B:$B/60)&amp;":"&amp;RIGHT("00"&amp;MOD(Workouts!$B:$B,60),2),MATCH(INDEX('Ride Log'!$C:$C,MATCH(A215,'Ride Log'!$A:$A,0)),Workouts!$A:$A,0))
&amp;CHAR(10)&amp;INDEX(Workouts!$C:$C,MATCH(INDEX('Ride Log'!$C:$C,MATCH(A215,'Ride Log'!$A:$A,0)),Workouts!$A:$A,0))&amp;" TSS","")</f>
        <v/>
      </c>
    </row>
    <row r="216" spans="1:2" s="109" customFormat="1" ht="50.1" customHeight="1" x14ac:dyDescent="0.2">
      <c r="A216" s="110">
        <f t="shared" si="3"/>
        <v>44411</v>
      </c>
      <c r="B216" s="109" t="str">
        <f>_xlfn.IFNA(INDEX('Ride Log'!$C:$C,MATCH(A216,'Ride Log'!$A:$A,0))
&amp;CHAR(10)&amp;INDEX(INT(Workouts!$B:$B/60)&amp;":"&amp;RIGHT("00"&amp;MOD(Workouts!$B:$B,60),2),MATCH(INDEX('Ride Log'!$C:$C,MATCH(A216,'Ride Log'!$A:$A,0)),Workouts!$A:$A,0))
&amp;CHAR(10)&amp;INDEX(Workouts!$C:$C,MATCH(INDEX('Ride Log'!$C:$C,MATCH(A216,'Ride Log'!$A:$A,0)),Workouts!$A:$A,0))&amp;" TSS","")</f>
        <v/>
      </c>
    </row>
    <row r="217" spans="1:2" s="109" customFormat="1" ht="50.1" customHeight="1" x14ac:dyDescent="0.2">
      <c r="A217" s="110">
        <f t="shared" si="3"/>
        <v>44412</v>
      </c>
      <c r="B217" s="109" t="str">
        <f>_xlfn.IFNA(INDEX('Ride Log'!$C:$C,MATCH(A217,'Ride Log'!$A:$A,0))
&amp;CHAR(10)&amp;INDEX(INT(Workouts!$B:$B/60)&amp;":"&amp;RIGHT("00"&amp;MOD(Workouts!$B:$B,60),2),MATCH(INDEX('Ride Log'!$C:$C,MATCH(A217,'Ride Log'!$A:$A,0)),Workouts!$A:$A,0))
&amp;CHAR(10)&amp;INDEX(Workouts!$C:$C,MATCH(INDEX('Ride Log'!$C:$C,MATCH(A217,'Ride Log'!$A:$A,0)),Workouts!$A:$A,0))&amp;" TSS","")</f>
        <v/>
      </c>
    </row>
    <row r="218" spans="1:2" s="109" customFormat="1" ht="50.1" customHeight="1" x14ac:dyDescent="0.2">
      <c r="A218" s="110">
        <f t="shared" si="3"/>
        <v>44413</v>
      </c>
      <c r="B218" s="109" t="str">
        <f>_xlfn.IFNA(INDEX('Ride Log'!$C:$C,MATCH(A218,'Ride Log'!$A:$A,0))
&amp;CHAR(10)&amp;INDEX(INT(Workouts!$B:$B/60)&amp;":"&amp;RIGHT("00"&amp;MOD(Workouts!$B:$B,60),2),MATCH(INDEX('Ride Log'!$C:$C,MATCH(A218,'Ride Log'!$A:$A,0)),Workouts!$A:$A,0))
&amp;CHAR(10)&amp;INDEX(Workouts!$C:$C,MATCH(INDEX('Ride Log'!$C:$C,MATCH(A218,'Ride Log'!$A:$A,0)),Workouts!$A:$A,0))&amp;" TSS","")</f>
        <v/>
      </c>
    </row>
    <row r="219" spans="1:2" s="109" customFormat="1" ht="50.1" customHeight="1" x14ac:dyDescent="0.2">
      <c r="A219" s="110">
        <f t="shared" si="3"/>
        <v>44414</v>
      </c>
      <c r="B219" s="109" t="str">
        <f>_xlfn.IFNA(INDEX('Ride Log'!$C:$C,MATCH(A219,'Ride Log'!$A:$A,0))
&amp;CHAR(10)&amp;INDEX(INT(Workouts!$B:$B/60)&amp;":"&amp;RIGHT("00"&amp;MOD(Workouts!$B:$B,60),2),MATCH(INDEX('Ride Log'!$C:$C,MATCH(A219,'Ride Log'!$A:$A,0)),Workouts!$A:$A,0))
&amp;CHAR(10)&amp;INDEX(Workouts!$C:$C,MATCH(INDEX('Ride Log'!$C:$C,MATCH(A219,'Ride Log'!$A:$A,0)),Workouts!$A:$A,0))&amp;" TSS","")</f>
        <v/>
      </c>
    </row>
    <row r="220" spans="1:2" s="109" customFormat="1" ht="50.1" customHeight="1" x14ac:dyDescent="0.2">
      <c r="A220" s="110">
        <f t="shared" si="3"/>
        <v>44415</v>
      </c>
      <c r="B220" s="109" t="str">
        <f>_xlfn.IFNA(INDEX('Ride Log'!$C:$C,MATCH(A220,'Ride Log'!$A:$A,0))
&amp;CHAR(10)&amp;INDEX(INT(Workouts!$B:$B/60)&amp;":"&amp;RIGHT("00"&amp;MOD(Workouts!$B:$B,60),2),MATCH(INDEX('Ride Log'!$C:$C,MATCH(A220,'Ride Log'!$A:$A,0)),Workouts!$A:$A,0))
&amp;CHAR(10)&amp;INDEX(Workouts!$C:$C,MATCH(INDEX('Ride Log'!$C:$C,MATCH(A220,'Ride Log'!$A:$A,0)),Workouts!$A:$A,0))&amp;" TSS","")</f>
        <v/>
      </c>
    </row>
    <row r="221" spans="1:2" s="109" customFormat="1" ht="50.1" customHeight="1" x14ac:dyDescent="0.2">
      <c r="A221" s="110">
        <f t="shared" si="3"/>
        <v>44416</v>
      </c>
      <c r="B221" s="109" t="str">
        <f>_xlfn.IFNA(INDEX('Ride Log'!$C:$C,MATCH(A221,'Ride Log'!$A:$A,0))
&amp;CHAR(10)&amp;INDEX(INT(Workouts!$B:$B/60)&amp;":"&amp;RIGHT("00"&amp;MOD(Workouts!$B:$B,60),2),MATCH(INDEX('Ride Log'!$C:$C,MATCH(A221,'Ride Log'!$A:$A,0)),Workouts!$A:$A,0))
&amp;CHAR(10)&amp;INDEX(Workouts!$C:$C,MATCH(INDEX('Ride Log'!$C:$C,MATCH(A221,'Ride Log'!$A:$A,0)),Workouts!$A:$A,0))&amp;" TSS","")</f>
        <v/>
      </c>
    </row>
    <row r="222" spans="1:2" s="109" customFormat="1" ht="50.1" customHeight="1" x14ac:dyDescent="0.2">
      <c r="A222" s="110">
        <f t="shared" si="3"/>
        <v>44417</v>
      </c>
      <c r="B222" s="109" t="str">
        <f>_xlfn.IFNA(INDEX('Ride Log'!$C:$C,MATCH(A222,'Ride Log'!$A:$A,0))
&amp;CHAR(10)&amp;INDEX(INT(Workouts!$B:$B/60)&amp;":"&amp;RIGHT("00"&amp;MOD(Workouts!$B:$B,60),2),MATCH(INDEX('Ride Log'!$C:$C,MATCH(A222,'Ride Log'!$A:$A,0)),Workouts!$A:$A,0))
&amp;CHAR(10)&amp;INDEX(Workouts!$C:$C,MATCH(INDEX('Ride Log'!$C:$C,MATCH(A222,'Ride Log'!$A:$A,0)),Workouts!$A:$A,0))&amp;" TSS","")</f>
        <v/>
      </c>
    </row>
    <row r="223" spans="1:2" s="109" customFormat="1" ht="50.1" customHeight="1" x14ac:dyDescent="0.2">
      <c r="A223" s="110">
        <f t="shared" si="3"/>
        <v>44418</v>
      </c>
      <c r="B223" s="109" t="str">
        <f>_xlfn.IFNA(INDEX('Ride Log'!$C:$C,MATCH(A223,'Ride Log'!$A:$A,0))
&amp;CHAR(10)&amp;INDEX(INT(Workouts!$B:$B/60)&amp;":"&amp;RIGHT("00"&amp;MOD(Workouts!$B:$B,60),2),MATCH(INDEX('Ride Log'!$C:$C,MATCH(A223,'Ride Log'!$A:$A,0)),Workouts!$A:$A,0))
&amp;CHAR(10)&amp;INDEX(Workouts!$C:$C,MATCH(INDEX('Ride Log'!$C:$C,MATCH(A223,'Ride Log'!$A:$A,0)),Workouts!$A:$A,0))&amp;" TSS","")</f>
        <v/>
      </c>
    </row>
    <row r="224" spans="1:2" s="109" customFormat="1" ht="50.1" customHeight="1" x14ac:dyDescent="0.2">
      <c r="A224" s="110">
        <f t="shared" si="3"/>
        <v>44419</v>
      </c>
      <c r="B224" s="109" t="str">
        <f>_xlfn.IFNA(INDEX('Ride Log'!$C:$C,MATCH(A224,'Ride Log'!$A:$A,0))
&amp;CHAR(10)&amp;INDEX(INT(Workouts!$B:$B/60)&amp;":"&amp;RIGHT("00"&amp;MOD(Workouts!$B:$B,60),2),MATCH(INDEX('Ride Log'!$C:$C,MATCH(A224,'Ride Log'!$A:$A,0)),Workouts!$A:$A,0))
&amp;CHAR(10)&amp;INDEX(Workouts!$C:$C,MATCH(INDEX('Ride Log'!$C:$C,MATCH(A224,'Ride Log'!$A:$A,0)),Workouts!$A:$A,0))&amp;" TSS","")</f>
        <v/>
      </c>
    </row>
    <row r="225" spans="1:2" s="109" customFormat="1" ht="50.1" customHeight="1" x14ac:dyDescent="0.2">
      <c r="A225" s="110">
        <f t="shared" si="3"/>
        <v>44420</v>
      </c>
      <c r="B225" s="109" t="str">
        <f>_xlfn.IFNA(INDEX('Ride Log'!$C:$C,MATCH(A225,'Ride Log'!$A:$A,0))
&amp;CHAR(10)&amp;INDEX(INT(Workouts!$B:$B/60)&amp;":"&amp;RIGHT("00"&amp;MOD(Workouts!$B:$B,60),2),MATCH(INDEX('Ride Log'!$C:$C,MATCH(A225,'Ride Log'!$A:$A,0)),Workouts!$A:$A,0))
&amp;CHAR(10)&amp;INDEX(Workouts!$C:$C,MATCH(INDEX('Ride Log'!$C:$C,MATCH(A225,'Ride Log'!$A:$A,0)),Workouts!$A:$A,0))&amp;" TSS","")</f>
        <v/>
      </c>
    </row>
    <row r="226" spans="1:2" s="109" customFormat="1" ht="50.1" customHeight="1" x14ac:dyDescent="0.2">
      <c r="A226" s="110">
        <f t="shared" si="3"/>
        <v>44421</v>
      </c>
      <c r="B226" s="109" t="str">
        <f>_xlfn.IFNA(INDEX('Ride Log'!$C:$C,MATCH(A226,'Ride Log'!$A:$A,0))
&amp;CHAR(10)&amp;INDEX(INT(Workouts!$B:$B/60)&amp;":"&amp;RIGHT("00"&amp;MOD(Workouts!$B:$B,60),2),MATCH(INDEX('Ride Log'!$C:$C,MATCH(A226,'Ride Log'!$A:$A,0)),Workouts!$A:$A,0))
&amp;CHAR(10)&amp;INDEX(Workouts!$C:$C,MATCH(INDEX('Ride Log'!$C:$C,MATCH(A226,'Ride Log'!$A:$A,0)),Workouts!$A:$A,0))&amp;" TSS","")</f>
        <v/>
      </c>
    </row>
    <row r="227" spans="1:2" s="109" customFormat="1" ht="50.1" customHeight="1" x14ac:dyDescent="0.2">
      <c r="A227" s="110">
        <f t="shared" si="3"/>
        <v>44422</v>
      </c>
      <c r="B227" s="109" t="str">
        <f>_xlfn.IFNA(INDEX('Ride Log'!$C:$C,MATCH(A227,'Ride Log'!$A:$A,0))
&amp;CHAR(10)&amp;INDEX(INT(Workouts!$B:$B/60)&amp;":"&amp;RIGHT("00"&amp;MOD(Workouts!$B:$B,60),2),MATCH(INDEX('Ride Log'!$C:$C,MATCH(A227,'Ride Log'!$A:$A,0)),Workouts!$A:$A,0))
&amp;CHAR(10)&amp;INDEX(Workouts!$C:$C,MATCH(INDEX('Ride Log'!$C:$C,MATCH(A227,'Ride Log'!$A:$A,0)),Workouts!$A:$A,0))&amp;" TSS","")</f>
        <v/>
      </c>
    </row>
    <row r="228" spans="1:2" s="109" customFormat="1" ht="50.1" customHeight="1" x14ac:dyDescent="0.2">
      <c r="A228" s="110">
        <f t="shared" si="3"/>
        <v>44423</v>
      </c>
      <c r="B228" s="109" t="str">
        <f>_xlfn.IFNA(INDEX('Ride Log'!$C:$C,MATCH(A228,'Ride Log'!$A:$A,0))
&amp;CHAR(10)&amp;INDEX(INT(Workouts!$B:$B/60)&amp;":"&amp;RIGHT("00"&amp;MOD(Workouts!$B:$B,60),2),MATCH(INDEX('Ride Log'!$C:$C,MATCH(A228,'Ride Log'!$A:$A,0)),Workouts!$A:$A,0))
&amp;CHAR(10)&amp;INDEX(Workouts!$C:$C,MATCH(INDEX('Ride Log'!$C:$C,MATCH(A228,'Ride Log'!$A:$A,0)),Workouts!$A:$A,0))&amp;" TSS","")</f>
        <v/>
      </c>
    </row>
    <row r="229" spans="1:2" s="109" customFormat="1" ht="50.1" customHeight="1" x14ac:dyDescent="0.2">
      <c r="A229" s="110">
        <f t="shared" si="3"/>
        <v>44424</v>
      </c>
      <c r="B229" s="109" t="str">
        <f>_xlfn.IFNA(INDEX('Ride Log'!$C:$C,MATCH(A229,'Ride Log'!$A:$A,0))
&amp;CHAR(10)&amp;INDEX(INT(Workouts!$B:$B/60)&amp;":"&amp;RIGHT("00"&amp;MOD(Workouts!$B:$B,60),2),MATCH(INDEX('Ride Log'!$C:$C,MATCH(A229,'Ride Log'!$A:$A,0)),Workouts!$A:$A,0))
&amp;CHAR(10)&amp;INDEX(Workouts!$C:$C,MATCH(INDEX('Ride Log'!$C:$C,MATCH(A229,'Ride Log'!$A:$A,0)),Workouts!$A:$A,0))&amp;" TSS","")</f>
        <v/>
      </c>
    </row>
    <row r="230" spans="1:2" s="109" customFormat="1" ht="50.1" customHeight="1" x14ac:dyDescent="0.2">
      <c r="A230" s="110">
        <f t="shared" si="3"/>
        <v>44425</v>
      </c>
      <c r="B230" s="109" t="str">
        <f>_xlfn.IFNA(INDEX('Ride Log'!$C:$C,MATCH(A230,'Ride Log'!$A:$A,0))
&amp;CHAR(10)&amp;INDEX(INT(Workouts!$B:$B/60)&amp;":"&amp;RIGHT("00"&amp;MOD(Workouts!$B:$B,60),2),MATCH(INDEX('Ride Log'!$C:$C,MATCH(A230,'Ride Log'!$A:$A,0)),Workouts!$A:$A,0))
&amp;CHAR(10)&amp;INDEX(Workouts!$C:$C,MATCH(INDEX('Ride Log'!$C:$C,MATCH(A230,'Ride Log'!$A:$A,0)),Workouts!$A:$A,0))&amp;" TSS","")</f>
        <v/>
      </c>
    </row>
    <row r="231" spans="1:2" s="109" customFormat="1" ht="50.1" customHeight="1" x14ac:dyDescent="0.2">
      <c r="A231" s="110">
        <f t="shared" si="3"/>
        <v>44426</v>
      </c>
      <c r="B231" s="109" t="str">
        <f>_xlfn.IFNA(INDEX('Ride Log'!$C:$C,MATCH(A231,'Ride Log'!$A:$A,0))
&amp;CHAR(10)&amp;INDEX(INT(Workouts!$B:$B/60)&amp;":"&amp;RIGHT("00"&amp;MOD(Workouts!$B:$B,60),2),MATCH(INDEX('Ride Log'!$C:$C,MATCH(A231,'Ride Log'!$A:$A,0)),Workouts!$A:$A,0))
&amp;CHAR(10)&amp;INDEX(Workouts!$C:$C,MATCH(INDEX('Ride Log'!$C:$C,MATCH(A231,'Ride Log'!$A:$A,0)),Workouts!$A:$A,0))&amp;" TSS","")</f>
        <v/>
      </c>
    </row>
    <row r="232" spans="1:2" s="109" customFormat="1" ht="50.1" customHeight="1" x14ac:dyDescent="0.2">
      <c r="A232" s="110">
        <f t="shared" si="3"/>
        <v>44427</v>
      </c>
      <c r="B232" s="109" t="str">
        <f>_xlfn.IFNA(INDEX('Ride Log'!$C:$C,MATCH(A232,'Ride Log'!$A:$A,0))
&amp;CHAR(10)&amp;INDEX(INT(Workouts!$B:$B/60)&amp;":"&amp;RIGHT("00"&amp;MOD(Workouts!$B:$B,60),2),MATCH(INDEX('Ride Log'!$C:$C,MATCH(A232,'Ride Log'!$A:$A,0)),Workouts!$A:$A,0))
&amp;CHAR(10)&amp;INDEX(Workouts!$C:$C,MATCH(INDEX('Ride Log'!$C:$C,MATCH(A232,'Ride Log'!$A:$A,0)),Workouts!$A:$A,0))&amp;" TSS","")</f>
        <v/>
      </c>
    </row>
    <row r="233" spans="1:2" s="109" customFormat="1" ht="50.1" customHeight="1" x14ac:dyDescent="0.2">
      <c r="A233" s="110">
        <f t="shared" si="3"/>
        <v>44428</v>
      </c>
      <c r="B233" s="109" t="str">
        <f>_xlfn.IFNA(INDEX('Ride Log'!$C:$C,MATCH(A233,'Ride Log'!$A:$A,0))
&amp;CHAR(10)&amp;INDEX(INT(Workouts!$B:$B/60)&amp;":"&amp;RIGHT("00"&amp;MOD(Workouts!$B:$B,60),2),MATCH(INDEX('Ride Log'!$C:$C,MATCH(A233,'Ride Log'!$A:$A,0)),Workouts!$A:$A,0))
&amp;CHAR(10)&amp;INDEX(Workouts!$C:$C,MATCH(INDEX('Ride Log'!$C:$C,MATCH(A233,'Ride Log'!$A:$A,0)),Workouts!$A:$A,0))&amp;" TSS","")</f>
        <v/>
      </c>
    </row>
    <row r="234" spans="1:2" s="109" customFormat="1" ht="50.1" customHeight="1" x14ac:dyDescent="0.2">
      <c r="A234" s="110">
        <f t="shared" si="3"/>
        <v>44429</v>
      </c>
      <c r="B234" s="109" t="str">
        <f>_xlfn.IFNA(INDEX('Ride Log'!$C:$C,MATCH(A234,'Ride Log'!$A:$A,0))
&amp;CHAR(10)&amp;INDEX(INT(Workouts!$B:$B/60)&amp;":"&amp;RIGHT("00"&amp;MOD(Workouts!$B:$B,60),2),MATCH(INDEX('Ride Log'!$C:$C,MATCH(A234,'Ride Log'!$A:$A,0)),Workouts!$A:$A,0))
&amp;CHAR(10)&amp;INDEX(Workouts!$C:$C,MATCH(INDEX('Ride Log'!$C:$C,MATCH(A234,'Ride Log'!$A:$A,0)),Workouts!$A:$A,0))&amp;" TSS","")</f>
        <v/>
      </c>
    </row>
    <row r="235" spans="1:2" s="109" customFormat="1" ht="50.1" customHeight="1" x14ac:dyDescent="0.2">
      <c r="A235" s="110">
        <f t="shared" si="3"/>
        <v>44430</v>
      </c>
      <c r="B235" s="109" t="str">
        <f>_xlfn.IFNA(INDEX('Ride Log'!$C:$C,MATCH(A235,'Ride Log'!$A:$A,0))
&amp;CHAR(10)&amp;INDEX(INT(Workouts!$B:$B/60)&amp;":"&amp;RIGHT("00"&amp;MOD(Workouts!$B:$B,60),2),MATCH(INDEX('Ride Log'!$C:$C,MATCH(A235,'Ride Log'!$A:$A,0)),Workouts!$A:$A,0))
&amp;CHAR(10)&amp;INDEX(Workouts!$C:$C,MATCH(INDEX('Ride Log'!$C:$C,MATCH(A235,'Ride Log'!$A:$A,0)),Workouts!$A:$A,0))&amp;" TSS","")</f>
        <v/>
      </c>
    </row>
    <row r="236" spans="1:2" s="109" customFormat="1" ht="50.1" customHeight="1" x14ac:dyDescent="0.2">
      <c r="A236" s="110">
        <f t="shared" si="3"/>
        <v>44431</v>
      </c>
      <c r="B236" s="109" t="str">
        <f>_xlfn.IFNA(INDEX('Ride Log'!$C:$C,MATCH(A236,'Ride Log'!$A:$A,0))
&amp;CHAR(10)&amp;INDEX(INT(Workouts!$B:$B/60)&amp;":"&amp;RIGHT("00"&amp;MOD(Workouts!$B:$B,60),2),MATCH(INDEX('Ride Log'!$C:$C,MATCH(A236,'Ride Log'!$A:$A,0)),Workouts!$A:$A,0))
&amp;CHAR(10)&amp;INDEX(Workouts!$C:$C,MATCH(INDEX('Ride Log'!$C:$C,MATCH(A236,'Ride Log'!$A:$A,0)),Workouts!$A:$A,0))&amp;" TSS","")</f>
        <v/>
      </c>
    </row>
    <row r="237" spans="1:2" s="109" customFormat="1" ht="50.1" customHeight="1" x14ac:dyDescent="0.2">
      <c r="A237" s="110">
        <f t="shared" si="3"/>
        <v>44432</v>
      </c>
      <c r="B237" s="109" t="str">
        <f>_xlfn.IFNA(INDEX('Ride Log'!$C:$C,MATCH(A237,'Ride Log'!$A:$A,0))
&amp;CHAR(10)&amp;INDEX(INT(Workouts!$B:$B/60)&amp;":"&amp;RIGHT("00"&amp;MOD(Workouts!$B:$B,60),2),MATCH(INDEX('Ride Log'!$C:$C,MATCH(A237,'Ride Log'!$A:$A,0)),Workouts!$A:$A,0))
&amp;CHAR(10)&amp;INDEX(Workouts!$C:$C,MATCH(INDEX('Ride Log'!$C:$C,MATCH(A237,'Ride Log'!$A:$A,0)),Workouts!$A:$A,0))&amp;" TSS","")</f>
        <v/>
      </c>
    </row>
    <row r="238" spans="1:2" s="109" customFormat="1" ht="50.1" customHeight="1" x14ac:dyDescent="0.2">
      <c r="A238" s="110">
        <f t="shared" si="3"/>
        <v>44433</v>
      </c>
      <c r="B238" s="109" t="str">
        <f>_xlfn.IFNA(INDEX('Ride Log'!$C:$C,MATCH(A238,'Ride Log'!$A:$A,0))
&amp;CHAR(10)&amp;INDEX(INT(Workouts!$B:$B/60)&amp;":"&amp;RIGHT("00"&amp;MOD(Workouts!$B:$B,60),2),MATCH(INDEX('Ride Log'!$C:$C,MATCH(A238,'Ride Log'!$A:$A,0)),Workouts!$A:$A,0))
&amp;CHAR(10)&amp;INDEX(Workouts!$C:$C,MATCH(INDEX('Ride Log'!$C:$C,MATCH(A238,'Ride Log'!$A:$A,0)),Workouts!$A:$A,0))&amp;" TSS","")</f>
        <v/>
      </c>
    </row>
    <row r="239" spans="1:2" s="109" customFormat="1" ht="50.1" customHeight="1" x14ac:dyDescent="0.2">
      <c r="A239" s="110">
        <f t="shared" si="3"/>
        <v>44434</v>
      </c>
      <c r="B239" s="109" t="str">
        <f>_xlfn.IFNA(INDEX('Ride Log'!$C:$C,MATCH(A239,'Ride Log'!$A:$A,0))
&amp;CHAR(10)&amp;INDEX(INT(Workouts!$B:$B/60)&amp;":"&amp;RIGHT("00"&amp;MOD(Workouts!$B:$B,60),2),MATCH(INDEX('Ride Log'!$C:$C,MATCH(A239,'Ride Log'!$A:$A,0)),Workouts!$A:$A,0))
&amp;CHAR(10)&amp;INDEX(Workouts!$C:$C,MATCH(INDEX('Ride Log'!$C:$C,MATCH(A239,'Ride Log'!$A:$A,0)),Workouts!$A:$A,0))&amp;" TSS","")</f>
        <v/>
      </c>
    </row>
    <row r="240" spans="1:2" s="109" customFormat="1" ht="50.1" customHeight="1" x14ac:dyDescent="0.2">
      <c r="A240" s="110">
        <f t="shared" si="3"/>
        <v>44435</v>
      </c>
      <c r="B240" s="109" t="str">
        <f>_xlfn.IFNA(INDEX('Ride Log'!$C:$C,MATCH(A240,'Ride Log'!$A:$A,0))
&amp;CHAR(10)&amp;INDEX(INT(Workouts!$B:$B/60)&amp;":"&amp;RIGHT("00"&amp;MOD(Workouts!$B:$B,60),2),MATCH(INDEX('Ride Log'!$C:$C,MATCH(A240,'Ride Log'!$A:$A,0)),Workouts!$A:$A,0))
&amp;CHAR(10)&amp;INDEX(Workouts!$C:$C,MATCH(INDEX('Ride Log'!$C:$C,MATCH(A240,'Ride Log'!$A:$A,0)),Workouts!$A:$A,0))&amp;" TSS","")</f>
        <v/>
      </c>
    </row>
    <row r="241" spans="1:2" s="109" customFormat="1" ht="50.1" customHeight="1" x14ac:dyDescent="0.2">
      <c r="A241" s="110">
        <f t="shared" si="3"/>
        <v>44436</v>
      </c>
      <c r="B241" s="109" t="str">
        <f>_xlfn.IFNA(INDEX('Ride Log'!$C:$C,MATCH(A241,'Ride Log'!$A:$A,0))
&amp;CHAR(10)&amp;INDEX(INT(Workouts!$B:$B/60)&amp;":"&amp;RIGHT("00"&amp;MOD(Workouts!$B:$B,60),2),MATCH(INDEX('Ride Log'!$C:$C,MATCH(A241,'Ride Log'!$A:$A,0)),Workouts!$A:$A,0))
&amp;CHAR(10)&amp;INDEX(Workouts!$C:$C,MATCH(INDEX('Ride Log'!$C:$C,MATCH(A241,'Ride Log'!$A:$A,0)),Workouts!$A:$A,0))&amp;" TSS","")</f>
        <v/>
      </c>
    </row>
    <row r="242" spans="1:2" s="109" customFormat="1" ht="50.1" customHeight="1" x14ac:dyDescent="0.2">
      <c r="A242" s="110">
        <f t="shared" si="3"/>
        <v>44437</v>
      </c>
      <c r="B242" s="109" t="str">
        <f>_xlfn.IFNA(INDEX('Ride Log'!$C:$C,MATCH(A242,'Ride Log'!$A:$A,0))
&amp;CHAR(10)&amp;INDEX(INT(Workouts!$B:$B/60)&amp;":"&amp;RIGHT("00"&amp;MOD(Workouts!$B:$B,60),2),MATCH(INDEX('Ride Log'!$C:$C,MATCH(A242,'Ride Log'!$A:$A,0)),Workouts!$A:$A,0))
&amp;CHAR(10)&amp;INDEX(Workouts!$C:$C,MATCH(INDEX('Ride Log'!$C:$C,MATCH(A242,'Ride Log'!$A:$A,0)),Workouts!$A:$A,0))&amp;" TSS","")</f>
        <v/>
      </c>
    </row>
    <row r="243" spans="1:2" s="109" customFormat="1" ht="50.1" customHeight="1" x14ac:dyDescent="0.2">
      <c r="A243" s="110">
        <f t="shared" si="3"/>
        <v>44438</v>
      </c>
      <c r="B243" s="109" t="str">
        <f>_xlfn.IFNA(INDEX('Ride Log'!$C:$C,MATCH(A243,'Ride Log'!$A:$A,0))
&amp;CHAR(10)&amp;INDEX(INT(Workouts!$B:$B/60)&amp;":"&amp;RIGHT("00"&amp;MOD(Workouts!$B:$B,60),2),MATCH(INDEX('Ride Log'!$C:$C,MATCH(A243,'Ride Log'!$A:$A,0)),Workouts!$A:$A,0))
&amp;CHAR(10)&amp;INDEX(Workouts!$C:$C,MATCH(INDEX('Ride Log'!$C:$C,MATCH(A243,'Ride Log'!$A:$A,0)),Workouts!$A:$A,0))&amp;" TSS","")</f>
        <v/>
      </c>
    </row>
    <row r="244" spans="1:2" s="109" customFormat="1" ht="50.1" customHeight="1" x14ac:dyDescent="0.2">
      <c r="A244" s="110">
        <f t="shared" si="3"/>
        <v>44439</v>
      </c>
      <c r="B244" s="109" t="str">
        <f>_xlfn.IFNA(INDEX('Ride Log'!$C:$C,MATCH(A244,'Ride Log'!$A:$A,0))
&amp;CHAR(10)&amp;INDEX(INT(Workouts!$B:$B/60)&amp;":"&amp;RIGHT("00"&amp;MOD(Workouts!$B:$B,60),2),MATCH(INDEX('Ride Log'!$C:$C,MATCH(A244,'Ride Log'!$A:$A,0)),Workouts!$A:$A,0))
&amp;CHAR(10)&amp;INDEX(Workouts!$C:$C,MATCH(INDEX('Ride Log'!$C:$C,MATCH(A244,'Ride Log'!$A:$A,0)),Workouts!$A:$A,0))&amp;" TSS","")</f>
        <v/>
      </c>
    </row>
    <row r="245" spans="1:2" s="109" customFormat="1" ht="50.1" customHeight="1" x14ac:dyDescent="0.2">
      <c r="A245" s="110">
        <f t="shared" si="3"/>
        <v>44440</v>
      </c>
      <c r="B245" s="109" t="str">
        <f>_xlfn.IFNA(INDEX('Ride Log'!$C:$C,MATCH(A245,'Ride Log'!$A:$A,0))
&amp;CHAR(10)&amp;INDEX(INT(Workouts!$B:$B/60)&amp;":"&amp;RIGHT("00"&amp;MOD(Workouts!$B:$B,60),2),MATCH(INDEX('Ride Log'!$C:$C,MATCH(A245,'Ride Log'!$A:$A,0)),Workouts!$A:$A,0))
&amp;CHAR(10)&amp;INDEX(Workouts!$C:$C,MATCH(INDEX('Ride Log'!$C:$C,MATCH(A245,'Ride Log'!$A:$A,0)),Workouts!$A:$A,0))&amp;" TSS","")</f>
        <v/>
      </c>
    </row>
    <row r="246" spans="1:2" s="109" customFormat="1" ht="50.1" customHeight="1" x14ac:dyDescent="0.2">
      <c r="A246" s="110">
        <f t="shared" si="3"/>
        <v>44441</v>
      </c>
      <c r="B246" s="109" t="str">
        <f>_xlfn.IFNA(INDEX('Ride Log'!$C:$C,MATCH(A246,'Ride Log'!$A:$A,0))
&amp;CHAR(10)&amp;INDEX(INT(Workouts!$B:$B/60)&amp;":"&amp;RIGHT("00"&amp;MOD(Workouts!$B:$B,60),2),MATCH(INDEX('Ride Log'!$C:$C,MATCH(A246,'Ride Log'!$A:$A,0)),Workouts!$A:$A,0))
&amp;CHAR(10)&amp;INDEX(Workouts!$C:$C,MATCH(INDEX('Ride Log'!$C:$C,MATCH(A246,'Ride Log'!$A:$A,0)),Workouts!$A:$A,0))&amp;" TSS","")</f>
        <v/>
      </c>
    </row>
    <row r="247" spans="1:2" s="109" customFormat="1" ht="50.1" customHeight="1" x14ac:dyDescent="0.2">
      <c r="A247" s="110">
        <f t="shared" si="3"/>
        <v>44442</v>
      </c>
      <c r="B247" s="109" t="str">
        <f>_xlfn.IFNA(INDEX('Ride Log'!$C:$C,MATCH(A247,'Ride Log'!$A:$A,0))
&amp;CHAR(10)&amp;INDEX(INT(Workouts!$B:$B/60)&amp;":"&amp;RIGHT("00"&amp;MOD(Workouts!$B:$B,60),2),MATCH(INDEX('Ride Log'!$C:$C,MATCH(A247,'Ride Log'!$A:$A,0)),Workouts!$A:$A,0))
&amp;CHAR(10)&amp;INDEX(Workouts!$C:$C,MATCH(INDEX('Ride Log'!$C:$C,MATCH(A247,'Ride Log'!$A:$A,0)),Workouts!$A:$A,0))&amp;" TSS","")</f>
        <v/>
      </c>
    </row>
    <row r="248" spans="1:2" s="109" customFormat="1" ht="50.1" customHeight="1" x14ac:dyDescent="0.2">
      <c r="A248" s="110">
        <f t="shared" si="3"/>
        <v>44443</v>
      </c>
      <c r="B248" s="109" t="str">
        <f>_xlfn.IFNA(INDEX('Ride Log'!$C:$C,MATCH(A248,'Ride Log'!$A:$A,0))
&amp;CHAR(10)&amp;INDEX(INT(Workouts!$B:$B/60)&amp;":"&amp;RIGHT("00"&amp;MOD(Workouts!$B:$B,60),2),MATCH(INDEX('Ride Log'!$C:$C,MATCH(A248,'Ride Log'!$A:$A,0)),Workouts!$A:$A,0))
&amp;CHAR(10)&amp;INDEX(Workouts!$C:$C,MATCH(INDEX('Ride Log'!$C:$C,MATCH(A248,'Ride Log'!$A:$A,0)),Workouts!$A:$A,0))&amp;" TSS","")</f>
        <v/>
      </c>
    </row>
    <row r="249" spans="1:2" s="109" customFormat="1" ht="50.1" customHeight="1" x14ac:dyDescent="0.2">
      <c r="A249" s="110">
        <f t="shared" si="3"/>
        <v>44444</v>
      </c>
      <c r="B249" s="109" t="str">
        <f>_xlfn.IFNA(INDEX('Ride Log'!$C:$C,MATCH(A249,'Ride Log'!$A:$A,0))
&amp;CHAR(10)&amp;INDEX(INT(Workouts!$B:$B/60)&amp;":"&amp;RIGHT("00"&amp;MOD(Workouts!$B:$B,60),2),MATCH(INDEX('Ride Log'!$C:$C,MATCH(A249,'Ride Log'!$A:$A,0)),Workouts!$A:$A,0))
&amp;CHAR(10)&amp;INDEX(Workouts!$C:$C,MATCH(INDEX('Ride Log'!$C:$C,MATCH(A249,'Ride Log'!$A:$A,0)),Workouts!$A:$A,0))&amp;" TSS","")</f>
        <v/>
      </c>
    </row>
    <row r="250" spans="1:2" s="109" customFormat="1" ht="50.1" customHeight="1" x14ac:dyDescent="0.2">
      <c r="A250" s="110">
        <f t="shared" si="3"/>
        <v>44445</v>
      </c>
      <c r="B250" s="109" t="str">
        <f>_xlfn.IFNA(INDEX('Ride Log'!$C:$C,MATCH(A250,'Ride Log'!$A:$A,0))
&amp;CHAR(10)&amp;INDEX(INT(Workouts!$B:$B/60)&amp;":"&amp;RIGHT("00"&amp;MOD(Workouts!$B:$B,60),2),MATCH(INDEX('Ride Log'!$C:$C,MATCH(A250,'Ride Log'!$A:$A,0)),Workouts!$A:$A,0))
&amp;CHAR(10)&amp;INDEX(Workouts!$C:$C,MATCH(INDEX('Ride Log'!$C:$C,MATCH(A250,'Ride Log'!$A:$A,0)),Workouts!$A:$A,0))&amp;" TSS","")</f>
        <v/>
      </c>
    </row>
    <row r="251" spans="1:2" s="109" customFormat="1" ht="50.1" customHeight="1" x14ac:dyDescent="0.2">
      <c r="A251" s="110">
        <f t="shared" si="3"/>
        <v>44446</v>
      </c>
      <c r="B251" s="109" t="str">
        <f>_xlfn.IFNA(INDEX('Ride Log'!$C:$C,MATCH(A251,'Ride Log'!$A:$A,0))
&amp;CHAR(10)&amp;INDEX(INT(Workouts!$B:$B/60)&amp;":"&amp;RIGHT("00"&amp;MOD(Workouts!$B:$B,60),2),MATCH(INDEX('Ride Log'!$C:$C,MATCH(A251,'Ride Log'!$A:$A,0)),Workouts!$A:$A,0))
&amp;CHAR(10)&amp;INDEX(Workouts!$C:$C,MATCH(INDEX('Ride Log'!$C:$C,MATCH(A251,'Ride Log'!$A:$A,0)),Workouts!$A:$A,0))&amp;" TSS","")</f>
        <v/>
      </c>
    </row>
    <row r="252" spans="1:2" s="109" customFormat="1" ht="50.1" customHeight="1" x14ac:dyDescent="0.2">
      <c r="A252" s="110">
        <f t="shared" si="3"/>
        <v>44447</v>
      </c>
      <c r="B252" s="109" t="str">
        <f>_xlfn.IFNA(INDEX('Ride Log'!$C:$C,MATCH(A252,'Ride Log'!$A:$A,0))
&amp;CHAR(10)&amp;INDEX(INT(Workouts!$B:$B/60)&amp;":"&amp;RIGHT("00"&amp;MOD(Workouts!$B:$B,60),2),MATCH(INDEX('Ride Log'!$C:$C,MATCH(A252,'Ride Log'!$A:$A,0)),Workouts!$A:$A,0))
&amp;CHAR(10)&amp;INDEX(Workouts!$C:$C,MATCH(INDEX('Ride Log'!$C:$C,MATCH(A252,'Ride Log'!$A:$A,0)),Workouts!$A:$A,0))&amp;" TSS","")</f>
        <v/>
      </c>
    </row>
    <row r="253" spans="1:2" s="109" customFormat="1" ht="50.1" customHeight="1" x14ac:dyDescent="0.2">
      <c r="A253" s="110">
        <f t="shared" si="3"/>
        <v>44448</v>
      </c>
      <c r="B253" s="109" t="str">
        <f>_xlfn.IFNA(INDEX('Ride Log'!$C:$C,MATCH(A253,'Ride Log'!$A:$A,0))
&amp;CHAR(10)&amp;INDEX(INT(Workouts!$B:$B/60)&amp;":"&amp;RIGHT("00"&amp;MOD(Workouts!$B:$B,60),2),MATCH(INDEX('Ride Log'!$C:$C,MATCH(A253,'Ride Log'!$A:$A,0)),Workouts!$A:$A,0))
&amp;CHAR(10)&amp;INDEX(Workouts!$C:$C,MATCH(INDEX('Ride Log'!$C:$C,MATCH(A253,'Ride Log'!$A:$A,0)),Workouts!$A:$A,0))&amp;" TSS","")</f>
        <v/>
      </c>
    </row>
    <row r="254" spans="1:2" s="109" customFormat="1" ht="50.1" customHeight="1" x14ac:dyDescent="0.2">
      <c r="A254" s="110">
        <f t="shared" si="3"/>
        <v>44449</v>
      </c>
      <c r="B254" s="109" t="str">
        <f>_xlfn.IFNA(INDEX('Ride Log'!$C:$C,MATCH(A254,'Ride Log'!$A:$A,0))
&amp;CHAR(10)&amp;INDEX(INT(Workouts!$B:$B/60)&amp;":"&amp;RIGHT("00"&amp;MOD(Workouts!$B:$B,60),2),MATCH(INDEX('Ride Log'!$C:$C,MATCH(A254,'Ride Log'!$A:$A,0)),Workouts!$A:$A,0))
&amp;CHAR(10)&amp;INDEX(Workouts!$C:$C,MATCH(INDEX('Ride Log'!$C:$C,MATCH(A254,'Ride Log'!$A:$A,0)),Workouts!$A:$A,0))&amp;" TSS","")</f>
        <v/>
      </c>
    </row>
    <row r="255" spans="1:2" s="109" customFormat="1" ht="50.1" customHeight="1" x14ac:dyDescent="0.2">
      <c r="A255" s="110">
        <f t="shared" si="3"/>
        <v>44450</v>
      </c>
      <c r="B255" s="109" t="str">
        <f>_xlfn.IFNA(INDEX('Ride Log'!$C:$C,MATCH(A255,'Ride Log'!$A:$A,0))
&amp;CHAR(10)&amp;INDEX(INT(Workouts!$B:$B/60)&amp;":"&amp;RIGHT("00"&amp;MOD(Workouts!$B:$B,60),2),MATCH(INDEX('Ride Log'!$C:$C,MATCH(A255,'Ride Log'!$A:$A,0)),Workouts!$A:$A,0))
&amp;CHAR(10)&amp;INDEX(Workouts!$C:$C,MATCH(INDEX('Ride Log'!$C:$C,MATCH(A255,'Ride Log'!$A:$A,0)),Workouts!$A:$A,0))&amp;" TSS","")</f>
        <v/>
      </c>
    </row>
    <row r="256" spans="1:2" s="109" customFormat="1" ht="50.1" customHeight="1" x14ac:dyDescent="0.2">
      <c r="A256" s="110">
        <f t="shared" si="3"/>
        <v>44451</v>
      </c>
      <c r="B256" s="109" t="str">
        <f>_xlfn.IFNA(INDEX('Ride Log'!$C:$C,MATCH(A256,'Ride Log'!$A:$A,0))
&amp;CHAR(10)&amp;INDEX(INT(Workouts!$B:$B/60)&amp;":"&amp;RIGHT("00"&amp;MOD(Workouts!$B:$B,60),2),MATCH(INDEX('Ride Log'!$C:$C,MATCH(A256,'Ride Log'!$A:$A,0)),Workouts!$A:$A,0))
&amp;CHAR(10)&amp;INDEX(Workouts!$C:$C,MATCH(INDEX('Ride Log'!$C:$C,MATCH(A256,'Ride Log'!$A:$A,0)),Workouts!$A:$A,0))&amp;" TSS","")</f>
        <v/>
      </c>
    </row>
    <row r="257" spans="1:2" s="109" customFormat="1" ht="50.1" customHeight="1" x14ac:dyDescent="0.2">
      <c r="A257" s="110">
        <f t="shared" si="3"/>
        <v>44452</v>
      </c>
      <c r="B257" s="109" t="str">
        <f>_xlfn.IFNA(INDEX('Ride Log'!$C:$C,MATCH(A257,'Ride Log'!$A:$A,0))
&amp;CHAR(10)&amp;INDEX(INT(Workouts!$B:$B/60)&amp;":"&amp;RIGHT("00"&amp;MOD(Workouts!$B:$B,60),2),MATCH(INDEX('Ride Log'!$C:$C,MATCH(A257,'Ride Log'!$A:$A,0)),Workouts!$A:$A,0))
&amp;CHAR(10)&amp;INDEX(Workouts!$C:$C,MATCH(INDEX('Ride Log'!$C:$C,MATCH(A257,'Ride Log'!$A:$A,0)),Workouts!$A:$A,0))&amp;" TSS","")</f>
        <v/>
      </c>
    </row>
    <row r="258" spans="1:2" s="109" customFormat="1" ht="50.1" customHeight="1" x14ac:dyDescent="0.2">
      <c r="A258" s="110">
        <f t="shared" si="3"/>
        <v>44453</v>
      </c>
      <c r="B258" s="109" t="str">
        <f>_xlfn.IFNA(INDEX('Ride Log'!$C:$C,MATCH(A258,'Ride Log'!$A:$A,0))
&amp;CHAR(10)&amp;INDEX(INT(Workouts!$B:$B/60)&amp;":"&amp;RIGHT("00"&amp;MOD(Workouts!$B:$B,60),2),MATCH(INDEX('Ride Log'!$C:$C,MATCH(A258,'Ride Log'!$A:$A,0)),Workouts!$A:$A,0))
&amp;CHAR(10)&amp;INDEX(Workouts!$C:$C,MATCH(INDEX('Ride Log'!$C:$C,MATCH(A258,'Ride Log'!$A:$A,0)),Workouts!$A:$A,0))&amp;" TSS","")</f>
        <v/>
      </c>
    </row>
    <row r="259" spans="1:2" s="109" customFormat="1" ht="50.1" customHeight="1" x14ac:dyDescent="0.2">
      <c r="A259" s="110">
        <f t="shared" si="3"/>
        <v>44454</v>
      </c>
      <c r="B259" s="109" t="str">
        <f>_xlfn.IFNA(INDEX('Ride Log'!$C:$C,MATCH(A259,'Ride Log'!$A:$A,0))
&amp;CHAR(10)&amp;INDEX(INT(Workouts!$B:$B/60)&amp;":"&amp;RIGHT("00"&amp;MOD(Workouts!$B:$B,60),2),MATCH(INDEX('Ride Log'!$C:$C,MATCH(A259,'Ride Log'!$A:$A,0)),Workouts!$A:$A,0))
&amp;CHAR(10)&amp;INDEX(Workouts!$C:$C,MATCH(INDEX('Ride Log'!$C:$C,MATCH(A259,'Ride Log'!$A:$A,0)),Workouts!$A:$A,0))&amp;" TSS","")</f>
        <v/>
      </c>
    </row>
    <row r="260" spans="1:2" s="109" customFormat="1" ht="50.1" customHeight="1" x14ac:dyDescent="0.2">
      <c r="A260" s="110">
        <f t="shared" ref="A260:A323" si="4">A259+1</f>
        <v>44455</v>
      </c>
      <c r="B260" s="109" t="str">
        <f>_xlfn.IFNA(INDEX('Ride Log'!$C:$C,MATCH(A260,'Ride Log'!$A:$A,0))
&amp;CHAR(10)&amp;INDEX(INT(Workouts!$B:$B/60)&amp;":"&amp;RIGHT("00"&amp;MOD(Workouts!$B:$B,60),2),MATCH(INDEX('Ride Log'!$C:$C,MATCH(A260,'Ride Log'!$A:$A,0)),Workouts!$A:$A,0))
&amp;CHAR(10)&amp;INDEX(Workouts!$C:$C,MATCH(INDEX('Ride Log'!$C:$C,MATCH(A260,'Ride Log'!$A:$A,0)),Workouts!$A:$A,0))&amp;" TSS","")</f>
        <v/>
      </c>
    </row>
    <row r="261" spans="1:2" s="109" customFormat="1" ht="50.1" customHeight="1" x14ac:dyDescent="0.2">
      <c r="A261" s="110">
        <f t="shared" si="4"/>
        <v>44456</v>
      </c>
      <c r="B261" s="109" t="str">
        <f>_xlfn.IFNA(INDEX('Ride Log'!$C:$C,MATCH(A261,'Ride Log'!$A:$A,0))
&amp;CHAR(10)&amp;INDEX(INT(Workouts!$B:$B/60)&amp;":"&amp;RIGHT("00"&amp;MOD(Workouts!$B:$B,60),2),MATCH(INDEX('Ride Log'!$C:$C,MATCH(A261,'Ride Log'!$A:$A,0)),Workouts!$A:$A,0))
&amp;CHAR(10)&amp;INDEX(Workouts!$C:$C,MATCH(INDEX('Ride Log'!$C:$C,MATCH(A261,'Ride Log'!$A:$A,0)),Workouts!$A:$A,0))&amp;" TSS","")</f>
        <v/>
      </c>
    </row>
    <row r="262" spans="1:2" s="109" customFormat="1" ht="50.1" customHeight="1" x14ac:dyDescent="0.2">
      <c r="A262" s="110">
        <f t="shared" si="4"/>
        <v>44457</v>
      </c>
      <c r="B262" s="109" t="str">
        <f>_xlfn.IFNA(INDEX('Ride Log'!$C:$C,MATCH(A262,'Ride Log'!$A:$A,0))
&amp;CHAR(10)&amp;INDEX(INT(Workouts!$B:$B/60)&amp;":"&amp;RIGHT("00"&amp;MOD(Workouts!$B:$B,60),2),MATCH(INDEX('Ride Log'!$C:$C,MATCH(A262,'Ride Log'!$A:$A,0)),Workouts!$A:$A,0))
&amp;CHAR(10)&amp;INDEX(Workouts!$C:$C,MATCH(INDEX('Ride Log'!$C:$C,MATCH(A262,'Ride Log'!$A:$A,0)),Workouts!$A:$A,0))&amp;" TSS","")</f>
        <v/>
      </c>
    </row>
    <row r="263" spans="1:2" s="109" customFormat="1" ht="50.1" customHeight="1" x14ac:dyDescent="0.2">
      <c r="A263" s="110">
        <f t="shared" si="4"/>
        <v>44458</v>
      </c>
      <c r="B263" s="109" t="str">
        <f>_xlfn.IFNA(INDEX('Ride Log'!$C:$C,MATCH(A263,'Ride Log'!$A:$A,0))
&amp;CHAR(10)&amp;INDEX(INT(Workouts!$B:$B/60)&amp;":"&amp;RIGHT("00"&amp;MOD(Workouts!$B:$B,60),2),MATCH(INDEX('Ride Log'!$C:$C,MATCH(A263,'Ride Log'!$A:$A,0)),Workouts!$A:$A,0))
&amp;CHAR(10)&amp;INDEX(Workouts!$C:$C,MATCH(INDEX('Ride Log'!$C:$C,MATCH(A263,'Ride Log'!$A:$A,0)),Workouts!$A:$A,0))&amp;" TSS","")</f>
        <v/>
      </c>
    </row>
    <row r="264" spans="1:2" s="109" customFormat="1" ht="50.1" customHeight="1" x14ac:dyDescent="0.2">
      <c r="A264" s="110">
        <f t="shared" si="4"/>
        <v>44459</v>
      </c>
      <c r="B264" s="109" t="str">
        <f>_xlfn.IFNA(INDEX('Ride Log'!$C:$C,MATCH(A264,'Ride Log'!$A:$A,0))
&amp;CHAR(10)&amp;INDEX(INT(Workouts!$B:$B/60)&amp;":"&amp;RIGHT("00"&amp;MOD(Workouts!$B:$B,60),2),MATCH(INDEX('Ride Log'!$C:$C,MATCH(A264,'Ride Log'!$A:$A,0)),Workouts!$A:$A,0))
&amp;CHAR(10)&amp;INDEX(Workouts!$C:$C,MATCH(INDEX('Ride Log'!$C:$C,MATCH(A264,'Ride Log'!$A:$A,0)),Workouts!$A:$A,0))&amp;" TSS","")</f>
        <v/>
      </c>
    </row>
    <row r="265" spans="1:2" s="109" customFormat="1" ht="50.1" customHeight="1" x14ac:dyDescent="0.2">
      <c r="A265" s="110">
        <f t="shared" si="4"/>
        <v>44460</v>
      </c>
      <c r="B265" s="109" t="str">
        <f>_xlfn.IFNA(INDEX('Ride Log'!$C:$C,MATCH(A265,'Ride Log'!$A:$A,0))
&amp;CHAR(10)&amp;INDEX(INT(Workouts!$B:$B/60)&amp;":"&amp;RIGHT("00"&amp;MOD(Workouts!$B:$B,60),2),MATCH(INDEX('Ride Log'!$C:$C,MATCH(A265,'Ride Log'!$A:$A,0)),Workouts!$A:$A,0))
&amp;CHAR(10)&amp;INDEX(Workouts!$C:$C,MATCH(INDEX('Ride Log'!$C:$C,MATCH(A265,'Ride Log'!$A:$A,0)),Workouts!$A:$A,0))&amp;" TSS","")</f>
        <v/>
      </c>
    </row>
    <row r="266" spans="1:2" s="109" customFormat="1" ht="50.1" customHeight="1" x14ac:dyDescent="0.2">
      <c r="A266" s="110">
        <f t="shared" si="4"/>
        <v>44461</v>
      </c>
      <c r="B266" s="109" t="str">
        <f>_xlfn.IFNA(INDEX('Ride Log'!$C:$C,MATCH(A266,'Ride Log'!$A:$A,0))
&amp;CHAR(10)&amp;INDEX(INT(Workouts!$B:$B/60)&amp;":"&amp;RIGHT("00"&amp;MOD(Workouts!$B:$B,60),2),MATCH(INDEX('Ride Log'!$C:$C,MATCH(A266,'Ride Log'!$A:$A,0)),Workouts!$A:$A,0))
&amp;CHAR(10)&amp;INDEX(Workouts!$C:$C,MATCH(INDEX('Ride Log'!$C:$C,MATCH(A266,'Ride Log'!$A:$A,0)),Workouts!$A:$A,0))&amp;" TSS","")</f>
        <v/>
      </c>
    </row>
    <row r="267" spans="1:2" s="109" customFormat="1" ht="50.1" customHeight="1" x14ac:dyDescent="0.2">
      <c r="A267" s="110">
        <f t="shared" si="4"/>
        <v>44462</v>
      </c>
      <c r="B267" s="109" t="str">
        <f>_xlfn.IFNA(INDEX('Ride Log'!$C:$C,MATCH(A267,'Ride Log'!$A:$A,0))
&amp;CHAR(10)&amp;INDEX(INT(Workouts!$B:$B/60)&amp;":"&amp;RIGHT("00"&amp;MOD(Workouts!$B:$B,60),2),MATCH(INDEX('Ride Log'!$C:$C,MATCH(A267,'Ride Log'!$A:$A,0)),Workouts!$A:$A,0))
&amp;CHAR(10)&amp;INDEX(Workouts!$C:$C,MATCH(INDEX('Ride Log'!$C:$C,MATCH(A267,'Ride Log'!$A:$A,0)),Workouts!$A:$A,0))&amp;" TSS","")</f>
        <v/>
      </c>
    </row>
    <row r="268" spans="1:2" s="109" customFormat="1" ht="50.1" customHeight="1" x14ac:dyDescent="0.2">
      <c r="A268" s="110">
        <f t="shared" si="4"/>
        <v>44463</v>
      </c>
      <c r="B268" s="109" t="str">
        <f>_xlfn.IFNA(INDEX('Ride Log'!$C:$C,MATCH(A268,'Ride Log'!$A:$A,0))
&amp;CHAR(10)&amp;INDEX(INT(Workouts!$B:$B/60)&amp;":"&amp;RIGHT("00"&amp;MOD(Workouts!$B:$B,60),2),MATCH(INDEX('Ride Log'!$C:$C,MATCH(A268,'Ride Log'!$A:$A,0)),Workouts!$A:$A,0))
&amp;CHAR(10)&amp;INDEX(Workouts!$C:$C,MATCH(INDEX('Ride Log'!$C:$C,MATCH(A268,'Ride Log'!$A:$A,0)),Workouts!$A:$A,0))&amp;" TSS","")</f>
        <v/>
      </c>
    </row>
    <row r="269" spans="1:2" s="109" customFormat="1" ht="50.1" customHeight="1" x14ac:dyDescent="0.2">
      <c r="A269" s="110">
        <f t="shared" si="4"/>
        <v>44464</v>
      </c>
      <c r="B269" s="109" t="str">
        <f>_xlfn.IFNA(INDEX('Ride Log'!$C:$C,MATCH(A269,'Ride Log'!$A:$A,0))
&amp;CHAR(10)&amp;INDEX(INT(Workouts!$B:$B/60)&amp;":"&amp;RIGHT("00"&amp;MOD(Workouts!$B:$B,60),2),MATCH(INDEX('Ride Log'!$C:$C,MATCH(A269,'Ride Log'!$A:$A,0)),Workouts!$A:$A,0))
&amp;CHAR(10)&amp;INDEX(Workouts!$C:$C,MATCH(INDEX('Ride Log'!$C:$C,MATCH(A269,'Ride Log'!$A:$A,0)),Workouts!$A:$A,0))&amp;" TSS","")</f>
        <v/>
      </c>
    </row>
    <row r="270" spans="1:2" s="109" customFormat="1" ht="50.1" customHeight="1" x14ac:dyDescent="0.2">
      <c r="A270" s="110">
        <f t="shared" si="4"/>
        <v>44465</v>
      </c>
      <c r="B270" s="109" t="str">
        <f>_xlfn.IFNA(INDEX('Ride Log'!$C:$C,MATCH(A270,'Ride Log'!$A:$A,0))
&amp;CHAR(10)&amp;INDEX(INT(Workouts!$B:$B/60)&amp;":"&amp;RIGHT("00"&amp;MOD(Workouts!$B:$B,60),2),MATCH(INDEX('Ride Log'!$C:$C,MATCH(A270,'Ride Log'!$A:$A,0)),Workouts!$A:$A,0))
&amp;CHAR(10)&amp;INDEX(Workouts!$C:$C,MATCH(INDEX('Ride Log'!$C:$C,MATCH(A270,'Ride Log'!$A:$A,0)),Workouts!$A:$A,0))&amp;" TSS","")</f>
        <v/>
      </c>
    </row>
    <row r="271" spans="1:2" s="109" customFormat="1" ht="50.1" customHeight="1" x14ac:dyDescent="0.2">
      <c r="A271" s="110">
        <f t="shared" si="4"/>
        <v>44466</v>
      </c>
      <c r="B271" s="109" t="str">
        <f>_xlfn.IFNA(INDEX('Ride Log'!$C:$C,MATCH(A271,'Ride Log'!$A:$A,0))
&amp;CHAR(10)&amp;INDEX(INT(Workouts!$B:$B/60)&amp;":"&amp;RIGHT("00"&amp;MOD(Workouts!$B:$B,60),2),MATCH(INDEX('Ride Log'!$C:$C,MATCH(A271,'Ride Log'!$A:$A,0)),Workouts!$A:$A,0))
&amp;CHAR(10)&amp;INDEX(Workouts!$C:$C,MATCH(INDEX('Ride Log'!$C:$C,MATCH(A271,'Ride Log'!$A:$A,0)),Workouts!$A:$A,0))&amp;" TSS","")</f>
        <v/>
      </c>
    </row>
    <row r="272" spans="1:2" s="109" customFormat="1" ht="50.1" customHeight="1" x14ac:dyDescent="0.2">
      <c r="A272" s="110">
        <f t="shared" si="4"/>
        <v>44467</v>
      </c>
      <c r="B272" s="109" t="str">
        <f>_xlfn.IFNA(INDEX('Ride Log'!$C:$C,MATCH(A272,'Ride Log'!$A:$A,0))
&amp;CHAR(10)&amp;INDEX(INT(Workouts!$B:$B/60)&amp;":"&amp;RIGHT("00"&amp;MOD(Workouts!$B:$B,60),2),MATCH(INDEX('Ride Log'!$C:$C,MATCH(A272,'Ride Log'!$A:$A,0)),Workouts!$A:$A,0))
&amp;CHAR(10)&amp;INDEX(Workouts!$C:$C,MATCH(INDEX('Ride Log'!$C:$C,MATCH(A272,'Ride Log'!$A:$A,0)),Workouts!$A:$A,0))&amp;" TSS","")</f>
        <v/>
      </c>
    </row>
    <row r="273" spans="1:2" s="109" customFormat="1" ht="50.1" customHeight="1" x14ac:dyDescent="0.2">
      <c r="A273" s="110">
        <f t="shared" si="4"/>
        <v>44468</v>
      </c>
      <c r="B273" s="109" t="str">
        <f>_xlfn.IFNA(INDEX('Ride Log'!$C:$C,MATCH(A273,'Ride Log'!$A:$A,0))
&amp;CHAR(10)&amp;INDEX(INT(Workouts!$B:$B/60)&amp;":"&amp;RIGHT("00"&amp;MOD(Workouts!$B:$B,60),2),MATCH(INDEX('Ride Log'!$C:$C,MATCH(A273,'Ride Log'!$A:$A,0)),Workouts!$A:$A,0))
&amp;CHAR(10)&amp;INDEX(Workouts!$C:$C,MATCH(INDEX('Ride Log'!$C:$C,MATCH(A273,'Ride Log'!$A:$A,0)),Workouts!$A:$A,0))&amp;" TSS","")</f>
        <v/>
      </c>
    </row>
    <row r="274" spans="1:2" s="109" customFormat="1" ht="50.1" customHeight="1" x14ac:dyDescent="0.2">
      <c r="A274" s="110">
        <f t="shared" si="4"/>
        <v>44469</v>
      </c>
      <c r="B274" s="109" t="str">
        <f>_xlfn.IFNA(INDEX('Ride Log'!$C:$C,MATCH(A274,'Ride Log'!$A:$A,0))
&amp;CHAR(10)&amp;INDEX(INT(Workouts!$B:$B/60)&amp;":"&amp;RIGHT("00"&amp;MOD(Workouts!$B:$B,60),2),MATCH(INDEX('Ride Log'!$C:$C,MATCH(A274,'Ride Log'!$A:$A,0)),Workouts!$A:$A,0))
&amp;CHAR(10)&amp;INDEX(Workouts!$C:$C,MATCH(INDEX('Ride Log'!$C:$C,MATCH(A274,'Ride Log'!$A:$A,0)),Workouts!$A:$A,0))&amp;" TSS","")</f>
        <v/>
      </c>
    </row>
    <row r="275" spans="1:2" s="109" customFormat="1" ht="50.1" customHeight="1" x14ac:dyDescent="0.2">
      <c r="A275" s="110">
        <f t="shared" si="4"/>
        <v>44470</v>
      </c>
      <c r="B275" s="109" t="str">
        <f>_xlfn.IFNA(INDEX('Ride Log'!$C:$C,MATCH(A275,'Ride Log'!$A:$A,0))
&amp;CHAR(10)&amp;INDEX(INT(Workouts!$B:$B/60)&amp;":"&amp;RIGHT("00"&amp;MOD(Workouts!$B:$B,60),2),MATCH(INDEX('Ride Log'!$C:$C,MATCH(A275,'Ride Log'!$A:$A,0)),Workouts!$A:$A,0))
&amp;CHAR(10)&amp;INDEX(Workouts!$C:$C,MATCH(INDEX('Ride Log'!$C:$C,MATCH(A275,'Ride Log'!$A:$A,0)),Workouts!$A:$A,0))&amp;" TSS","")</f>
        <v/>
      </c>
    </row>
    <row r="276" spans="1:2" s="109" customFormat="1" ht="50.1" customHeight="1" x14ac:dyDescent="0.2">
      <c r="A276" s="110">
        <f t="shared" si="4"/>
        <v>44471</v>
      </c>
      <c r="B276" s="109" t="str">
        <f>_xlfn.IFNA(INDEX('Ride Log'!$C:$C,MATCH(A276,'Ride Log'!$A:$A,0))
&amp;CHAR(10)&amp;INDEX(INT(Workouts!$B:$B/60)&amp;":"&amp;RIGHT("00"&amp;MOD(Workouts!$B:$B,60),2),MATCH(INDEX('Ride Log'!$C:$C,MATCH(A276,'Ride Log'!$A:$A,0)),Workouts!$A:$A,0))
&amp;CHAR(10)&amp;INDEX(Workouts!$C:$C,MATCH(INDEX('Ride Log'!$C:$C,MATCH(A276,'Ride Log'!$A:$A,0)),Workouts!$A:$A,0))&amp;" TSS","")</f>
        <v/>
      </c>
    </row>
    <row r="277" spans="1:2" s="109" customFormat="1" ht="50.1" customHeight="1" x14ac:dyDescent="0.2">
      <c r="A277" s="110">
        <f t="shared" si="4"/>
        <v>44472</v>
      </c>
      <c r="B277" s="109" t="str">
        <f>_xlfn.IFNA(INDEX('Ride Log'!$C:$C,MATCH(A277,'Ride Log'!$A:$A,0))
&amp;CHAR(10)&amp;INDEX(INT(Workouts!$B:$B/60)&amp;":"&amp;RIGHT("00"&amp;MOD(Workouts!$B:$B,60),2),MATCH(INDEX('Ride Log'!$C:$C,MATCH(A277,'Ride Log'!$A:$A,0)),Workouts!$A:$A,0))
&amp;CHAR(10)&amp;INDEX(Workouts!$C:$C,MATCH(INDEX('Ride Log'!$C:$C,MATCH(A277,'Ride Log'!$A:$A,0)),Workouts!$A:$A,0))&amp;" TSS","")</f>
        <v/>
      </c>
    </row>
    <row r="278" spans="1:2" s="109" customFormat="1" ht="50.1" customHeight="1" x14ac:dyDescent="0.2">
      <c r="A278" s="110">
        <f t="shared" si="4"/>
        <v>44473</v>
      </c>
      <c r="B278" s="109" t="str">
        <f>_xlfn.IFNA(INDEX('Ride Log'!$C:$C,MATCH(A278,'Ride Log'!$A:$A,0))
&amp;CHAR(10)&amp;INDEX(INT(Workouts!$B:$B/60)&amp;":"&amp;RIGHT("00"&amp;MOD(Workouts!$B:$B,60),2),MATCH(INDEX('Ride Log'!$C:$C,MATCH(A278,'Ride Log'!$A:$A,0)),Workouts!$A:$A,0))
&amp;CHAR(10)&amp;INDEX(Workouts!$C:$C,MATCH(INDEX('Ride Log'!$C:$C,MATCH(A278,'Ride Log'!$A:$A,0)),Workouts!$A:$A,0))&amp;" TSS","")</f>
        <v/>
      </c>
    </row>
    <row r="279" spans="1:2" s="109" customFormat="1" ht="50.1" customHeight="1" x14ac:dyDescent="0.2">
      <c r="A279" s="110">
        <f t="shared" si="4"/>
        <v>44474</v>
      </c>
      <c r="B279" s="109" t="str">
        <f>_xlfn.IFNA(INDEX('Ride Log'!$C:$C,MATCH(A279,'Ride Log'!$A:$A,0))
&amp;CHAR(10)&amp;INDEX(INT(Workouts!$B:$B/60)&amp;":"&amp;RIGHT("00"&amp;MOD(Workouts!$B:$B,60),2),MATCH(INDEX('Ride Log'!$C:$C,MATCH(A279,'Ride Log'!$A:$A,0)),Workouts!$A:$A,0))
&amp;CHAR(10)&amp;INDEX(Workouts!$C:$C,MATCH(INDEX('Ride Log'!$C:$C,MATCH(A279,'Ride Log'!$A:$A,0)),Workouts!$A:$A,0))&amp;" TSS","")</f>
        <v/>
      </c>
    </row>
    <row r="280" spans="1:2" s="109" customFormat="1" ht="50.1" customHeight="1" x14ac:dyDescent="0.2">
      <c r="A280" s="110">
        <f t="shared" si="4"/>
        <v>44475</v>
      </c>
      <c r="B280" s="109" t="str">
        <f>_xlfn.IFNA(INDEX('Ride Log'!$C:$C,MATCH(A280,'Ride Log'!$A:$A,0))
&amp;CHAR(10)&amp;INDEX(INT(Workouts!$B:$B/60)&amp;":"&amp;RIGHT("00"&amp;MOD(Workouts!$B:$B,60),2),MATCH(INDEX('Ride Log'!$C:$C,MATCH(A280,'Ride Log'!$A:$A,0)),Workouts!$A:$A,0))
&amp;CHAR(10)&amp;INDEX(Workouts!$C:$C,MATCH(INDEX('Ride Log'!$C:$C,MATCH(A280,'Ride Log'!$A:$A,0)),Workouts!$A:$A,0))&amp;" TSS","")</f>
        <v/>
      </c>
    </row>
    <row r="281" spans="1:2" s="109" customFormat="1" ht="50.1" customHeight="1" x14ac:dyDescent="0.2">
      <c r="A281" s="110">
        <f t="shared" si="4"/>
        <v>44476</v>
      </c>
      <c r="B281" s="109" t="str">
        <f>_xlfn.IFNA(INDEX('Ride Log'!$C:$C,MATCH(A281,'Ride Log'!$A:$A,0))
&amp;CHAR(10)&amp;INDEX(INT(Workouts!$B:$B/60)&amp;":"&amp;RIGHT("00"&amp;MOD(Workouts!$B:$B,60),2),MATCH(INDEX('Ride Log'!$C:$C,MATCH(A281,'Ride Log'!$A:$A,0)),Workouts!$A:$A,0))
&amp;CHAR(10)&amp;INDEX(Workouts!$C:$C,MATCH(INDEX('Ride Log'!$C:$C,MATCH(A281,'Ride Log'!$A:$A,0)),Workouts!$A:$A,0))&amp;" TSS","")</f>
        <v/>
      </c>
    </row>
    <row r="282" spans="1:2" s="109" customFormat="1" ht="50.1" customHeight="1" x14ac:dyDescent="0.2">
      <c r="A282" s="110">
        <f t="shared" si="4"/>
        <v>44477</v>
      </c>
      <c r="B282" s="109" t="str">
        <f>_xlfn.IFNA(INDEX('Ride Log'!$C:$C,MATCH(A282,'Ride Log'!$A:$A,0))
&amp;CHAR(10)&amp;INDEX(INT(Workouts!$B:$B/60)&amp;":"&amp;RIGHT("00"&amp;MOD(Workouts!$B:$B,60),2),MATCH(INDEX('Ride Log'!$C:$C,MATCH(A282,'Ride Log'!$A:$A,0)),Workouts!$A:$A,0))
&amp;CHAR(10)&amp;INDEX(Workouts!$C:$C,MATCH(INDEX('Ride Log'!$C:$C,MATCH(A282,'Ride Log'!$A:$A,0)),Workouts!$A:$A,0))&amp;" TSS","")</f>
        <v/>
      </c>
    </row>
    <row r="283" spans="1:2" s="109" customFormat="1" ht="50.1" customHeight="1" x14ac:dyDescent="0.2">
      <c r="A283" s="110">
        <f t="shared" si="4"/>
        <v>44478</v>
      </c>
      <c r="B283" s="109" t="str">
        <f>_xlfn.IFNA(INDEX('Ride Log'!$C:$C,MATCH(A283,'Ride Log'!$A:$A,0))
&amp;CHAR(10)&amp;INDEX(INT(Workouts!$B:$B/60)&amp;":"&amp;RIGHT("00"&amp;MOD(Workouts!$B:$B,60),2),MATCH(INDEX('Ride Log'!$C:$C,MATCH(A283,'Ride Log'!$A:$A,0)),Workouts!$A:$A,0))
&amp;CHAR(10)&amp;INDEX(Workouts!$C:$C,MATCH(INDEX('Ride Log'!$C:$C,MATCH(A283,'Ride Log'!$A:$A,0)),Workouts!$A:$A,0))&amp;" TSS","")</f>
        <v/>
      </c>
    </row>
    <row r="284" spans="1:2" s="109" customFormat="1" ht="50.1" customHeight="1" x14ac:dyDescent="0.2">
      <c r="A284" s="110">
        <f t="shared" si="4"/>
        <v>44479</v>
      </c>
      <c r="B284" s="109" t="str">
        <f>_xlfn.IFNA(INDEX('Ride Log'!$C:$C,MATCH(A284,'Ride Log'!$A:$A,0))
&amp;CHAR(10)&amp;INDEX(INT(Workouts!$B:$B/60)&amp;":"&amp;RIGHT("00"&amp;MOD(Workouts!$B:$B,60),2),MATCH(INDEX('Ride Log'!$C:$C,MATCH(A284,'Ride Log'!$A:$A,0)),Workouts!$A:$A,0))
&amp;CHAR(10)&amp;INDEX(Workouts!$C:$C,MATCH(INDEX('Ride Log'!$C:$C,MATCH(A284,'Ride Log'!$A:$A,0)),Workouts!$A:$A,0))&amp;" TSS","")</f>
        <v/>
      </c>
    </row>
    <row r="285" spans="1:2" s="109" customFormat="1" ht="50.1" customHeight="1" x14ac:dyDescent="0.2">
      <c r="A285" s="110">
        <f t="shared" si="4"/>
        <v>44480</v>
      </c>
      <c r="B285" s="109" t="str">
        <f>_xlfn.IFNA(INDEX('Ride Log'!$C:$C,MATCH(A285,'Ride Log'!$A:$A,0))
&amp;CHAR(10)&amp;INDEX(INT(Workouts!$B:$B/60)&amp;":"&amp;RIGHT("00"&amp;MOD(Workouts!$B:$B,60),2),MATCH(INDEX('Ride Log'!$C:$C,MATCH(A285,'Ride Log'!$A:$A,0)),Workouts!$A:$A,0))
&amp;CHAR(10)&amp;INDEX(Workouts!$C:$C,MATCH(INDEX('Ride Log'!$C:$C,MATCH(A285,'Ride Log'!$A:$A,0)),Workouts!$A:$A,0))&amp;" TSS","")</f>
        <v/>
      </c>
    </row>
    <row r="286" spans="1:2" s="109" customFormat="1" ht="50.1" customHeight="1" x14ac:dyDescent="0.2">
      <c r="A286" s="110">
        <f t="shared" si="4"/>
        <v>44481</v>
      </c>
      <c r="B286" s="109" t="str">
        <f>_xlfn.IFNA(INDEX('Ride Log'!$C:$C,MATCH(A286,'Ride Log'!$A:$A,0))
&amp;CHAR(10)&amp;INDEX(INT(Workouts!$B:$B/60)&amp;":"&amp;RIGHT("00"&amp;MOD(Workouts!$B:$B,60),2),MATCH(INDEX('Ride Log'!$C:$C,MATCH(A286,'Ride Log'!$A:$A,0)),Workouts!$A:$A,0))
&amp;CHAR(10)&amp;INDEX(Workouts!$C:$C,MATCH(INDEX('Ride Log'!$C:$C,MATCH(A286,'Ride Log'!$A:$A,0)),Workouts!$A:$A,0))&amp;" TSS","")</f>
        <v/>
      </c>
    </row>
    <row r="287" spans="1:2" s="109" customFormat="1" ht="50.1" customHeight="1" x14ac:dyDescent="0.2">
      <c r="A287" s="110">
        <f t="shared" si="4"/>
        <v>44482</v>
      </c>
      <c r="B287" s="109" t="str">
        <f>_xlfn.IFNA(INDEX('Ride Log'!$C:$C,MATCH(A287,'Ride Log'!$A:$A,0))
&amp;CHAR(10)&amp;INDEX(INT(Workouts!$B:$B/60)&amp;":"&amp;RIGHT("00"&amp;MOD(Workouts!$B:$B,60),2),MATCH(INDEX('Ride Log'!$C:$C,MATCH(A287,'Ride Log'!$A:$A,0)),Workouts!$A:$A,0))
&amp;CHAR(10)&amp;INDEX(Workouts!$C:$C,MATCH(INDEX('Ride Log'!$C:$C,MATCH(A287,'Ride Log'!$A:$A,0)),Workouts!$A:$A,0))&amp;" TSS","")</f>
        <v/>
      </c>
    </row>
    <row r="288" spans="1:2" s="109" customFormat="1" ht="50.1" customHeight="1" x14ac:dyDescent="0.2">
      <c r="A288" s="110">
        <f t="shared" si="4"/>
        <v>44483</v>
      </c>
      <c r="B288" s="109" t="str">
        <f>_xlfn.IFNA(INDEX('Ride Log'!$C:$C,MATCH(A288,'Ride Log'!$A:$A,0))
&amp;CHAR(10)&amp;INDEX(INT(Workouts!$B:$B/60)&amp;":"&amp;RIGHT("00"&amp;MOD(Workouts!$B:$B,60),2),MATCH(INDEX('Ride Log'!$C:$C,MATCH(A288,'Ride Log'!$A:$A,0)),Workouts!$A:$A,0))
&amp;CHAR(10)&amp;INDEX(Workouts!$C:$C,MATCH(INDEX('Ride Log'!$C:$C,MATCH(A288,'Ride Log'!$A:$A,0)),Workouts!$A:$A,0))&amp;" TSS","")</f>
        <v/>
      </c>
    </row>
    <row r="289" spans="1:2" s="109" customFormat="1" ht="50.1" customHeight="1" x14ac:dyDescent="0.2">
      <c r="A289" s="110">
        <f t="shared" si="4"/>
        <v>44484</v>
      </c>
      <c r="B289" s="109" t="str">
        <f>_xlfn.IFNA(INDEX('Ride Log'!$C:$C,MATCH(A289,'Ride Log'!$A:$A,0))
&amp;CHAR(10)&amp;INDEX(INT(Workouts!$B:$B/60)&amp;":"&amp;RIGHT("00"&amp;MOD(Workouts!$B:$B,60),2),MATCH(INDEX('Ride Log'!$C:$C,MATCH(A289,'Ride Log'!$A:$A,0)),Workouts!$A:$A,0))
&amp;CHAR(10)&amp;INDEX(Workouts!$C:$C,MATCH(INDEX('Ride Log'!$C:$C,MATCH(A289,'Ride Log'!$A:$A,0)),Workouts!$A:$A,0))&amp;" TSS","")</f>
        <v/>
      </c>
    </row>
    <row r="290" spans="1:2" s="109" customFormat="1" ht="50.1" customHeight="1" x14ac:dyDescent="0.2">
      <c r="A290" s="110">
        <f t="shared" si="4"/>
        <v>44485</v>
      </c>
      <c r="B290" s="109" t="str">
        <f>_xlfn.IFNA(INDEX('Ride Log'!$C:$C,MATCH(A290,'Ride Log'!$A:$A,0))
&amp;CHAR(10)&amp;INDEX(INT(Workouts!$B:$B/60)&amp;":"&amp;RIGHT("00"&amp;MOD(Workouts!$B:$B,60),2),MATCH(INDEX('Ride Log'!$C:$C,MATCH(A290,'Ride Log'!$A:$A,0)),Workouts!$A:$A,0))
&amp;CHAR(10)&amp;INDEX(Workouts!$C:$C,MATCH(INDEX('Ride Log'!$C:$C,MATCH(A290,'Ride Log'!$A:$A,0)),Workouts!$A:$A,0))&amp;" TSS","")</f>
        <v/>
      </c>
    </row>
    <row r="291" spans="1:2" s="109" customFormat="1" ht="50.1" customHeight="1" x14ac:dyDescent="0.2">
      <c r="A291" s="110">
        <f t="shared" si="4"/>
        <v>44486</v>
      </c>
      <c r="B291" s="109" t="str">
        <f>_xlfn.IFNA(INDEX('Ride Log'!$C:$C,MATCH(A291,'Ride Log'!$A:$A,0))
&amp;CHAR(10)&amp;INDEX(INT(Workouts!$B:$B/60)&amp;":"&amp;RIGHT("00"&amp;MOD(Workouts!$B:$B,60),2),MATCH(INDEX('Ride Log'!$C:$C,MATCH(A291,'Ride Log'!$A:$A,0)),Workouts!$A:$A,0))
&amp;CHAR(10)&amp;INDEX(Workouts!$C:$C,MATCH(INDEX('Ride Log'!$C:$C,MATCH(A291,'Ride Log'!$A:$A,0)),Workouts!$A:$A,0))&amp;" TSS","")</f>
        <v/>
      </c>
    </row>
    <row r="292" spans="1:2" s="109" customFormat="1" ht="50.1" customHeight="1" x14ac:dyDescent="0.2">
      <c r="A292" s="110">
        <f t="shared" si="4"/>
        <v>44487</v>
      </c>
      <c r="B292" s="109" t="str">
        <f>_xlfn.IFNA(INDEX('Ride Log'!$C:$C,MATCH(A292,'Ride Log'!$A:$A,0))
&amp;CHAR(10)&amp;INDEX(INT(Workouts!$B:$B/60)&amp;":"&amp;RIGHT("00"&amp;MOD(Workouts!$B:$B,60),2),MATCH(INDEX('Ride Log'!$C:$C,MATCH(A292,'Ride Log'!$A:$A,0)),Workouts!$A:$A,0))
&amp;CHAR(10)&amp;INDEX(Workouts!$C:$C,MATCH(INDEX('Ride Log'!$C:$C,MATCH(A292,'Ride Log'!$A:$A,0)),Workouts!$A:$A,0))&amp;" TSS","")</f>
        <v/>
      </c>
    </row>
    <row r="293" spans="1:2" s="109" customFormat="1" ht="50.1" customHeight="1" x14ac:dyDescent="0.2">
      <c r="A293" s="110">
        <f t="shared" si="4"/>
        <v>44488</v>
      </c>
      <c r="B293" s="109" t="str">
        <f>_xlfn.IFNA(INDEX('Ride Log'!$C:$C,MATCH(A293,'Ride Log'!$A:$A,0))
&amp;CHAR(10)&amp;INDEX(INT(Workouts!$B:$B/60)&amp;":"&amp;RIGHT("00"&amp;MOD(Workouts!$B:$B,60),2),MATCH(INDEX('Ride Log'!$C:$C,MATCH(A293,'Ride Log'!$A:$A,0)),Workouts!$A:$A,0))
&amp;CHAR(10)&amp;INDEX(Workouts!$C:$C,MATCH(INDEX('Ride Log'!$C:$C,MATCH(A293,'Ride Log'!$A:$A,0)),Workouts!$A:$A,0))&amp;" TSS","")</f>
        <v/>
      </c>
    </row>
    <row r="294" spans="1:2" s="109" customFormat="1" ht="50.1" customHeight="1" x14ac:dyDescent="0.2">
      <c r="A294" s="110">
        <f t="shared" si="4"/>
        <v>44489</v>
      </c>
      <c r="B294" s="109" t="str">
        <f>_xlfn.IFNA(INDEX('Ride Log'!$C:$C,MATCH(A294,'Ride Log'!$A:$A,0))
&amp;CHAR(10)&amp;INDEX(INT(Workouts!$B:$B/60)&amp;":"&amp;RIGHT("00"&amp;MOD(Workouts!$B:$B,60),2),MATCH(INDEX('Ride Log'!$C:$C,MATCH(A294,'Ride Log'!$A:$A,0)),Workouts!$A:$A,0))
&amp;CHAR(10)&amp;INDEX(Workouts!$C:$C,MATCH(INDEX('Ride Log'!$C:$C,MATCH(A294,'Ride Log'!$A:$A,0)),Workouts!$A:$A,0))&amp;" TSS","")</f>
        <v/>
      </c>
    </row>
    <row r="295" spans="1:2" s="109" customFormat="1" ht="50.1" customHeight="1" x14ac:dyDescent="0.2">
      <c r="A295" s="110">
        <f t="shared" si="4"/>
        <v>44490</v>
      </c>
      <c r="B295" s="109" t="str">
        <f>_xlfn.IFNA(INDEX('Ride Log'!$C:$C,MATCH(A295,'Ride Log'!$A:$A,0))
&amp;CHAR(10)&amp;INDEX(INT(Workouts!$B:$B/60)&amp;":"&amp;RIGHT("00"&amp;MOD(Workouts!$B:$B,60),2),MATCH(INDEX('Ride Log'!$C:$C,MATCH(A295,'Ride Log'!$A:$A,0)),Workouts!$A:$A,0))
&amp;CHAR(10)&amp;INDEX(Workouts!$C:$C,MATCH(INDEX('Ride Log'!$C:$C,MATCH(A295,'Ride Log'!$A:$A,0)),Workouts!$A:$A,0))&amp;" TSS","")</f>
        <v/>
      </c>
    </row>
    <row r="296" spans="1:2" s="109" customFormat="1" ht="50.1" customHeight="1" x14ac:dyDescent="0.2">
      <c r="A296" s="110">
        <f t="shared" si="4"/>
        <v>44491</v>
      </c>
      <c r="B296" s="109" t="str">
        <f>_xlfn.IFNA(INDEX('Ride Log'!$C:$C,MATCH(A296,'Ride Log'!$A:$A,0))
&amp;CHAR(10)&amp;INDEX(INT(Workouts!$B:$B/60)&amp;":"&amp;RIGHT("00"&amp;MOD(Workouts!$B:$B,60),2),MATCH(INDEX('Ride Log'!$C:$C,MATCH(A296,'Ride Log'!$A:$A,0)),Workouts!$A:$A,0))
&amp;CHAR(10)&amp;INDEX(Workouts!$C:$C,MATCH(INDEX('Ride Log'!$C:$C,MATCH(A296,'Ride Log'!$A:$A,0)),Workouts!$A:$A,0))&amp;" TSS","")</f>
        <v/>
      </c>
    </row>
    <row r="297" spans="1:2" s="109" customFormat="1" ht="50.1" customHeight="1" x14ac:dyDescent="0.2">
      <c r="A297" s="110">
        <f t="shared" si="4"/>
        <v>44492</v>
      </c>
      <c r="B297" s="109" t="str">
        <f>_xlfn.IFNA(INDEX('Ride Log'!$C:$C,MATCH(A297,'Ride Log'!$A:$A,0))
&amp;CHAR(10)&amp;INDEX(INT(Workouts!$B:$B/60)&amp;":"&amp;RIGHT("00"&amp;MOD(Workouts!$B:$B,60),2),MATCH(INDEX('Ride Log'!$C:$C,MATCH(A297,'Ride Log'!$A:$A,0)),Workouts!$A:$A,0))
&amp;CHAR(10)&amp;INDEX(Workouts!$C:$C,MATCH(INDEX('Ride Log'!$C:$C,MATCH(A297,'Ride Log'!$A:$A,0)),Workouts!$A:$A,0))&amp;" TSS","")</f>
        <v/>
      </c>
    </row>
    <row r="298" spans="1:2" s="109" customFormat="1" ht="50.1" customHeight="1" x14ac:dyDescent="0.2">
      <c r="A298" s="110">
        <f t="shared" si="4"/>
        <v>44493</v>
      </c>
      <c r="B298" s="109" t="str">
        <f>_xlfn.IFNA(INDEX('Ride Log'!$C:$C,MATCH(A298,'Ride Log'!$A:$A,0))
&amp;CHAR(10)&amp;INDEX(INT(Workouts!$B:$B/60)&amp;":"&amp;RIGHT("00"&amp;MOD(Workouts!$B:$B,60),2),MATCH(INDEX('Ride Log'!$C:$C,MATCH(A298,'Ride Log'!$A:$A,0)),Workouts!$A:$A,0))
&amp;CHAR(10)&amp;INDEX(Workouts!$C:$C,MATCH(INDEX('Ride Log'!$C:$C,MATCH(A298,'Ride Log'!$A:$A,0)),Workouts!$A:$A,0))&amp;" TSS","")</f>
        <v/>
      </c>
    </row>
    <row r="299" spans="1:2" s="109" customFormat="1" ht="50.1" customHeight="1" x14ac:dyDescent="0.2">
      <c r="A299" s="110">
        <f t="shared" si="4"/>
        <v>44494</v>
      </c>
      <c r="B299" s="109" t="str">
        <f>_xlfn.IFNA(INDEX('Ride Log'!$C:$C,MATCH(A299,'Ride Log'!$A:$A,0))
&amp;CHAR(10)&amp;INDEX(INT(Workouts!$B:$B/60)&amp;":"&amp;RIGHT("00"&amp;MOD(Workouts!$B:$B,60),2),MATCH(INDEX('Ride Log'!$C:$C,MATCH(A299,'Ride Log'!$A:$A,0)),Workouts!$A:$A,0))
&amp;CHAR(10)&amp;INDEX(Workouts!$C:$C,MATCH(INDEX('Ride Log'!$C:$C,MATCH(A299,'Ride Log'!$A:$A,0)),Workouts!$A:$A,0))&amp;" TSS","")</f>
        <v/>
      </c>
    </row>
    <row r="300" spans="1:2" s="109" customFormat="1" ht="50.1" customHeight="1" x14ac:dyDescent="0.2">
      <c r="A300" s="110">
        <f t="shared" si="4"/>
        <v>44495</v>
      </c>
      <c r="B300" s="109" t="str">
        <f>_xlfn.IFNA(INDEX('Ride Log'!$C:$C,MATCH(A300,'Ride Log'!$A:$A,0))
&amp;CHAR(10)&amp;INDEX(INT(Workouts!$B:$B/60)&amp;":"&amp;RIGHT("00"&amp;MOD(Workouts!$B:$B,60),2),MATCH(INDEX('Ride Log'!$C:$C,MATCH(A300,'Ride Log'!$A:$A,0)),Workouts!$A:$A,0))
&amp;CHAR(10)&amp;INDEX(Workouts!$C:$C,MATCH(INDEX('Ride Log'!$C:$C,MATCH(A300,'Ride Log'!$A:$A,0)),Workouts!$A:$A,0))&amp;" TSS","")</f>
        <v/>
      </c>
    </row>
    <row r="301" spans="1:2" s="109" customFormat="1" ht="50.1" customHeight="1" x14ac:dyDescent="0.2">
      <c r="A301" s="110">
        <f t="shared" si="4"/>
        <v>44496</v>
      </c>
      <c r="B301" s="109" t="str">
        <f>_xlfn.IFNA(INDEX('Ride Log'!$C:$C,MATCH(A301,'Ride Log'!$A:$A,0))
&amp;CHAR(10)&amp;INDEX(INT(Workouts!$B:$B/60)&amp;":"&amp;RIGHT("00"&amp;MOD(Workouts!$B:$B,60),2),MATCH(INDEX('Ride Log'!$C:$C,MATCH(A301,'Ride Log'!$A:$A,0)),Workouts!$A:$A,0))
&amp;CHAR(10)&amp;INDEX(Workouts!$C:$C,MATCH(INDEX('Ride Log'!$C:$C,MATCH(A301,'Ride Log'!$A:$A,0)),Workouts!$A:$A,0))&amp;" TSS","")</f>
        <v/>
      </c>
    </row>
    <row r="302" spans="1:2" s="109" customFormat="1" ht="50.1" customHeight="1" x14ac:dyDescent="0.2">
      <c r="A302" s="110">
        <f t="shared" si="4"/>
        <v>44497</v>
      </c>
      <c r="B302" s="109" t="str">
        <f>_xlfn.IFNA(INDEX('Ride Log'!$C:$C,MATCH(A302,'Ride Log'!$A:$A,0))
&amp;CHAR(10)&amp;INDEX(INT(Workouts!$B:$B/60)&amp;":"&amp;RIGHT("00"&amp;MOD(Workouts!$B:$B,60),2),MATCH(INDEX('Ride Log'!$C:$C,MATCH(A302,'Ride Log'!$A:$A,0)),Workouts!$A:$A,0))
&amp;CHAR(10)&amp;INDEX(Workouts!$C:$C,MATCH(INDEX('Ride Log'!$C:$C,MATCH(A302,'Ride Log'!$A:$A,0)),Workouts!$A:$A,0))&amp;" TSS","")</f>
        <v/>
      </c>
    </row>
    <row r="303" spans="1:2" s="109" customFormat="1" ht="50.1" customHeight="1" x14ac:dyDescent="0.2">
      <c r="A303" s="110">
        <f t="shared" si="4"/>
        <v>44498</v>
      </c>
      <c r="B303" s="109" t="str">
        <f>_xlfn.IFNA(INDEX('Ride Log'!$C:$C,MATCH(A303,'Ride Log'!$A:$A,0))
&amp;CHAR(10)&amp;INDEX(INT(Workouts!$B:$B/60)&amp;":"&amp;RIGHT("00"&amp;MOD(Workouts!$B:$B,60),2),MATCH(INDEX('Ride Log'!$C:$C,MATCH(A303,'Ride Log'!$A:$A,0)),Workouts!$A:$A,0))
&amp;CHAR(10)&amp;INDEX(Workouts!$C:$C,MATCH(INDEX('Ride Log'!$C:$C,MATCH(A303,'Ride Log'!$A:$A,0)),Workouts!$A:$A,0))&amp;" TSS","")</f>
        <v/>
      </c>
    </row>
    <row r="304" spans="1:2" s="109" customFormat="1" ht="50.1" customHeight="1" x14ac:dyDescent="0.2">
      <c r="A304" s="110">
        <f t="shared" si="4"/>
        <v>44499</v>
      </c>
      <c r="B304" s="109" t="str">
        <f>_xlfn.IFNA(INDEX('Ride Log'!$C:$C,MATCH(A304,'Ride Log'!$A:$A,0))
&amp;CHAR(10)&amp;INDEX(INT(Workouts!$B:$B/60)&amp;":"&amp;RIGHT("00"&amp;MOD(Workouts!$B:$B,60),2),MATCH(INDEX('Ride Log'!$C:$C,MATCH(A304,'Ride Log'!$A:$A,0)),Workouts!$A:$A,0))
&amp;CHAR(10)&amp;INDEX(Workouts!$C:$C,MATCH(INDEX('Ride Log'!$C:$C,MATCH(A304,'Ride Log'!$A:$A,0)),Workouts!$A:$A,0))&amp;" TSS","")</f>
        <v/>
      </c>
    </row>
    <row r="305" spans="1:2" s="109" customFormat="1" ht="50.1" customHeight="1" x14ac:dyDescent="0.2">
      <c r="A305" s="110">
        <f t="shared" si="4"/>
        <v>44500</v>
      </c>
      <c r="B305" s="109" t="str">
        <f>_xlfn.IFNA(INDEX('Ride Log'!$C:$C,MATCH(A305,'Ride Log'!$A:$A,0))
&amp;CHAR(10)&amp;INDEX(INT(Workouts!$B:$B/60)&amp;":"&amp;RIGHT("00"&amp;MOD(Workouts!$B:$B,60),2),MATCH(INDEX('Ride Log'!$C:$C,MATCH(A305,'Ride Log'!$A:$A,0)),Workouts!$A:$A,0))
&amp;CHAR(10)&amp;INDEX(Workouts!$C:$C,MATCH(INDEX('Ride Log'!$C:$C,MATCH(A305,'Ride Log'!$A:$A,0)),Workouts!$A:$A,0))&amp;" TSS","")</f>
        <v/>
      </c>
    </row>
    <row r="306" spans="1:2" s="109" customFormat="1" ht="50.1" customHeight="1" x14ac:dyDescent="0.2">
      <c r="A306" s="110">
        <f t="shared" si="4"/>
        <v>44501</v>
      </c>
      <c r="B306" s="109" t="str">
        <f>_xlfn.IFNA(INDEX('Ride Log'!$C:$C,MATCH(A306,'Ride Log'!$A:$A,0))
&amp;CHAR(10)&amp;INDEX(INT(Workouts!$B:$B/60)&amp;":"&amp;RIGHT("00"&amp;MOD(Workouts!$B:$B,60),2),MATCH(INDEX('Ride Log'!$C:$C,MATCH(A306,'Ride Log'!$A:$A,0)),Workouts!$A:$A,0))
&amp;CHAR(10)&amp;INDEX(Workouts!$C:$C,MATCH(INDEX('Ride Log'!$C:$C,MATCH(A306,'Ride Log'!$A:$A,0)),Workouts!$A:$A,0))&amp;" TSS","")</f>
        <v/>
      </c>
    </row>
    <row r="307" spans="1:2" s="109" customFormat="1" ht="50.1" customHeight="1" x14ac:dyDescent="0.2">
      <c r="A307" s="110">
        <f t="shared" si="4"/>
        <v>44502</v>
      </c>
      <c r="B307" s="109" t="str">
        <f>_xlfn.IFNA(INDEX('Ride Log'!$C:$C,MATCH(A307,'Ride Log'!$A:$A,0))
&amp;CHAR(10)&amp;INDEX(INT(Workouts!$B:$B/60)&amp;":"&amp;RIGHT("00"&amp;MOD(Workouts!$B:$B,60),2),MATCH(INDEX('Ride Log'!$C:$C,MATCH(A307,'Ride Log'!$A:$A,0)),Workouts!$A:$A,0))
&amp;CHAR(10)&amp;INDEX(Workouts!$C:$C,MATCH(INDEX('Ride Log'!$C:$C,MATCH(A307,'Ride Log'!$A:$A,0)),Workouts!$A:$A,0))&amp;" TSS","")</f>
        <v/>
      </c>
    </row>
    <row r="308" spans="1:2" s="109" customFormat="1" ht="50.1" customHeight="1" x14ac:dyDescent="0.2">
      <c r="A308" s="110">
        <f t="shared" si="4"/>
        <v>44503</v>
      </c>
      <c r="B308" s="109" t="str">
        <f>_xlfn.IFNA(INDEX('Ride Log'!$C:$C,MATCH(A308,'Ride Log'!$A:$A,0))
&amp;CHAR(10)&amp;INDEX(INT(Workouts!$B:$B/60)&amp;":"&amp;RIGHT("00"&amp;MOD(Workouts!$B:$B,60),2),MATCH(INDEX('Ride Log'!$C:$C,MATCH(A308,'Ride Log'!$A:$A,0)),Workouts!$A:$A,0))
&amp;CHAR(10)&amp;INDEX(Workouts!$C:$C,MATCH(INDEX('Ride Log'!$C:$C,MATCH(A308,'Ride Log'!$A:$A,0)),Workouts!$A:$A,0))&amp;" TSS","")</f>
        <v/>
      </c>
    </row>
    <row r="309" spans="1:2" s="109" customFormat="1" ht="50.1" customHeight="1" x14ac:dyDescent="0.2">
      <c r="A309" s="110">
        <f t="shared" si="4"/>
        <v>44504</v>
      </c>
      <c r="B309" s="109" t="str">
        <f>_xlfn.IFNA(INDEX('Ride Log'!$C:$C,MATCH(A309,'Ride Log'!$A:$A,0))
&amp;CHAR(10)&amp;INDEX(INT(Workouts!$B:$B/60)&amp;":"&amp;RIGHT("00"&amp;MOD(Workouts!$B:$B,60),2),MATCH(INDEX('Ride Log'!$C:$C,MATCH(A309,'Ride Log'!$A:$A,0)),Workouts!$A:$A,0))
&amp;CHAR(10)&amp;INDEX(Workouts!$C:$C,MATCH(INDEX('Ride Log'!$C:$C,MATCH(A309,'Ride Log'!$A:$A,0)),Workouts!$A:$A,0))&amp;" TSS","")</f>
        <v/>
      </c>
    </row>
    <row r="310" spans="1:2" s="109" customFormat="1" ht="50.1" customHeight="1" x14ac:dyDescent="0.2">
      <c r="A310" s="110">
        <f t="shared" si="4"/>
        <v>44505</v>
      </c>
      <c r="B310" s="109" t="str">
        <f>_xlfn.IFNA(INDEX('Ride Log'!$C:$C,MATCH(A310,'Ride Log'!$A:$A,0))
&amp;CHAR(10)&amp;INDEX(INT(Workouts!$B:$B/60)&amp;":"&amp;RIGHT("00"&amp;MOD(Workouts!$B:$B,60),2),MATCH(INDEX('Ride Log'!$C:$C,MATCH(A310,'Ride Log'!$A:$A,0)),Workouts!$A:$A,0))
&amp;CHAR(10)&amp;INDEX(Workouts!$C:$C,MATCH(INDEX('Ride Log'!$C:$C,MATCH(A310,'Ride Log'!$A:$A,0)),Workouts!$A:$A,0))&amp;" TSS","")</f>
        <v/>
      </c>
    </row>
    <row r="311" spans="1:2" s="109" customFormat="1" ht="50.1" customHeight="1" x14ac:dyDescent="0.2">
      <c r="A311" s="110">
        <f t="shared" si="4"/>
        <v>44506</v>
      </c>
      <c r="B311" s="109" t="str">
        <f>_xlfn.IFNA(INDEX('Ride Log'!$C:$C,MATCH(A311,'Ride Log'!$A:$A,0))
&amp;CHAR(10)&amp;INDEX(INT(Workouts!$B:$B/60)&amp;":"&amp;RIGHT("00"&amp;MOD(Workouts!$B:$B,60),2),MATCH(INDEX('Ride Log'!$C:$C,MATCH(A311,'Ride Log'!$A:$A,0)),Workouts!$A:$A,0))
&amp;CHAR(10)&amp;INDEX(Workouts!$C:$C,MATCH(INDEX('Ride Log'!$C:$C,MATCH(A311,'Ride Log'!$A:$A,0)),Workouts!$A:$A,0))&amp;" TSS","")</f>
        <v/>
      </c>
    </row>
    <row r="312" spans="1:2" s="109" customFormat="1" ht="50.1" customHeight="1" x14ac:dyDescent="0.2">
      <c r="A312" s="110">
        <f t="shared" si="4"/>
        <v>44507</v>
      </c>
      <c r="B312" s="109" t="str">
        <f>_xlfn.IFNA(INDEX('Ride Log'!$C:$C,MATCH(A312,'Ride Log'!$A:$A,0))
&amp;CHAR(10)&amp;INDEX(INT(Workouts!$B:$B/60)&amp;":"&amp;RIGHT("00"&amp;MOD(Workouts!$B:$B,60),2),MATCH(INDEX('Ride Log'!$C:$C,MATCH(A312,'Ride Log'!$A:$A,0)),Workouts!$A:$A,0))
&amp;CHAR(10)&amp;INDEX(Workouts!$C:$C,MATCH(INDEX('Ride Log'!$C:$C,MATCH(A312,'Ride Log'!$A:$A,0)),Workouts!$A:$A,0))&amp;" TSS","")</f>
        <v/>
      </c>
    </row>
    <row r="313" spans="1:2" s="109" customFormat="1" ht="50.1" customHeight="1" x14ac:dyDescent="0.2">
      <c r="A313" s="110">
        <f t="shared" si="4"/>
        <v>44508</v>
      </c>
      <c r="B313" s="109" t="str">
        <f>_xlfn.IFNA(INDEX('Ride Log'!$C:$C,MATCH(A313,'Ride Log'!$A:$A,0))
&amp;CHAR(10)&amp;INDEX(INT(Workouts!$B:$B/60)&amp;":"&amp;RIGHT("00"&amp;MOD(Workouts!$B:$B,60),2),MATCH(INDEX('Ride Log'!$C:$C,MATCH(A313,'Ride Log'!$A:$A,0)),Workouts!$A:$A,0))
&amp;CHAR(10)&amp;INDEX(Workouts!$C:$C,MATCH(INDEX('Ride Log'!$C:$C,MATCH(A313,'Ride Log'!$A:$A,0)),Workouts!$A:$A,0))&amp;" TSS","")</f>
        <v/>
      </c>
    </row>
    <row r="314" spans="1:2" s="109" customFormat="1" ht="50.1" customHeight="1" x14ac:dyDescent="0.2">
      <c r="A314" s="110">
        <f t="shared" si="4"/>
        <v>44509</v>
      </c>
      <c r="B314" s="109" t="str">
        <f>_xlfn.IFNA(INDEX('Ride Log'!$C:$C,MATCH(A314,'Ride Log'!$A:$A,0))
&amp;CHAR(10)&amp;INDEX(INT(Workouts!$B:$B/60)&amp;":"&amp;RIGHT("00"&amp;MOD(Workouts!$B:$B,60),2),MATCH(INDEX('Ride Log'!$C:$C,MATCH(A314,'Ride Log'!$A:$A,0)),Workouts!$A:$A,0))
&amp;CHAR(10)&amp;INDEX(Workouts!$C:$C,MATCH(INDEX('Ride Log'!$C:$C,MATCH(A314,'Ride Log'!$A:$A,0)),Workouts!$A:$A,0))&amp;" TSS","")</f>
        <v/>
      </c>
    </row>
    <row r="315" spans="1:2" s="109" customFormat="1" ht="50.1" customHeight="1" x14ac:dyDescent="0.2">
      <c r="A315" s="110">
        <f t="shared" si="4"/>
        <v>44510</v>
      </c>
      <c r="B315" s="109" t="str">
        <f>_xlfn.IFNA(INDEX('Ride Log'!$C:$C,MATCH(A315,'Ride Log'!$A:$A,0))
&amp;CHAR(10)&amp;INDEX(INT(Workouts!$B:$B/60)&amp;":"&amp;RIGHT("00"&amp;MOD(Workouts!$B:$B,60),2),MATCH(INDEX('Ride Log'!$C:$C,MATCH(A315,'Ride Log'!$A:$A,0)),Workouts!$A:$A,0))
&amp;CHAR(10)&amp;INDEX(Workouts!$C:$C,MATCH(INDEX('Ride Log'!$C:$C,MATCH(A315,'Ride Log'!$A:$A,0)),Workouts!$A:$A,0))&amp;" TSS","")</f>
        <v/>
      </c>
    </row>
    <row r="316" spans="1:2" s="109" customFormat="1" ht="50.1" customHeight="1" x14ac:dyDescent="0.2">
      <c r="A316" s="110">
        <f t="shared" si="4"/>
        <v>44511</v>
      </c>
      <c r="B316" s="109" t="str">
        <f>_xlfn.IFNA(INDEX('Ride Log'!$C:$C,MATCH(A316,'Ride Log'!$A:$A,0))
&amp;CHAR(10)&amp;INDEX(INT(Workouts!$B:$B/60)&amp;":"&amp;RIGHT("00"&amp;MOD(Workouts!$B:$B,60),2),MATCH(INDEX('Ride Log'!$C:$C,MATCH(A316,'Ride Log'!$A:$A,0)),Workouts!$A:$A,0))
&amp;CHAR(10)&amp;INDEX(Workouts!$C:$C,MATCH(INDEX('Ride Log'!$C:$C,MATCH(A316,'Ride Log'!$A:$A,0)),Workouts!$A:$A,0))&amp;" TSS","")</f>
        <v/>
      </c>
    </row>
    <row r="317" spans="1:2" s="109" customFormat="1" ht="50.1" customHeight="1" x14ac:dyDescent="0.2">
      <c r="A317" s="110">
        <f t="shared" si="4"/>
        <v>44512</v>
      </c>
      <c r="B317" s="109" t="str">
        <f>_xlfn.IFNA(INDEX('Ride Log'!$C:$C,MATCH(A317,'Ride Log'!$A:$A,0))
&amp;CHAR(10)&amp;INDEX(INT(Workouts!$B:$B/60)&amp;":"&amp;RIGHT("00"&amp;MOD(Workouts!$B:$B,60),2),MATCH(INDEX('Ride Log'!$C:$C,MATCH(A317,'Ride Log'!$A:$A,0)),Workouts!$A:$A,0))
&amp;CHAR(10)&amp;INDEX(Workouts!$C:$C,MATCH(INDEX('Ride Log'!$C:$C,MATCH(A317,'Ride Log'!$A:$A,0)),Workouts!$A:$A,0))&amp;" TSS","")</f>
        <v/>
      </c>
    </row>
    <row r="318" spans="1:2" s="109" customFormat="1" ht="50.1" customHeight="1" x14ac:dyDescent="0.2">
      <c r="A318" s="110">
        <f t="shared" si="4"/>
        <v>44513</v>
      </c>
      <c r="B318" s="109" t="str">
        <f>_xlfn.IFNA(INDEX('Ride Log'!$C:$C,MATCH(A318,'Ride Log'!$A:$A,0))
&amp;CHAR(10)&amp;INDEX(INT(Workouts!$B:$B/60)&amp;":"&amp;RIGHT("00"&amp;MOD(Workouts!$B:$B,60),2),MATCH(INDEX('Ride Log'!$C:$C,MATCH(A318,'Ride Log'!$A:$A,0)),Workouts!$A:$A,0))
&amp;CHAR(10)&amp;INDEX(Workouts!$C:$C,MATCH(INDEX('Ride Log'!$C:$C,MATCH(A318,'Ride Log'!$A:$A,0)),Workouts!$A:$A,0))&amp;" TSS","")</f>
        <v/>
      </c>
    </row>
    <row r="319" spans="1:2" s="109" customFormat="1" ht="50.1" customHeight="1" x14ac:dyDescent="0.2">
      <c r="A319" s="110">
        <f t="shared" si="4"/>
        <v>44514</v>
      </c>
      <c r="B319" s="109" t="str">
        <f>_xlfn.IFNA(INDEX('Ride Log'!$C:$C,MATCH(A319,'Ride Log'!$A:$A,0))
&amp;CHAR(10)&amp;INDEX(INT(Workouts!$B:$B/60)&amp;":"&amp;RIGHT("00"&amp;MOD(Workouts!$B:$B,60),2),MATCH(INDEX('Ride Log'!$C:$C,MATCH(A319,'Ride Log'!$A:$A,0)),Workouts!$A:$A,0))
&amp;CHAR(10)&amp;INDEX(Workouts!$C:$C,MATCH(INDEX('Ride Log'!$C:$C,MATCH(A319,'Ride Log'!$A:$A,0)),Workouts!$A:$A,0))&amp;" TSS","")</f>
        <v/>
      </c>
    </row>
    <row r="320" spans="1:2" s="109" customFormat="1" ht="50.1" customHeight="1" x14ac:dyDescent="0.2">
      <c r="A320" s="110">
        <f t="shared" si="4"/>
        <v>44515</v>
      </c>
      <c r="B320" s="109" t="str">
        <f>_xlfn.IFNA(INDEX('Ride Log'!$C:$C,MATCH(A320,'Ride Log'!$A:$A,0))
&amp;CHAR(10)&amp;INDEX(INT(Workouts!$B:$B/60)&amp;":"&amp;RIGHT("00"&amp;MOD(Workouts!$B:$B,60),2),MATCH(INDEX('Ride Log'!$C:$C,MATCH(A320,'Ride Log'!$A:$A,0)),Workouts!$A:$A,0))
&amp;CHAR(10)&amp;INDEX(Workouts!$C:$C,MATCH(INDEX('Ride Log'!$C:$C,MATCH(A320,'Ride Log'!$A:$A,0)),Workouts!$A:$A,0))&amp;" TSS","")</f>
        <v/>
      </c>
    </row>
    <row r="321" spans="1:2" s="109" customFormat="1" ht="50.1" customHeight="1" x14ac:dyDescent="0.2">
      <c r="A321" s="110">
        <f t="shared" si="4"/>
        <v>44516</v>
      </c>
      <c r="B321" s="109" t="str">
        <f>_xlfn.IFNA(INDEX('Ride Log'!$C:$C,MATCH(A321,'Ride Log'!$A:$A,0))
&amp;CHAR(10)&amp;INDEX(INT(Workouts!$B:$B/60)&amp;":"&amp;RIGHT("00"&amp;MOD(Workouts!$B:$B,60),2),MATCH(INDEX('Ride Log'!$C:$C,MATCH(A321,'Ride Log'!$A:$A,0)),Workouts!$A:$A,0))
&amp;CHAR(10)&amp;INDEX(Workouts!$C:$C,MATCH(INDEX('Ride Log'!$C:$C,MATCH(A321,'Ride Log'!$A:$A,0)),Workouts!$A:$A,0))&amp;" TSS","")</f>
        <v/>
      </c>
    </row>
    <row r="322" spans="1:2" s="109" customFormat="1" ht="50.1" customHeight="1" x14ac:dyDescent="0.2">
      <c r="A322" s="110">
        <f t="shared" si="4"/>
        <v>44517</v>
      </c>
      <c r="B322" s="109" t="str">
        <f>_xlfn.IFNA(INDEX('Ride Log'!$C:$C,MATCH(A322,'Ride Log'!$A:$A,0))
&amp;CHAR(10)&amp;INDEX(INT(Workouts!$B:$B/60)&amp;":"&amp;RIGHT("00"&amp;MOD(Workouts!$B:$B,60),2),MATCH(INDEX('Ride Log'!$C:$C,MATCH(A322,'Ride Log'!$A:$A,0)),Workouts!$A:$A,0))
&amp;CHAR(10)&amp;INDEX(Workouts!$C:$C,MATCH(INDEX('Ride Log'!$C:$C,MATCH(A322,'Ride Log'!$A:$A,0)),Workouts!$A:$A,0))&amp;" TSS","")</f>
        <v/>
      </c>
    </row>
    <row r="323" spans="1:2" s="109" customFormat="1" ht="50.1" customHeight="1" x14ac:dyDescent="0.2">
      <c r="A323" s="110">
        <f t="shared" si="4"/>
        <v>44518</v>
      </c>
      <c r="B323" s="109" t="str">
        <f>_xlfn.IFNA(INDEX('Ride Log'!$C:$C,MATCH(A323,'Ride Log'!$A:$A,0))
&amp;CHAR(10)&amp;INDEX(INT(Workouts!$B:$B/60)&amp;":"&amp;RIGHT("00"&amp;MOD(Workouts!$B:$B,60),2),MATCH(INDEX('Ride Log'!$C:$C,MATCH(A323,'Ride Log'!$A:$A,0)),Workouts!$A:$A,0))
&amp;CHAR(10)&amp;INDEX(Workouts!$C:$C,MATCH(INDEX('Ride Log'!$C:$C,MATCH(A323,'Ride Log'!$A:$A,0)),Workouts!$A:$A,0))&amp;" TSS","")</f>
        <v/>
      </c>
    </row>
    <row r="324" spans="1:2" s="109" customFormat="1" ht="50.1" customHeight="1" x14ac:dyDescent="0.2">
      <c r="A324" s="110">
        <f t="shared" ref="A324:A366" si="5">A323+1</f>
        <v>44519</v>
      </c>
      <c r="B324" s="109" t="str">
        <f>_xlfn.IFNA(INDEX('Ride Log'!$C:$C,MATCH(A324,'Ride Log'!$A:$A,0))
&amp;CHAR(10)&amp;INDEX(INT(Workouts!$B:$B/60)&amp;":"&amp;RIGHT("00"&amp;MOD(Workouts!$B:$B,60),2),MATCH(INDEX('Ride Log'!$C:$C,MATCH(A324,'Ride Log'!$A:$A,0)),Workouts!$A:$A,0))
&amp;CHAR(10)&amp;INDEX(Workouts!$C:$C,MATCH(INDEX('Ride Log'!$C:$C,MATCH(A324,'Ride Log'!$A:$A,0)),Workouts!$A:$A,0))&amp;" TSS","")</f>
        <v/>
      </c>
    </row>
    <row r="325" spans="1:2" s="109" customFormat="1" ht="50.1" customHeight="1" x14ac:dyDescent="0.2">
      <c r="A325" s="110">
        <f t="shared" si="5"/>
        <v>44520</v>
      </c>
      <c r="B325" s="109" t="str">
        <f>_xlfn.IFNA(INDEX('Ride Log'!$C:$C,MATCH(A325,'Ride Log'!$A:$A,0))
&amp;CHAR(10)&amp;INDEX(INT(Workouts!$B:$B/60)&amp;":"&amp;RIGHT("00"&amp;MOD(Workouts!$B:$B,60),2),MATCH(INDEX('Ride Log'!$C:$C,MATCH(A325,'Ride Log'!$A:$A,0)),Workouts!$A:$A,0))
&amp;CHAR(10)&amp;INDEX(Workouts!$C:$C,MATCH(INDEX('Ride Log'!$C:$C,MATCH(A325,'Ride Log'!$A:$A,0)),Workouts!$A:$A,0))&amp;" TSS","")</f>
        <v/>
      </c>
    </row>
    <row r="326" spans="1:2" s="109" customFormat="1" ht="50.1" customHeight="1" x14ac:dyDescent="0.2">
      <c r="A326" s="110">
        <f t="shared" si="5"/>
        <v>44521</v>
      </c>
      <c r="B326" s="109" t="str">
        <f>_xlfn.IFNA(INDEX('Ride Log'!$C:$C,MATCH(A326,'Ride Log'!$A:$A,0))
&amp;CHAR(10)&amp;INDEX(INT(Workouts!$B:$B/60)&amp;":"&amp;RIGHT("00"&amp;MOD(Workouts!$B:$B,60),2),MATCH(INDEX('Ride Log'!$C:$C,MATCH(A326,'Ride Log'!$A:$A,0)),Workouts!$A:$A,0))
&amp;CHAR(10)&amp;INDEX(Workouts!$C:$C,MATCH(INDEX('Ride Log'!$C:$C,MATCH(A326,'Ride Log'!$A:$A,0)),Workouts!$A:$A,0))&amp;" TSS","")</f>
        <v/>
      </c>
    </row>
    <row r="327" spans="1:2" s="109" customFormat="1" ht="50.1" customHeight="1" x14ac:dyDescent="0.2">
      <c r="A327" s="110">
        <f t="shared" si="5"/>
        <v>44522</v>
      </c>
      <c r="B327" s="109" t="str">
        <f>_xlfn.IFNA(INDEX('Ride Log'!$C:$C,MATCH(A327,'Ride Log'!$A:$A,0))
&amp;CHAR(10)&amp;INDEX(INT(Workouts!$B:$B/60)&amp;":"&amp;RIGHT("00"&amp;MOD(Workouts!$B:$B,60),2),MATCH(INDEX('Ride Log'!$C:$C,MATCH(A327,'Ride Log'!$A:$A,0)),Workouts!$A:$A,0))
&amp;CHAR(10)&amp;INDEX(Workouts!$C:$C,MATCH(INDEX('Ride Log'!$C:$C,MATCH(A327,'Ride Log'!$A:$A,0)),Workouts!$A:$A,0))&amp;" TSS","")</f>
        <v/>
      </c>
    </row>
    <row r="328" spans="1:2" s="109" customFormat="1" ht="50.1" customHeight="1" x14ac:dyDescent="0.2">
      <c r="A328" s="110">
        <f t="shared" si="5"/>
        <v>44523</v>
      </c>
      <c r="B328" s="109" t="str">
        <f>_xlfn.IFNA(INDEX('Ride Log'!$C:$C,MATCH(A328,'Ride Log'!$A:$A,0))
&amp;CHAR(10)&amp;INDEX(INT(Workouts!$B:$B/60)&amp;":"&amp;RIGHT("00"&amp;MOD(Workouts!$B:$B,60),2),MATCH(INDEX('Ride Log'!$C:$C,MATCH(A328,'Ride Log'!$A:$A,0)),Workouts!$A:$A,0))
&amp;CHAR(10)&amp;INDEX(Workouts!$C:$C,MATCH(INDEX('Ride Log'!$C:$C,MATCH(A328,'Ride Log'!$A:$A,0)),Workouts!$A:$A,0))&amp;" TSS","")</f>
        <v/>
      </c>
    </row>
    <row r="329" spans="1:2" s="109" customFormat="1" ht="50.1" customHeight="1" x14ac:dyDescent="0.2">
      <c r="A329" s="110">
        <f t="shared" si="5"/>
        <v>44524</v>
      </c>
      <c r="B329" s="109" t="str">
        <f>_xlfn.IFNA(INDEX('Ride Log'!$C:$C,MATCH(A329,'Ride Log'!$A:$A,0))
&amp;CHAR(10)&amp;INDEX(INT(Workouts!$B:$B/60)&amp;":"&amp;RIGHT("00"&amp;MOD(Workouts!$B:$B,60),2),MATCH(INDEX('Ride Log'!$C:$C,MATCH(A329,'Ride Log'!$A:$A,0)),Workouts!$A:$A,0))
&amp;CHAR(10)&amp;INDEX(Workouts!$C:$C,MATCH(INDEX('Ride Log'!$C:$C,MATCH(A329,'Ride Log'!$A:$A,0)),Workouts!$A:$A,0))&amp;" TSS","")</f>
        <v/>
      </c>
    </row>
    <row r="330" spans="1:2" s="109" customFormat="1" ht="50.1" customHeight="1" x14ac:dyDescent="0.2">
      <c r="A330" s="110">
        <f t="shared" si="5"/>
        <v>44525</v>
      </c>
      <c r="B330" s="109" t="str">
        <f>_xlfn.IFNA(INDEX('Ride Log'!$C:$C,MATCH(A330,'Ride Log'!$A:$A,0))
&amp;CHAR(10)&amp;INDEX(INT(Workouts!$B:$B/60)&amp;":"&amp;RIGHT("00"&amp;MOD(Workouts!$B:$B,60),2),MATCH(INDEX('Ride Log'!$C:$C,MATCH(A330,'Ride Log'!$A:$A,0)),Workouts!$A:$A,0))
&amp;CHAR(10)&amp;INDEX(Workouts!$C:$C,MATCH(INDEX('Ride Log'!$C:$C,MATCH(A330,'Ride Log'!$A:$A,0)),Workouts!$A:$A,0))&amp;" TSS","")</f>
        <v/>
      </c>
    </row>
    <row r="331" spans="1:2" s="109" customFormat="1" ht="50.1" customHeight="1" x14ac:dyDescent="0.2">
      <c r="A331" s="110">
        <f t="shared" si="5"/>
        <v>44526</v>
      </c>
      <c r="B331" s="109" t="str">
        <f>_xlfn.IFNA(INDEX('Ride Log'!$C:$C,MATCH(A331,'Ride Log'!$A:$A,0))
&amp;CHAR(10)&amp;INDEX(INT(Workouts!$B:$B/60)&amp;":"&amp;RIGHT("00"&amp;MOD(Workouts!$B:$B,60),2),MATCH(INDEX('Ride Log'!$C:$C,MATCH(A331,'Ride Log'!$A:$A,0)),Workouts!$A:$A,0))
&amp;CHAR(10)&amp;INDEX(Workouts!$C:$C,MATCH(INDEX('Ride Log'!$C:$C,MATCH(A331,'Ride Log'!$A:$A,0)),Workouts!$A:$A,0))&amp;" TSS","")</f>
        <v/>
      </c>
    </row>
    <row r="332" spans="1:2" s="109" customFormat="1" ht="50.1" customHeight="1" x14ac:dyDescent="0.2">
      <c r="A332" s="110">
        <f t="shared" si="5"/>
        <v>44527</v>
      </c>
      <c r="B332" s="109" t="str">
        <f>_xlfn.IFNA(INDEX('Ride Log'!$C:$C,MATCH(A332,'Ride Log'!$A:$A,0))
&amp;CHAR(10)&amp;INDEX(INT(Workouts!$B:$B/60)&amp;":"&amp;RIGHT("00"&amp;MOD(Workouts!$B:$B,60),2),MATCH(INDEX('Ride Log'!$C:$C,MATCH(A332,'Ride Log'!$A:$A,0)),Workouts!$A:$A,0))
&amp;CHAR(10)&amp;INDEX(Workouts!$C:$C,MATCH(INDEX('Ride Log'!$C:$C,MATCH(A332,'Ride Log'!$A:$A,0)),Workouts!$A:$A,0))&amp;" TSS","")</f>
        <v/>
      </c>
    </row>
    <row r="333" spans="1:2" s="109" customFormat="1" ht="50.1" customHeight="1" x14ac:dyDescent="0.2">
      <c r="A333" s="110">
        <f t="shared" si="5"/>
        <v>44528</v>
      </c>
      <c r="B333" s="109" t="str">
        <f>_xlfn.IFNA(INDEX('Ride Log'!$C:$C,MATCH(A333,'Ride Log'!$A:$A,0))
&amp;CHAR(10)&amp;INDEX(INT(Workouts!$B:$B/60)&amp;":"&amp;RIGHT("00"&amp;MOD(Workouts!$B:$B,60),2),MATCH(INDEX('Ride Log'!$C:$C,MATCH(A333,'Ride Log'!$A:$A,0)),Workouts!$A:$A,0))
&amp;CHAR(10)&amp;INDEX(Workouts!$C:$C,MATCH(INDEX('Ride Log'!$C:$C,MATCH(A333,'Ride Log'!$A:$A,0)),Workouts!$A:$A,0))&amp;" TSS","")</f>
        <v/>
      </c>
    </row>
    <row r="334" spans="1:2" s="109" customFormat="1" ht="50.1" customHeight="1" x14ac:dyDescent="0.2">
      <c r="A334" s="110">
        <f t="shared" si="5"/>
        <v>44529</v>
      </c>
      <c r="B334" s="109" t="str">
        <f>_xlfn.IFNA(INDEX('Ride Log'!$C:$C,MATCH(A334,'Ride Log'!$A:$A,0))
&amp;CHAR(10)&amp;INDEX(INT(Workouts!$B:$B/60)&amp;":"&amp;RIGHT("00"&amp;MOD(Workouts!$B:$B,60),2),MATCH(INDEX('Ride Log'!$C:$C,MATCH(A334,'Ride Log'!$A:$A,0)),Workouts!$A:$A,0))
&amp;CHAR(10)&amp;INDEX(Workouts!$C:$C,MATCH(INDEX('Ride Log'!$C:$C,MATCH(A334,'Ride Log'!$A:$A,0)),Workouts!$A:$A,0))&amp;" TSS","")</f>
        <v/>
      </c>
    </row>
    <row r="335" spans="1:2" s="109" customFormat="1" ht="50.1" customHeight="1" x14ac:dyDescent="0.2">
      <c r="A335" s="110">
        <f t="shared" si="5"/>
        <v>44530</v>
      </c>
      <c r="B335" s="109" t="str">
        <f>_xlfn.IFNA(INDEX('Ride Log'!$C:$C,MATCH(A335,'Ride Log'!$A:$A,0))
&amp;CHAR(10)&amp;INDEX(INT(Workouts!$B:$B/60)&amp;":"&amp;RIGHT("00"&amp;MOD(Workouts!$B:$B,60),2),MATCH(INDEX('Ride Log'!$C:$C,MATCH(A335,'Ride Log'!$A:$A,0)),Workouts!$A:$A,0))
&amp;CHAR(10)&amp;INDEX(Workouts!$C:$C,MATCH(INDEX('Ride Log'!$C:$C,MATCH(A335,'Ride Log'!$A:$A,0)),Workouts!$A:$A,0))&amp;" TSS","")</f>
        <v/>
      </c>
    </row>
    <row r="336" spans="1:2" s="109" customFormat="1" ht="50.1" customHeight="1" x14ac:dyDescent="0.2">
      <c r="A336" s="110">
        <f t="shared" si="5"/>
        <v>44531</v>
      </c>
      <c r="B336" s="109" t="str">
        <f>_xlfn.IFNA(INDEX('Ride Log'!$C:$C,MATCH(A336,'Ride Log'!$A:$A,0))
&amp;CHAR(10)&amp;INDEX(INT(Workouts!$B:$B/60)&amp;":"&amp;RIGHT("00"&amp;MOD(Workouts!$B:$B,60),2),MATCH(INDEX('Ride Log'!$C:$C,MATCH(A336,'Ride Log'!$A:$A,0)),Workouts!$A:$A,0))
&amp;CHAR(10)&amp;INDEX(Workouts!$C:$C,MATCH(INDEX('Ride Log'!$C:$C,MATCH(A336,'Ride Log'!$A:$A,0)),Workouts!$A:$A,0))&amp;" TSS","")</f>
        <v/>
      </c>
    </row>
    <row r="337" spans="1:2" s="109" customFormat="1" ht="50.1" customHeight="1" x14ac:dyDescent="0.2">
      <c r="A337" s="110">
        <f t="shared" si="5"/>
        <v>44532</v>
      </c>
      <c r="B337" s="109" t="str">
        <f>_xlfn.IFNA(INDEX('Ride Log'!$C:$C,MATCH(A337,'Ride Log'!$A:$A,0))
&amp;CHAR(10)&amp;INDEX(INT(Workouts!$B:$B/60)&amp;":"&amp;RIGHT("00"&amp;MOD(Workouts!$B:$B,60),2),MATCH(INDEX('Ride Log'!$C:$C,MATCH(A337,'Ride Log'!$A:$A,0)),Workouts!$A:$A,0))
&amp;CHAR(10)&amp;INDEX(Workouts!$C:$C,MATCH(INDEX('Ride Log'!$C:$C,MATCH(A337,'Ride Log'!$A:$A,0)),Workouts!$A:$A,0))&amp;" TSS","")</f>
        <v/>
      </c>
    </row>
    <row r="338" spans="1:2" s="109" customFormat="1" ht="50.1" customHeight="1" x14ac:dyDescent="0.2">
      <c r="A338" s="110">
        <f t="shared" si="5"/>
        <v>44533</v>
      </c>
      <c r="B338" s="109" t="str">
        <f>_xlfn.IFNA(INDEX('Ride Log'!$C:$C,MATCH(A338,'Ride Log'!$A:$A,0))
&amp;CHAR(10)&amp;INDEX(INT(Workouts!$B:$B/60)&amp;":"&amp;RIGHT("00"&amp;MOD(Workouts!$B:$B,60),2),MATCH(INDEX('Ride Log'!$C:$C,MATCH(A338,'Ride Log'!$A:$A,0)),Workouts!$A:$A,0))
&amp;CHAR(10)&amp;INDEX(Workouts!$C:$C,MATCH(INDEX('Ride Log'!$C:$C,MATCH(A338,'Ride Log'!$A:$A,0)),Workouts!$A:$A,0))&amp;" TSS","")</f>
        <v/>
      </c>
    </row>
    <row r="339" spans="1:2" s="109" customFormat="1" ht="50.1" customHeight="1" x14ac:dyDescent="0.2">
      <c r="A339" s="110">
        <f t="shared" si="5"/>
        <v>44534</v>
      </c>
      <c r="B339" s="109" t="str">
        <f>_xlfn.IFNA(INDEX('Ride Log'!$C:$C,MATCH(A339,'Ride Log'!$A:$A,0))
&amp;CHAR(10)&amp;INDEX(INT(Workouts!$B:$B/60)&amp;":"&amp;RIGHT("00"&amp;MOD(Workouts!$B:$B,60),2),MATCH(INDEX('Ride Log'!$C:$C,MATCH(A339,'Ride Log'!$A:$A,0)),Workouts!$A:$A,0))
&amp;CHAR(10)&amp;INDEX(Workouts!$C:$C,MATCH(INDEX('Ride Log'!$C:$C,MATCH(A339,'Ride Log'!$A:$A,0)),Workouts!$A:$A,0))&amp;" TSS","")</f>
        <v/>
      </c>
    </row>
    <row r="340" spans="1:2" s="109" customFormat="1" ht="50.1" customHeight="1" x14ac:dyDescent="0.2">
      <c r="A340" s="110">
        <f t="shared" si="5"/>
        <v>44535</v>
      </c>
      <c r="B340" s="109" t="str">
        <f>_xlfn.IFNA(INDEX('Ride Log'!$C:$C,MATCH(A340,'Ride Log'!$A:$A,0))
&amp;CHAR(10)&amp;INDEX(INT(Workouts!$B:$B/60)&amp;":"&amp;RIGHT("00"&amp;MOD(Workouts!$B:$B,60),2),MATCH(INDEX('Ride Log'!$C:$C,MATCH(A340,'Ride Log'!$A:$A,0)),Workouts!$A:$A,0))
&amp;CHAR(10)&amp;INDEX(Workouts!$C:$C,MATCH(INDEX('Ride Log'!$C:$C,MATCH(A340,'Ride Log'!$A:$A,0)),Workouts!$A:$A,0))&amp;" TSS","")</f>
        <v/>
      </c>
    </row>
    <row r="341" spans="1:2" s="109" customFormat="1" ht="50.1" customHeight="1" x14ac:dyDescent="0.2">
      <c r="A341" s="110">
        <f t="shared" si="5"/>
        <v>44536</v>
      </c>
      <c r="B341" s="109" t="str">
        <f>_xlfn.IFNA(INDEX('Ride Log'!$C:$C,MATCH(A341,'Ride Log'!$A:$A,0))
&amp;CHAR(10)&amp;INDEX(INT(Workouts!$B:$B/60)&amp;":"&amp;RIGHT("00"&amp;MOD(Workouts!$B:$B,60),2),MATCH(INDEX('Ride Log'!$C:$C,MATCH(A341,'Ride Log'!$A:$A,0)),Workouts!$A:$A,0))
&amp;CHAR(10)&amp;INDEX(Workouts!$C:$C,MATCH(INDEX('Ride Log'!$C:$C,MATCH(A341,'Ride Log'!$A:$A,0)),Workouts!$A:$A,0))&amp;" TSS","")</f>
        <v/>
      </c>
    </row>
    <row r="342" spans="1:2" s="109" customFormat="1" ht="50.1" customHeight="1" x14ac:dyDescent="0.2">
      <c r="A342" s="110">
        <f t="shared" si="5"/>
        <v>44537</v>
      </c>
      <c r="B342" s="109" t="str">
        <f>_xlfn.IFNA(INDEX('Ride Log'!$C:$C,MATCH(A342,'Ride Log'!$A:$A,0))
&amp;CHAR(10)&amp;INDEX(INT(Workouts!$B:$B/60)&amp;":"&amp;RIGHT("00"&amp;MOD(Workouts!$B:$B,60),2),MATCH(INDEX('Ride Log'!$C:$C,MATCH(A342,'Ride Log'!$A:$A,0)),Workouts!$A:$A,0))
&amp;CHAR(10)&amp;INDEX(Workouts!$C:$C,MATCH(INDEX('Ride Log'!$C:$C,MATCH(A342,'Ride Log'!$A:$A,0)),Workouts!$A:$A,0))&amp;" TSS","")</f>
        <v/>
      </c>
    </row>
    <row r="343" spans="1:2" s="109" customFormat="1" ht="50.1" customHeight="1" x14ac:dyDescent="0.2">
      <c r="A343" s="110">
        <f t="shared" si="5"/>
        <v>44538</v>
      </c>
      <c r="B343" s="109" t="str">
        <f>_xlfn.IFNA(INDEX('Ride Log'!$C:$C,MATCH(A343,'Ride Log'!$A:$A,0))
&amp;CHAR(10)&amp;INDEX(INT(Workouts!$B:$B/60)&amp;":"&amp;RIGHT("00"&amp;MOD(Workouts!$B:$B,60),2),MATCH(INDEX('Ride Log'!$C:$C,MATCH(A343,'Ride Log'!$A:$A,0)),Workouts!$A:$A,0))
&amp;CHAR(10)&amp;INDEX(Workouts!$C:$C,MATCH(INDEX('Ride Log'!$C:$C,MATCH(A343,'Ride Log'!$A:$A,0)),Workouts!$A:$A,0))&amp;" TSS","")</f>
        <v/>
      </c>
    </row>
    <row r="344" spans="1:2" s="109" customFormat="1" ht="50.1" customHeight="1" x14ac:dyDescent="0.2">
      <c r="A344" s="110">
        <f t="shared" si="5"/>
        <v>44539</v>
      </c>
      <c r="B344" s="109" t="str">
        <f>_xlfn.IFNA(INDEX('Ride Log'!$C:$C,MATCH(A344,'Ride Log'!$A:$A,0))
&amp;CHAR(10)&amp;INDEX(INT(Workouts!$B:$B/60)&amp;":"&amp;RIGHT("00"&amp;MOD(Workouts!$B:$B,60),2),MATCH(INDEX('Ride Log'!$C:$C,MATCH(A344,'Ride Log'!$A:$A,0)),Workouts!$A:$A,0))
&amp;CHAR(10)&amp;INDEX(Workouts!$C:$C,MATCH(INDEX('Ride Log'!$C:$C,MATCH(A344,'Ride Log'!$A:$A,0)),Workouts!$A:$A,0))&amp;" TSS","")</f>
        <v/>
      </c>
    </row>
    <row r="345" spans="1:2" s="109" customFormat="1" ht="50.1" customHeight="1" x14ac:dyDescent="0.2">
      <c r="A345" s="110">
        <f t="shared" si="5"/>
        <v>44540</v>
      </c>
      <c r="B345" s="109" t="str">
        <f>_xlfn.IFNA(INDEX('Ride Log'!$C:$C,MATCH(A345,'Ride Log'!$A:$A,0))
&amp;CHAR(10)&amp;INDEX(INT(Workouts!$B:$B/60)&amp;":"&amp;RIGHT("00"&amp;MOD(Workouts!$B:$B,60),2),MATCH(INDEX('Ride Log'!$C:$C,MATCH(A345,'Ride Log'!$A:$A,0)),Workouts!$A:$A,0))
&amp;CHAR(10)&amp;INDEX(Workouts!$C:$C,MATCH(INDEX('Ride Log'!$C:$C,MATCH(A345,'Ride Log'!$A:$A,0)),Workouts!$A:$A,0))&amp;" TSS","")</f>
        <v/>
      </c>
    </row>
    <row r="346" spans="1:2" s="109" customFormat="1" ht="50.1" customHeight="1" x14ac:dyDescent="0.2">
      <c r="A346" s="110">
        <f t="shared" si="5"/>
        <v>44541</v>
      </c>
      <c r="B346" s="109" t="str">
        <f>_xlfn.IFNA(INDEX('Ride Log'!$C:$C,MATCH(A346,'Ride Log'!$A:$A,0))
&amp;CHAR(10)&amp;INDEX(INT(Workouts!$B:$B/60)&amp;":"&amp;RIGHT("00"&amp;MOD(Workouts!$B:$B,60),2),MATCH(INDEX('Ride Log'!$C:$C,MATCH(A346,'Ride Log'!$A:$A,0)),Workouts!$A:$A,0))
&amp;CHAR(10)&amp;INDEX(Workouts!$C:$C,MATCH(INDEX('Ride Log'!$C:$C,MATCH(A346,'Ride Log'!$A:$A,0)),Workouts!$A:$A,0))&amp;" TSS","")</f>
        <v/>
      </c>
    </row>
    <row r="347" spans="1:2" s="109" customFormat="1" ht="50.1" customHeight="1" x14ac:dyDescent="0.2">
      <c r="A347" s="110">
        <f t="shared" si="5"/>
        <v>44542</v>
      </c>
      <c r="B347" s="109" t="str">
        <f>_xlfn.IFNA(INDEX('Ride Log'!$C:$C,MATCH(A347,'Ride Log'!$A:$A,0))
&amp;CHAR(10)&amp;INDEX(INT(Workouts!$B:$B/60)&amp;":"&amp;RIGHT("00"&amp;MOD(Workouts!$B:$B,60),2),MATCH(INDEX('Ride Log'!$C:$C,MATCH(A347,'Ride Log'!$A:$A,0)),Workouts!$A:$A,0))
&amp;CHAR(10)&amp;INDEX(Workouts!$C:$C,MATCH(INDEX('Ride Log'!$C:$C,MATCH(A347,'Ride Log'!$A:$A,0)),Workouts!$A:$A,0))&amp;" TSS","")</f>
        <v/>
      </c>
    </row>
    <row r="348" spans="1:2" s="109" customFormat="1" ht="50.1" customHeight="1" x14ac:dyDescent="0.2">
      <c r="A348" s="110">
        <f t="shared" si="5"/>
        <v>44543</v>
      </c>
      <c r="B348" s="109" t="str">
        <f>_xlfn.IFNA(INDEX('Ride Log'!$C:$C,MATCH(A348,'Ride Log'!$A:$A,0))
&amp;CHAR(10)&amp;INDEX(INT(Workouts!$B:$B/60)&amp;":"&amp;RIGHT("00"&amp;MOD(Workouts!$B:$B,60),2),MATCH(INDEX('Ride Log'!$C:$C,MATCH(A348,'Ride Log'!$A:$A,0)),Workouts!$A:$A,0))
&amp;CHAR(10)&amp;INDEX(Workouts!$C:$C,MATCH(INDEX('Ride Log'!$C:$C,MATCH(A348,'Ride Log'!$A:$A,0)),Workouts!$A:$A,0))&amp;" TSS","")</f>
        <v/>
      </c>
    </row>
    <row r="349" spans="1:2" s="109" customFormat="1" ht="50.1" customHeight="1" x14ac:dyDescent="0.2">
      <c r="A349" s="110">
        <f t="shared" si="5"/>
        <v>44544</v>
      </c>
      <c r="B349" s="109" t="str">
        <f>_xlfn.IFNA(INDEX('Ride Log'!$C:$C,MATCH(A349,'Ride Log'!$A:$A,0))
&amp;CHAR(10)&amp;INDEX(INT(Workouts!$B:$B/60)&amp;":"&amp;RIGHT("00"&amp;MOD(Workouts!$B:$B,60),2),MATCH(INDEX('Ride Log'!$C:$C,MATCH(A349,'Ride Log'!$A:$A,0)),Workouts!$A:$A,0))
&amp;CHAR(10)&amp;INDEX(Workouts!$C:$C,MATCH(INDEX('Ride Log'!$C:$C,MATCH(A349,'Ride Log'!$A:$A,0)),Workouts!$A:$A,0))&amp;" TSS","")</f>
        <v/>
      </c>
    </row>
    <row r="350" spans="1:2" s="109" customFormat="1" ht="50.1" customHeight="1" x14ac:dyDescent="0.2">
      <c r="A350" s="110">
        <f t="shared" si="5"/>
        <v>44545</v>
      </c>
      <c r="B350" s="109" t="str">
        <f>_xlfn.IFNA(INDEX('Ride Log'!$C:$C,MATCH(A350,'Ride Log'!$A:$A,0))
&amp;CHAR(10)&amp;INDEX(INT(Workouts!$B:$B/60)&amp;":"&amp;RIGHT("00"&amp;MOD(Workouts!$B:$B,60),2),MATCH(INDEX('Ride Log'!$C:$C,MATCH(A350,'Ride Log'!$A:$A,0)),Workouts!$A:$A,0))
&amp;CHAR(10)&amp;INDEX(Workouts!$C:$C,MATCH(INDEX('Ride Log'!$C:$C,MATCH(A350,'Ride Log'!$A:$A,0)),Workouts!$A:$A,0))&amp;" TSS","")</f>
        <v/>
      </c>
    </row>
    <row r="351" spans="1:2" s="109" customFormat="1" ht="50.1" customHeight="1" x14ac:dyDescent="0.2">
      <c r="A351" s="110">
        <f t="shared" si="5"/>
        <v>44546</v>
      </c>
      <c r="B351" s="109" t="str">
        <f>_xlfn.IFNA(INDEX('Ride Log'!$C:$C,MATCH(A351,'Ride Log'!$A:$A,0))
&amp;CHAR(10)&amp;INDEX(INT(Workouts!$B:$B/60)&amp;":"&amp;RIGHT("00"&amp;MOD(Workouts!$B:$B,60),2),MATCH(INDEX('Ride Log'!$C:$C,MATCH(A351,'Ride Log'!$A:$A,0)),Workouts!$A:$A,0))
&amp;CHAR(10)&amp;INDEX(Workouts!$C:$C,MATCH(INDEX('Ride Log'!$C:$C,MATCH(A351,'Ride Log'!$A:$A,0)),Workouts!$A:$A,0))&amp;" TSS","")</f>
        <v/>
      </c>
    </row>
    <row r="352" spans="1:2" s="109" customFormat="1" ht="50.1" customHeight="1" x14ac:dyDescent="0.2">
      <c r="A352" s="110">
        <f t="shared" si="5"/>
        <v>44547</v>
      </c>
      <c r="B352" s="109" t="str">
        <f>_xlfn.IFNA(INDEX('Ride Log'!$C:$C,MATCH(A352,'Ride Log'!$A:$A,0))
&amp;CHAR(10)&amp;INDEX(INT(Workouts!$B:$B/60)&amp;":"&amp;RIGHT("00"&amp;MOD(Workouts!$B:$B,60),2),MATCH(INDEX('Ride Log'!$C:$C,MATCH(A352,'Ride Log'!$A:$A,0)),Workouts!$A:$A,0))
&amp;CHAR(10)&amp;INDEX(Workouts!$C:$C,MATCH(INDEX('Ride Log'!$C:$C,MATCH(A352,'Ride Log'!$A:$A,0)),Workouts!$A:$A,0))&amp;" TSS","")</f>
        <v/>
      </c>
    </row>
    <row r="353" spans="1:2" s="109" customFormat="1" ht="50.1" customHeight="1" x14ac:dyDescent="0.2">
      <c r="A353" s="110">
        <f t="shared" si="5"/>
        <v>44548</v>
      </c>
      <c r="B353" s="109" t="str">
        <f>_xlfn.IFNA(INDEX('Ride Log'!$C:$C,MATCH(A353,'Ride Log'!$A:$A,0))
&amp;CHAR(10)&amp;INDEX(INT(Workouts!$B:$B/60)&amp;":"&amp;RIGHT("00"&amp;MOD(Workouts!$B:$B,60),2),MATCH(INDEX('Ride Log'!$C:$C,MATCH(A353,'Ride Log'!$A:$A,0)),Workouts!$A:$A,0))
&amp;CHAR(10)&amp;INDEX(Workouts!$C:$C,MATCH(INDEX('Ride Log'!$C:$C,MATCH(A353,'Ride Log'!$A:$A,0)),Workouts!$A:$A,0))&amp;" TSS","")</f>
        <v/>
      </c>
    </row>
    <row r="354" spans="1:2" s="109" customFormat="1" ht="50.1" customHeight="1" x14ac:dyDescent="0.2">
      <c r="A354" s="110">
        <f t="shared" si="5"/>
        <v>44549</v>
      </c>
      <c r="B354" s="109" t="str">
        <f>_xlfn.IFNA(INDEX('Ride Log'!$C:$C,MATCH(A354,'Ride Log'!$A:$A,0))
&amp;CHAR(10)&amp;INDEX(INT(Workouts!$B:$B/60)&amp;":"&amp;RIGHT("00"&amp;MOD(Workouts!$B:$B,60),2),MATCH(INDEX('Ride Log'!$C:$C,MATCH(A354,'Ride Log'!$A:$A,0)),Workouts!$A:$A,0))
&amp;CHAR(10)&amp;INDEX(Workouts!$C:$C,MATCH(INDEX('Ride Log'!$C:$C,MATCH(A354,'Ride Log'!$A:$A,0)),Workouts!$A:$A,0))&amp;" TSS","")</f>
        <v/>
      </c>
    </row>
    <row r="355" spans="1:2" s="109" customFormat="1" ht="50.1" customHeight="1" x14ac:dyDescent="0.2">
      <c r="A355" s="110">
        <f t="shared" si="5"/>
        <v>44550</v>
      </c>
      <c r="B355" s="109" t="str">
        <f>_xlfn.IFNA(INDEX('Ride Log'!$C:$C,MATCH(A355,'Ride Log'!$A:$A,0))
&amp;CHAR(10)&amp;INDEX(INT(Workouts!$B:$B/60)&amp;":"&amp;RIGHT("00"&amp;MOD(Workouts!$B:$B,60),2),MATCH(INDEX('Ride Log'!$C:$C,MATCH(A355,'Ride Log'!$A:$A,0)),Workouts!$A:$A,0))
&amp;CHAR(10)&amp;INDEX(Workouts!$C:$C,MATCH(INDEX('Ride Log'!$C:$C,MATCH(A355,'Ride Log'!$A:$A,0)),Workouts!$A:$A,0))&amp;" TSS","")</f>
        <v/>
      </c>
    </row>
    <row r="356" spans="1:2" s="109" customFormat="1" ht="50.1" customHeight="1" x14ac:dyDescent="0.2">
      <c r="A356" s="110">
        <f t="shared" si="5"/>
        <v>44551</v>
      </c>
      <c r="B356" s="109" t="str">
        <f>_xlfn.IFNA(INDEX('Ride Log'!$C:$C,MATCH(A356,'Ride Log'!$A:$A,0))
&amp;CHAR(10)&amp;INDEX(INT(Workouts!$B:$B/60)&amp;":"&amp;RIGHT("00"&amp;MOD(Workouts!$B:$B,60),2),MATCH(INDEX('Ride Log'!$C:$C,MATCH(A356,'Ride Log'!$A:$A,0)),Workouts!$A:$A,0))
&amp;CHAR(10)&amp;INDEX(Workouts!$C:$C,MATCH(INDEX('Ride Log'!$C:$C,MATCH(A356,'Ride Log'!$A:$A,0)),Workouts!$A:$A,0))&amp;" TSS","")</f>
        <v/>
      </c>
    </row>
    <row r="357" spans="1:2" s="109" customFormat="1" ht="50.1" customHeight="1" x14ac:dyDescent="0.2">
      <c r="A357" s="110">
        <f t="shared" si="5"/>
        <v>44552</v>
      </c>
      <c r="B357" s="109" t="str">
        <f>_xlfn.IFNA(INDEX('Ride Log'!$C:$C,MATCH(A357,'Ride Log'!$A:$A,0))
&amp;CHAR(10)&amp;INDEX(INT(Workouts!$B:$B/60)&amp;":"&amp;RIGHT("00"&amp;MOD(Workouts!$B:$B,60),2),MATCH(INDEX('Ride Log'!$C:$C,MATCH(A357,'Ride Log'!$A:$A,0)),Workouts!$A:$A,0))
&amp;CHAR(10)&amp;INDEX(Workouts!$C:$C,MATCH(INDEX('Ride Log'!$C:$C,MATCH(A357,'Ride Log'!$A:$A,0)),Workouts!$A:$A,0))&amp;" TSS","")</f>
        <v/>
      </c>
    </row>
    <row r="358" spans="1:2" s="109" customFormat="1" ht="50.1" customHeight="1" x14ac:dyDescent="0.2">
      <c r="A358" s="110">
        <f t="shared" si="5"/>
        <v>44553</v>
      </c>
      <c r="B358" s="109" t="str">
        <f>_xlfn.IFNA(INDEX('Ride Log'!$C:$C,MATCH(A358,'Ride Log'!$A:$A,0))
&amp;CHAR(10)&amp;INDEX(INT(Workouts!$B:$B/60)&amp;":"&amp;RIGHT("00"&amp;MOD(Workouts!$B:$B,60),2),MATCH(INDEX('Ride Log'!$C:$C,MATCH(A358,'Ride Log'!$A:$A,0)),Workouts!$A:$A,0))
&amp;CHAR(10)&amp;INDEX(Workouts!$C:$C,MATCH(INDEX('Ride Log'!$C:$C,MATCH(A358,'Ride Log'!$A:$A,0)),Workouts!$A:$A,0))&amp;" TSS","")</f>
        <v/>
      </c>
    </row>
    <row r="359" spans="1:2" s="109" customFormat="1" ht="50.1" customHeight="1" x14ac:dyDescent="0.2">
      <c r="A359" s="110">
        <f t="shared" si="5"/>
        <v>44554</v>
      </c>
      <c r="B359" s="109" t="str">
        <f>_xlfn.IFNA(INDEX('Ride Log'!$C:$C,MATCH(A359,'Ride Log'!$A:$A,0))
&amp;CHAR(10)&amp;INDEX(INT(Workouts!$B:$B/60)&amp;":"&amp;RIGHT("00"&amp;MOD(Workouts!$B:$B,60),2),MATCH(INDEX('Ride Log'!$C:$C,MATCH(A359,'Ride Log'!$A:$A,0)),Workouts!$A:$A,0))
&amp;CHAR(10)&amp;INDEX(Workouts!$C:$C,MATCH(INDEX('Ride Log'!$C:$C,MATCH(A359,'Ride Log'!$A:$A,0)),Workouts!$A:$A,0))&amp;" TSS","")</f>
        <v/>
      </c>
    </row>
    <row r="360" spans="1:2" s="109" customFormat="1" ht="50.1" customHeight="1" x14ac:dyDescent="0.2">
      <c r="A360" s="110">
        <f t="shared" si="5"/>
        <v>44555</v>
      </c>
      <c r="B360" s="109" t="str">
        <f>_xlfn.IFNA(INDEX('Ride Log'!$C:$C,MATCH(A360,'Ride Log'!$A:$A,0))
&amp;CHAR(10)&amp;INDEX(INT(Workouts!$B:$B/60)&amp;":"&amp;RIGHT("00"&amp;MOD(Workouts!$B:$B,60),2),MATCH(INDEX('Ride Log'!$C:$C,MATCH(A360,'Ride Log'!$A:$A,0)),Workouts!$A:$A,0))
&amp;CHAR(10)&amp;INDEX(Workouts!$C:$C,MATCH(INDEX('Ride Log'!$C:$C,MATCH(A360,'Ride Log'!$A:$A,0)),Workouts!$A:$A,0))&amp;" TSS","")</f>
        <v/>
      </c>
    </row>
    <row r="361" spans="1:2" s="109" customFormat="1" ht="50.1" customHeight="1" x14ac:dyDescent="0.2">
      <c r="A361" s="110">
        <f t="shared" si="5"/>
        <v>44556</v>
      </c>
      <c r="B361" s="109" t="str">
        <f>_xlfn.IFNA(INDEX('Ride Log'!$C:$C,MATCH(A361,'Ride Log'!$A:$A,0))
&amp;CHAR(10)&amp;INDEX(INT(Workouts!$B:$B/60)&amp;":"&amp;RIGHT("00"&amp;MOD(Workouts!$B:$B,60),2),MATCH(INDEX('Ride Log'!$C:$C,MATCH(A361,'Ride Log'!$A:$A,0)),Workouts!$A:$A,0))
&amp;CHAR(10)&amp;INDEX(Workouts!$C:$C,MATCH(INDEX('Ride Log'!$C:$C,MATCH(A361,'Ride Log'!$A:$A,0)),Workouts!$A:$A,0))&amp;" TSS","")</f>
        <v/>
      </c>
    </row>
    <row r="362" spans="1:2" s="109" customFormat="1" ht="50.1" customHeight="1" x14ac:dyDescent="0.2">
      <c r="A362" s="110">
        <f t="shared" si="5"/>
        <v>44557</v>
      </c>
      <c r="B362" s="109" t="str">
        <f>_xlfn.IFNA(INDEX('Ride Log'!$C:$C,MATCH(A362,'Ride Log'!$A:$A,0))
&amp;CHAR(10)&amp;INDEX(INT(Workouts!$B:$B/60)&amp;":"&amp;RIGHT("00"&amp;MOD(Workouts!$B:$B,60),2),MATCH(INDEX('Ride Log'!$C:$C,MATCH(A362,'Ride Log'!$A:$A,0)),Workouts!$A:$A,0))
&amp;CHAR(10)&amp;INDEX(Workouts!$C:$C,MATCH(INDEX('Ride Log'!$C:$C,MATCH(A362,'Ride Log'!$A:$A,0)),Workouts!$A:$A,0))&amp;" TSS","")</f>
        <v/>
      </c>
    </row>
    <row r="363" spans="1:2" s="109" customFormat="1" ht="50.1" customHeight="1" x14ac:dyDescent="0.2">
      <c r="A363" s="110">
        <f t="shared" si="5"/>
        <v>44558</v>
      </c>
      <c r="B363" s="109" t="str">
        <f>_xlfn.IFNA(INDEX('Ride Log'!$C:$C,MATCH(A363,'Ride Log'!$A:$A,0))
&amp;CHAR(10)&amp;INDEX(INT(Workouts!$B:$B/60)&amp;":"&amp;RIGHT("00"&amp;MOD(Workouts!$B:$B,60),2),MATCH(INDEX('Ride Log'!$C:$C,MATCH(A363,'Ride Log'!$A:$A,0)),Workouts!$A:$A,0))
&amp;CHAR(10)&amp;INDEX(Workouts!$C:$C,MATCH(INDEX('Ride Log'!$C:$C,MATCH(A363,'Ride Log'!$A:$A,0)),Workouts!$A:$A,0))&amp;" TSS","")</f>
        <v/>
      </c>
    </row>
    <row r="364" spans="1:2" s="109" customFormat="1" ht="50.1" customHeight="1" x14ac:dyDescent="0.2">
      <c r="A364" s="110">
        <f t="shared" si="5"/>
        <v>44559</v>
      </c>
      <c r="B364" s="109" t="str">
        <f>_xlfn.IFNA(INDEX('Ride Log'!$C:$C,MATCH(A364,'Ride Log'!$A:$A,0))
&amp;CHAR(10)&amp;INDEX(INT(Workouts!$B:$B/60)&amp;":"&amp;RIGHT("00"&amp;MOD(Workouts!$B:$B,60),2),MATCH(INDEX('Ride Log'!$C:$C,MATCH(A364,'Ride Log'!$A:$A,0)),Workouts!$A:$A,0))
&amp;CHAR(10)&amp;INDEX(Workouts!$C:$C,MATCH(INDEX('Ride Log'!$C:$C,MATCH(A364,'Ride Log'!$A:$A,0)),Workouts!$A:$A,0))&amp;" TSS","")</f>
        <v/>
      </c>
    </row>
    <row r="365" spans="1:2" s="109" customFormat="1" ht="50.1" customHeight="1" x14ac:dyDescent="0.2">
      <c r="A365" s="110">
        <f t="shared" si="5"/>
        <v>44560</v>
      </c>
      <c r="B365" s="109" t="str">
        <f>_xlfn.IFNA(INDEX('Ride Log'!$C:$C,MATCH(A365,'Ride Log'!$A:$A,0))
&amp;CHAR(10)&amp;INDEX(INT(Workouts!$B:$B/60)&amp;":"&amp;RIGHT("00"&amp;MOD(Workouts!$B:$B,60),2),MATCH(INDEX('Ride Log'!$C:$C,MATCH(A365,'Ride Log'!$A:$A,0)),Workouts!$A:$A,0))
&amp;CHAR(10)&amp;INDEX(Workouts!$C:$C,MATCH(INDEX('Ride Log'!$C:$C,MATCH(A365,'Ride Log'!$A:$A,0)),Workouts!$A:$A,0))&amp;" TSS","")</f>
        <v/>
      </c>
    </row>
    <row r="366" spans="1:2" s="109" customFormat="1" ht="50.1" customHeight="1" x14ac:dyDescent="0.2">
      <c r="A366" s="110">
        <f t="shared" si="5"/>
        <v>44561</v>
      </c>
      <c r="B366" s="109" t="str">
        <f>_xlfn.IFNA(INDEX('Ride Log'!$C:$C,MATCH(A366,'Ride Log'!$A:$A,0))
&amp;CHAR(10)&amp;INDEX(INT(Workouts!$B:$B/60)&amp;":"&amp;RIGHT("00"&amp;MOD(Workouts!$B:$B,60),2),MATCH(INDEX('Ride Log'!$C:$C,MATCH(A366,'Ride Log'!$A:$A,0)),Workouts!$A:$A,0))
&amp;CHAR(10)&amp;INDEX(Workouts!$C:$C,MATCH(INDEX('Ride Log'!$C:$C,MATCH(A366,'Ride Log'!$A:$A,0)),Workouts!$A:$A,0))&amp;" TSS","")</f>
        <v/>
      </c>
    </row>
    <row r="367" spans="1:2" s="109" customFormat="1" ht="50.1" customHeight="1" x14ac:dyDescent="0.2">
      <c r="A367" s="11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9805-31EB-4C2F-9DD3-47C15D936A97}">
  <dimension ref="A1:I107"/>
  <sheetViews>
    <sheetView tabSelected="1" workbookViewId="0">
      <pane ySplit="1" topLeftCell="A89" activePane="bottomLeft" state="frozen"/>
      <selection pane="bottomLeft" activeCell="A90" sqref="A90"/>
    </sheetView>
  </sheetViews>
  <sheetFormatPr defaultRowHeight="12.75" x14ac:dyDescent="0.2"/>
  <cols>
    <col min="1" max="1" width="14.28515625" style="107" customWidth="1"/>
    <col min="2" max="8" width="30.7109375" customWidth="1"/>
  </cols>
  <sheetData>
    <row r="1" spans="1:9" x14ac:dyDescent="0.2">
      <c r="A1" s="104"/>
      <c r="B1" s="96" t="s">
        <v>66</v>
      </c>
      <c r="C1" s="96" t="s">
        <v>68</v>
      </c>
      <c r="D1" s="96" t="s">
        <v>70</v>
      </c>
      <c r="E1" s="96" t="s">
        <v>71</v>
      </c>
      <c r="F1" s="96" t="s">
        <v>72</v>
      </c>
      <c r="G1" s="96" t="s">
        <v>73</v>
      </c>
      <c r="H1" s="96" t="s">
        <v>74</v>
      </c>
      <c r="I1" s="31"/>
    </row>
    <row r="2" spans="1:9" x14ac:dyDescent="0.2">
      <c r="A2" s="105">
        <f>IF(DAY(H2)&lt;8,H2,"")</f>
        <v>44199</v>
      </c>
      <c r="B2" s="100"/>
      <c r="C2" s="100"/>
      <c r="D2" s="159"/>
      <c r="E2" s="159"/>
      <c r="F2" s="102">
        <v>44197</v>
      </c>
      <c r="G2" s="102">
        <f t="shared" ref="G2:H2" si="0">F2+1</f>
        <v>44198</v>
      </c>
      <c r="H2" s="102">
        <f t="shared" si="0"/>
        <v>44199</v>
      </c>
    </row>
    <row r="3" spans="1:9" s="97" customFormat="1" ht="65.099999999999994" customHeight="1" x14ac:dyDescent="0.2">
      <c r="A3" s="106"/>
      <c r="B3" s="101"/>
      <c r="C3" s="101"/>
      <c r="D3" s="101"/>
      <c r="E3" s="101"/>
      <c r="F3" s="101" t="str">
        <f>INDEX('Calendar Flat'!$B:$B,MATCH(F2,'Calendar Flat'!$A:$A,0))</f>
        <v/>
      </c>
      <c r="G3" s="101" t="str">
        <f>INDEX('Calendar Flat'!$B:$B,MATCH(G2,'Calendar Flat'!$A:$A,0))</f>
        <v/>
      </c>
      <c r="H3" s="101" t="str">
        <f>INDEX('Calendar Flat'!$B:$B,MATCH(H2,'Calendar Flat'!$A:$A,0))</f>
        <v/>
      </c>
      <c r="I3" s="97" t="str">
        <f>"Week "&amp;WEEKNUM(G2)
&amp;CHAR(10)&amp;SUM(_xlfn.IFNA(INDEX(Workouts!$C:$C,MATCH(INDEX('Ride Log'!$C:$C,MATCH(B2,'Ride Log'!$A:$A,0)),Workouts!$A:$A,0)),0),_xlfn.IFNA(INDEX(Workouts!$C:$C,MATCH(INDEX('Ride Log'!$C:$C,MATCH(C2,'Ride Log'!$A:$A,0)),Workouts!$A:$A,0)),0),
_xlfn.IFNA(INDEX(Workouts!$C:$C,MATCH(INDEX('Ride Log'!$C:$C,MATCH(D2,'Ride Log'!$A:$A,0)),Workouts!$A:$A,0)),0),_xlfn.IFNA(INDEX(Workouts!$C:$C,MATCH(INDEX('Ride Log'!$C:$C,MATCH(E2,'Ride Log'!$A:$A,0)),Workouts!$A:$A,0)),0),
_xlfn.IFNA(INDEX(Workouts!$C:$C,MATCH(INDEX('Ride Log'!$C:$C,MATCH(F2,'Ride Log'!$A:$A,0)),Workouts!$A:$A,0)),0),_xlfn.IFNA(INDEX(Workouts!$C:$C,MATCH(INDEX('Ride Log'!$C:$C,MATCH(G2,'Ride Log'!$A:$A,0)),Workouts!$A:$A,0)),0),
_xlfn.IFNA(INDEX(Workouts!$C:$C,MATCH(INDEX('Ride Log'!$C:$C,MATCH(H2,'Ride Log'!$A:$A,0)),Workouts!$A:$A,0)),0))&amp;" TSS"</f>
        <v>Week 1
0 TSS</v>
      </c>
    </row>
    <row r="4" spans="1:9" x14ac:dyDescent="0.2">
      <c r="A4" s="105" t="str">
        <f>IF(DAY(H4)&lt;8,H4,"")</f>
        <v/>
      </c>
      <c r="B4" s="103">
        <f>H2+1</f>
        <v>44200</v>
      </c>
      <c r="C4" s="103">
        <f>B4+1</f>
        <v>44201</v>
      </c>
      <c r="D4" s="103">
        <f t="shared" ref="D4:H4" si="1">C4+1</f>
        <v>44202</v>
      </c>
      <c r="E4" s="103">
        <f>D4+1</f>
        <v>44203</v>
      </c>
      <c r="F4" s="103">
        <f t="shared" si="1"/>
        <v>44204</v>
      </c>
      <c r="G4" s="103">
        <f t="shared" si="1"/>
        <v>44205</v>
      </c>
      <c r="H4" s="103">
        <f t="shared" si="1"/>
        <v>44206</v>
      </c>
    </row>
    <row r="5" spans="1:9" s="99" customFormat="1" ht="65.099999999999994" customHeight="1" x14ac:dyDescent="0.2">
      <c r="A5" s="106"/>
      <c r="B5" s="101" t="str">
        <f>INDEX('Calendar Flat'!$B:$B,MATCH(B4,'Calendar Flat'!$A:$A,0))</f>
        <v/>
      </c>
      <c r="C5" s="101" t="str">
        <f>INDEX('Calendar Flat'!$B:$B,MATCH(C4,'Calendar Flat'!$A:$A,0))</f>
        <v/>
      </c>
      <c r="D5" s="101" t="str">
        <f>INDEX('Calendar Flat'!$B:$B,MATCH(D4,'Calendar Flat'!$A:$A,0))</f>
        <v/>
      </c>
      <c r="E5" s="101" t="str">
        <f>INDEX('Calendar Flat'!$B:$B,MATCH(E4,'Calendar Flat'!$A:$A,0))</f>
        <v/>
      </c>
      <c r="F5" s="101" t="str">
        <f>INDEX('Calendar Flat'!$B:$B,MATCH(F4,'Calendar Flat'!$A:$A,0))</f>
        <v/>
      </c>
      <c r="G5" s="101" t="str">
        <f>INDEX('Calendar Flat'!$B:$B,MATCH(G4,'Calendar Flat'!$A:$A,0))</f>
        <v/>
      </c>
      <c r="H5" s="101" t="str">
        <f>INDEX('Calendar Flat'!$B:$B,MATCH(H4,'Calendar Flat'!$A:$A,0))</f>
        <v/>
      </c>
      <c r="I5" s="97" t="str">
        <f>"Week "&amp;WEEKNUM(G4)
&amp;CHAR(10)&amp;SUM(_xlfn.IFNA(INDEX(Workouts!$C:$C,MATCH(INDEX('Ride Log'!$C:$C,MATCH(B4,'Ride Log'!$A:$A,0)),Workouts!$A:$A,0)),0),_xlfn.IFNA(INDEX(Workouts!$C:$C,MATCH(INDEX('Ride Log'!$C:$C,MATCH(C4,'Ride Log'!$A:$A,0)),Workouts!$A:$A,0)),0),
_xlfn.IFNA(INDEX(Workouts!$C:$C,MATCH(INDEX('Ride Log'!$C:$C,MATCH(D4,'Ride Log'!$A:$A,0)),Workouts!$A:$A,0)),0),_xlfn.IFNA(INDEX(Workouts!$C:$C,MATCH(INDEX('Ride Log'!$C:$C,MATCH(E4,'Ride Log'!$A:$A,0)),Workouts!$A:$A,0)),0),
_xlfn.IFNA(INDEX(Workouts!$C:$C,MATCH(INDEX('Ride Log'!$C:$C,MATCH(F4,'Ride Log'!$A:$A,0)),Workouts!$A:$A,0)),0),_xlfn.IFNA(INDEX(Workouts!$C:$C,MATCH(INDEX('Ride Log'!$C:$C,MATCH(G4,'Ride Log'!$A:$A,0)),Workouts!$A:$A,0)),0),
_xlfn.IFNA(INDEX(Workouts!$C:$C,MATCH(INDEX('Ride Log'!$C:$C,MATCH(H4,'Ride Log'!$A:$A,0)),Workouts!$A:$A,0)),0))&amp;" TSS"</f>
        <v>Week 2
0 TSS</v>
      </c>
    </row>
    <row r="6" spans="1:9" ht="12.75" customHeight="1" x14ac:dyDescent="0.2">
      <c r="A6" s="105" t="str">
        <f>IF(DAY(H6)&lt;8,H6,"")</f>
        <v/>
      </c>
      <c r="B6" s="103">
        <f>H4+1</f>
        <v>44207</v>
      </c>
      <c r="C6" s="103">
        <f>B6+1</f>
        <v>44208</v>
      </c>
      <c r="D6" s="103">
        <f t="shared" ref="D6:H6" si="2">C6+1</f>
        <v>44209</v>
      </c>
      <c r="E6" s="103">
        <f t="shared" si="2"/>
        <v>44210</v>
      </c>
      <c r="F6" s="103">
        <f t="shared" si="2"/>
        <v>44211</v>
      </c>
      <c r="G6" s="103">
        <f t="shared" si="2"/>
        <v>44212</v>
      </c>
      <c r="H6" s="103">
        <f t="shared" si="2"/>
        <v>44213</v>
      </c>
    </row>
    <row r="7" spans="1:9" ht="65.099999999999994" customHeight="1" x14ac:dyDescent="0.2">
      <c r="A7" s="106"/>
      <c r="B7" s="101" t="str">
        <f>INDEX('Calendar Flat'!$B:$B,MATCH(B6,'Calendar Flat'!$A:$A,0))</f>
        <v/>
      </c>
      <c r="C7" s="101" t="str">
        <f>INDEX('Calendar Flat'!$B:$B,MATCH(C6,'Calendar Flat'!$A:$A,0))</f>
        <v/>
      </c>
      <c r="D7" s="101" t="str">
        <f>INDEX('Calendar Flat'!$B:$B,MATCH(D6,'Calendar Flat'!$A:$A,0))</f>
        <v/>
      </c>
      <c r="E7" s="101" t="str">
        <f>INDEX('Calendar Flat'!$B:$B,MATCH(E6,'Calendar Flat'!$A:$A,0))</f>
        <v/>
      </c>
      <c r="F7" s="101" t="str">
        <f>INDEX('Calendar Flat'!$B:$B,MATCH(F6,'Calendar Flat'!$A:$A,0))</f>
        <v/>
      </c>
      <c r="G7" s="101" t="str">
        <f>INDEX('Calendar Flat'!$B:$B,MATCH(G6,'Calendar Flat'!$A:$A,0))</f>
        <v/>
      </c>
      <c r="H7" s="101" t="str">
        <f>INDEX('Calendar Flat'!$B:$B,MATCH(H6,'Calendar Flat'!$A:$A,0))</f>
        <v/>
      </c>
      <c r="I7" s="97" t="str">
        <f>"Week "&amp;WEEKNUM(G6)
&amp;CHAR(10)&amp;SUM(_xlfn.IFNA(INDEX(Workouts!$C:$C,MATCH(INDEX('Ride Log'!$C:$C,MATCH(B6,'Ride Log'!$A:$A,0)),Workouts!$A:$A,0)),0),_xlfn.IFNA(INDEX(Workouts!$C:$C,MATCH(INDEX('Ride Log'!$C:$C,MATCH(C6,'Ride Log'!$A:$A,0)),Workouts!$A:$A,0)),0),
_xlfn.IFNA(INDEX(Workouts!$C:$C,MATCH(INDEX('Ride Log'!$C:$C,MATCH(D6,'Ride Log'!$A:$A,0)),Workouts!$A:$A,0)),0),_xlfn.IFNA(INDEX(Workouts!$C:$C,MATCH(INDEX('Ride Log'!$C:$C,MATCH(E6,'Ride Log'!$A:$A,0)),Workouts!$A:$A,0)),0),
_xlfn.IFNA(INDEX(Workouts!$C:$C,MATCH(INDEX('Ride Log'!$C:$C,MATCH(F6,'Ride Log'!$A:$A,0)),Workouts!$A:$A,0)),0),_xlfn.IFNA(INDEX(Workouts!$C:$C,MATCH(INDEX('Ride Log'!$C:$C,MATCH(G6,'Ride Log'!$A:$A,0)),Workouts!$A:$A,0)),0),
_xlfn.IFNA(INDEX(Workouts!$C:$C,MATCH(INDEX('Ride Log'!$C:$C,MATCH(H6,'Ride Log'!$A:$A,0)),Workouts!$A:$A,0)),0))&amp;" TSS"</f>
        <v>Week 3
0 TSS</v>
      </c>
    </row>
    <row r="8" spans="1:9" ht="12.75" customHeight="1" x14ac:dyDescent="0.2">
      <c r="A8" s="105" t="str">
        <f>IF(DAY(H8)&lt;8,H8,"")</f>
        <v/>
      </c>
      <c r="B8" s="103">
        <f>H6+1</f>
        <v>44214</v>
      </c>
      <c r="C8" s="103">
        <f>B8+1</f>
        <v>44215</v>
      </c>
      <c r="D8" s="103">
        <f t="shared" ref="D8:H8" si="3">C8+1</f>
        <v>44216</v>
      </c>
      <c r="E8" s="103">
        <f t="shared" si="3"/>
        <v>44217</v>
      </c>
      <c r="F8" s="103">
        <f t="shared" si="3"/>
        <v>44218</v>
      </c>
      <c r="G8" s="103">
        <f t="shared" si="3"/>
        <v>44219</v>
      </c>
      <c r="H8" s="103">
        <f t="shared" si="3"/>
        <v>44220</v>
      </c>
    </row>
    <row r="9" spans="1:9" ht="65.099999999999994" customHeight="1" x14ac:dyDescent="0.2">
      <c r="A9" s="106"/>
      <c r="B9" s="101" t="str">
        <f>INDEX('Calendar Flat'!$B:$B,MATCH(B8,'Calendar Flat'!$A:$A,0))</f>
        <v/>
      </c>
      <c r="C9" s="101" t="str">
        <f>INDEX('Calendar Flat'!$B:$B,MATCH(C8,'Calendar Flat'!$A:$A,0))</f>
        <v/>
      </c>
      <c r="D9" s="101" t="str">
        <f>INDEX('Calendar Flat'!$B:$B,MATCH(D8,'Calendar Flat'!$A:$A,0))</f>
        <v/>
      </c>
      <c r="E9" s="101" t="str">
        <f>INDEX('Calendar Flat'!$B:$B,MATCH(E8,'Calendar Flat'!$A:$A,0))</f>
        <v/>
      </c>
      <c r="F9" s="101" t="str">
        <f>INDEX('Calendar Flat'!$B:$B,MATCH(F8,'Calendar Flat'!$A:$A,0))</f>
        <v/>
      </c>
      <c r="G9" s="101" t="str">
        <f>INDEX('Calendar Flat'!$B:$B,MATCH(G8,'Calendar Flat'!$A:$A,0))</f>
        <v/>
      </c>
      <c r="H9" s="101" t="str">
        <f>INDEX('Calendar Flat'!$B:$B,MATCH(H8,'Calendar Flat'!$A:$A,0))</f>
        <v/>
      </c>
      <c r="I9" s="97" t="str">
        <f>"Week "&amp;WEEKNUM(G8)
&amp;CHAR(10)&amp;SUM(_xlfn.IFNA(INDEX(Workouts!$C:$C,MATCH(INDEX('Ride Log'!$C:$C,MATCH(B8,'Ride Log'!$A:$A,0)),Workouts!$A:$A,0)),0),_xlfn.IFNA(INDEX(Workouts!$C:$C,MATCH(INDEX('Ride Log'!$C:$C,MATCH(C8,'Ride Log'!$A:$A,0)),Workouts!$A:$A,0)),0),
_xlfn.IFNA(INDEX(Workouts!$C:$C,MATCH(INDEX('Ride Log'!$C:$C,MATCH(D8,'Ride Log'!$A:$A,0)),Workouts!$A:$A,0)),0),_xlfn.IFNA(INDEX(Workouts!$C:$C,MATCH(INDEX('Ride Log'!$C:$C,MATCH(E8,'Ride Log'!$A:$A,0)),Workouts!$A:$A,0)),0),
_xlfn.IFNA(INDEX(Workouts!$C:$C,MATCH(INDEX('Ride Log'!$C:$C,MATCH(F8,'Ride Log'!$A:$A,0)),Workouts!$A:$A,0)),0),_xlfn.IFNA(INDEX(Workouts!$C:$C,MATCH(INDEX('Ride Log'!$C:$C,MATCH(G8,'Ride Log'!$A:$A,0)),Workouts!$A:$A,0)),0),
_xlfn.IFNA(INDEX(Workouts!$C:$C,MATCH(INDEX('Ride Log'!$C:$C,MATCH(H8,'Ride Log'!$A:$A,0)),Workouts!$A:$A,0)),0))&amp;" TSS"</f>
        <v>Week 4
0 TSS</v>
      </c>
    </row>
    <row r="10" spans="1:9" ht="12.75" customHeight="1" x14ac:dyDescent="0.2">
      <c r="A10" s="105" t="str">
        <f>IF(DAY(H10)&lt;8,H10,"")</f>
        <v/>
      </c>
      <c r="B10" s="103">
        <f>H8+1</f>
        <v>44221</v>
      </c>
      <c r="C10" s="103">
        <f>B10+1</f>
        <v>44222</v>
      </c>
      <c r="D10" s="103">
        <f t="shared" ref="D10:H10" si="4">C10+1</f>
        <v>44223</v>
      </c>
      <c r="E10" s="103">
        <f t="shared" si="4"/>
        <v>44224</v>
      </c>
      <c r="F10" s="103">
        <f t="shared" si="4"/>
        <v>44225</v>
      </c>
      <c r="G10" s="103">
        <f t="shared" si="4"/>
        <v>44226</v>
      </c>
      <c r="H10" s="103">
        <f t="shared" si="4"/>
        <v>44227</v>
      </c>
    </row>
    <row r="11" spans="1:9" ht="65.099999999999994" customHeight="1" x14ac:dyDescent="0.2">
      <c r="A11" s="106"/>
      <c r="B11" s="101" t="str">
        <f>INDEX('Calendar Flat'!$B:$B,MATCH(B10,'Calendar Flat'!$A:$A,0))</f>
        <v/>
      </c>
      <c r="C11" s="101" t="str">
        <f>INDEX('Calendar Flat'!$B:$B,MATCH(C10,'Calendar Flat'!$A:$A,0))</f>
        <v/>
      </c>
      <c r="D11" s="101" t="str">
        <f>INDEX('Calendar Flat'!$B:$B,MATCH(D10,'Calendar Flat'!$A:$A,0))</f>
        <v/>
      </c>
      <c r="E11" s="101" t="str">
        <f>INDEX('Calendar Flat'!$B:$B,MATCH(E10,'Calendar Flat'!$A:$A,0))</f>
        <v/>
      </c>
      <c r="F11" s="101" t="str">
        <f>INDEX('Calendar Flat'!$B:$B,MATCH(F10,'Calendar Flat'!$A:$A,0))</f>
        <v/>
      </c>
      <c r="G11" s="101" t="str">
        <f>INDEX('Calendar Flat'!$B:$B,MATCH(G10,'Calendar Flat'!$A:$A,0))</f>
        <v/>
      </c>
      <c r="H11" s="101" t="str">
        <f>INDEX('Calendar Flat'!$B:$B,MATCH(H10,'Calendar Flat'!$A:$A,0))</f>
        <v/>
      </c>
      <c r="I11" s="97" t="str">
        <f>"Week "&amp;WEEKNUM(G10)
&amp;CHAR(10)&amp;SUM(_xlfn.IFNA(INDEX(Workouts!$C:$C,MATCH(INDEX('Ride Log'!$C:$C,MATCH(B10,'Ride Log'!$A:$A,0)),Workouts!$A:$A,0)),0),_xlfn.IFNA(INDEX(Workouts!$C:$C,MATCH(INDEX('Ride Log'!$C:$C,MATCH(C10,'Ride Log'!$A:$A,0)),Workouts!$A:$A,0)),0),
_xlfn.IFNA(INDEX(Workouts!$C:$C,MATCH(INDEX('Ride Log'!$C:$C,MATCH(D10,'Ride Log'!$A:$A,0)),Workouts!$A:$A,0)),0),_xlfn.IFNA(INDEX(Workouts!$C:$C,MATCH(INDEX('Ride Log'!$C:$C,MATCH(E10,'Ride Log'!$A:$A,0)),Workouts!$A:$A,0)),0),
_xlfn.IFNA(INDEX(Workouts!$C:$C,MATCH(INDEX('Ride Log'!$C:$C,MATCH(F10,'Ride Log'!$A:$A,0)),Workouts!$A:$A,0)),0),_xlfn.IFNA(INDEX(Workouts!$C:$C,MATCH(INDEX('Ride Log'!$C:$C,MATCH(G10,'Ride Log'!$A:$A,0)),Workouts!$A:$A,0)),0),
_xlfn.IFNA(INDEX(Workouts!$C:$C,MATCH(INDEX('Ride Log'!$C:$C,MATCH(H10,'Ride Log'!$A:$A,0)),Workouts!$A:$A,0)),0))&amp;" TSS"</f>
        <v>Week 5
0 TSS</v>
      </c>
    </row>
    <row r="12" spans="1:9" ht="12.75" customHeight="1" x14ac:dyDescent="0.2">
      <c r="A12" s="105">
        <f>IF(DAY(H12)&lt;8,H12,"")</f>
        <v>44234</v>
      </c>
      <c r="B12" s="103">
        <f>H10+1</f>
        <v>44228</v>
      </c>
      <c r="C12" s="103">
        <f>B12+1</f>
        <v>44229</v>
      </c>
      <c r="D12" s="103">
        <f t="shared" ref="D12:H12" si="5">C12+1</f>
        <v>44230</v>
      </c>
      <c r="E12" s="103">
        <f t="shared" si="5"/>
        <v>44231</v>
      </c>
      <c r="F12" s="103">
        <f t="shared" si="5"/>
        <v>44232</v>
      </c>
      <c r="G12" s="103">
        <f t="shared" si="5"/>
        <v>44233</v>
      </c>
      <c r="H12" s="103">
        <f t="shared" si="5"/>
        <v>44234</v>
      </c>
    </row>
    <row r="13" spans="1:9" ht="65.099999999999994" customHeight="1" x14ac:dyDescent="0.2">
      <c r="A13" s="106"/>
      <c r="B13" s="101" t="str">
        <f>INDEX('Calendar Flat'!$B:$B,MATCH(B12,'Calendar Flat'!$A:$A,0))</f>
        <v/>
      </c>
      <c r="C13" s="101" t="str">
        <f>INDEX('Calendar Flat'!$B:$B,MATCH(C12,'Calendar Flat'!$A:$A,0))</f>
        <v/>
      </c>
      <c r="D13" s="101" t="str">
        <f>INDEX('Calendar Flat'!$B:$B,MATCH(D12,'Calendar Flat'!$A:$A,0))</f>
        <v/>
      </c>
      <c r="E13" s="101" t="str">
        <f>INDEX('Calendar Flat'!$B:$B,MATCH(E12,'Calendar Flat'!$A:$A,0))</f>
        <v/>
      </c>
      <c r="F13" s="101" t="str">
        <f>INDEX('Calendar Flat'!$B:$B,MATCH(F12,'Calendar Flat'!$A:$A,0))</f>
        <v/>
      </c>
      <c r="G13" s="101" t="str">
        <f>INDEX('Calendar Flat'!$B:$B,MATCH(G12,'Calendar Flat'!$A:$A,0))</f>
        <v/>
      </c>
      <c r="H13" s="101" t="str">
        <f>INDEX('Calendar Flat'!$B:$B,MATCH(H12,'Calendar Flat'!$A:$A,0))</f>
        <v/>
      </c>
      <c r="I13" s="97" t="str">
        <f>"Week "&amp;WEEKNUM(G12)
&amp;CHAR(10)&amp;SUM(_xlfn.IFNA(INDEX(Workouts!$C:$C,MATCH(INDEX('Ride Log'!$C:$C,MATCH(B12,'Ride Log'!$A:$A,0)),Workouts!$A:$A,0)),0),_xlfn.IFNA(INDEX(Workouts!$C:$C,MATCH(INDEX('Ride Log'!$C:$C,MATCH(C12,'Ride Log'!$A:$A,0)),Workouts!$A:$A,0)),0),
_xlfn.IFNA(INDEX(Workouts!$C:$C,MATCH(INDEX('Ride Log'!$C:$C,MATCH(D12,'Ride Log'!$A:$A,0)),Workouts!$A:$A,0)),0),_xlfn.IFNA(INDEX(Workouts!$C:$C,MATCH(INDEX('Ride Log'!$C:$C,MATCH(E12,'Ride Log'!$A:$A,0)),Workouts!$A:$A,0)),0),
_xlfn.IFNA(INDEX(Workouts!$C:$C,MATCH(INDEX('Ride Log'!$C:$C,MATCH(F12,'Ride Log'!$A:$A,0)),Workouts!$A:$A,0)),0),_xlfn.IFNA(INDEX(Workouts!$C:$C,MATCH(INDEX('Ride Log'!$C:$C,MATCH(G12,'Ride Log'!$A:$A,0)),Workouts!$A:$A,0)),0),
_xlfn.IFNA(INDEX(Workouts!$C:$C,MATCH(INDEX('Ride Log'!$C:$C,MATCH(H12,'Ride Log'!$A:$A,0)),Workouts!$A:$A,0)),0))&amp;" TSS"</f>
        <v>Week 6
0 TSS</v>
      </c>
    </row>
    <row r="14" spans="1:9" ht="12.75" customHeight="1" x14ac:dyDescent="0.2">
      <c r="A14" s="105" t="str">
        <f>IF(DAY(H14)&lt;8,H14,"")</f>
        <v/>
      </c>
      <c r="B14" s="103">
        <f>H12+1</f>
        <v>44235</v>
      </c>
      <c r="C14" s="103">
        <f>B14+1</f>
        <v>44236</v>
      </c>
      <c r="D14" s="103">
        <f t="shared" ref="D14:H14" si="6">C14+1</f>
        <v>44237</v>
      </c>
      <c r="E14" s="103">
        <f t="shared" si="6"/>
        <v>44238</v>
      </c>
      <c r="F14" s="103">
        <f t="shared" si="6"/>
        <v>44239</v>
      </c>
      <c r="G14" s="103">
        <f t="shared" si="6"/>
        <v>44240</v>
      </c>
      <c r="H14" s="103">
        <f t="shared" si="6"/>
        <v>44241</v>
      </c>
    </row>
    <row r="15" spans="1:9" ht="65.099999999999994" customHeight="1" x14ac:dyDescent="0.2">
      <c r="A15" s="106"/>
      <c r="B15" s="101" t="str">
        <f>INDEX('Calendar Flat'!$B:$B,MATCH(B14,'Calendar Flat'!$A:$A,0))</f>
        <v/>
      </c>
      <c r="C15" s="101" t="str">
        <f>INDEX('Calendar Flat'!$B:$B,MATCH(C14,'Calendar Flat'!$A:$A,0))</f>
        <v/>
      </c>
      <c r="D15" s="101" t="str">
        <f>INDEX('Calendar Flat'!$B:$B,MATCH(D14,'Calendar Flat'!$A:$A,0))</f>
        <v/>
      </c>
      <c r="E15" s="101" t="str">
        <f>INDEX('Calendar Flat'!$B:$B,MATCH(E14,'Calendar Flat'!$A:$A,0))</f>
        <v/>
      </c>
      <c r="F15" s="101" t="str">
        <f>INDEX('Calendar Flat'!$B:$B,MATCH(F14,'Calendar Flat'!$A:$A,0))</f>
        <v/>
      </c>
      <c r="G15" s="101" t="str">
        <f>INDEX('Calendar Flat'!$B:$B,MATCH(G14,'Calendar Flat'!$A:$A,0))</f>
        <v/>
      </c>
      <c r="H15" s="101" t="str">
        <f>INDEX('Calendar Flat'!$B:$B,MATCH(H14,'Calendar Flat'!$A:$A,0))</f>
        <v/>
      </c>
      <c r="I15" s="97" t="str">
        <f>"Week "&amp;WEEKNUM(G14)
&amp;CHAR(10)&amp;SUM(_xlfn.IFNA(INDEX(Workouts!$C:$C,MATCH(INDEX('Ride Log'!$C:$C,MATCH(B14,'Ride Log'!$A:$A,0)),Workouts!$A:$A,0)),0),_xlfn.IFNA(INDEX(Workouts!$C:$C,MATCH(INDEX('Ride Log'!$C:$C,MATCH(C14,'Ride Log'!$A:$A,0)),Workouts!$A:$A,0)),0),
_xlfn.IFNA(INDEX(Workouts!$C:$C,MATCH(INDEX('Ride Log'!$C:$C,MATCH(D14,'Ride Log'!$A:$A,0)),Workouts!$A:$A,0)),0),_xlfn.IFNA(INDEX(Workouts!$C:$C,MATCH(INDEX('Ride Log'!$C:$C,MATCH(E14,'Ride Log'!$A:$A,0)),Workouts!$A:$A,0)),0),
_xlfn.IFNA(INDEX(Workouts!$C:$C,MATCH(INDEX('Ride Log'!$C:$C,MATCH(F14,'Ride Log'!$A:$A,0)),Workouts!$A:$A,0)),0),_xlfn.IFNA(INDEX(Workouts!$C:$C,MATCH(INDEX('Ride Log'!$C:$C,MATCH(G14,'Ride Log'!$A:$A,0)),Workouts!$A:$A,0)),0),
_xlfn.IFNA(INDEX(Workouts!$C:$C,MATCH(INDEX('Ride Log'!$C:$C,MATCH(H14,'Ride Log'!$A:$A,0)),Workouts!$A:$A,0)),0))&amp;" TSS"</f>
        <v>Week 7
0 TSS</v>
      </c>
    </row>
    <row r="16" spans="1:9" ht="12.75" customHeight="1" x14ac:dyDescent="0.2">
      <c r="A16" s="105" t="str">
        <f>IF(DAY(H16)&lt;8,H16,"")</f>
        <v/>
      </c>
      <c r="B16" s="103">
        <f>H14+1</f>
        <v>44242</v>
      </c>
      <c r="C16" s="103">
        <f>B16+1</f>
        <v>44243</v>
      </c>
      <c r="D16" s="103">
        <f t="shared" ref="D16:H16" si="7">C16+1</f>
        <v>44244</v>
      </c>
      <c r="E16" s="103">
        <f t="shared" si="7"/>
        <v>44245</v>
      </c>
      <c r="F16" s="103">
        <f t="shared" si="7"/>
        <v>44246</v>
      </c>
      <c r="G16" s="103">
        <f t="shared" si="7"/>
        <v>44247</v>
      </c>
      <c r="H16" s="103">
        <f t="shared" si="7"/>
        <v>44248</v>
      </c>
    </row>
    <row r="17" spans="1:9" ht="65.099999999999994" customHeight="1" x14ac:dyDescent="0.2">
      <c r="A17" s="106"/>
      <c r="B17" s="101" t="str">
        <f>INDEX('Calendar Flat'!$B:$B,MATCH(B16,'Calendar Flat'!$A:$A,0))</f>
        <v/>
      </c>
      <c r="C17" s="101" t="str">
        <f>INDEX('Calendar Flat'!$B:$B,MATCH(C16,'Calendar Flat'!$A:$A,0))</f>
        <v/>
      </c>
      <c r="D17" s="101" t="str">
        <f>INDEX('Calendar Flat'!$B:$B,MATCH(D16,'Calendar Flat'!$A:$A,0))</f>
        <v/>
      </c>
      <c r="E17" s="101" t="str">
        <f>INDEX('Calendar Flat'!$B:$B,MATCH(E16,'Calendar Flat'!$A:$A,0))</f>
        <v/>
      </c>
      <c r="F17" s="101" t="str">
        <f>INDEX('Calendar Flat'!$B:$B,MATCH(F16,'Calendar Flat'!$A:$A,0))</f>
        <v/>
      </c>
      <c r="G17" s="101" t="str">
        <f>INDEX('Calendar Flat'!$B:$B,MATCH(G16,'Calendar Flat'!$A:$A,0))</f>
        <v/>
      </c>
      <c r="H17" s="101" t="str">
        <f>INDEX('Calendar Flat'!$B:$B,MATCH(H16,'Calendar Flat'!$A:$A,0))</f>
        <v/>
      </c>
      <c r="I17" s="97" t="str">
        <f>"Week "&amp;WEEKNUM(G16)
&amp;CHAR(10)&amp;SUM(_xlfn.IFNA(INDEX(Workouts!$C:$C,MATCH(INDEX('Ride Log'!$C:$C,MATCH(B16,'Ride Log'!$A:$A,0)),Workouts!$A:$A,0)),0),_xlfn.IFNA(INDEX(Workouts!$C:$C,MATCH(INDEX('Ride Log'!$C:$C,MATCH(C16,'Ride Log'!$A:$A,0)),Workouts!$A:$A,0)),0),
_xlfn.IFNA(INDEX(Workouts!$C:$C,MATCH(INDEX('Ride Log'!$C:$C,MATCH(D16,'Ride Log'!$A:$A,0)),Workouts!$A:$A,0)),0),_xlfn.IFNA(INDEX(Workouts!$C:$C,MATCH(INDEX('Ride Log'!$C:$C,MATCH(E16,'Ride Log'!$A:$A,0)),Workouts!$A:$A,0)),0),
_xlfn.IFNA(INDEX(Workouts!$C:$C,MATCH(INDEX('Ride Log'!$C:$C,MATCH(F16,'Ride Log'!$A:$A,0)),Workouts!$A:$A,0)),0),_xlfn.IFNA(INDEX(Workouts!$C:$C,MATCH(INDEX('Ride Log'!$C:$C,MATCH(G16,'Ride Log'!$A:$A,0)),Workouts!$A:$A,0)),0),
_xlfn.IFNA(INDEX(Workouts!$C:$C,MATCH(INDEX('Ride Log'!$C:$C,MATCH(H16,'Ride Log'!$A:$A,0)),Workouts!$A:$A,0)),0))&amp;" TSS"</f>
        <v>Week 8
0 TSS</v>
      </c>
    </row>
    <row r="18" spans="1:9" ht="12.75" customHeight="1" x14ac:dyDescent="0.2">
      <c r="A18" s="105" t="str">
        <f>IF(DAY(H18)&lt;8,H18,"")</f>
        <v/>
      </c>
      <c r="B18" s="103">
        <f>H16+1</f>
        <v>44249</v>
      </c>
      <c r="C18" s="103">
        <f>B18+1</f>
        <v>44250</v>
      </c>
      <c r="D18" s="103">
        <f t="shared" ref="D18:H18" si="8">C18+1</f>
        <v>44251</v>
      </c>
      <c r="E18" s="103">
        <f t="shared" si="8"/>
        <v>44252</v>
      </c>
      <c r="F18" s="103">
        <f t="shared" si="8"/>
        <v>44253</v>
      </c>
      <c r="G18" s="103">
        <f t="shared" si="8"/>
        <v>44254</v>
      </c>
      <c r="H18" s="103">
        <f t="shared" si="8"/>
        <v>44255</v>
      </c>
    </row>
    <row r="19" spans="1:9" ht="65.099999999999994" customHeight="1" x14ac:dyDescent="0.2">
      <c r="A19" s="106"/>
      <c r="B19" s="101" t="str">
        <f>INDEX('Calendar Flat'!$B:$B,MATCH(B18,'Calendar Flat'!$A:$A,0))</f>
        <v/>
      </c>
      <c r="C19" s="101" t="str">
        <f>INDEX('Calendar Flat'!$B:$B,MATCH(C18,'Calendar Flat'!$A:$A,0))</f>
        <v/>
      </c>
      <c r="D19" s="101" t="str">
        <f>INDEX('Calendar Flat'!$B:$B,MATCH(D18,'Calendar Flat'!$A:$A,0))</f>
        <v/>
      </c>
      <c r="E19" s="101" t="str">
        <f>INDEX('Calendar Flat'!$B:$B,MATCH(E18,'Calendar Flat'!$A:$A,0))</f>
        <v/>
      </c>
      <c r="F19" s="101" t="str">
        <f>INDEX('Calendar Flat'!$B:$B,MATCH(F18,'Calendar Flat'!$A:$A,0))</f>
        <v/>
      </c>
      <c r="G19" s="101" t="str">
        <f>INDEX('Calendar Flat'!$B:$B,MATCH(G18,'Calendar Flat'!$A:$A,0))</f>
        <v/>
      </c>
      <c r="H19" s="101" t="str">
        <f>INDEX('Calendar Flat'!$B:$B,MATCH(H18,'Calendar Flat'!$A:$A,0))</f>
        <v/>
      </c>
      <c r="I19" s="97" t="str">
        <f>"Week "&amp;WEEKNUM(G18)
&amp;CHAR(10)&amp;SUM(_xlfn.IFNA(INDEX(Workouts!$C:$C,MATCH(INDEX('Ride Log'!$C:$C,MATCH(B18,'Ride Log'!$A:$A,0)),Workouts!$A:$A,0)),0),_xlfn.IFNA(INDEX(Workouts!$C:$C,MATCH(INDEX('Ride Log'!$C:$C,MATCH(C18,'Ride Log'!$A:$A,0)),Workouts!$A:$A,0)),0),
_xlfn.IFNA(INDEX(Workouts!$C:$C,MATCH(INDEX('Ride Log'!$C:$C,MATCH(D18,'Ride Log'!$A:$A,0)),Workouts!$A:$A,0)),0),_xlfn.IFNA(INDEX(Workouts!$C:$C,MATCH(INDEX('Ride Log'!$C:$C,MATCH(E18,'Ride Log'!$A:$A,0)),Workouts!$A:$A,0)),0),
_xlfn.IFNA(INDEX(Workouts!$C:$C,MATCH(INDEX('Ride Log'!$C:$C,MATCH(F18,'Ride Log'!$A:$A,0)),Workouts!$A:$A,0)),0),_xlfn.IFNA(INDEX(Workouts!$C:$C,MATCH(INDEX('Ride Log'!$C:$C,MATCH(G18,'Ride Log'!$A:$A,0)),Workouts!$A:$A,0)),0),
_xlfn.IFNA(INDEX(Workouts!$C:$C,MATCH(INDEX('Ride Log'!$C:$C,MATCH(H18,'Ride Log'!$A:$A,0)),Workouts!$A:$A,0)),0))&amp;" TSS"</f>
        <v>Week 9
0 TSS</v>
      </c>
    </row>
    <row r="20" spans="1:9" ht="12.75" customHeight="1" x14ac:dyDescent="0.2">
      <c r="A20" s="105">
        <f>IF(DAY(H20)&lt;8,H20,"")</f>
        <v>44262</v>
      </c>
      <c r="B20" s="103">
        <f>H18+1</f>
        <v>44256</v>
      </c>
      <c r="C20" s="103">
        <f>B20+1</f>
        <v>44257</v>
      </c>
      <c r="D20" s="103">
        <f t="shared" ref="D20:H20" si="9">C20+1</f>
        <v>44258</v>
      </c>
      <c r="E20" s="103">
        <f t="shared" si="9"/>
        <v>44259</v>
      </c>
      <c r="F20" s="103">
        <f t="shared" si="9"/>
        <v>44260</v>
      </c>
      <c r="G20" s="103">
        <f t="shared" si="9"/>
        <v>44261</v>
      </c>
      <c r="H20" s="103">
        <f t="shared" si="9"/>
        <v>44262</v>
      </c>
    </row>
    <row r="21" spans="1:9" ht="65.099999999999994" customHeight="1" x14ac:dyDescent="0.2">
      <c r="A21" s="106"/>
      <c r="B21" s="101" t="str">
        <f>INDEX('Calendar Flat'!$B:$B,MATCH(B20,'Calendar Flat'!$A:$A,0))</f>
        <v/>
      </c>
      <c r="C21" s="101" t="str">
        <f>INDEX('Calendar Flat'!$B:$B,MATCH(C20,'Calendar Flat'!$A:$A,0))</f>
        <v/>
      </c>
      <c r="D21" s="101" t="str">
        <f>INDEX('Calendar Flat'!$B:$B,MATCH(D20,'Calendar Flat'!$A:$A,0))</f>
        <v/>
      </c>
      <c r="E21" s="101" t="str">
        <f>INDEX('Calendar Flat'!$B:$B,MATCH(E20,'Calendar Flat'!$A:$A,0))</f>
        <v/>
      </c>
      <c r="F21" s="101" t="str">
        <f>INDEX('Calendar Flat'!$B:$B,MATCH(F20,'Calendar Flat'!$A:$A,0))</f>
        <v/>
      </c>
      <c r="G21" s="101" t="str">
        <f>INDEX('Calendar Flat'!$B:$B,MATCH(G20,'Calendar Flat'!$A:$A,0))</f>
        <v/>
      </c>
      <c r="H21" s="101" t="str">
        <f>INDEX('Calendar Flat'!$B:$B,MATCH(H20,'Calendar Flat'!$A:$A,0))</f>
        <v/>
      </c>
      <c r="I21" s="97" t="str">
        <f>"Week "&amp;WEEKNUM(G20)
&amp;CHAR(10)&amp;SUM(_xlfn.IFNA(INDEX(Workouts!$C:$C,MATCH(INDEX('Ride Log'!$C:$C,MATCH(B20,'Ride Log'!$A:$A,0)),Workouts!$A:$A,0)),0),_xlfn.IFNA(INDEX(Workouts!$C:$C,MATCH(INDEX('Ride Log'!$C:$C,MATCH(C20,'Ride Log'!$A:$A,0)),Workouts!$A:$A,0)),0),
_xlfn.IFNA(INDEX(Workouts!$C:$C,MATCH(INDEX('Ride Log'!$C:$C,MATCH(D20,'Ride Log'!$A:$A,0)),Workouts!$A:$A,0)),0),_xlfn.IFNA(INDEX(Workouts!$C:$C,MATCH(INDEX('Ride Log'!$C:$C,MATCH(E20,'Ride Log'!$A:$A,0)),Workouts!$A:$A,0)),0),
_xlfn.IFNA(INDEX(Workouts!$C:$C,MATCH(INDEX('Ride Log'!$C:$C,MATCH(F20,'Ride Log'!$A:$A,0)),Workouts!$A:$A,0)),0),_xlfn.IFNA(INDEX(Workouts!$C:$C,MATCH(INDEX('Ride Log'!$C:$C,MATCH(G20,'Ride Log'!$A:$A,0)),Workouts!$A:$A,0)),0),
_xlfn.IFNA(INDEX(Workouts!$C:$C,MATCH(INDEX('Ride Log'!$C:$C,MATCH(H20,'Ride Log'!$A:$A,0)),Workouts!$A:$A,0)),0))&amp;" TSS"</f>
        <v>Week 10
0 TSS</v>
      </c>
    </row>
    <row r="22" spans="1:9" ht="12.75" customHeight="1" x14ac:dyDescent="0.2">
      <c r="A22" s="105" t="str">
        <f>IF(DAY(H22)&lt;8,H22,"")</f>
        <v/>
      </c>
      <c r="B22" s="103">
        <f>H20+1</f>
        <v>44263</v>
      </c>
      <c r="C22" s="103">
        <f>B22+1</f>
        <v>44264</v>
      </c>
      <c r="D22" s="103">
        <f t="shared" ref="D22:H22" si="10">C22+1</f>
        <v>44265</v>
      </c>
      <c r="E22" s="103">
        <f t="shared" si="10"/>
        <v>44266</v>
      </c>
      <c r="F22" s="103">
        <f t="shared" si="10"/>
        <v>44267</v>
      </c>
      <c r="G22" s="103">
        <f t="shared" si="10"/>
        <v>44268</v>
      </c>
      <c r="H22" s="103">
        <f t="shared" si="10"/>
        <v>44269</v>
      </c>
    </row>
    <row r="23" spans="1:9" ht="65.099999999999994" customHeight="1" x14ac:dyDescent="0.2">
      <c r="A23" s="106"/>
      <c r="B23" s="101" t="str">
        <f>INDEX('Calendar Flat'!$B:$B,MATCH(B22,'Calendar Flat'!$A:$A,0))</f>
        <v/>
      </c>
      <c r="C23" s="101" t="str">
        <f>INDEX('Calendar Flat'!$B:$B,MATCH(C22,'Calendar Flat'!$A:$A,0))</f>
        <v/>
      </c>
      <c r="D23" s="101" t="str">
        <f>INDEX('Calendar Flat'!$B:$B,MATCH(D22,'Calendar Flat'!$A:$A,0))</f>
        <v/>
      </c>
      <c r="E23" s="101" t="str">
        <f>INDEX('Calendar Flat'!$B:$B,MATCH(E22,'Calendar Flat'!$A:$A,0))</f>
        <v/>
      </c>
      <c r="F23" s="101" t="str">
        <f>INDEX('Calendar Flat'!$B:$B,MATCH(F22,'Calendar Flat'!$A:$A,0))</f>
        <v/>
      </c>
      <c r="G23" s="101" t="str">
        <f>INDEX('Calendar Flat'!$B:$B,MATCH(G22,'Calendar Flat'!$A:$A,0))</f>
        <v/>
      </c>
      <c r="H23" s="101" t="str">
        <f>INDEX('Calendar Flat'!$B:$B,MATCH(H22,'Calendar Flat'!$A:$A,0))</f>
        <v/>
      </c>
      <c r="I23" s="97" t="str">
        <f>"Week "&amp;WEEKNUM(G22)
&amp;CHAR(10)&amp;SUM(_xlfn.IFNA(INDEX(Workouts!$C:$C,MATCH(INDEX('Ride Log'!$C:$C,MATCH(B22,'Ride Log'!$A:$A,0)),Workouts!$A:$A,0)),0),_xlfn.IFNA(INDEX(Workouts!$C:$C,MATCH(INDEX('Ride Log'!$C:$C,MATCH(C22,'Ride Log'!$A:$A,0)),Workouts!$A:$A,0)),0),
_xlfn.IFNA(INDEX(Workouts!$C:$C,MATCH(INDEX('Ride Log'!$C:$C,MATCH(D22,'Ride Log'!$A:$A,0)),Workouts!$A:$A,0)),0),_xlfn.IFNA(INDEX(Workouts!$C:$C,MATCH(INDEX('Ride Log'!$C:$C,MATCH(E22,'Ride Log'!$A:$A,0)),Workouts!$A:$A,0)),0),
_xlfn.IFNA(INDEX(Workouts!$C:$C,MATCH(INDEX('Ride Log'!$C:$C,MATCH(F22,'Ride Log'!$A:$A,0)),Workouts!$A:$A,0)),0),_xlfn.IFNA(INDEX(Workouts!$C:$C,MATCH(INDEX('Ride Log'!$C:$C,MATCH(G22,'Ride Log'!$A:$A,0)),Workouts!$A:$A,0)),0),
_xlfn.IFNA(INDEX(Workouts!$C:$C,MATCH(INDEX('Ride Log'!$C:$C,MATCH(H22,'Ride Log'!$A:$A,0)),Workouts!$A:$A,0)),0))&amp;" TSS"</f>
        <v>Week 11
0 TSS</v>
      </c>
    </row>
    <row r="24" spans="1:9" ht="12.75" customHeight="1" x14ac:dyDescent="0.2">
      <c r="A24" s="105" t="str">
        <f>IF(DAY(H24)&lt;8,H24,"")</f>
        <v/>
      </c>
      <c r="B24" s="103">
        <f>H22+1</f>
        <v>44270</v>
      </c>
      <c r="C24" s="103">
        <f>B24+1</f>
        <v>44271</v>
      </c>
      <c r="D24" s="103">
        <f t="shared" ref="D24:H24" si="11">C24+1</f>
        <v>44272</v>
      </c>
      <c r="E24" s="103">
        <f t="shared" si="11"/>
        <v>44273</v>
      </c>
      <c r="F24" s="103">
        <f t="shared" si="11"/>
        <v>44274</v>
      </c>
      <c r="G24" s="103">
        <f t="shared" si="11"/>
        <v>44275</v>
      </c>
      <c r="H24" s="103">
        <f t="shared" si="11"/>
        <v>44276</v>
      </c>
    </row>
    <row r="25" spans="1:9" ht="65.099999999999994" customHeight="1" x14ac:dyDescent="0.2">
      <c r="A25" s="106"/>
      <c r="B25" s="101" t="str">
        <f>INDEX('Calendar Flat'!$B:$B,MATCH(B24,'Calendar Flat'!$A:$A,0))</f>
        <v/>
      </c>
      <c r="C25" s="101" t="str">
        <f>INDEX('Calendar Flat'!$B:$B,MATCH(C24,'Calendar Flat'!$A:$A,0))</f>
        <v/>
      </c>
      <c r="D25" s="101" t="str">
        <f>INDEX('Calendar Flat'!$B:$B,MATCH(D24,'Calendar Flat'!$A:$A,0))</f>
        <v/>
      </c>
      <c r="E25" s="101" t="str">
        <f>INDEX('Calendar Flat'!$B:$B,MATCH(E24,'Calendar Flat'!$A:$A,0))</f>
        <v/>
      </c>
      <c r="F25" s="101" t="str">
        <f>INDEX('Calendar Flat'!$B:$B,MATCH(F24,'Calendar Flat'!$A:$A,0))</f>
        <v/>
      </c>
      <c r="G25" s="101" t="str">
        <f>INDEX('Calendar Flat'!$B:$B,MATCH(G24,'Calendar Flat'!$A:$A,0))</f>
        <v/>
      </c>
      <c r="H25" s="101" t="str">
        <f>INDEX('Calendar Flat'!$B:$B,MATCH(H24,'Calendar Flat'!$A:$A,0))</f>
        <v/>
      </c>
      <c r="I25" s="97" t="str">
        <f>"Week "&amp;WEEKNUM(G24)
&amp;CHAR(10)&amp;SUM(_xlfn.IFNA(INDEX(Workouts!$C:$C,MATCH(INDEX('Ride Log'!$C:$C,MATCH(B24,'Ride Log'!$A:$A,0)),Workouts!$A:$A,0)),0),_xlfn.IFNA(INDEX(Workouts!$C:$C,MATCH(INDEX('Ride Log'!$C:$C,MATCH(C24,'Ride Log'!$A:$A,0)),Workouts!$A:$A,0)),0),
_xlfn.IFNA(INDEX(Workouts!$C:$C,MATCH(INDEX('Ride Log'!$C:$C,MATCH(D24,'Ride Log'!$A:$A,0)),Workouts!$A:$A,0)),0),_xlfn.IFNA(INDEX(Workouts!$C:$C,MATCH(INDEX('Ride Log'!$C:$C,MATCH(E24,'Ride Log'!$A:$A,0)),Workouts!$A:$A,0)),0),
_xlfn.IFNA(INDEX(Workouts!$C:$C,MATCH(INDEX('Ride Log'!$C:$C,MATCH(F24,'Ride Log'!$A:$A,0)),Workouts!$A:$A,0)),0),_xlfn.IFNA(INDEX(Workouts!$C:$C,MATCH(INDEX('Ride Log'!$C:$C,MATCH(G24,'Ride Log'!$A:$A,0)),Workouts!$A:$A,0)),0),
_xlfn.IFNA(INDEX(Workouts!$C:$C,MATCH(INDEX('Ride Log'!$C:$C,MATCH(H24,'Ride Log'!$A:$A,0)),Workouts!$A:$A,0)),0))&amp;" TSS"</f>
        <v>Week 12
0 TSS</v>
      </c>
    </row>
    <row r="26" spans="1:9" ht="12.75" customHeight="1" x14ac:dyDescent="0.2">
      <c r="A26" s="105" t="str">
        <f>IF(DAY(H26)&lt;8,H26,"")</f>
        <v/>
      </c>
      <c r="B26" s="103">
        <f>H24+1</f>
        <v>44277</v>
      </c>
      <c r="C26" s="103">
        <f>B26+1</f>
        <v>44278</v>
      </c>
      <c r="D26" s="103">
        <f t="shared" ref="D26:H26" si="12">C26+1</f>
        <v>44279</v>
      </c>
      <c r="E26" s="103">
        <f t="shared" si="12"/>
        <v>44280</v>
      </c>
      <c r="F26" s="103">
        <f t="shared" si="12"/>
        <v>44281</v>
      </c>
      <c r="G26" s="103">
        <f t="shared" si="12"/>
        <v>44282</v>
      </c>
      <c r="H26" s="103">
        <f t="shared" si="12"/>
        <v>44283</v>
      </c>
    </row>
    <row r="27" spans="1:9" ht="65.099999999999994" customHeight="1" x14ac:dyDescent="0.2">
      <c r="A27" s="106"/>
      <c r="B27" s="101" t="str">
        <f>INDEX('Calendar Flat'!$B:$B,MATCH(B26,'Calendar Flat'!$A:$A,0))</f>
        <v/>
      </c>
      <c r="C27" s="101" t="str">
        <f>INDEX('Calendar Flat'!$B:$B,MATCH(C26,'Calendar Flat'!$A:$A,0))</f>
        <v/>
      </c>
      <c r="D27" s="101" t="str">
        <f>INDEX('Calendar Flat'!$B:$B,MATCH(D26,'Calendar Flat'!$A:$A,0))</f>
        <v/>
      </c>
      <c r="E27" s="101" t="str">
        <f>INDEX('Calendar Flat'!$B:$B,MATCH(E26,'Calendar Flat'!$A:$A,0))</f>
        <v/>
      </c>
      <c r="F27" s="101" t="str">
        <f>INDEX('Calendar Flat'!$B:$B,MATCH(F26,'Calendar Flat'!$A:$A,0))</f>
        <v/>
      </c>
      <c r="G27" s="101" t="str">
        <f>INDEX('Calendar Flat'!$B:$B,MATCH(G26,'Calendar Flat'!$A:$A,0))</f>
        <v/>
      </c>
      <c r="H27" s="101" t="str">
        <f>INDEX('Calendar Flat'!$B:$B,MATCH(H26,'Calendar Flat'!$A:$A,0))</f>
        <v/>
      </c>
      <c r="I27" s="97" t="str">
        <f>"Week "&amp;WEEKNUM(G26)
&amp;CHAR(10)&amp;SUM(_xlfn.IFNA(INDEX(Workouts!$C:$C,MATCH(INDEX('Ride Log'!$C:$C,MATCH(B26,'Ride Log'!$A:$A,0)),Workouts!$A:$A,0)),0),_xlfn.IFNA(INDEX(Workouts!$C:$C,MATCH(INDEX('Ride Log'!$C:$C,MATCH(C26,'Ride Log'!$A:$A,0)),Workouts!$A:$A,0)),0),
_xlfn.IFNA(INDEX(Workouts!$C:$C,MATCH(INDEX('Ride Log'!$C:$C,MATCH(D26,'Ride Log'!$A:$A,0)),Workouts!$A:$A,0)),0),_xlfn.IFNA(INDEX(Workouts!$C:$C,MATCH(INDEX('Ride Log'!$C:$C,MATCH(E26,'Ride Log'!$A:$A,0)),Workouts!$A:$A,0)),0),
_xlfn.IFNA(INDEX(Workouts!$C:$C,MATCH(INDEX('Ride Log'!$C:$C,MATCH(F26,'Ride Log'!$A:$A,0)),Workouts!$A:$A,0)),0),_xlfn.IFNA(INDEX(Workouts!$C:$C,MATCH(INDEX('Ride Log'!$C:$C,MATCH(G26,'Ride Log'!$A:$A,0)),Workouts!$A:$A,0)),0),
_xlfn.IFNA(INDEX(Workouts!$C:$C,MATCH(INDEX('Ride Log'!$C:$C,MATCH(H26,'Ride Log'!$A:$A,0)),Workouts!$A:$A,0)),0))&amp;" TSS"</f>
        <v>Week 13
0 TSS</v>
      </c>
    </row>
    <row r="28" spans="1:9" ht="12.75" customHeight="1" x14ac:dyDescent="0.2">
      <c r="A28" s="105">
        <f>IF(DAY(H28)&lt;8,H28,"")</f>
        <v>44290</v>
      </c>
      <c r="B28" s="103">
        <f>H26+1</f>
        <v>44284</v>
      </c>
      <c r="C28" s="103">
        <f>B28+1</f>
        <v>44285</v>
      </c>
      <c r="D28" s="103">
        <f t="shared" ref="D28:H28" si="13">C28+1</f>
        <v>44286</v>
      </c>
      <c r="E28" s="103">
        <f t="shared" si="13"/>
        <v>44287</v>
      </c>
      <c r="F28" s="103">
        <f t="shared" si="13"/>
        <v>44288</v>
      </c>
      <c r="G28" s="103">
        <f t="shared" si="13"/>
        <v>44289</v>
      </c>
      <c r="H28" s="103">
        <f t="shared" si="13"/>
        <v>44290</v>
      </c>
    </row>
    <row r="29" spans="1:9" ht="65.099999999999994" customHeight="1" x14ac:dyDescent="0.2">
      <c r="A29" s="106"/>
      <c r="B29" s="101" t="str">
        <f>INDEX('Calendar Flat'!$B:$B,MATCH(B28,'Calendar Flat'!$A:$A,0))</f>
        <v/>
      </c>
      <c r="C29" s="101" t="str">
        <f>INDEX('Calendar Flat'!$B:$B,MATCH(C28,'Calendar Flat'!$A:$A,0))</f>
        <v/>
      </c>
      <c r="D29" s="101" t="str">
        <f>INDEX('Calendar Flat'!$B:$B,MATCH(D28,'Calendar Flat'!$A:$A,0))</f>
        <v/>
      </c>
      <c r="E29" s="101" t="str">
        <f>INDEX('Calendar Flat'!$B:$B,MATCH(E28,'Calendar Flat'!$A:$A,0))</f>
        <v/>
      </c>
      <c r="F29" s="101" t="str">
        <f>INDEX('Calendar Flat'!$B:$B,MATCH(F28,'Calendar Flat'!$A:$A,0))</f>
        <v/>
      </c>
      <c r="G29" s="101" t="str">
        <f>INDEX('Calendar Flat'!$B:$B,MATCH(G28,'Calendar Flat'!$A:$A,0))</f>
        <v/>
      </c>
      <c r="H29" s="101" t="str">
        <f>INDEX('Calendar Flat'!$B:$B,MATCH(H28,'Calendar Flat'!$A:$A,0))</f>
        <v/>
      </c>
      <c r="I29" s="97" t="str">
        <f>"Week "&amp;WEEKNUM(G28)
&amp;CHAR(10)&amp;SUM(_xlfn.IFNA(INDEX(Workouts!$C:$C,MATCH(INDEX('Ride Log'!$C:$C,MATCH(B28,'Ride Log'!$A:$A,0)),Workouts!$A:$A,0)),0),_xlfn.IFNA(INDEX(Workouts!$C:$C,MATCH(INDEX('Ride Log'!$C:$C,MATCH(C28,'Ride Log'!$A:$A,0)),Workouts!$A:$A,0)),0),
_xlfn.IFNA(INDEX(Workouts!$C:$C,MATCH(INDEX('Ride Log'!$C:$C,MATCH(D28,'Ride Log'!$A:$A,0)),Workouts!$A:$A,0)),0),_xlfn.IFNA(INDEX(Workouts!$C:$C,MATCH(INDEX('Ride Log'!$C:$C,MATCH(E28,'Ride Log'!$A:$A,0)),Workouts!$A:$A,0)),0),
_xlfn.IFNA(INDEX(Workouts!$C:$C,MATCH(INDEX('Ride Log'!$C:$C,MATCH(F28,'Ride Log'!$A:$A,0)),Workouts!$A:$A,0)),0),_xlfn.IFNA(INDEX(Workouts!$C:$C,MATCH(INDEX('Ride Log'!$C:$C,MATCH(G28,'Ride Log'!$A:$A,0)),Workouts!$A:$A,0)),0),
_xlfn.IFNA(INDEX(Workouts!$C:$C,MATCH(INDEX('Ride Log'!$C:$C,MATCH(H28,'Ride Log'!$A:$A,0)),Workouts!$A:$A,0)),0))&amp;" TSS"</f>
        <v>Week 14
0 TSS</v>
      </c>
    </row>
    <row r="30" spans="1:9" ht="12.75" customHeight="1" x14ac:dyDescent="0.2">
      <c r="A30" s="105" t="str">
        <f>IF(DAY(H30)&lt;8,H30,"")</f>
        <v/>
      </c>
      <c r="B30" s="103">
        <f>H28+1</f>
        <v>44291</v>
      </c>
      <c r="C30" s="103">
        <f>B30+1</f>
        <v>44292</v>
      </c>
      <c r="D30" s="103">
        <f t="shared" ref="D30:H30" si="14">C30+1</f>
        <v>44293</v>
      </c>
      <c r="E30" s="103">
        <f t="shared" si="14"/>
        <v>44294</v>
      </c>
      <c r="F30" s="103">
        <f t="shared" si="14"/>
        <v>44295</v>
      </c>
      <c r="G30" s="103">
        <f t="shared" si="14"/>
        <v>44296</v>
      </c>
      <c r="H30" s="103">
        <f t="shared" si="14"/>
        <v>44297</v>
      </c>
    </row>
    <row r="31" spans="1:9" ht="65.099999999999994" customHeight="1" x14ac:dyDescent="0.2">
      <c r="A31" s="106"/>
      <c r="B31" s="101" t="str">
        <f>INDEX('Calendar Flat'!$B:$B,MATCH(B30,'Calendar Flat'!$A:$A,0))</f>
        <v/>
      </c>
      <c r="C31" s="101" t="str">
        <f>INDEX('Calendar Flat'!$B:$B,MATCH(C30,'Calendar Flat'!$A:$A,0))</f>
        <v/>
      </c>
      <c r="D31" s="101" t="str">
        <f>INDEX('Calendar Flat'!$B:$B,MATCH(D30,'Calendar Flat'!$A:$A,0))</f>
        <v/>
      </c>
      <c r="E31" s="101" t="str">
        <f>INDEX('Calendar Flat'!$B:$B,MATCH(E30,'Calendar Flat'!$A:$A,0))</f>
        <v/>
      </c>
      <c r="F31" s="101" t="str">
        <f>INDEX('Calendar Flat'!$B:$B,MATCH(F30,'Calendar Flat'!$A:$A,0))</f>
        <v/>
      </c>
      <c r="G31" s="101" t="str">
        <f>INDEX('Calendar Flat'!$B:$B,MATCH(G30,'Calendar Flat'!$A:$A,0))</f>
        <v/>
      </c>
      <c r="H31" s="101" t="str">
        <f>INDEX('Calendar Flat'!$B:$B,MATCH(H30,'Calendar Flat'!$A:$A,0))</f>
        <v/>
      </c>
      <c r="I31" s="97" t="str">
        <f>"Week "&amp;WEEKNUM(G30)
&amp;CHAR(10)&amp;SUM(_xlfn.IFNA(INDEX(Workouts!$C:$C,MATCH(INDEX('Ride Log'!$C:$C,MATCH(B30,'Ride Log'!$A:$A,0)),Workouts!$A:$A,0)),0),_xlfn.IFNA(INDEX(Workouts!$C:$C,MATCH(INDEX('Ride Log'!$C:$C,MATCH(C30,'Ride Log'!$A:$A,0)),Workouts!$A:$A,0)),0),
_xlfn.IFNA(INDEX(Workouts!$C:$C,MATCH(INDEX('Ride Log'!$C:$C,MATCH(D30,'Ride Log'!$A:$A,0)),Workouts!$A:$A,0)),0),_xlfn.IFNA(INDEX(Workouts!$C:$C,MATCH(INDEX('Ride Log'!$C:$C,MATCH(E30,'Ride Log'!$A:$A,0)),Workouts!$A:$A,0)),0),
_xlfn.IFNA(INDEX(Workouts!$C:$C,MATCH(INDEX('Ride Log'!$C:$C,MATCH(F30,'Ride Log'!$A:$A,0)),Workouts!$A:$A,0)),0),_xlfn.IFNA(INDEX(Workouts!$C:$C,MATCH(INDEX('Ride Log'!$C:$C,MATCH(G30,'Ride Log'!$A:$A,0)),Workouts!$A:$A,0)),0),
_xlfn.IFNA(INDEX(Workouts!$C:$C,MATCH(INDEX('Ride Log'!$C:$C,MATCH(H30,'Ride Log'!$A:$A,0)),Workouts!$A:$A,0)),0))&amp;" TSS"</f>
        <v>Week 15
0 TSS</v>
      </c>
    </row>
    <row r="32" spans="1:9" ht="12.75" customHeight="1" x14ac:dyDescent="0.2">
      <c r="A32" s="105" t="str">
        <f>IF(DAY(H32)&lt;8,H32,"")</f>
        <v/>
      </c>
      <c r="B32" s="103">
        <f>H30+1</f>
        <v>44298</v>
      </c>
      <c r="C32" s="103">
        <f>B32+1</f>
        <v>44299</v>
      </c>
      <c r="D32" s="103">
        <f t="shared" ref="D32:H32" si="15">C32+1</f>
        <v>44300</v>
      </c>
      <c r="E32" s="103">
        <f t="shared" si="15"/>
        <v>44301</v>
      </c>
      <c r="F32" s="103">
        <f t="shared" si="15"/>
        <v>44302</v>
      </c>
      <c r="G32" s="103">
        <f t="shared" si="15"/>
        <v>44303</v>
      </c>
      <c r="H32" s="103">
        <f t="shared" si="15"/>
        <v>44304</v>
      </c>
    </row>
    <row r="33" spans="1:9" ht="65.099999999999994" customHeight="1" x14ac:dyDescent="0.2">
      <c r="A33" s="106"/>
      <c r="B33" s="101" t="str">
        <f>INDEX('Calendar Flat'!$B:$B,MATCH(B32,'Calendar Flat'!$A:$A,0))</f>
        <v/>
      </c>
      <c r="C33" s="101" t="str">
        <f>INDEX('Calendar Flat'!$B:$B,MATCH(C32,'Calendar Flat'!$A:$A,0))</f>
        <v/>
      </c>
      <c r="D33" s="101" t="str">
        <f>INDEX('Calendar Flat'!$B:$B,MATCH(D32,'Calendar Flat'!$A:$A,0))</f>
        <v/>
      </c>
      <c r="E33" s="101" t="str">
        <f>INDEX('Calendar Flat'!$B:$B,MATCH(E32,'Calendar Flat'!$A:$A,0))</f>
        <v/>
      </c>
      <c r="F33" s="101" t="str">
        <f>INDEX('Calendar Flat'!$B:$B,MATCH(F32,'Calendar Flat'!$A:$A,0))</f>
        <v/>
      </c>
      <c r="G33" s="101" t="str">
        <f>INDEX('Calendar Flat'!$B:$B,MATCH(G32,'Calendar Flat'!$A:$A,0))</f>
        <v/>
      </c>
      <c r="H33" s="101" t="str">
        <f>INDEX('Calendar Flat'!$B:$B,MATCH(H32,'Calendar Flat'!$A:$A,0))</f>
        <v/>
      </c>
      <c r="I33" s="97" t="str">
        <f>"Week "&amp;WEEKNUM(G32)
&amp;CHAR(10)&amp;SUM(_xlfn.IFNA(INDEX(Workouts!$C:$C,MATCH(INDEX('Ride Log'!$C:$C,MATCH(B32,'Ride Log'!$A:$A,0)),Workouts!$A:$A,0)),0),_xlfn.IFNA(INDEX(Workouts!$C:$C,MATCH(INDEX('Ride Log'!$C:$C,MATCH(C32,'Ride Log'!$A:$A,0)),Workouts!$A:$A,0)),0),
_xlfn.IFNA(INDEX(Workouts!$C:$C,MATCH(INDEX('Ride Log'!$C:$C,MATCH(D32,'Ride Log'!$A:$A,0)),Workouts!$A:$A,0)),0),_xlfn.IFNA(INDEX(Workouts!$C:$C,MATCH(INDEX('Ride Log'!$C:$C,MATCH(E32,'Ride Log'!$A:$A,0)),Workouts!$A:$A,0)),0),
_xlfn.IFNA(INDEX(Workouts!$C:$C,MATCH(INDEX('Ride Log'!$C:$C,MATCH(F32,'Ride Log'!$A:$A,0)),Workouts!$A:$A,0)),0),_xlfn.IFNA(INDEX(Workouts!$C:$C,MATCH(INDEX('Ride Log'!$C:$C,MATCH(G32,'Ride Log'!$A:$A,0)),Workouts!$A:$A,0)),0),
_xlfn.IFNA(INDEX(Workouts!$C:$C,MATCH(INDEX('Ride Log'!$C:$C,MATCH(H32,'Ride Log'!$A:$A,0)),Workouts!$A:$A,0)),0))&amp;" TSS"</f>
        <v>Week 16
0 TSS</v>
      </c>
    </row>
    <row r="34" spans="1:9" ht="12.75" customHeight="1" x14ac:dyDescent="0.2">
      <c r="A34" s="105" t="str">
        <f>IF(DAY(H34)&lt;8,H34,"")</f>
        <v/>
      </c>
      <c r="B34" s="103">
        <f>H32+1</f>
        <v>44305</v>
      </c>
      <c r="C34" s="103">
        <f>B34+1</f>
        <v>44306</v>
      </c>
      <c r="D34" s="103">
        <f t="shared" ref="D34:H34" si="16">C34+1</f>
        <v>44307</v>
      </c>
      <c r="E34" s="103">
        <f t="shared" si="16"/>
        <v>44308</v>
      </c>
      <c r="F34" s="103">
        <f t="shared" si="16"/>
        <v>44309</v>
      </c>
      <c r="G34" s="103">
        <f t="shared" si="16"/>
        <v>44310</v>
      </c>
      <c r="H34" s="103">
        <f t="shared" si="16"/>
        <v>44311</v>
      </c>
    </row>
    <row r="35" spans="1:9" ht="65.099999999999994" customHeight="1" x14ac:dyDescent="0.2">
      <c r="A35" s="106"/>
      <c r="B35" s="101" t="str">
        <f>INDEX('Calendar Flat'!$B:$B,MATCH(B34,'Calendar Flat'!$A:$A,0))</f>
        <v/>
      </c>
      <c r="C35" s="101" t="str">
        <f>INDEX('Calendar Flat'!$B:$B,MATCH(C34,'Calendar Flat'!$A:$A,0))</f>
        <v/>
      </c>
      <c r="D35" s="101" t="str">
        <f>INDEX('Calendar Flat'!$B:$B,MATCH(D34,'Calendar Flat'!$A:$A,0))</f>
        <v/>
      </c>
      <c r="E35" s="101" t="str">
        <f>INDEX('Calendar Flat'!$B:$B,MATCH(E34,'Calendar Flat'!$A:$A,0))</f>
        <v/>
      </c>
      <c r="F35" s="101" t="str">
        <f>INDEX('Calendar Flat'!$B:$B,MATCH(F34,'Calendar Flat'!$A:$A,0))</f>
        <v/>
      </c>
      <c r="G35" s="101" t="str">
        <f>INDEX('Calendar Flat'!$B:$B,MATCH(G34,'Calendar Flat'!$A:$A,0))</f>
        <v/>
      </c>
      <c r="H35" s="101" t="str">
        <f>INDEX('Calendar Flat'!$B:$B,MATCH(H34,'Calendar Flat'!$A:$A,0))</f>
        <v/>
      </c>
      <c r="I35" s="97" t="str">
        <f>"Week "&amp;WEEKNUM(G34)
&amp;CHAR(10)&amp;SUM(_xlfn.IFNA(INDEX(Workouts!$C:$C,MATCH(INDEX('Ride Log'!$C:$C,MATCH(B34,'Ride Log'!$A:$A,0)),Workouts!$A:$A,0)),0),_xlfn.IFNA(INDEX(Workouts!$C:$C,MATCH(INDEX('Ride Log'!$C:$C,MATCH(C34,'Ride Log'!$A:$A,0)),Workouts!$A:$A,0)),0),
_xlfn.IFNA(INDEX(Workouts!$C:$C,MATCH(INDEX('Ride Log'!$C:$C,MATCH(D34,'Ride Log'!$A:$A,0)),Workouts!$A:$A,0)),0),_xlfn.IFNA(INDEX(Workouts!$C:$C,MATCH(INDEX('Ride Log'!$C:$C,MATCH(E34,'Ride Log'!$A:$A,0)),Workouts!$A:$A,0)),0),
_xlfn.IFNA(INDEX(Workouts!$C:$C,MATCH(INDEX('Ride Log'!$C:$C,MATCH(F34,'Ride Log'!$A:$A,0)),Workouts!$A:$A,0)),0),_xlfn.IFNA(INDEX(Workouts!$C:$C,MATCH(INDEX('Ride Log'!$C:$C,MATCH(G34,'Ride Log'!$A:$A,0)),Workouts!$A:$A,0)),0),
_xlfn.IFNA(INDEX(Workouts!$C:$C,MATCH(INDEX('Ride Log'!$C:$C,MATCH(H34,'Ride Log'!$A:$A,0)),Workouts!$A:$A,0)),0))&amp;" TSS"</f>
        <v>Week 17
0 TSS</v>
      </c>
    </row>
    <row r="36" spans="1:9" ht="12.75" customHeight="1" x14ac:dyDescent="0.2">
      <c r="A36" s="105">
        <f>IF(DAY(H36)&lt;8,H36,"")</f>
        <v>44318</v>
      </c>
      <c r="B36" s="103">
        <f>H34+1</f>
        <v>44312</v>
      </c>
      <c r="C36" s="103">
        <f>B36+1</f>
        <v>44313</v>
      </c>
      <c r="D36" s="103">
        <f t="shared" ref="D36:H36" si="17">C36+1</f>
        <v>44314</v>
      </c>
      <c r="E36" s="103">
        <f t="shared" si="17"/>
        <v>44315</v>
      </c>
      <c r="F36" s="103">
        <f t="shared" si="17"/>
        <v>44316</v>
      </c>
      <c r="G36" s="103">
        <f t="shared" si="17"/>
        <v>44317</v>
      </c>
      <c r="H36" s="103">
        <f t="shared" si="17"/>
        <v>44318</v>
      </c>
    </row>
    <row r="37" spans="1:9" ht="65.099999999999994" customHeight="1" x14ac:dyDescent="0.2">
      <c r="A37" s="106"/>
      <c r="B37" s="101" t="str">
        <f>INDEX('Calendar Flat'!$B:$B,MATCH(B36,'Calendar Flat'!$A:$A,0))</f>
        <v/>
      </c>
      <c r="C37" s="101" t="str">
        <f>INDEX('Calendar Flat'!$B:$B,MATCH(C36,'Calendar Flat'!$A:$A,0))</f>
        <v/>
      </c>
      <c r="D37" s="101" t="str">
        <f>INDEX('Calendar Flat'!$B:$B,MATCH(D36,'Calendar Flat'!$A:$A,0))</f>
        <v/>
      </c>
      <c r="E37" s="101" t="str">
        <f>INDEX('Calendar Flat'!$B:$B,MATCH(E36,'Calendar Flat'!$A:$A,0))</f>
        <v/>
      </c>
      <c r="F37" s="101" t="str">
        <f>INDEX('Calendar Flat'!$B:$B,MATCH(F36,'Calendar Flat'!$A:$A,0))</f>
        <v/>
      </c>
      <c r="G37" s="101" t="str">
        <f>INDEX('Calendar Flat'!$B:$B,MATCH(G36,'Calendar Flat'!$A:$A,0))</f>
        <v/>
      </c>
      <c r="H37" s="101" t="str">
        <f>INDEX('Calendar Flat'!$B:$B,MATCH(H36,'Calendar Flat'!$A:$A,0))</f>
        <v/>
      </c>
      <c r="I37" s="97" t="str">
        <f>"Week "&amp;WEEKNUM(G36)
&amp;CHAR(10)&amp;SUM(_xlfn.IFNA(INDEX(Workouts!$C:$C,MATCH(INDEX('Ride Log'!$C:$C,MATCH(B36,'Ride Log'!$A:$A,0)),Workouts!$A:$A,0)),0),_xlfn.IFNA(INDEX(Workouts!$C:$C,MATCH(INDEX('Ride Log'!$C:$C,MATCH(C36,'Ride Log'!$A:$A,0)),Workouts!$A:$A,0)),0),
_xlfn.IFNA(INDEX(Workouts!$C:$C,MATCH(INDEX('Ride Log'!$C:$C,MATCH(D36,'Ride Log'!$A:$A,0)),Workouts!$A:$A,0)),0),_xlfn.IFNA(INDEX(Workouts!$C:$C,MATCH(INDEX('Ride Log'!$C:$C,MATCH(E36,'Ride Log'!$A:$A,0)),Workouts!$A:$A,0)),0),
_xlfn.IFNA(INDEX(Workouts!$C:$C,MATCH(INDEX('Ride Log'!$C:$C,MATCH(F36,'Ride Log'!$A:$A,0)),Workouts!$A:$A,0)),0),_xlfn.IFNA(INDEX(Workouts!$C:$C,MATCH(INDEX('Ride Log'!$C:$C,MATCH(G36,'Ride Log'!$A:$A,0)),Workouts!$A:$A,0)),0),
_xlfn.IFNA(INDEX(Workouts!$C:$C,MATCH(INDEX('Ride Log'!$C:$C,MATCH(H36,'Ride Log'!$A:$A,0)),Workouts!$A:$A,0)),0))&amp;" TSS"</f>
        <v>Week 18
0 TSS</v>
      </c>
    </row>
    <row r="38" spans="1:9" ht="12.75" customHeight="1" x14ac:dyDescent="0.2">
      <c r="A38" s="105" t="str">
        <f>IF(DAY(H38)&lt;8,H38,"")</f>
        <v/>
      </c>
      <c r="B38" s="103">
        <f>H36+1</f>
        <v>44319</v>
      </c>
      <c r="C38" s="103">
        <f>B38+1</f>
        <v>44320</v>
      </c>
      <c r="D38" s="103">
        <f t="shared" ref="D38:H38" si="18">C38+1</f>
        <v>44321</v>
      </c>
      <c r="E38" s="103">
        <f t="shared" si="18"/>
        <v>44322</v>
      </c>
      <c r="F38" s="103">
        <f t="shared" si="18"/>
        <v>44323</v>
      </c>
      <c r="G38" s="103">
        <f t="shared" si="18"/>
        <v>44324</v>
      </c>
      <c r="H38" s="103">
        <f t="shared" si="18"/>
        <v>44325</v>
      </c>
    </row>
    <row r="39" spans="1:9" ht="65.099999999999994" customHeight="1" x14ac:dyDescent="0.2">
      <c r="A39" s="106"/>
      <c r="B39" s="101" t="str">
        <f>INDEX('Calendar Flat'!$B:$B,MATCH(B38,'Calendar Flat'!$A:$A,0))</f>
        <v/>
      </c>
      <c r="C39" s="101" t="str">
        <f>INDEX('Calendar Flat'!$B:$B,MATCH(C38,'Calendar Flat'!$A:$A,0))</f>
        <v/>
      </c>
      <c r="D39" s="101" t="str">
        <f>INDEX('Calendar Flat'!$B:$B,MATCH(D38,'Calendar Flat'!$A:$A,0))</f>
        <v/>
      </c>
      <c r="E39" s="101" t="str">
        <f>INDEX('Calendar Flat'!$B:$B,MATCH(E38,'Calendar Flat'!$A:$A,0))</f>
        <v/>
      </c>
      <c r="F39" s="101" t="str">
        <f>INDEX('Calendar Flat'!$B:$B,MATCH(F38,'Calendar Flat'!$A:$A,0))</f>
        <v/>
      </c>
      <c r="G39" s="101" t="str">
        <f>INDEX('Calendar Flat'!$B:$B,MATCH(G38,'Calendar Flat'!$A:$A,0))</f>
        <v/>
      </c>
      <c r="H39" s="101" t="str">
        <f>INDEX('Calendar Flat'!$B:$B,MATCH(H38,'Calendar Flat'!$A:$A,0))</f>
        <v/>
      </c>
      <c r="I39" s="97" t="str">
        <f>"Week "&amp;WEEKNUM(G38)
&amp;CHAR(10)&amp;SUM(_xlfn.IFNA(INDEX(Workouts!$C:$C,MATCH(INDEX('Ride Log'!$C:$C,MATCH(B38,'Ride Log'!$A:$A,0)),Workouts!$A:$A,0)),0),_xlfn.IFNA(INDEX(Workouts!$C:$C,MATCH(INDEX('Ride Log'!$C:$C,MATCH(C38,'Ride Log'!$A:$A,0)),Workouts!$A:$A,0)),0),
_xlfn.IFNA(INDEX(Workouts!$C:$C,MATCH(INDEX('Ride Log'!$C:$C,MATCH(D38,'Ride Log'!$A:$A,0)),Workouts!$A:$A,0)),0),_xlfn.IFNA(INDEX(Workouts!$C:$C,MATCH(INDEX('Ride Log'!$C:$C,MATCH(E38,'Ride Log'!$A:$A,0)),Workouts!$A:$A,0)),0),
_xlfn.IFNA(INDEX(Workouts!$C:$C,MATCH(INDEX('Ride Log'!$C:$C,MATCH(F38,'Ride Log'!$A:$A,0)),Workouts!$A:$A,0)),0),_xlfn.IFNA(INDEX(Workouts!$C:$C,MATCH(INDEX('Ride Log'!$C:$C,MATCH(G38,'Ride Log'!$A:$A,0)),Workouts!$A:$A,0)),0),
_xlfn.IFNA(INDEX(Workouts!$C:$C,MATCH(INDEX('Ride Log'!$C:$C,MATCH(H38,'Ride Log'!$A:$A,0)),Workouts!$A:$A,0)),0))&amp;" TSS"</f>
        <v>Week 19
0 TSS</v>
      </c>
    </row>
    <row r="40" spans="1:9" ht="12.75" customHeight="1" x14ac:dyDescent="0.2">
      <c r="A40" s="105" t="str">
        <f>IF(DAY(H40)&lt;8,H40,"")</f>
        <v/>
      </c>
      <c r="B40" s="103">
        <f>H38+1</f>
        <v>44326</v>
      </c>
      <c r="C40" s="103">
        <f>B40+1</f>
        <v>44327</v>
      </c>
      <c r="D40" s="103">
        <f t="shared" ref="D40:H40" si="19">C40+1</f>
        <v>44328</v>
      </c>
      <c r="E40" s="103">
        <f t="shared" si="19"/>
        <v>44329</v>
      </c>
      <c r="F40" s="103">
        <f t="shared" si="19"/>
        <v>44330</v>
      </c>
      <c r="G40" s="103">
        <f t="shared" si="19"/>
        <v>44331</v>
      </c>
      <c r="H40" s="103">
        <f t="shared" si="19"/>
        <v>44332</v>
      </c>
    </row>
    <row r="41" spans="1:9" ht="65.099999999999994" customHeight="1" x14ac:dyDescent="0.2">
      <c r="A41" s="106"/>
      <c r="B41" s="101" t="str">
        <f>INDEX('Calendar Flat'!$B:$B,MATCH(B40,'Calendar Flat'!$A:$A,0))</f>
        <v/>
      </c>
      <c r="C41" s="101" t="str">
        <f>INDEX('Calendar Flat'!$B:$B,MATCH(C40,'Calendar Flat'!$A:$A,0))</f>
        <v/>
      </c>
      <c r="D41" s="101" t="str">
        <f>INDEX('Calendar Flat'!$B:$B,MATCH(D40,'Calendar Flat'!$A:$A,0))</f>
        <v/>
      </c>
      <c r="E41" s="101" t="str">
        <f>INDEX('Calendar Flat'!$B:$B,MATCH(E40,'Calendar Flat'!$A:$A,0))</f>
        <v/>
      </c>
      <c r="F41" s="101" t="str">
        <f>INDEX('Calendar Flat'!$B:$B,MATCH(F40,'Calendar Flat'!$A:$A,0))</f>
        <v/>
      </c>
      <c r="G41" s="101" t="str">
        <f>INDEX('Calendar Flat'!$B:$B,MATCH(G40,'Calendar Flat'!$A:$A,0))</f>
        <v/>
      </c>
      <c r="H41" s="101" t="str">
        <f>INDEX('Calendar Flat'!$B:$B,MATCH(H40,'Calendar Flat'!$A:$A,0))</f>
        <v/>
      </c>
      <c r="I41" s="97" t="str">
        <f>"Week "&amp;WEEKNUM(G40)
&amp;CHAR(10)&amp;SUM(_xlfn.IFNA(INDEX(Workouts!$C:$C,MATCH(INDEX('Ride Log'!$C:$C,MATCH(B40,'Ride Log'!$A:$A,0)),Workouts!$A:$A,0)),0),_xlfn.IFNA(INDEX(Workouts!$C:$C,MATCH(INDEX('Ride Log'!$C:$C,MATCH(C40,'Ride Log'!$A:$A,0)),Workouts!$A:$A,0)),0),
_xlfn.IFNA(INDEX(Workouts!$C:$C,MATCH(INDEX('Ride Log'!$C:$C,MATCH(D40,'Ride Log'!$A:$A,0)),Workouts!$A:$A,0)),0),_xlfn.IFNA(INDEX(Workouts!$C:$C,MATCH(INDEX('Ride Log'!$C:$C,MATCH(E40,'Ride Log'!$A:$A,0)),Workouts!$A:$A,0)),0),
_xlfn.IFNA(INDEX(Workouts!$C:$C,MATCH(INDEX('Ride Log'!$C:$C,MATCH(F40,'Ride Log'!$A:$A,0)),Workouts!$A:$A,0)),0),_xlfn.IFNA(INDEX(Workouts!$C:$C,MATCH(INDEX('Ride Log'!$C:$C,MATCH(G40,'Ride Log'!$A:$A,0)),Workouts!$A:$A,0)),0),
_xlfn.IFNA(INDEX(Workouts!$C:$C,MATCH(INDEX('Ride Log'!$C:$C,MATCH(H40,'Ride Log'!$A:$A,0)),Workouts!$A:$A,0)),0))&amp;" TSS"</f>
        <v>Week 20
0 TSS</v>
      </c>
    </row>
    <row r="42" spans="1:9" ht="12.75" customHeight="1" x14ac:dyDescent="0.2">
      <c r="A42" s="105" t="str">
        <f>IF(DAY(H42)&lt;8,H42,"")</f>
        <v/>
      </c>
      <c r="B42" s="103">
        <f>H40+1</f>
        <v>44333</v>
      </c>
      <c r="C42" s="103">
        <f>B42+1</f>
        <v>44334</v>
      </c>
      <c r="D42" s="103">
        <f t="shared" ref="D42:H42" si="20">C42+1</f>
        <v>44335</v>
      </c>
      <c r="E42" s="103">
        <f t="shared" si="20"/>
        <v>44336</v>
      </c>
      <c r="F42" s="103">
        <f t="shared" si="20"/>
        <v>44337</v>
      </c>
      <c r="G42" s="103">
        <f t="shared" si="20"/>
        <v>44338</v>
      </c>
      <c r="H42" s="103">
        <f t="shared" si="20"/>
        <v>44339</v>
      </c>
    </row>
    <row r="43" spans="1:9" ht="65.099999999999994" customHeight="1" x14ac:dyDescent="0.2">
      <c r="A43" s="106"/>
      <c r="B43" s="101" t="str">
        <f>INDEX('Calendar Flat'!$B:$B,MATCH(B42,'Calendar Flat'!$A:$A,0))</f>
        <v/>
      </c>
      <c r="C43" s="101" t="str">
        <f>INDEX('Calendar Flat'!$B:$B,MATCH(C42,'Calendar Flat'!$A:$A,0))</f>
        <v/>
      </c>
      <c r="D43" s="101" t="str">
        <f>INDEX('Calendar Flat'!$B:$B,MATCH(D42,'Calendar Flat'!$A:$A,0))</f>
        <v/>
      </c>
      <c r="E43" s="101" t="str">
        <f>INDEX('Calendar Flat'!$B:$B,MATCH(E42,'Calendar Flat'!$A:$A,0))</f>
        <v/>
      </c>
      <c r="F43" s="101" t="str">
        <f>INDEX('Calendar Flat'!$B:$B,MATCH(F42,'Calendar Flat'!$A:$A,0))</f>
        <v/>
      </c>
      <c r="G43" s="101" t="str">
        <f>INDEX('Calendar Flat'!$B:$B,MATCH(G42,'Calendar Flat'!$A:$A,0))</f>
        <v/>
      </c>
      <c r="H43" s="101" t="str">
        <f>INDEX('Calendar Flat'!$B:$B,MATCH(H42,'Calendar Flat'!$A:$A,0))</f>
        <v/>
      </c>
      <c r="I43" s="97" t="str">
        <f>"Week "&amp;WEEKNUM(G42)
&amp;CHAR(10)&amp;SUM(_xlfn.IFNA(INDEX(Workouts!$C:$C,MATCH(INDEX('Ride Log'!$C:$C,MATCH(B42,'Ride Log'!$A:$A,0)),Workouts!$A:$A,0)),0),_xlfn.IFNA(INDEX(Workouts!$C:$C,MATCH(INDEX('Ride Log'!$C:$C,MATCH(C42,'Ride Log'!$A:$A,0)),Workouts!$A:$A,0)),0),
_xlfn.IFNA(INDEX(Workouts!$C:$C,MATCH(INDEX('Ride Log'!$C:$C,MATCH(D42,'Ride Log'!$A:$A,0)),Workouts!$A:$A,0)),0),_xlfn.IFNA(INDEX(Workouts!$C:$C,MATCH(INDEX('Ride Log'!$C:$C,MATCH(E42,'Ride Log'!$A:$A,0)),Workouts!$A:$A,0)),0),
_xlfn.IFNA(INDEX(Workouts!$C:$C,MATCH(INDEX('Ride Log'!$C:$C,MATCH(F42,'Ride Log'!$A:$A,0)),Workouts!$A:$A,0)),0),_xlfn.IFNA(INDEX(Workouts!$C:$C,MATCH(INDEX('Ride Log'!$C:$C,MATCH(G42,'Ride Log'!$A:$A,0)),Workouts!$A:$A,0)),0),
_xlfn.IFNA(INDEX(Workouts!$C:$C,MATCH(INDEX('Ride Log'!$C:$C,MATCH(H42,'Ride Log'!$A:$A,0)),Workouts!$A:$A,0)),0))&amp;" TSS"</f>
        <v>Week 21
0 TSS</v>
      </c>
    </row>
    <row r="44" spans="1:9" ht="12.75" customHeight="1" x14ac:dyDescent="0.2">
      <c r="A44" s="105" t="str">
        <f>IF(DAY(H44)&lt;8,H44,"")</f>
        <v/>
      </c>
      <c r="B44" s="103">
        <f>H42+1</f>
        <v>44340</v>
      </c>
      <c r="C44" s="103">
        <f>B44+1</f>
        <v>44341</v>
      </c>
      <c r="D44" s="103">
        <f t="shared" ref="D44:H44" si="21">C44+1</f>
        <v>44342</v>
      </c>
      <c r="E44" s="103">
        <f t="shared" si="21"/>
        <v>44343</v>
      </c>
      <c r="F44" s="103">
        <f t="shared" si="21"/>
        <v>44344</v>
      </c>
      <c r="G44" s="103">
        <f t="shared" si="21"/>
        <v>44345</v>
      </c>
      <c r="H44" s="103">
        <f t="shared" si="21"/>
        <v>44346</v>
      </c>
    </row>
    <row r="45" spans="1:9" ht="65.099999999999994" customHeight="1" x14ac:dyDescent="0.2">
      <c r="A45" s="106"/>
      <c r="B45" s="101" t="str">
        <f>INDEX('Calendar Flat'!$B:$B,MATCH(B44,'Calendar Flat'!$A:$A,0))</f>
        <v/>
      </c>
      <c r="C45" s="101" t="str">
        <f>INDEX('Calendar Flat'!$B:$B,MATCH(C44,'Calendar Flat'!$A:$A,0))</f>
        <v/>
      </c>
      <c r="D45" s="101" t="str">
        <f>INDEX('Calendar Flat'!$B:$B,MATCH(D44,'Calendar Flat'!$A:$A,0))</f>
        <v/>
      </c>
      <c r="E45" s="101" t="str">
        <f>INDEX('Calendar Flat'!$B:$B,MATCH(E44,'Calendar Flat'!$A:$A,0))</f>
        <v/>
      </c>
      <c r="F45" s="101" t="str">
        <f>INDEX('Calendar Flat'!$B:$B,MATCH(F44,'Calendar Flat'!$A:$A,0))</f>
        <v/>
      </c>
      <c r="G45" s="101" t="str">
        <f>INDEX('Calendar Flat'!$B:$B,MATCH(G44,'Calendar Flat'!$A:$A,0))</f>
        <v/>
      </c>
      <c r="H45" s="101" t="str">
        <f>INDEX('Calendar Flat'!$B:$B,MATCH(H44,'Calendar Flat'!$A:$A,0))</f>
        <v/>
      </c>
      <c r="I45" s="97" t="str">
        <f>"Week "&amp;WEEKNUM(G44)
&amp;CHAR(10)&amp;SUM(_xlfn.IFNA(INDEX(Workouts!$C:$C,MATCH(INDEX('Ride Log'!$C:$C,MATCH(B44,'Ride Log'!$A:$A,0)),Workouts!$A:$A,0)),0),_xlfn.IFNA(INDEX(Workouts!$C:$C,MATCH(INDEX('Ride Log'!$C:$C,MATCH(C44,'Ride Log'!$A:$A,0)),Workouts!$A:$A,0)),0),
_xlfn.IFNA(INDEX(Workouts!$C:$C,MATCH(INDEX('Ride Log'!$C:$C,MATCH(D44,'Ride Log'!$A:$A,0)),Workouts!$A:$A,0)),0),_xlfn.IFNA(INDEX(Workouts!$C:$C,MATCH(INDEX('Ride Log'!$C:$C,MATCH(E44,'Ride Log'!$A:$A,0)),Workouts!$A:$A,0)),0),
_xlfn.IFNA(INDEX(Workouts!$C:$C,MATCH(INDEX('Ride Log'!$C:$C,MATCH(F44,'Ride Log'!$A:$A,0)),Workouts!$A:$A,0)),0),_xlfn.IFNA(INDEX(Workouts!$C:$C,MATCH(INDEX('Ride Log'!$C:$C,MATCH(G44,'Ride Log'!$A:$A,0)),Workouts!$A:$A,0)),0),
_xlfn.IFNA(INDEX(Workouts!$C:$C,MATCH(INDEX('Ride Log'!$C:$C,MATCH(H44,'Ride Log'!$A:$A,0)),Workouts!$A:$A,0)),0))&amp;" TSS"</f>
        <v>Week 22
0 TSS</v>
      </c>
    </row>
    <row r="46" spans="1:9" ht="12.75" customHeight="1" x14ac:dyDescent="0.2">
      <c r="A46" s="105">
        <f>IF(DAY(H46)&lt;8,H46,"")</f>
        <v>44353</v>
      </c>
      <c r="B46" s="103">
        <f>H44+1</f>
        <v>44347</v>
      </c>
      <c r="C46" s="103">
        <f>B46+1</f>
        <v>44348</v>
      </c>
      <c r="D46" s="103">
        <f t="shared" ref="D46:H46" si="22">C46+1</f>
        <v>44349</v>
      </c>
      <c r="E46" s="103">
        <f t="shared" si="22"/>
        <v>44350</v>
      </c>
      <c r="F46" s="103">
        <f t="shared" si="22"/>
        <v>44351</v>
      </c>
      <c r="G46" s="103">
        <f t="shared" si="22"/>
        <v>44352</v>
      </c>
      <c r="H46" s="103">
        <f t="shared" si="22"/>
        <v>44353</v>
      </c>
    </row>
    <row r="47" spans="1:9" ht="65.099999999999994" customHeight="1" x14ac:dyDescent="0.2">
      <c r="A47" s="106"/>
      <c r="B47" s="101" t="str">
        <f>INDEX('Calendar Flat'!$B:$B,MATCH(B46,'Calendar Flat'!$A:$A,0))</f>
        <v/>
      </c>
      <c r="C47" s="101" t="str">
        <f>INDEX('Calendar Flat'!$B:$B,MATCH(C46,'Calendar Flat'!$A:$A,0))</f>
        <v/>
      </c>
      <c r="D47" s="101" t="str">
        <f>INDEX('Calendar Flat'!$B:$B,MATCH(D46,'Calendar Flat'!$A:$A,0))</f>
        <v/>
      </c>
      <c r="E47" s="101" t="str">
        <f>INDEX('Calendar Flat'!$B:$B,MATCH(E46,'Calendar Flat'!$A:$A,0))</f>
        <v/>
      </c>
      <c r="F47" s="101" t="str">
        <f>INDEX('Calendar Flat'!$B:$B,MATCH(F46,'Calendar Flat'!$A:$A,0))</f>
        <v/>
      </c>
      <c r="G47" s="101" t="str">
        <f>INDEX('Calendar Flat'!$B:$B,MATCH(G46,'Calendar Flat'!$A:$A,0))</f>
        <v/>
      </c>
      <c r="H47" s="101" t="str">
        <f>INDEX('Calendar Flat'!$B:$B,MATCH(H46,'Calendar Flat'!$A:$A,0))</f>
        <v/>
      </c>
      <c r="I47" s="97" t="str">
        <f>"Week "&amp;WEEKNUM(G46)
&amp;CHAR(10)&amp;SUM(_xlfn.IFNA(INDEX(Workouts!$C:$C,MATCH(INDEX('Ride Log'!$C:$C,MATCH(B46,'Ride Log'!$A:$A,0)),Workouts!$A:$A,0)),0),_xlfn.IFNA(INDEX(Workouts!$C:$C,MATCH(INDEX('Ride Log'!$C:$C,MATCH(C46,'Ride Log'!$A:$A,0)),Workouts!$A:$A,0)),0),
_xlfn.IFNA(INDEX(Workouts!$C:$C,MATCH(INDEX('Ride Log'!$C:$C,MATCH(D46,'Ride Log'!$A:$A,0)),Workouts!$A:$A,0)),0),_xlfn.IFNA(INDEX(Workouts!$C:$C,MATCH(INDEX('Ride Log'!$C:$C,MATCH(E46,'Ride Log'!$A:$A,0)),Workouts!$A:$A,0)),0),
_xlfn.IFNA(INDEX(Workouts!$C:$C,MATCH(INDEX('Ride Log'!$C:$C,MATCH(F46,'Ride Log'!$A:$A,0)),Workouts!$A:$A,0)),0),_xlfn.IFNA(INDEX(Workouts!$C:$C,MATCH(INDEX('Ride Log'!$C:$C,MATCH(G46,'Ride Log'!$A:$A,0)),Workouts!$A:$A,0)),0),
_xlfn.IFNA(INDEX(Workouts!$C:$C,MATCH(INDEX('Ride Log'!$C:$C,MATCH(H46,'Ride Log'!$A:$A,0)),Workouts!$A:$A,0)),0))&amp;" TSS"</f>
        <v>Week 23
0 TSS</v>
      </c>
    </row>
    <row r="48" spans="1:9" ht="12.75" customHeight="1" x14ac:dyDescent="0.2">
      <c r="A48" s="105" t="str">
        <f>IF(DAY(H48)&lt;8,H48,"")</f>
        <v/>
      </c>
      <c r="B48" s="103">
        <f>H46+1</f>
        <v>44354</v>
      </c>
      <c r="C48" s="103">
        <f>B48+1</f>
        <v>44355</v>
      </c>
      <c r="D48" s="103">
        <f t="shared" ref="D48:H48" si="23">C48+1</f>
        <v>44356</v>
      </c>
      <c r="E48" s="103">
        <f t="shared" si="23"/>
        <v>44357</v>
      </c>
      <c r="F48" s="103">
        <f t="shared" si="23"/>
        <v>44358</v>
      </c>
      <c r="G48" s="103">
        <f t="shared" si="23"/>
        <v>44359</v>
      </c>
      <c r="H48" s="103">
        <f t="shared" si="23"/>
        <v>44360</v>
      </c>
    </row>
    <row r="49" spans="1:9" ht="65.099999999999994" customHeight="1" x14ac:dyDescent="0.2">
      <c r="A49" s="106"/>
      <c r="B49" s="101" t="str">
        <f>INDEX('Calendar Flat'!$B:$B,MATCH(B48,'Calendar Flat'!$A:$A,0))</f>
        <v/>
      </c>
      <c r="C49" s="101" t="str">
        <f>INDEX('Calendar Flat'!$B:$B,MATCH(C48,'Calendar Flat'!$A:$A,0))</f>
        <v/>
      </c>
      <c r="D49" s="101" t="str">
        <f>INDEX('Calendar Flat'!$B:$B,MATCH(D48,'Calendar Flat'!$A:$A,0))</f>
        <v/>
      </c>
      <c r="E49" s="101" t="str">
        <f>INDEX('Calendar Flat'!$B:$B,MATCH(E48,'Calendar Flat'!$A:$A,0))</f>
        <v/>
      </c>
      <c r="F49" s="101" t="str">
        <f>INDEX('Calendar Flat'!$B:$B,MATCH(F48,'Calendar Flat'!$A:$A,0))</f>
        <v/>
      </c>
      <c r="G49" s="101" t="str">
        <f>INDEX('Calendar Flat'!$B:$B,MATCH(G48,'Calendar Flat'!$A:$A,0))</f>
        <v/>
      </c>
      <c r="H49" s="101" t="str">
        <f>INDEX('Calendar Flat'!$B:$B,MATCH(H48,'Calendar Flat'!$A:$A,0))</f>
        <v/>
      </c>
      <c r="I49" s="97" t="str">
        <f>"Week "&amp;WEEKNUM(G48)
&amp;CHAR(10)&amp;SUM(_xlfn.IFNA(INDEX(Workouts!$C:$C,MATCH(INDEX('Ride Log'!$C:$C,MATCH(B48,'Ride Log'!$A:$A,0)),Workouts!$A:$A,0)),0),_xlfn.IFNA(INDEX(Workouts!$C:$C,MATCH(INDEX('Ride Log'!$C:$C,MATCH(C48,'Ride Log'!$A:$A,0)),Workouts!$A:$A,0)),0),
_xlfn.IFNA(INDEX(Workouts!$C:$C,MATCH(INDEX('Ride Log'!$C:$C,MATCH(D48,'Ride Log'!$A:$A,0)),Workouts!$A:$A,0)),0),_xlfn.IFNA(INDEX(Workouts!$C:$C,MATCH(INDEX('Ride Log'!$C:$C,MATCH(E48,'Ride Log'!$A:$A,0)),Workouts!$A:$A,0)),0),
_xlfn.IFNA(INDEX(Workouts!$C:$C,MATCH(INDEX('Ride Log'!$C:$C,MATCH(F48,'Ride Log'!$A:$A,0)),Workouts!$A:$A,0)),0),_xlfn.IFNA(INDEX(Workouts!$C:$C,MATCH(INDEX('Ride Log'!$C:$C,MATCH(G48,'Ride Log'!$A:$A,0)),Workouts!$A:$A,0)),0),
_xlfn.IFNA(INDEX(Workouts!$C:$C,MATCH(INDEX('Ride Log'!$C:$C,MATCH(H48,'Ride Log'!$A:$A,0)),Workouts!$A:$A,0)),0))&amp;" TSS"</f>
        <v>Week 24
0 TSS</v>
      </c>
    </row>
    <row r="50" spans="1:9" ht="12.75" customHeight="1" x14ac:dyDescent="0.2">
      <c r="A50" s="105" t="str">
        <f>IF(DAY(H50)&lt;8,H50,"")</f>
        <v/>
      </c>
      <c r="B50" s="103">
        <f>H48+1</f>
        <v>44361</v>
      </c>
      <c r="C50" s="103">
        <f>B50+1</f>
        <v>44362</v>
      </c>
      <c r="D50" s="103">
        <f t="shared" ref="D50:H50" si="24">C50+1</f>
        <v>44363</v>
      </c>
      <c r="E50" s="103">
        <f t="shared" si="24"/>
        <v>44364</v>
      </c>
      <c r="F50" s="103">
        <f t="shared" si="24"/>
        <v>44365</v>
      </c>
      <c r="G50" s="103">
        <f t="shared" si="24"/>
        <v>44366</v>
      </c>
      <c r="H50" s="103">
        <f t="shared" si="24"/>
        <v>44367</v>
      </c>
    </row>
    <row r="51" spans="1:9" ht="65.099999999999994" customHeight="1" x14ac:dyDescent="0.2">
      <c r="A51" s="106"/>
      <c r="B51" s="101" t="str">
        <f>INDEX('Calendar Flat'!$B:$B,MATCH(B50,'Calendar Flat'!$A:$A,0))</f>
        <v/>
      </c>
      <c r="C51" s="101" t="str">
        <f>INDEX('Calendar Flat'!$B:$B,MATCH(C50,'Calendar Flat'!$A:$A,0))</f>
        <v/>
      </c>
      <c r="D51" s="101" t="str">
        <f>INDEX('Calendar Flat'!$B:$B,MATCH(D50,'Calendar Flat'!$A:$A,0))</f>
        <v/>
      </c>
      <c r="E51" s="101" t="str">
        <f>INDEX('Calendar Flat'!$B:$B,MATCH(E50,'Calendar Flat'!$A:$A,0))</f>
        <v/>
      </c>
      <c r="F51" s="101" t="str">
        <f>INDEX('Calendar Flat'!$B:$B,MATCH(F50,'Calendar Flat'!$A:$A,0))</f>
        <v/>
      </c>
      <c r="G51" s="101" t="str">
        <f>INDEX('Calendar Flat'!$B:$B,MATCH(G50,'Calendar Flat'!$A:$A,0))</f>
        <v/>
      </c>
      <c r="H51" s="101" t="str">
        <f>INDEX('Calendar Flat'!$B:$B,MATCH(H50,'Calendar Flat'!$A:$A,0))</f>
        <v/>
      </c>
      <c r="I51" s="97" t="str">
        <f>"Week "&amp;WEEKNUM(G50)
&amp;CHAR(10)&amp;SUM(_xlfn.IFNA(INDEX(Workouts!$C:$C,MATCH(INDEX('Ride Log'!$C:$C,MATCH(B50,'Ride Log'!$A:$A,0)),Workouts!$A:$A,0)),0),_xlfn.IFNA(INDEX(Workouts!$C:$C,MATCH(INDEX('Ride Log'!$C:$C,MATCH(C50,'Ride Log'!$A:$A,0)),Workouts!$A:$A,0)),0),
_xlfn.IFNA(INDEX(Workouts!$C:$C,MATCH(INDEX('Ride Log'!$C:$C,MATCH(D50,'Ride Log'!$A:$A,0)),Workouts!$A:$A,0)),0),_xlfn.IFNA(INDEX(Workouts!$C:$C,MATCH(INDEX('Ride Log'!$C:$C,MATCH(E50,'Ride Log'!$A:$A,0)),Workouts!$A:$A,0)),0),
_xlfn.IFNA(INDEX(Workouts!$C:$C,MATCH(INDEX('Ride Log'!$C:$C,MATCH(F50,'Ride Log'!$A:$A,0)),Workouts!$A:$A,0)),0),_xlfn.IFNA(INDEX(Workouts!$C:$C,MATCH(INDEX('Ride Log'!$C:$C,MATCH(G50,'Ride Log'!$A:$A,0)),Workouts!$A:$A,0)),0),
_xlfn.IFNA(INDEX(Workouts!$C:$C,MATCH(INDEX('Ride Log'!$C:$C,MATCH(H50,'Ride Log'!$A:$A,0)),Workouts!$A:$A,0)),0))&amp;" TSS"</f>
        <v>Week 25
0 TSS</v>
      </c>
    </row>
    <row r="52" spans="1:9" ht="12.75" customHeight="1" x14ac:dyDescent="0.2">
      <c r="A52" s="105" t="str">
        <f>IF(DAY(H52)&lt;8,H52,"")</f>
        <v/>
      </c>
      <c r="B52" s="103">
        <f>H50+1</f>
        <v>44368</v>
      </c>
      <c r="C52" s="103">
        <f>B52+1</f>
        <v>44369</v>
      </c>
      <c r="D52" s="103">
        <f t="shared" ref="D52:H52" si="25">C52+1</f>
        <v>44370</v>
      </c>
      <c r="E52" s="103">
        <f t="shared" si="25"/>
        <v>44371</v>
      </c>
      <c r="F52" s="103">
        <f t="shared" si="25"/>
        <v>44372</v>
      </c>
      <c r="G52" s="103">
        <f t="shared" si="25"/>
        <v>44373</v>
      </c>
      <c r="H52" s="103">
        <f t="shared" si="25"/>
        <v>44374</v>
      </c>
    </row>
    <row r="53" spans="1:9" ht="65.099999999999994" customHeight="1" x14ac:dyDescent="0.2">
      <c r="A53" s="106"/>
      <c r="B53" s="101" t="str">
        <f>INDEX('Calendar Flat'!$B:$B,MATCH(B52,'Calendar Flat'!$A:$A,0))</f>
        <v/>
      </c>
      <c r="C53" s="101" t="str">
        <f>INDEX('Calendar Flat'!$B:$B,MATCH(C52,'Calendar Flat'!$A:$A,0))</f>
        <v/>
      </c>
      <c r="D53" s="101" t="str">
        <f>INDEX('Calendar Flat'!$B:$B,MATCH(D52,'Calendar Flat'!$A:$A,0))</f>
        <v/>
      </c>
      <c r="E53" s="101" t="str">
        <f>INDEX('Calendar Flat'!$B:$B,MATCH(E52,'Calendar Flat'!$A:$A,0))</f>
        <v/>
      </c>
      <c r="F53" s="101" t="str">
        <f>INDEX('Calendar Flat'!$B:$B,MATCH(F52,'Calendar Flat'!$A:$A,0))</f>
        <v/>
      </c>
      <c r="G53" s="101" t="str">
        <f>INDEX('Calendar Flat'!$B:$B,MATCH(G52,'Calendar Flat'!$A:$A,0))</f>
        <v/>
      </c>
      <c r="H53" s="101" t="str">
        <f>INDEX('Calendar Flat'!$B:$B,MATCH(H52,'Calendar Flat'!$A:$A,0))</f>
        <v/>
      </c>
      <c r="I53" s="97" t="str">
        <f>"Week "&amp;WEEKNUM(G52)
&amp;CHAR(10)&amp;SUM(_xlfn.IFNA(INDEX(Workouts!$C:$C,MATCH(INDEX('Ride Log'!$C:$C,MATCH(B52,'Ride Log'!$A:$A,0)),Workouts!$A:$A,0)),0),_xlfn.IFNA(INDEX(Workouts!$C:$C,MATCH(INDEX('Ride Log'!$C:$C,MATCH(C52,'Ride Log'!$A:$A,0)),Workouts!$A:$A,0)),0),
_xlfn.IFNA(INDEX(Workouts!$C:$C,MATCH(INDEX('Ride Log'!$C:$C,MATCH(D52,'Ride Log'!$A:$A,0)),Workouts!$A:$A,0)),0),_xlfn.IFNA(INDEX(Workouts!$C:$C,MATCH(INDEX('Ride Log'!$C:$C,MATCH(E52,'Ride Log'!$A:$A,0)),Workouts!$A:$A,0)),0),
_xlfn.IFNA(INDEX(Workouts!$C:$C,MATCH(INDEX('Ride Log'!$C:$C,MATCH(F52,'Ride Log'!$A:$A,0)),Workouts!$A:$A,0)),0),_xlfn.IFNA(INDEX(Workouts!$C:$C,MATCH(INDEX('Ride Log'!$C:$C,MATCH(G52,'Ride Log'!$A:$A,0)),Workouts!$A:$A,0)),0),
_xlfn.IFNA(INDEX(Workouts!$C:$C,MATCH(INDEX('Ride Log'!$C:$C,MATCH(H52,'Ride Log'!$A:$A,0)),Workouts!$A:$A,0)),0))&amp;" TSS"</f>
        <v>Week 26
0 TSS</v>
      </c>
    </row>
    <row r="54" spans="1:9" ht="12.75" customHeight="1" x14ac:dyDescent="0.2">
      <c r="A54" s="105">
        <f>IF(DAY(H54)&lt;8,H54,"")</f>
        <v>44381</v>
      </c>
      <c r="B54" s="103">
        <f>H52+1</f>
        <v>44375</v>
      </c>
      <c r="C54" s="103">
        <f>B54+1</f>
        <v>44376</v>
      </c>
      <c r="D54" s="103">
        <f t="shared" ref="D54:H54" si="26">C54+1</f>
        <v>44377</v>
      </c>
      <c r="E54" s="103">
        <f t="shared" si="26"/>
        <v>44378</v>
      </c>
      <c r="F54" s="103">
        <f t="shared" si="26"/>
        <v>44379</v>
      </c>
      <c r="G54" s="103">
        <f t="shared" si="26"/>
        <v>44380</v>
      </c>
      <c r="H54" s="103">
        <f t="shared" si="26"/>
        <v>44381</v>
      </c>
    </row>
    <row r="55" spans="1:9" ht="65.099999999999994" customHeight="1" x14ac:dyDescent="0.2">
      <c r="A55" s="106"/>
      <c r="B55" s="101" t="str">
        <f>INDEX('Calendar Flat'!$B:$B,MATCH(B54,'Calendar Flat'!$A:$A,0))</f>
        <v/>
      </c>
      <c r="C55" s="101" t="str">
        <f>INDEX('Calendar Flat'!$B:$B,MATCH(C54,'Calendar Flat'!$A:$A,0))</f>
        <v/>
      </c>
      <c r="D55" s="101" t="str">
        <f>INDEX('Calendar Flat'!$B:$B,MATCH(D54,'Calendar Flat'!$A:$A,0))</f>
        <v/>
      </c>
      <c r="E55" s="101" t="str">
        <f>INDEX('Calendar Flat'!$B:$B,MATCH(E54,'Calendar Flat'!$A:$A,0))</f>
        <v/>
      </c>
      <c r="F55" s="101" t="str">
        <f>INDEX('Calendar Flat'!$B:$B,MATCH(F54,'Calendar Flat'!$A:$A,0))</f>
        <v/>
      </c>
      <c r="G55" s="101" t="str">
        <f>INDEX('Calendar Flat'!$B:$B,MATCH(G54,'Calendar Flat'!$A:$A,0))</f>
        <v/>
      </c>
      <c r="H55" s="101" t="str">
        <f>INDEX('Calendar Flat'!$B:$B,MATCH(H54,'Calendar Flat'!$A:$A,0))</f>
        <v/>
      </c>
      <c r="I55" s="97" t="str">
        <f>"Week "&amp;WEEKNUM(G54)
&amp;CHAR(10)&amp;SUM(_xlfn.IFNA(INDEX(Workouts!$C:$C,MATCH(INDEX('Ride Log'!$C:$C,MATCH(B54,'Ride Log'!$A:$A,0)),Workouts!$A:$A,0)),0),_xlfn.IFNA(INDEX(Workouts!$C:$C,MATCH(INDEX('Ride Log'!$C:$C,MATCH(C54,'Ride Log'!$A:$A,0)),Workouts!$A:$A,0)),0),
_xlfn.IFNA(INDEX(Workouts!$C:$C,MATCH(INDEX('Ride Log'!$C:$C,MATCH(D54,'Ride Log'!$A:$A,0)),Workouts!$A:$A,0)),0),_xlfn.IFNA(INDEX(Workouts!$C:$C,MATCH(INDEX('Ride Log'!$C:$C,MATCH(E54,'Ride Log'!$A:$A,0)),Workouts!$A:$A,0)),0),
_xlfn.IFNA(INDEX(Workouts!$C:$C,MATCH(INDEX('Ride Log'!$C:$C,MATCH(F54,'Ride Log'!$A:$A,0)),Workouts!$A:$A,0)),0),_xlfn.IFNA(INDEX(Workouts!$C:$C,MATCH(INDEX('Ride Log'!$C:$C,MATCH(G54,'Ride Log'!$A:$A,0)),Workouts!$A:$A,0)),0),
_xlfn.IFNA(INDEX(Workouts!$C:$C,MATCH(INDEX('Ride Log'!$C:$C,MATCH(H54,'Ride Log'!$A:$A,0)),Workouts!$A:$A,0)),0))&amp;" TSS"</f>
        <v>Week 27
0 TSS</v>
      </c>
    </row>
    <row r="56" spans="1:9" ht="12.75" customHeight="1" x14ac:dyDescent="0.2">
      <c r="A56" s="105" t="str">
        <f>IF(DAY(H56)&lt;8,H56,"")</f>
        <v/>
      </c>
      <c r="B56" s="103">
        <f>H54+1</f>
        <v>44382</v>
      </c>
      <c r="C56" s="103">
        <f>B56+1</f>
        <v>44383</v>
      </c>
      <c r="D56" s="103">
        <f t="shared" ref="D56:H56" si="27">C56+1</f>
        <v>44384</v>
      </c>
      <c r="E56" s="103">
        <f t="shared" si="27"/>
        <v>44385</v>
      </c>
      <c r="F56" s="103">
        <f t="shared" si="27"/>
        <v>44386</v>
      </c>
      <c r="G56" s="103">
        <f t="shared" si="27"/>
        <v>44387</v>
      </c>
      <c r="H56" s="103">
        <f t="shared" si="27"/>
        <v>44388</v>
      </c>
    </row>
    <row r="57" spans="1:9" ht="65.099999999999994" customHeight="1" x14ac:dyDescent="0.2">
      <c r="A57" s="106"/>
      <c r="B57" s="101" t="str">
        <f>INDEX('Calendar Flat'!$B:$B,MATCH(B56,'Calendar Flat'!$A:$A,0))</f>
        <v/>
      </c>
      <c r="C57" s="101" t="str">
        <f>INDEX('Calendar Flat'!$B:$B,MATCH(C56,'Calendar Flat'!$A:$A,0))</f>
        <v/>
      </c>
      <c r="D57" s="101" t="str">
        <f>INDEX('Calendar Flat'!$B:$B,MATCH(D56,'Calendar Flat'!$A:$A,0))</f>
        <v/>
      </c>
      <c r="E57" s="101" t="str">
        <f>INDEX('Calendar Flat'!$B:$B,MATCH(E56,'Calendar Flat'!$A:$A,0))</f>
        <v/>
      </c>
      <c r="F57" s="101" t="str">
        <f>INDEX('Calendar Flat'!$B:$B,MATCH(F56,'Calendar Flat'!$A:$A,0))</f>
        <v/>
      </c>
      <c r="G57" s="101" t="str">
        <f>INDEX('Calendar Flat'!$B:$B,MATCH(G56,'Calendar Flat'!$A:$A,0))</f>
        <v/>
      </c>
      <c r="H57" s="101" t="str">
        <f>INDEX('Calendar Flat'!$B:$B,MATCH(H56,'Calendar Flat'!$A:$A,0))</f>
        <v/>
      </c>
      <c r="I57" s="97" t="str">
        <f>"Week "&amp;WEEKNUM(G56)
&amp;CHAR(10)&amp;SUM(_xlfn.IFNA(INDEX(Workouts!$C:$C,MATCH(INDEX('Ride Log'!$C:$C,MATCH(B56,'Ride Log'!$A:$A,0)),Workouts!$A:$A,0)),0),_xlfn.IFNA(INDEX(Workouts!$C:$C,MATCH(INDEX('Ride Log'!$C:$C,MATCH(C56,'Ride Log'!$A:$A,0)),Workouts!$A:$A,0)),0),
_xlfn.IFNA(INDEX(Workouts!$C:$C,MATCH(INDEX('Ride Log'!$C:$C,MATCH(D56,'Ride Log'!$A:$A,0)),Workouts!$A:$A,0)),0),_xlfn.IFNA(INDEX(Workouts!$C:$C,MATCH(INDEX('Ride Log'!$C:$C,MATCH(E56,'Ride Log'!$A:$A,0)),Workouts!$A:$A,0)),0),
_xlfn.IFNA(INDEX(Workouts!$C:$C,MATCH(INDEX('Ride Log'!$C:$C,MATCH(F56,'Ride Log'!$A:$A,0)),Workouts!$A:$A,0)),0),_xlfn.IFNA(INDEX(Workouts!$C:$C,MATCH(INDEX('Ride Log'!$C:$C,MATCH(G56,'Ride Log'!$A:$A,0)),Workouts!$A:$A,0)),0),
_xlfn.IFNA(INDEX(Workouts!$C:$C,MATCH(INDEX('Ride Log'!$C:$C,MATCH(H56,'Ride Log'!$A:$A,0)),Workouts!$A:$A,0)),0))&amp;" TSS"</f>
        <v>Week 28
0 TSS</v>
      </c>
    </row>
    <row r="58" spans="1:9" ht="12.75" customHeight="1" x14ac:dyDescent="0.2">
      <c r="A58" s="105" t="str">
        <f>IF(DAY(H58)&lt;8,H58,"")</f>
        <v/>
      </c>
      <c r="B58" s="103">
        <f>H56+1</f>
        <v>44389</v>
      </c>
      <c r="C58" s="103">
        <f>B58+1</f>
        <v>44390</v>
      </c>
      <c r="D58" s="103">
        <f t="shared" ref="D58:H58" si="28">C58+1</f>
        <v>44391</v>
      </c>
      <c r="E58" s="103">
        <f t="shared" si="28"/>
        <v>44392</v>
      </c>
      <c r="F58" s="103">
        <f t="shared" si="28"/>
        <v>44393</v>
      </c>
      <c r="G58" s="103">
        <f t="shared" si="28"/>
        <v>44394</v>
      </c>
      <c r="H58" s="103">
        <f t="shared" si="28"/>
        <v>44395</v>
      </c>
    </row>
    <row r="59" spans="1:9" ht="65.099999999999994" customHeight="1" x14ac:dyDescent="0.2">
      <c r="A59" s="106"/>
      <c r="B59" s="101" t="str">
        <f>INDEX('Calendar Flat'!$B:$B,MATCH(B58,'Calendar Flat'!$A:$A,0))</f>
        <v/>
      </c>
      <c r="C59" s="101" t="str">
        <f>INDEX('Calendar Flat'!$B:$B,MATCH(C58,'Calendar Flat'!$A:$A,0))</f>
        <v/>
      </c>
      <c r="D59" s="101" t="str">
        <f>INDEX('Calendar Flat'!$B:$B,MATCH(D58,'Calendar Flat'!$A:$A,0))</f>
        <v/>
      </c>
      <c r="E59" s="101" t="str">
        <f>INDEX('Calendar Flat'!$B:$B,MATCH(E58,'Calendar Flat'!$A:$A,0))</f>
        <v/>
      </c>
      <c r="F59" s="101" t="str">
        <f>INDEX('Calendar Flat'!$B:$B,MATCH(F58,'Calendar Flat'!$A:$A,0))</f>
        <v/>
      </c>
      <c r="G59" s="101" t="str">
        <f>INDEX('Calendar Flat'!$B:$B,MATCH(G58,'Calendar Flat'!$A:$A,0))</f>
        <v/>
      </c>
      <c r="H59" s="101" t="str">
        <f>INDEX('Calendar Flat'!$B:$B,MATCH(H58,'Calendar Flat'!$A:$A,0))</f>
        <v/>
      </c>
      <c r="I59" s="97" t="str">
        <f>"Week "&amp;WEEKNUM(G58)
&amp;CHAR(10)&amp;SUM(_xlfn.IFNA(INDEX(Workouts!$C:$C,MATCH(INDEX('Ride Log'!$C:$C,MATCH(B58,'Ride Log'!$A:$A,0)),Workouts!$A:$A,0)),0),_xlfn.IFNA(INDEX(Workouts!$C:$C,MATCH(INDEX('Ride Log'!$C:$C,MATCH(C58,'Ride Log'!$A:$A,0)),Workouts!$A:$A,0)),0),
_xlfn.IFNA(INDEX(Workouts!$C:$C,MATCH(INDEX('Ride Log'!$C:$C,MATCH(D58,'Ride Log'!$A:$A,0)),Workouts!$A:$A,0)),0),_xlfn.IFNA(INDEX(Workouts!$C:$C,MATCH(INDEX('Ride Log'!$C:$C,MATCH(E58,'Ride Log'!$A:$A,0)),Workouts!$A:$A,0)),0),
_xlfn.IFNA(INDEX(Workouts!$C:$C,MATCH(INDEX('Ride Log'!$C:$C,MATCH(F58,'Ride Log'!$A:$A,0)),Workouts!$A:$A,0)),0),_xlfn.IFNA(INDEX(Workouts!$C:$C,MATCH(INDEX('Ride Log'!$C:$C,MATCH(G58,'Ride Log'!$A:$A,0)),Workouts!$A:$A,0)),0),
_xlfn.IFNA(INDEX(Workouts!$C:$C,MATCH(INDEX('Ride Log'!$C:$C,MATCH(H58,'Ride Log'!$A:$A,0)),Workouts!$A:$A,0)),0))&amp;" TSS"</f>
        <v>Week 29
0 TSS</v>
      </c>
    </row>
    <row r="60" spans="1:9" ht="12.75" customHeight="1" x14ac:dyDescent="0.2">
      <c r="A60" s="105" t="str">
        <f>IF(DAY(H60)&lt;8,H60,"")</f>
        <v/>
      </c>
      <c r="B60" s="103">
        <f>H58+1</f>
        <v>44396</v>
      </c>
      <c r="C60" s="103">
        <f>B60+1</f>
        <v>44397</v>
      </c>
      <c r="D60" s="103">
        <f t="shared" ref="D60:H60" si="29">C60+1</f>
        <v>44398</v>
      </c>
      <c r="E60" s="103">
        <f t="shared" si="29"/>
        <v>44399</v>
      </c>
      <c r="F60" s="103">
        <f t="shared" si="29"/>
        <v>44400</v>
      </c>
      <c r="G60" s="103">
        <f t="shared" si="29"/>
        <v>44401</v>
      </c>
      <c r="H60" s="103">
        <f t="shared" si="29"/>
        <v>44402</v>
      </c>
    </row>
    <row r="61" spans="1:9" ht="65.099999999999994" customHeight="1" x14ac:dyDescent="0.2">
      <c r="A61" s="106"/>
      <c r="B61" s="101" t="str">
        <f>INDEX('Calendar Flat'!$B:$B,MATCH(B60,'Calendar Flat'!$A:$A,0))</f>
        <v/>
      </c>
      <c r="C61" s="101" t="str">
        <f>INDEX('Calendar Flat'!$B:$B,MATCH(C60,'Calendar Flat'!$A:$A,0))</f>
        <v/>
      </c>
      <c r="D61" s="101" t="str">
        <f>INDEX('Calendar Flat'!$B:$B,MATCH(D60,'Calendar Flat'!$A:$A,0))</f>
        <v/>
      </c>
      <c r="E61" s="101" t="str">
        <f>INDEX('Calendar Flat'!$B:$B,MATCH(E60,'Calendar Flat'!$A:$A,0))</f>
        <v/>
      </c>
      <c r="F61" s="101" t="str">
        <f>INDEX('Calendar Flat'!$B:$B,MATCH(F60,'Calendar Flat'!$A:$A,0))</f>
        <v/>
      </c>
      <c r="G61" s="101" t="str">
        <f>INDEX('Calendar Flat'!$B:$B,MATCH(G60,'Calendar Flat'!$A:$A,0))</f>
        <v/>
      </c>
      <c r="H61" s="101" t="str">
        <f>INDEX('Calendar Flat'!$B:$B,MATCH(H60,'Calendar Flat'!$A:$A,0))</f>
        <v/>
      </c>
      <c r="I61" s="97" t="str">
        <f>"Week "&amp;WEEKNUM(G60)
&amp;CHAR(10)&amp;SUM(_xlfn.IFNA(INDEX(Workouts!$C:$C,MATCH(INDEX('Ride Log'!$C:$C,MATCH(B60,'Ride Log'!$A:$A,0)),Workouts!$A:$A,0)),0),_xlfn.IFNA(INDEX(Workouts!$C:$C,MATCH(INDEX('Ride Log'!$C:$C,MATCH(C60,'Ride Log'!$A:$A,0)),Workouts!$A:$A,0)),0),
_xlfn.IFNA(INDEX(Workouts!$C:$C,MATCH(INDEX('Ride Log'!$C:$C,MATCH(D60,'Ride Log'!$A:$A,0)),Workouts!$A:$A,0)),0),_xlfn.IFNA(INDEX(Workouts!$C:$C,MATCH(INDEX('Ride Log'!$C:$C,MATCH(E60,'Ride Log'!$A:$A,0)),Workouts!$A:$A,0)),0),
_xlfn.IFNA(INDEX(Workouts!$C:$C,MATCH(INDEX('Ride Log'!$C:$C,MATCH(F60,'Ride Log'!$A:$A,0)),Workouts!$A:$A,0)),0),_xlfn.IFNA(INDEX(Workouts!$C:$C,MATCH(INDEX('Ride Log'!$C:$C,MATCH(G60,'Ride Log'!$A:$A,0)),Workouts!$A:$A,0)),0),
_xlfn.IFNA(INDEX(Workouts!$C:$C,MATCH(INDEX('Ride Log'!$C:$C,MATCH(H60,'Ride Log'!$A:$A,0)),Workouts!$A:$A,0)),0))&amp;" TSS"</f>
        <v>Week 30
0 TSS</v>
      </c>
    </row>
    <row r="62" spans="1:9" ht="12.75" customHeight="1" x14ac:dyDescent="0.2">
      <c r="A62" s="105">
        <f>IF(DAY(H62)&lt;8,H62,"")</f>
        <v>44409</v>
      </c>
      <c r="B62" s="103">
        <f>H60+1</f>
        <v>44403</v>
      </c>
      <c r="C62" s="103">
        <f>B62+1</f>
        <v>44404</v>
      </c>
      <c r="D62" s="103">
        <f t="shared" ref="D62:H62" si="30">C62+1</f>
        <v>44405</v>
      </c>
      <c r="E62" s="103">
        <f t="shared" si="30"/>
        <v>44406</v>
      </c>
      <c r="F62" s="103">
        <f t="shared" si="30"/>
        <v>44407</v>
      </c>
      <c r="G62" s="103">
        <f t="shared" si="30"/>
        <v>44408</v>
      </c>
      <c r="H62" s="103">
        <f t="shared" si="30"/>
        <v>44409</v>
      </c>
    </row>
    <row r="63" spans="1:9" ht="65.099999999999994" customHeight="1" x14ac:dyDescent="0.2">
      <c r="A63" s="106"/>
      <c r="B63" s="101" t="str">
        <f>INDEX('Calendar Flat'!$B:$B,MATCH(B62,'Calendar Flat'!$A:$A,0))</f>
        <v/>
      </c>
      <c r="C63" s="101" t="str">
        <f>INDEX('Calendar Flat'!$B:$B,MATCH(C62,'Calendar Flat'!$A:$A,0))</f>
        <v/>
      </c>
      <c r="D63" s="101" t="str">
        <f>INDEX('Calendar Flat'!$B:$B,MATCH(D62,'Calendar Flat'!$A:$A,0))</f>
        <v/>
      </c>
      <c r="E63" s="101" t="str">
        <f>INDEX('Calendar Flat'!$B:$B,MATCH(E62,'Calendar Flat'!$A:$A,0))</f>
        <v/>
      </c>
      <c r="F63" s="101" t="str">
        <f>INDEX('Calendar Flat'!$B:$B,MATCH(F62,'Calendar Flat'!$A:$A,0))</f>
        <v/>
      </c>
      <c r="G63" s="101" t="str">
        <f>INDEX('Calendar Flat'!$B:$B,MATCH(G62,'Calendar Flat'!$A:$A,0))</f>
        <v/>
      </c>
      <c r="H63" s="101" t="str">
        <f>INDEX('Calendar Flat'!$B:$B,MATCH(H62,'Calendar Flat'!$A:$A,0))</f>
        <v/>
      </c>
      <c r="I63" s="97" t="str">
        <f>"Week "&amp;WEEKNUM(G62)
&amp;CHAR(10)&amp;SUM(_xlfn.IFNA(INDEX(Workouts!$C:$C,MATCH(INDEX('Ride Log'!$C:$C,MATCH(B62,'Ride Log'!$A:$A,0)),Workouts!$A:$A,0)),0),_xlfn.IFNA(INDEX(Workouts!$C:$C,MATCH(INDEX('Ride Log'!$C:$C,MATCH(C62,'Ride Log'!$A:$A,0)),Workouts!$A:$A,0)),0),
_xlfn.IFNA(INDEX(Workouts!$C:$C,MATCH(INDEX('Ride Log'!$C:$C,MATCH(D62,'Ride Log'!$A:$A,0)),Workouts!$A:$A,0)),0),_xlfn.IFNA(INDEX(Workouts!$C:$C,MATCH(INDEX('Ride Log'!$C:$C,MATCH(E62,'Ride Log'!$A:$A,0)),Workouts!$A:$A,0)),0),
_xlfn.IFNA(INDEX(Workouts!$C:$C,MATCH(INDEX('Ride Log'!$C:$C,MATCH(F62,'Ride Log'!$A:$A,0)),Workouts!$A:$A,0)),0),_xlfn.IFNA(INDEX(Workouts!$C:$C,MATCH(INDEX('Ride Log'!$C:$C,MATCH(G62,'Ride Log'!$A:$A,0)),Workouts!$A:$A,0)),0),
_xlfn.IFNA(INDEX(Workouts!$C:$C,MATCH(INDEX('Ride Log'!$C:$C,MATCH(H62,'Ride Log'!$A:$A,0)),Workouts!$A:$A,0)),0))&amp;" TSS"</f>
        <v>Week 31
0 TSS</v>
      </c>
    </row>
    <row r="64" spans="1:9" ht="12.75" customHeight="1" x14ac:dyDescent="0.2">
      <c r="A64" s="105" t="str">
        <f>IF(DAY(H64)&lt;8,H64,"")</f>
        <v/>
      </c>
      <c r="B64" s="103">
        <f>H62+1</f>
        <v>44410</v>
      </c>
      <c r="C64" s="103">
        <f>B64+1</f>
        <v>44411</v>
      </c>
      <c r="D64" s="103">
        <f t="shared" ref="D64:H64" si="31">C64+1</f>
        <v>44412</v>
      </c>
      <c r="E64" s="103">
        <f t="shared" si="31"/>
        <v>44413</v>
      </c>
      <c r="F64" s="103">
        <f t="shared" si="31"/>
        <v>44414</v>
      </c>
      <c r="G64" s="103">
        <f t="shared" si="31"/>
        <v>44415</v>
      </c>
      <c r="H64" s="103">
        <f t="shared" si="31"/>
        <v>44416</v>
      </c>
    </row>
    <row r="65" spans="1:9" ht="65.099999999999994" customHeight="1" x14ac:dyDescent="0.2">
      <c r="A65" s="106"/>
      <c r="B65" s="101" t="str">
        <f>INDEX('Calendar Flat'!$B:$B,MATCH(B64,'Calendar Flat'!$A:$A,0))</f>
        <v/>
      </c>
      <c r="C65" s="101" t="str">
        <f>INDEX('Calendar Flat'!$B:$B,MATCH(C64,'Calendar Flat'!$A:$A,0))</f>
        <v/>
      </c>
      <c r="D65" s="101" t="str">
        <f>INDEX('Calendar Flat'!$B:$B,MATCH(D64,'Calendar Flat'!$A:$A,0))</f>
        <v/>
      </c>
      <c r="E65" s="101" t="str">
        <f>INDEX('Calendar Flat'!$B:$B,MATCH(E64,'Calendar Flat'!$A:$A,0))</f>
        <v/>
      </c>
      <c r="F65" s="101" t="str">
        <f>INDEX('Calendar Flat'!$B:$B,MATCH(F64,'Calendar Flat'!$A:$A,0))</f>
        <v/>
      </c>
      <c r="G65" s="101" t="str">
        <f>INDEX('Calendar Flat'!$B:$B,MATCH(G64,'Calendar Flat'!$A:$A,0))</f>
        <v/>
      </c>
      <c r="H65" s="101" t="str">
        <f>INDEX('Calendar Flat'!$B:$B,MATCH(H64,'Calendar Flat'!$A:$A,0))</f>
        <v/>
      </c>
      <c r="I65" s="97" t="str">
        <f>"Week "&amp;WEEKNUM(G64)
&amp;CHAR(10)&amp;SUM(_xlfn.IFNA(INDEX(Workouts!$C:$C,MATCH(INDEX('Ride Log'!$C:$C,MATCH(B64,'Ride Log'!$A:$A,0)),Workouts!$A:$A,0)),0),_xlfn.IFNA(INDEX(Workouts!$C:$C,MATCH(INDEX('Ride Log'!$C:$C,MATCH(C64,'Ride Log'!$A:$A,0)),Workouts!$A:$A,0)),0),
_xlfn.IFNA(INDEX(Workouts!$C:$C,MATCH(INDEX('Ride Log'!$C:$C,MATCH(D64,'Ride Log'!$A:$A,0)),Workouts!$A:$A,0)),0),_xlfn.IFNA(INDEX(Workouts!$C:$C,MATCH(INDEX('Ride Log'!$C:$C,MATCH(E64,'Ride Log'!$A:$A,0)),Workouts!$A:$A,0)),0),
_xlfn.IFNA(INDEX(Workouts!$C:$C,MATCH(INDEX('Ride Log'!$C:$C,MATCH(F64,'Ride Log'!$A:$A,0)),Workouts!$A:$A,0)),0),_xlfn.IFNA(INDEX(Workouts!$C:$C,MATCH(INDEX('Ride Log'!$C:$C,MATCH(G64,'Ride Log'!$A:$A,0)),Workouts!$A:$A,0)),0),
_xlfn.IFNA(INDEX(Workouts!$C:$C,MATCH(INDEX('Ride Log'!$C:$C,MATCH(H64,'Ride Log'!$A:$A,0)),Workouts!$A:$A,0)),0))&amp;" TSS"</f>
        <v>Week 32
0 TSS</v>
      </c>
    </row>
    <row r="66" spans="1:9" ht="12.75" customHeight="1" x14ac:dyDescent="0.2">
      <c r="A66" s="105" t="str">
        <f>IF(DAY(H66)&lt;8,H66,"")</f>
        <v/>
      </c>
      <c r="B66" s="103">
        <f>H64+1</f>
        <v>44417</v>
      </c>
      <c r="C66" s="103">
        <f>B66+1</f>
        <v>44418</v>
      </c>
      <c r="D66" s="103">
        <f t="shared" ref="D66:H66" si="32">C66+1</f>
        <v>44419</v>
      </c>
      <c r="E66" s="103">
        <f t="shared" si="32"/>
        <v>44420</v>
      </c>
      <c r="F66" s="103">
        <f t="shared" si="32"/>
        <v>44421</v>
      </c>
      <c r="G66" s="103">
        <f t="shared" si="32"/>
        <v>44422</v>
      </c>
      <c r="H66" s="103">
        <f t="shared" si="32"/>
        <v>44423</v>
      </c>
    </row>
    <row r="67" spans="1:9" ht="65.099999999999994" customHeight="1" x14ac:dyDescent="0.2">
      <c r="A67" s="106"/>
      <c r="B67" s="101" t="str">
        <f>INDEX('Calendar Flat'!$B:$B,MATCH(B66,'Calendar Flat'!$A:$A,0))</f>
        <v/>
      </c>
      <c r="C67" s="101" t="str">
        <f>INDEX('Calendar Flat'!$B:$B,MATCH(C66,'Calendar Flat'!$A:$A,0))</f>
        <v/>
      </c>
      <c r="D67" s="101" t="str">
        <f>INDEX('Calendar Flat'!$B:$B,MATCH(D66,'Calendar Flat'!$A:$A,0))</f>
        <v/>
      </c>
      <c r="E67" s="101" t="str">
        <f>INDEX('Calendar Flat'!$B:$B,MATCH(E66,'Calendar Flat'!$A:$A,0))</f>
        <v/>
      </c>
      <c r="F67" s="101" t="str">
        <f>INDEX('Calendar Flat'!$B:$B,MATCH(F66,'Calendar Flat'!$A:$A,0))</f>
        <v/>
      </c>
      <c r="G67" s="101" t="str">
        <f>INDEX('Calendar Flat'!$B:$B,MATCH(G66,'Calendar Flat'!$A:$A,0))</f>
        <v/>
      </c>
      <c r="H67" s="101" t="str">
        <f>INDEX('Calendar Flat'!$B:$B,MATCH(H66,'Calendar Flat'!$A:$A,0))</f>
        <v/>
      </c>
      <c r="I67" s="97" t="str">
        <f>"Week "&amp;WEEKNUM(G66)
&amp;CHAR(10)&amp;SUM(_xlfn.IFNA(INDEX(Workouts!$C:$C,MATCH(INDEX('Ride Log'!$C:$C,MATCH(B66,'Ride Log'!$A:$A,0)),Workouts!$A:$A,0)),0),_xlfn.IFNA(INDEX(Workouts!$C:$C,MATCH(INDEX('Ride Log'!$C:$C,MATCH(C66,'Ride Log'!$A:$A,0)),Workouts!$A:$A,0)),0),
_xlfn.IFNA(INDEX(Workouts!$C:$C,MATCH(INDEX('Ride Log'!$C:$C,MATCH(D66,'Ride Log'!$A:$A,0)),Workouts!$A:$A,0)),0),_xlfn.IFNA(INDEX(Workouts!$C:$C,MATCH(INDEX('Ride Log'!$C:$C,MATCH(E66,'Ride Log'!$A:$A,0)),Workouts!$A:$A,0)),0),
_xlfn.IFNA(INDEX(Workouts!$C:$C,MATCH(INDEX('Ride Log'!$C:$C,MATCH(F66,'Ride Log'!$A:$A,0)),Workouts!$A:$A,0)),0),_xlfn.IFNA(INDEX(Workouts!$C:$C,MATCH(INDEX('Ride Log'!$C:$C,MATCH(G66,'Ride Log'!$A:$A,0)),Workouts!$A:$A,0)),0),
_xlfn.IFNA(INDEX(Workouts!$C:$C,MATCH(INDEX('Ride Log'!$C:$C,MATCH(H66,'Ride Log'!$A:$A,0)),Workouts!$A:$A,0)),0))&amp;" TSS"</f>
        <v>Week 33
0 TSS</v>
      </c>
    </row>
    <row r="68" spans="1:9" ht="12.75" customHeight="1" x14ac:dyDescent="0.2">
      <c r="A68" s="105" t="str">
        <f>IF(DAY(H68)&lt;8,H68,"")</f>
        <v/>
      </c>
      <c r="B68" s="103">
        <f>H66+1</f>
        <v>44424</v>
      </c>
      <c r="C68" s="103">
        <f>B68+1</f>
        <v>44425</v>
      </c>
      <c r="D68" s="103">
        <f t="shared" ref="D68:H68" si="33">C68+1</f>
        <v>44426</v>
      </c>
      <c r="E68" s="103">
        <f t="shared" si="33"/>
        <v>44427</v>
      </c>
      <c r="F68" s="103">
        <f t="shared" si="33"/>
        <v>44428</v>
      </c>
      <c r="G68" s="103">
        <f t="shared" si="33"/>
        <v>44429</v>
      </c>
      <c r="H68" s="103">
        <f t="shared" si="33"/>
        <v>44430</v>
      </c>
    </row>
    <row r="69" spans="1:9" ht="65.099999999999994" customHeight="1" x14ac:dyDescent="0.2">
      <c r="A69" s="106"/>
      <c r="B69" s="101" t="str">
        <f>INDEX('Calendar Flat'!$B:$B,MATCH(B68,'Calendar Flat'!$A:$A,0))</f>
        <v/>
      </c>
      <c r="C69" s="101" t="str">
        <f>INDEX('Calendar Flat'!$B:$B,MATCH(C68,'Calendar Flat'!$A:$A,0))</f>
        <v/>
      </c>
      <c r="D69" s="101" t="str">
        <f>INDEX('Calendar Flat'!$B:$B,MATCH(D68,'Calendar Flat'!$A:$A,0))</f>
        <v/>
      </c>
      <c r="E69" s="101" t="str">
        <f>INDEX('Calendar Flat'!$B:$B,MATCH(E68,'Calendar Flat'!$A:$A,0))</f>
        <v/>
      </c>
      <c r="F69" s="101" t="str">
        <f>INDEX('Calendar Flat'!$B:$B,MATCH(F68,'Calendar Flat'!$A:$A,0))</f>
        <v/>
      </c>
      <c r="G69" s="101" t="str">
        <f>INDEX('Calendar Flat'!$B:$B,MATCH(G68,'Calendar Flat'!$A:$A,0))</f>
        <v/>
      </c>
      <c r="H69" s="101" t="str">
        <f>INDEX('Calendar Flat'!$B:$B,MATCH(H68,'Calendar Flat'!$A:$A,0))</f>
        <v/>
      </c>
      <c r="I69" s="97" t="str">
        <f>"Week "&amp;WEEKNUM(G68)
&amp;CHAR(10)&amp;SUM(_xlfn.IFNA(INDEX(Workouts!$C:$C,MATCH(INDEX('Ride Log'!$C:$C,MATCH(B68,'Ride Log'!$A:$A,0)),Workouts!$A:$A,0)),0),_xlfn.IFNA(INDEX(Workouts!$C:$C,MATCH(INDEX('Ride Log'!$C:$C,MATCH(C68,'Ride Log'!$A:$A,0)),Workouts!$A:$A,0)),0),
_xlfn.IFNA(INDEX(Workouts!$C:$C,MATCH(INDEX('Ride Log'!$C:$C,MATCH(D68,'Ride Log'!$A:$A,0)),Workouts!$A:$A,0)),0),_xlfn.IFNA(INDEX(Workouts!$C:$C,MATCH(INDEX('Ride Log'!$C:$C,MATCH(E68,'Ride Log'!$A:$A,0)),Workouts!$A:$A,0)),0),
_xlfn.IFNA(INDEX(Workouts!$C:$C,MATCH(INDEX('Ride Log'!$C:$C,MATCH(F68,'Ride Log'!$A:$A,0)),Workouts!$A:$A,0)),0),_xlfn.IFNA(INDEX(Workouts!$C:$C,MATCH(INDEX('Ride Log'!$C:$C,MATCH(G68,'Ride Log'!$A:$A,0)),Workouts!$A:$A,0)),0),
_xlfn.IFNA(INDEX(Workouts!$C:$C,MATCH(INDEX('Ride Log'!$C:$C,MATCH(H68,'Ride Log'!$A:$A,0)),Workouts!$A:$A,0)),0))&amp;" TSS"</f>
        <v>Week 34
0 TSS</v>
      </c>
    </row>
    <row r="70" spans="1:9" ht="12.75" customHeight="1" x14ac:dyDescent="0.2">
      <c r="A70" s="105" t="str">
        <f>IF(DAY(H70)&lt;8,H70,"")</f>
        <v/>
      </c>
      <c r="B70" s="103">
        <f>H68+1</f>
        <v>44431</v>
      </c>
      <c r="C70" s="103">
        <f>B70+1</f>
        <v>44432</v>
      </c>
      <c r="D70" s="103">
        <f t="shared" ref="D70:H70" si="34">C70+1</f>
        <v>44433</v>
      </c>
      <c r="E70" s="103">
        <f t="shared" si="34"/>
        <v>44434</v>
      </c>
      <c r="F70" s="103">
        <f t="shared" si="34"/>
        <v>44435</v>
      </c>
      <c r="G70" s="103">
        <f t="shared" si="34"/>
        <v>44436</v>
      </c>
      <c r="H70" s="103">
        <f t="shared" si="34"/>
        <v>44437</v>
      </c>
    </row>
    <row r="71" spans="1:9" ht="65.099999999999994" customHeight="1" x14ac:dyDescent="0.2">
      <c r="A71" s="106"/>
      <c r="B71" s="101" t="str">
        <f>INDEX('Calendar Flat'!$B:$B,MATCH(B70,'Calendar Flat'!$A:$A,0))</f>
        <v/>
      </c>
      <c r="C71" s="101" t="str">
        <f>INDEX('Calendar Flat'!$B:$B,MATCH(C70,'Calendar Flat'!$A:$A,0))</f>
        <v/>
      </c>
      <c r="D71" s="101" t="str">
        <f>INDEX('Calendar Flat'!$B:$B,MATCH(D70,'Calendar Flat'!$A:$A,0))</f>
        <v/>
      </c>
      <c r="E71" s="101" t="str">
        <f>INDEX('Calendar Flat'!$B:$B,MATCH(E70,'Calendar Flat'!$A:$A,0))</f>
        <v/>
      </c>
      <c r="F71" s="101" t="str">
        <f>INDEX('Calendar Flat'!$B:$B,MATCH(F70,'Calendar Flat'!$A:$A,0))</f>
        <v/>
      </c>
      <c r="G71" s="101" t="str">
        <f>INDEX('Calendar Flat'!$B:$B,MATCH(G70,'Calendar Flat'!$A:$A,0))</f>
        <v/>
      </c>
      <c r="H71" s="101" t="str">
        <f>INDEX('Calendar Flat'!$B:$B,MATCH(H70,'Calendar Flat'!$A:$A,0))</f>
        <v/>
      </c>
      <c r="I71" s="97" t="str">
        <f>"Week "&amp;WEEKNUM(G70)
&amp;CHAR(10)&amp;SUM(_xlfn.IFNA(INDEX(Workouts!$C:$C,MATCH(INDEX('Ride Log'!$C:$C,MATCH(B70,'Ride Log'!$A:$A,0)),Workouts!$A:$A,0)),0),_xlfn.IFNA(INDEX(Workouts!$C:$C,MATCH(INDEX('Ride Log'!$C:$C,MATCH(C70,'Ride Log'!$A:$A,0)),Workouts!$A:$A,0)),0),
_xlfn.IFNA(INDEX(Workouts!$C:$C,MATCH(INDEX('Ride Log'!$C:$C,MATCH(D70,'Ride Log'!$A:$A,0)),Workouts!$A:$A,0)),0),_xlfn.IFNA(INDEX(Workouts!$C:$C,MATCH(INDEX('Ride Log'!$C:$C,MATCH(E70,'Ride Log'!$A:$A,0)),Workouts!$A:$A,0)),0),
_xlfn.IFNA(INDEX(Workouts!$C:$C,MATCH(INDEX('Ride Log'!$C:$C,MATCH(F70,'Ride Log'!$A:$A,0)),Workouts!$A:$A,0)),0),_xlfn.IFNA(INDEX(Workouts!$C:$C,MATCH(INDEX('Ride Log'!$C:$C,MATCH(G70,'Ride Log'!$A:$A,0)),Workouts!$A:$A,0)),0),
_xlfn.IFNA(INDEX(Workouts!$C:$C,MATCH(INDEX('Ride Log'!$C:$C,MATCH(H70,'Ride Log'!$A:$A,0)),Workouts!$A:$A,0)),0))&amp;" TSS"</f>
        <v>Week 35
0 TSS</v>
      </c>
    </row>
    <row r="72" spans="1:9" ht="12.75" customHeight="1" x14ac:dyDescent="0.2">
      <c r="A72" s="105">
        <f>IF(DAY(H72)&lt;8,H72,"")</f>
        <v>44444</v>
      </c>
      <c r="B72" s="103">
        <f>H70+1</f>
        <v>44438</v>
      </c>
      <c r="C72" s="103">
        <f>B72+1</f>
        <v>44439</v>
      </c>
      <c r="D72" s="103">
        <f t="shared" ref="D72:H72" si="35">C72+1</f>
        <v>44440</v>
      </c>
      <c r="E72" s="103">
        <f t="shared" si="35"/>
        <v>44441</v>
      </c>
      <c r="F72" s="103">
        <f t="shared" si="35"/>
        <v>44442</v>
      </c>
      <c r="G72" s="103">
        <f t="shared" si="35"/>
        <v>44443</v>
      </c>
      <c r="H72" s="103">
        <f t="shared" si="35"/>
        <v>44444</v>
      </c>
    </row>
    <row r="73" spans="1:9" ht="65.099999999999994" customHeight="1" x14ac:dyDescent="0.2">
      <c r="A73" s="106"/>
      <c r="B73" s="101" t="str">
        <f>INDEX('Calendar Flat'!$B:$B,MATCH(B72,'Calendar Flat'!$A:$A,0))</f>
        <v/>
      </c>
      <c r="C73" s="101" t="str">
        <f>INDEX('Calendar Flat'!$B:$B,MATCH(C72,'Calendar Flat'!$A:$A,0))</f>
        <v/>
      </c>
      <c r="D73" s="101" t="str">
        <f>INDEX('Calendar Flat'!$B:$B,MATCH(D72,'Calendar Flat'!$A:$A,0))</f>
        <v/>
      </c>
      <c r="E73" s="101" t="str">
        <f>INDEX('Calendar Flat'!$B:$B,MATCH(E72,'Calendar Flat'!$A:$A,0))</f>
        <v/>
      </c>
      <c r="F73" s="101" t="str">
        <f>INDEX('Calendar Flat'!$B:$B,MATCH(F72,'Calendar Flat'!$A:$A,0))</f>
        <v/>
      </c>
      <c r="G73" s="101" t="str">
        <f>INDEX('Calendar Flat'!$B:$B,MATCH(G72,'Calendar Flat'!$A:$A,0))</f>
        <v/>
      </c>
      <c r="H73" s="101" t="str">
        <f>INDEX('Calendar Flat'!$B:$B,MATCH(H72,'Calendar Flat'!$A:$A,0))</f>
        <v/>
      </c>
      <c r="I73" s="97" t="str">
        <f>"Week "&amp;WEEKNUM(G72)
&amp;CHAR(10)&amp;SUM(_xlfn.IFNA(INDEX(Workouts!$C:$C,MATCH(INDEX('Ride Log'!$C:$C,MATCH(B72,'Ride Log'!$A:$A,0)),Workouts!$A:$A,0)),0),_xlfn.IFNA(INDEX(Workouts!$C:$C,MATCH(INDEX('Ride Log'!$C:$C,MATCH(C72,'Ride Log'!$A:$A,0)),Workouts!$A:$A,0)),0),
_xlfn.IFNA(INDEX(Workouts!$C:$C,MATCH(INDEX('Ride Log'!$C:$C,MATCH(D72,'Ride Log'!$A:$A,0)),Workouts!$A:$A,0)),0),_xlfn.IFNA(INDEX(Workouts!$C:$C,MATCH(INDEX('Ride Log'!$C:$C,MATCH(E72,'Ride Log'!$A:$A,0)),Workouts!$A:$A,0)),0),
_xlfn.IFNA(INDEX(Workouts!$C:$C,MATCH(INDEX('Ride Log'!$C:$C,MATCH(F72,'Ride Log'!$A:$A,0)),Workouts!$A:$A,0)),0),_xlfn.IFNA(INDEX(Workouts!$C:$C,MATCH(INDEX('Ride Log'!$C:$C,MATCH(G72,'Ride Log'!$A:$A,0)),Workouts!$A:$A,0)),0),
_xlfn.IFNA(INDEX(Workouts!$C:$C,MATCH(INDEX('Ride Log'!$C:$C,MATCH(H72,'Ride Log'!$A:$A,0)),Workouts!$A:$A,0)),0))&amp;" TSS"</f>
        <v>Week 36
0 TSS</v>
      </c>
    </row>
    <row r="74" spans="1:9" ht="12.75" customHeight="1" x14ac:dyDescent="0.2">
      <c r="A74" s="105" t="str">
        <f>IF(DAY(H74)&lt;8,H74,"")</f>
        <v/>
      </c>
      <c r="B74" s="103">
        <f>H72+1</f>
        <v>44445</v>
      </c>
      <c r="C74" s="103">
        <f>B74+1</f>
        <v>44446</v>
      </c>
      <c r="D74" s="103">
        <f t="shared" ref="D74:H74" si="36">C74+1</f>
        <v>44447</v>
      </c>
      <c r="E74" s="103">
        <f t="shared" si="36"/>
        <v>44448</v>
      </c>
      <c r="F74" s="103">
        <f t="shared" si="36"/>
        <v>44449</v>
      </c>
      <c r="G74" s="103">
        <f t="shared" si="36"/>
        <v>44450</v>
      </c>
      <c r="H74" s="103">
        <f t="shared" si="36"/>
        <v>44451</v>
      </c>
    </row>
    <row r="75" spans="1:9" ht="65.099999999999994" customHeight="1" x14ac:dyDescent="0.2">
      <c r="A75" s="105"/>
      <c r="B75" s="101" t="str">
        <f>INDEX('Calendar Flat'!$B:$B,MATCH(B74,'Calendar Flat'!$A:$A,0))</f>
        <v/>
      </c>
      <c r="C75" s="101" t="str">
        <f>INDEX('Calendar Flat'!$B:$B,MATCH(C74,'Calendar Flat'!$A:$A,0))</f>
        <v/>
      </c>
      <c r="D75" s="101" t="str">
        <f>INDEX('Calendar Flat'!$B:$B,MATCH(D74,'Calendar Flat'!$A:$A,0))</f>
        <v/>
      </c>
      <c r="E75" s="101" t="str">
        <f>INDEX('Calendar Flat'!$B:$B,MATCH(E74,'Calendar Flat'!$A:$A,0))</f>
        <v/>
      </c>
      <c r="F75" s="101" t="str">
        <f>INDEX('Calendar Flat'!$B:$B,MATCH(F74,'Calendar Flat'!$A:$A,0))</f>
        <v/>
      </c>
      <c r="G75" s="101" t="str">
        <f>INDEX('Calendar Flat'!$B:$B,MATCH(G74,'Calendar Flat'!$A:$A,0))</f>
        <v/>
      </c>
      <c r="H75" s="101" t="str">
        <f>INDEX('Calendar Flat'!$B:$B,MATCH(H74,'Calendar Flat'!$A:$A,0))</f>
        <v/>
      </c>
      <c r="I75" s="97" t="str">
        <f>"Week "&amp;WEEKNUM(G74)
&amp;CHAR(10)&amp;SUM(_xlfn.IFNA(INDEX(Workouts!$C:$C,MATCH(INDEX('Ride Log'!$C:$C,MATCH(B74,'Ride Log'!$A:$A,0)),Workouts!$A:$A,0)),0),_xlfn.IFNA(INDEX(Workouts!$C:$C,MATCH(INDEX('Ride Log'!$C:$C,MATCH(C74,'Ride Log'!$A:$A,0)),Workouts!$A:$A,0)),0),
_xlfn.IFNA(INDEX(Workouts!$C:$C,MATCH(INDEX('Ride Log'!$C:$C,MATCH(D74,'Ride Log'!$A:$A,0)),Workouts!$A:$A,0)),0),_xlfn.IFNA(INDEX(Workouts!$C:$C,MATCH(INDEX('Ride Log'!$C:$C,MATCH(E74,'Ride Log'!$A:$A,0)),Workouts!$A:$A,0)),0),
_xlfn.IFNA(INDEX(Workouts!$C:$C,MATCH(INDEX('Ride Log'!$C:$C,MATCH(F74,'Ride Log'!$A:$A,0)),Workouts!$A:$A,0)),0),_xlfn.IFNA(INDEX(Workouts!$C:$C,MATCH(INDEX('Ride Log'!$C:$C,MATCH(G74,'Ride Log'!$A:$A,0)),Workouts!$A:$A,0)),0),
_xlfn.IFNA(INDEX(Workouts!$C:$C,MATCH(INDEX('Ride Log'!$C:$C,MATCH(H74,'Ride Log'!$A:$A,0)),Workouts!$A:$A,0)),0))&amp;" TSS"</f>
        <v>Week 37
0 TSS</v>
      </c>
    </row>
    <row r="76" spans="1:9" ht="12.75" customHeight="1" x14ac:dyDescent="0.2">
      <c r="A76" s="105" t="str">
        <f>IF(DAY(H76)&lt;8,H76,"")</f>
        <v/>
      </c>
      <c r="B76" s="103">
        <f>H74+1</f>
        <v>44452</v>
      </c>
      <c r="C76" s="103">
        <f>B76+1</f>
        <v>44453</v>
      </c>
      <c r="D76" s="103">
        <f t="shared" ref="D76:H76" si="37">C76+1</f>
        <v>44454</v>
      </c>
      <c r="E76" s="103">
        <f t="shared" si="37"/>
        <v>44455</v>
      </c>
      <c r="F76" s="103">
        <f t="shared" si="37"/>
        <v>44456</v>
      </c>
      <c r="G76" s="103">
        <f t="shared" si="37"/>
        <v>44457</v>
      </c>
      <c r="H76" s="103">
        <f t="shared" si="37"/>
        <v>44458</v>
      </c>
    </row>
    <row r="77" spans="1:9" ht="65.099999999999994" customHeight="1" x14ac:dyDescent="0.2">
      <c r="A77" s="106"/>
      <c r="B77" s="101" t="str">
        <f>INDEX('Calendar Flat'!$B:$B,MATCH(B76,'Calendar Flat'!$A:$A,0))</f>
        <v/>
      </c>
      <c r="C77" s="101" t="str">
        <f>INDEX('Calendar Flat'!$B:$B,MATCH(C76,'Calendar Flat'!$A:$A,0))</f>
        <v/>
      </c>
      <c r="D77" s="101" t="str">
        <f>INDEX('Calendar Flat'!$B:$B,MATCH(D76,'Calendar Flat'!$A:$A,0))</f>
        <v/>
      </c>
      <c r="E77" s="101" t="str">
        <f>INDEX('Calendar Flat'!$B:$B,MATCH(E76,'Calendar Flat'!$A:$A,0))</f>
        <v/>
      </c>
      <c r="F77" s="101" t="str">
        <f>INDEX('Calendar Flat'!$B:$B,MATCH(F76,'Calendar Flat'!$A:$A,0))</f>
        <v/>
      </c>
      <c r="G77" s="101" t="str">
        <f>INDEX('Calendar Flat'!$B:$B,MATCH(G76,'Calendar Flat'!$A:$A,0))</f>
        <v/>
      </c>
      <c r="H77" s="101" t="str">
        <f>INDEX('Calendar Flat'!$B:$B,MATCH(H76,'Calendar Flat'!$A:$A,0))</f>
        <v/>
      </c>
      <c r="I77" s="97" t="str">
        <f>"Week "&amp;WEEKNUM(G76)
&amp;CHAR(10)&amp;SUM(_xlfn.IFNA(INDEX(Workouts!$C:$C,MATCH(INDEX('Ride Log'!$C:$C,MATCH(B76,'Ride Log'!$A:$A,0)),Workouts!$A:$A,0)),0),_xlfn.IFNA(INDEX(Workouts!$C:$C,MATCH(INDEX('Ride Log'!$C:$C,MATCH(C76,'Ride Log'!$A:$A,0)),Workouts!$A:$A,0)),0),
_xlfn.IFNA(INDEX(Workouts!$C:$C,MATCH(INDEX('Ride Log'!$C:$C,MATCH(D76,'Ride Log'!$A:$A,0)),Workouts!$A:$A,0)),0),_xlfn.IFNA(INDEX(Workouts!$C:$C,MATCH(INDEX('Ride Log'!$C:$C,MATCH(E76,'Ride Log'!$A:$A,0)),Workouts!$A:$A,0)),0),
_xlfn.IFNA(INDEX(Workouts!$C:$C,MATCH(INDEX('Ride Log'!$C:$C,MATCH(F76,'Ride Log'!$A:$A,0)),Workouts!$A:$A,0)),0),_xlfn.IFNA(INDEX(Workouts!$C:$C,MATCH(INDEX('Ride Log'!$C:$C,MATCH(G76,'Ride Log'!$A:$A,0)),Workouts!$A:$A,0)),0),
_xlfn.IFNA(INDEX(Workouts!$C:$C,MATCH(INDEX('Ride Log'!$C:$C,MATCH(H76,'Ride Log'!$A:$A,0)),Workouts!$A:$A,0)),0))&amp;" TSS"</f>
        <v>Week 38
0 TSS</v>
      </c>
    </row>
    <row r="78" spans="1:9" ht="12.75" customHeight="1" x14ac:dyDescent="0.2">
      <c r="A78" s="105" t="str">
        <f>IF(DAY(H78)&lt;8,H78,"")</f>
        <v/>
      </c>
      <c r="B78" s="103">
        <f>H76+1</f>
        <v>44459</v>
      </c>
      <c r="C78" s="103">
        <f>B78+1</f>
        <v>44460</v>
      </c>
      <c r="D78" s="103">
        <f t="shared" ref="D78:H78" si="38">C78+1</f>
        <v>44461</v>
      </c>
      <c r="E78" s="103">
        <f t="shared" si="38"/>
        <v>44462</v>
      </c>
      <c r="F78" s="103">
        <f t="shared" si="38"/>
        <v>44463</v>
      </c>
      <c r="G78" s="103">
        <f t="shared" si="38"/>
        <v>44464</v>
      </c>
      <c r="H78" s="103">
        <f t="shared" si="38"/>
        <v>44465</v>
      </c>
    </row>
    <row r="79" spans="1:9" ht="65.099999999999994" customHeight="1" x14ac:dyDescent="0.2">
      <c r="A79" s="106"/>
      <c r="B79" s="101" t="str">
        <f>INDEX('Calendar Flat'!$B:$B,MATCH(B78,'Calendar Flat'!$A:$A,0))</f>
        <v/>
      </c>
      <c r="C79" s="101" t="str">
        <f>INDEX('Calendar Flat'!$B:$B,MATCH(C78,'Calendar Flat'!$A:$A,0))</f>
        <v/>
      </c>
      <c r="D79" s="101" t="str">
        <f>INDEX('Calendar Flat'!$B:$B,MATCH(D78,'Calendar Flat'!$A:$A,0))</f>
        <v/>
      </c>
      <c r="E79" s="101" t="str">
        <f>INDEX('Calendar Flat'!$B:$B,MATCH(E78,'Calendar Flat'!$A:$A,0))</f>
        <v/>
      </c>
      <c r="F79" s="101" t="str">
        <f>INDEX('Calendar Flat'!$B:$B,MATCH(F78,'Calendar Flat'!$A:$A,0))</f>
        <v/>
      </c>
      <c r="G79" s="101" t="str">
        <f>INDEX('Calendar Flat'!$B:$B,MATCH(G78,'Calendar Flat'!$A:$A,0))</f>
        <v/>
      </c>
      <c r="H79" s="101" t="str">
        <f>INDEX('Calendar Flat'!$B:$B,MATCH(H78,'Calendar Flat'!$A:$A,0))</f>
        <v/>
      </c>
      <c r="I79" s="97" t="str">
        <f>"Week "&amp;WEEKNUM(G78)
&amp;CHAR(10)&amp;SUM(_xlfn.IFNA(INDEX(Workouts!$C:$C,MATCH(INDEX('Ride Log'!$C:$C,MATCH(B78,'Ride Log'!$A:$A,0)),Workouts!$A:$A,0)),0),_xlfn.IFNA(INDEX(Workouts!$C:$C,MATCH(INDEX('Ride Log'!$C:$C,MATCH(C78,'Ride Log'!$A:$A,0)),Workouts!$A:$A,0)),0),
_xlfn.IFNA(INDEX(Workouts!$C:$C,MATCH(INDEX('Ride Log'!$C:$C,MATCH(D78,'Ride Log'!$A:$A,0)),Workouts!$A:$A,0)),0),_xlfn.IFNA(INDEX(Workouts!$C:$C,MATCH(INDEX('Ride Log'!$C:$C,MATCH(E78,'Ride Log'!$A:$A,0)),Workouts!$A:$A,0)),0),
_xlfn.IFNA(INDEX(Workouts!$C:$C,MATCH(INDEX('Ride Log'!$C:$C,MATCH(F78,'Ride Log'!$A:$A,0)),Workouts!$A:$A,0)),0),_xlfn.IFNA(INDEX(Workouts!$C:$C,MATCH(INDEX('Ride Log'!$C:$C,MATCH(G78,'Ride Log'!$A:$A,0)),Workouts!$A:$A,0)),0),
_xlfn.IFNA(INDEX(Workouts!$C:$C,MATCH(INDEX('Ride Log'!$C:$C,MATCH(H78,'Ride Log'!$A:$A,0)),Workouts!$A:$A,0)),0))&amp;" TSS"</f>
        <v>Week 39
0 TSS</v>
      </c>
    </row>
    <row r="80" spans="1:9" ht="12.75" customHeight="1" x14ac:dyDescent="0.2">
      <c r="A80" s="105">
        <f>IF(DAY(H80)&lt;8,H80,"")</f>
        <v>44472</v>
      </c>
      <c r="B80" s="103">
        <f>H78+1</f>
        <v>44466</v>
      </c>
      <c r="C80" s="103">
        <f>B80+1</f>
        <v>44467</v>
      </c>
      <c r="D80" s="103">
        <f t="shared" ref="D80:H80" si="39">C80+1</f>
        <v>44468</v>
      </c>
      <c r="E80" s="103">
        <f t="shared" si="39"/>
        <v>44469</v>
      </c>
      <c r="F80" s="103">
        <f t="shared" si="39"/>
        <v>44470</v>
      </c>
      <c r="G80" s="103">
        <f t="shared" si="39"/>
        <v>44471</v>
      </c>
      <c r="H80" s="103">
        <f t="shared" si="39"/>
        <v>44472</v>
      </c>
    </row>
    <row r="81" spans="1:9" ht="65.099999999999994" customHeight="1" x14ac:dyDescent="0.2">
      <c r="A81" s="106"/>
      <c r="B81" s="101" t="str">
        <f>INDEX('Calendar Flat'!$B:$B,MATCH(B80,'Calendar Flat'!$A:$A,0))</f>
        <v/>
      </c>
      <c r="C81" s="101" t="str">
        <f>INDEX('Calendar Flat'!$B:$B,MATCH(C80,'Calendar Flat'!$A:$A,0))</f>
        <v/>
      </c>
      <c r="D81" s="101" t="str">
        <f>INDEX('Calendar Flat'!$B:$B,MATCH(D80,'Calendar Flat'!$A:$A,0))</f>
        <v/>
      </c>
      <c r="E81" s="101" t="str">
        <f>INDEX('Calendar Flat'!$B:$B,MATCH(E80,'Calendar Flat'!$A:$A,0))</f>
        <v/>
      </c>
      <c r="F81" s="101" t="str">
        <f>INDEX('Calendar Flat'!$B:$B,MATCH(F80,'Calendar Flat'!$A:$A,0))</f>
        <v/>
      </c>
      <c r="G81" s="101" t="str">
        <f>INDEX('Calendar Flat'!$B:$B,MATCH(G80,'Calendar Flat'!$A:$A,0))</f>
        <v/>
      </c>
      <c r="H81" s="101" t="str">
        <f>INDEX('Calendar Flat'!$B:$B,MATCH(H80,'Calendar Flat'!$A:$A,0))</f>
        <v/>
      </c>
      <c r="I81" s="97" t="str">
        <f>"Week "&amp;WEEKNUM(G80)
&amp;CHAR(10)&amp;SUM(_xlfn.IFNA(INDEX(Workouts!$C:$C,MATCH(INDEX('Ride Log'!$C:$C,MATCH(B80,'Ride Log'!$A:$A,0)),Workouts!$A:$A,0)),0),_xlfn.IFNA(INDEX(Workouts!$C:$C,MATCH(INDEX('Ride Log'!$C:$C,MATCH(C80,'Ride Log'!$A:$A,0)),Workouts!$A:$A,0)),0),
_xlfn.IFNA(INDEX(Workouts!$C:$C,MATCH(INDEX('Ride Log'!$C:$C,MATCH(D80,'Ride Log'!$A:$A,0)),Workouts!$A:$A,0)),0),_xlfn.IFNA(INDEX(Workouts!$C:$C,MATCH(INDEX('Ride Log'!$C:$C,MATCH(E80,'Ride Log'!$A:$A,0)),Workouts!$A:$A,0)),0),
_xlfn.IFNA(INDEX(Workouts!$C:$C,MATCH(INDEX('Ride Log'!$C:$C,MATCH(F80,'Ride Log'!$A:$A,0)),Workouts!$A:$A,0)),0),_xlfn.IFNA(INDEX(Workouts!$C:$C,MATCH(INDEX('Ride Log'!$C:$C,MATCH(G80,'Ride Log'!$A:$A,0)),Workouts!$A:$A,0)),0),
_xlfn.IFNA(INDEX(Workouts!$C:$C,MATCH(INDEX('Ride Log'!$C:$C,MATCH(H80,'Ride Log'!$A:$A,0)),Workouts!$A:$A,0)),0))&amp;" TSS"</f>
        <v>Week 40
0 TSS</v>
      </c>
    </row>
    <row r="82" spans="1:9" ht="12.75" customHeight="1" x14ac:dyDescent="0.2">
      <c r="A82" s="105" t="str">
        <f>IF(DAY(H82)&lt;8,H82,"")</f>
        <v/>
      </c>
      <c r="B82" s="103">
        <f>H80+1</f>
        <v>44473</v>
      </c>
      <c r="C82" s="103">
        <f>B82+1</f>
        <v>44474</v>
      </c>
      <c r="D82" s="103">
        <f t="shared" ref="D82:H82" si="40">C82+1</f>
        <v>44475</v>
      </c>
      <c r="E82" s="103">
        <f t="shared" si="40"/>
        <v>44476</v>
      </c>
      <c r="F82" s="103">
        <f t="shared" si="40"/>
        <v>44477</v>
      </c>
      <c r="G82" s="103">
        <f t="shared" si="40"/>
        <v>44478</v>
      </c>
      <c r="H82" s="103">
        <f t="shared" si="40"/>
        <v>44479</v>
      </c>
    </row>
    <row r="83" spans="1:9" ht="65.099999999999994" customHeight="1" x14ac:dyDescent="0.2">
      <c r="A83" s="106"/>
      <c r="B83" s="101" t="str">
        <f>INDEX('Calendar Flat'!$B:$B,MATCH(B82,'Calendar Flat'!$A:$A,0))</f>
        <v/>
      </c>
      <c r="C83" s="101" t="str">
        <f>INDEX('Calendar Flat'!$B:$B,MATCH(C82,'Calendar Flat'!$A:$A,0))</f>
        <v/>
      </c>
      <c r="D83" s="101" t="str">
        <f>INDEX('Calendar Flat'!$B:$B,MATCH(D82,'Calendar Flat'!$A:$A,0))</f>
        <v/>
      </c>
      <c r="E83" s="101" t="str">
        <f>INDEX('Calendar Flat'!$B:$B,MATCH(E82,'Calendar Flat'!$A:$A,0))</f>
        <v/>
      </c>
      <c r="F83" s="101" t="str">
        <f>INDEX('Calendar Flat'!$B:$B,MATCH(F82,'Calendar Flat'!$A:$A,0))</f>
        <v/>
      </c>
      <c r="G83" s="101" t="str">
        <f>INDEX('Calendar Flat'!$B:$B,MATCH(G82,'Calendar Flat'!$A:$A,0))</f>
        <v/>
      </c>
      <c r="H83" s="101" t="str">
        <f>INDEX('Calendar Flat'!$B:$B,MATCH(H82,'Calendar Flat'!$A:$A,0))</f>
        <v/>
      </c>
      <c r="I83" s="97" t="str">
        <f>"Week "&amp;WEEKNUM(G82)
&amp;CHAR(10)&amp;SUM(_xlfn.IFNA(INDEX(Workouts!$C:$C,MATCH(INDEX('Ride Log'!$C:$C,MATCH(B82,'Ride Log'!$A:$A,0)),Workouts!$A:$A,0)),0),_xlfn.IFNA(INDEX(Workouts!$C:$C,MATCH(INDEX('Ride Log'!$C:$C,MATCH(C82,'Ride Log'!$A:$A,0)),Workouts!$A:$A,0)),0),
_xlfn.IFNA(INDEX(Workouts!$C:$C,MATCH(INDEX('Ride Log'!$C:$C,MATCH(D82,'Ride Log'!$A:$A,0)),Workouts!$A:$A,0)),0),_xlfn.IFNA(INDEX(Workouts!$C:$C,MATCH(INDEX('Ride Log'!$C:$C,MATCH(E82,'Ride Log'!$A:$A,0)),Workouts!$A:$A,0)),0),
_xlfn.IFNA(INDEX(Workouts!$C:$C,MATCH(INDEX('Ride Log'!$C:$C,MATCH(F82,'Ride Log'!$A:$A,0)),Workouts!$A:$A,0)),0),_xlfn.IFNA(INDEX(Workouts!$C:$C,MATCH(INDEX('Ride Log'!$C:$C,MATCH(G82,'Ride Log'!$A:$A,0)),Workouts!$A:$A,0)),0),
_xlfn.IFNA(INDEX(Workouts!$C:$C,MATCH(INDEX('Ride Log'!$C:$C,MATCH(H82,'Ride Log'!$A:$A,0)),Workouts!$A:$A,0)),0))&amp;" TSS"</f>
        <v>Week 41
0 TSS</v>
      </c>
    </row>
    <row r="84" spans="1:9" ht="12.75" customHeight="1" x14ac:dyDescent="0.2">
      <c r="A84" s="105" t="str">
        <f>IF(DAY(H84)&lt;8,H84,"")</f>
        <v/>
      </c>
      <c r="B84" s="103">
        <f>H82+1</f>
        <v>44480</v>
      </c>
      <c r="C84" s="103">
        <f>B84+1</f>
        <v>44481</v>
      </c>
      <c r="D84" s="103">
        <f t="shared" ref="D84:H84" si="41">C84+1</f>
        <v>44482</v>
      </c>
      <c r="E84" s="103">
        <f t="shared" si="41"/>
        <v>44483</v>
      </c>
      <c r="F84" s="103">
        <f t="shared" si="41"/>
        <v>44484</v>
      </c>
      <c r="G84" s="103">
        <f t="shared" si="41"/>
        <v>44485</v>
      </c>
      <c r="H84" s="103">
        <f t="shared" si="41"/>
        <v>44486</v>
      </c>
    </row>
    <row r="85" spans="1:9" ht="65.099999999999994" customHeight="1" x14ac:dyDescent="0.2">
      <c r="A85" s="106"/>
      <c r="B85" s="101" t="str">
        <f>INDEX('Calendar Flat'!$B:$B,MATCH(B84,'Calendar Flat'!$A:$A,0))</f>
        <v/>
      </c>
      <c r="C85" s="101" t="str">
        <f>INDEX('Calendar Flat'!$B:$B,MATCH(C84,'Calendar Flat'!$A:$A,0))</f>
        <v/>
      </c>
      <c r="D85" s="101" t="str">
        <f>INDEX('Calendar Flat'!$B:$B,MATCH(D84,'Calendar Flat'!$A:$A,0))</f>
        <v/>
      </c>
      <c r="E85" s="101" t="str">
        <f>INDEX('Calendar Flat'!$B:$B,MATCH(E84,'Calendar Flat'!$A:$A,0))</f>
        <v/>
      </c>
      <c r="F85" s="101" t="str">
        <f>INDEX('Calendar Flat'!$B:$B,MATCH(F84,'Calendar Flat'!$A:$A,0))</f>
        <v/>
      </c>
      <c r="G85" s="101" t="str">
        <f>INDEX('Calendar Flat'!$B:$B,MATCH(G84,'Calendar Flat'!$A:$A,0))</f>
        <v/>
      </c>
      <c r="H85" s="101" t="str">
        <f>INDEX('Calendar Flat'!$B:$B,MATCH(H84,'Calendar Flat'!$A:$A,0))</f>
        <v/>
      </c>
      <c r="I85" s="97" t="str">
        <f>"Week "&amp;WEEKNUM(G84)
&amp;CHAR(10)&amp;SUM(_xlfn.IFNA(INDEX(Workouts!$C:$C,MATCH(INDEX('Ride Log'!$C:$C,MATCH(B84,'Ride Log'!$A:$A,0)),Workouts!$A:$A,0)),0),_xlfn.IFNA(INDEX(Workouts!$C:$C,MATCH(INDEX('Ride Log'!$C:$C,MATCH(C84,'Ride Log'!$A:$A,0)),Workouts!$A:$A,0)),0),
_xlfn.IFNA(INDEX(Workouts!$C:$C,MATCH(INDEX('Ride Log'!$C:$C,MATCH(D84,'Ride Log'!$A:$A,0)),Workouts!$A:$A,0)),0),_xlfn.IFNA(INDEX(Workouts!$C:$C,MATCH(INDEX('Ride Log'!$C:$C,MATCH(E84,'Ride Log'!$A:$A,0)),Workouts!$A:$A,0)),0),
_xlfn.IFNA(INDEX(Workouts!$C:$C,MATCH(INDEX('Ride Log'!$C:$C,MATCH(F84,'Ride Log'!$A:$A,0)),Workouts!$A:$A,0)),0),_xlfn.IFNA(INDEX(Workouts!$C:$C,MATCH(INDEX('Ride Log'!$C:$C,MATCH(G84,'Ride Log'!$A:$A,0)),Workouts!$A:$A,0)),0),
_xlfn.IFNA(INDEX(Workouts!$C:$C,MATCH(INDEX('Ride Log'!$C:$C,MATCH(H84,'Ride Log'!$A:$A,0)),Workouts!$A:$A,0)),0))&amp;" TSS"</f>
        <v>Week 42
0 TSS</v>
      </c>
    </row>
    <row r="86" spans="1:9" ht="12.75" customHeight="1" x14ac:dyDescent="0.2">
      <c r="A86" s="105" t="str">
        <f>IF(DAY(H86)&lt;8,H86,"")</f>
        <v/>
      </c>
      <c r="B86" s="103">
        <f>H84+1</f>
        <v>44487</v>
      </c>
      <c r="C86" s="103">
        <f>B86+1</f>
        <v>44488</v>
      </c>
      <c r="D86" s="103">
        <f t="shared" ref="D86:H86" si="42">C86+1</f>
        <v>44489</v>
      </c>
      <c r="E86" s="103">
        <f t="shared" si="42"/>
        <v>44490</v>
      </c>
      <c r="F86" s="103">
        <f t="shared" si="42"/>
        <v>44491</v>
      </c>
      <c r="G86" s="103">
        <f t="shared" si="42"/>
        <v>44492</v>
      </c>
      <c r="H86" s="103">
        <f t="shared" si="42"/>
        <v>44493</v>
      </c>
    </row>
    <row r="87" spans="1:9" ht="65.099999999999994" customHeight="1" x14ac:dyDescent="0.2">
      <c r="A87" s="106"/>
      <c r="B87" s="101" t="str">
        <f>INDEX('Calendar Flat'!$B:$B,MATCH(B86,'Calendar Flat'!$A:$A,0))</f>
        <v/>
      </c>
      <c r="C87" s="101" t="str">
        <f>INDEX('Calendar Flat'!$B:$B,MATCH(C86,'Calendar Flat'!$A:$A,0))</f>
        <v/>
      </c>
      <c r="D87" s="101" t="str">
        <f>INDEX('Calendar Flat'!$B:$B,MATCH(D86,'Calendar Flat'!$A:$A,0))</f>
        <v/>
      </c>
      <c r="E87" s="101" t="str">
        <f>INDEX('Calendar Flat'!$B:$B,MATCH(E86,'Calendar Flat'!$A:$A,0))</f>
        <v/>
      </c>
      <c r="F87" s="101" t="str">
        <f>INDEX('Calendar Flat'!$B:$B,MATCH(F86,'Calendar Flat'!$A:$A,0))</f>
        <v/>
      </c>
      <c r="G87" s="101" t="str">
        <f>INDEX('Calendar Flat'!$B:$B,MATCH(G86,'Calendar Flat'!$A:$A,0))</f>
        <v/>
      </c>
      <c r="H87" s="101" t="str">
        <f>INDEX('Calendar Flat'!$B:$B,MATCH(H86,'Calendar Flat'!$A:$A,0))</f>
        <v/>
      </c>
      <c r="I87" s="97" t="str">
        <f>"Week "&amp;WEEKNUM(G86)
&amp;CHAR(10)&amp;SUM(_xlfn.IFNA(INDEX(Workouts!$C:$C,MATCH(INDEX('Ride Log'!$C:$C,MATCH(B86,'Ride Log'!$A:$A,0)),Workouts!$A:$A,0)),0),_xlfn.IFNA(INDEX(Workouts!$C:$C,MATCH(INDEX('Ride Log'!$C:$C,MATCH(C86,'Ride Log'!$A:$A,0)),Workouts!$A:$A,0)),0),
_xlfn.IFNA(INDEX(Workouts!$C:$C,MATCH(INDEX('Ride Log'!$C:$C,MATCH(D86,'Ride Log'!$A:$A,0)),Workouts!$A:$A,0)),0),_xlfn.IFNA(INDEX(Workouts!$C:$C,MATCH(INDEX('Ride Log'!$C:$C,MATCH(E86,'Ride Log'!$A:$A,0)),Workouts!$A:$A,0)),0),
_xlfn.IFNA(INDEX(Workouts!$C:$C,MATCH(INDEX('Ride Log'!$C:$C,MATCH(F86,'Ride Log'!$A:$A,0)),Workouts!$A:$A,0)),0),_xlfn.IFNA(INDEX(Workouts!$C:$C,MATCH(INDEX('Ride Log'!$C:$C,MATCH(G86,'Ride Log'!$A:$A,0)),Workouts!$A:$A,0)),0),
_xlfn.IFNA(INDEX(Workouts!$C:$C,MATCH(INDEX('Ride Log'!$C:$C,MATCH(H86,'Ride Log'!$A:$A,0)),Workouts!$A:$A,0)),0))&amp;" TSS"</f>
        <v>Week 43
0 TSS</v>
      </c>
    </row>
    <row r="88" spans="1:9" ht="12.75" customHeight="1" x14ac:dyDescent="0.2">
      <c r="A88" s="105" t="str">
        <f>IF(DAY(H88)&lt;8,H88,"")</f>
        <v/>
      </c>
      <c r="B88" s="103">
        <f>H86+1</f>
        <v>44494</v>
      </c>
      <c r="C88" s="103">
        <f>B88+1</f>
        <v>44495</v>
      </c>
      <c r="D88" s="103">
        <f t="shared" ref="D88:H88" si="43">C88+1</f>
        <v>44496</v>
      </c>
      <c r="E88" s="103">
        <f t="shared" si="43"/>
        <v>44497</v>
      </c>
      <c r="F88" s="103">
        <f t="shared" si="43"/>
        <v>44498</v>
      </c>
      <c r="G88" s="103">
        <f t="shared" si="43"/>
        <v>44499</v>
      </c>
      <c r="H88" s="103">
        <f t="shared" si="43"/>
        <v>44500</v>
      </c>
    </row>
    <row r="89" spans="1:9" ht="65.099999999999994" customHeight="1" x14ac:dyDescent="0.2">
      <c r="A89" s="106"/>
      <c r="B89" s="101" t="str">
        <f>INDEX('Calendar Flat'!$B:$B,MATCH(B88,'Calendar Flat'!$A:$A,0))</f>
        <v/>
      </c>
      <c r="C89" s="101" t="str">
        <f>INDEX('Calendar Flat'!$B:$B,MATCH(C88,'Calendar Flat'!$A:$A,0))</f>
        <v/>
      </c>
      <c r="D89" s="101" t="str">
        <f>INDEX('Calendar Flat'!$B:$B,MATCH(D88,'Calendar Flat'!$A:$A,0))</f>
        <v/>
      </c>
      <c r="E89" s="101" t="str">
        <f>INDEX('Calendar Flat'!$B:$B,MATCH(E88,'Calendar Flat'!$A:$A,0))</f>
        <v/>
      </c>
      <c r="F89" s="101" t="str">
        <f>INDEX('Calendar Flat'!$B:$B,MATCH(F88,'Calendar Flat'!$A:$A,0))</f>
        <v/>
      </c>
      <c r="G89" s="101" t="str">
        <f>INDEX('Calendar Flat'!$B:$B,MATCH(G88,'Calendar Flat'!$A:$A,0))</f>
        <v/>
      </c>
      <c r="H89" s="101" t="str">
        <f>INDEX('Calendar Flat'!$B:$B,MATCH(H88,'Calendar Flat'!$A:$A,0))</f>
        <v/>
      </c>
      <c r="I89" s="97" t="str">
        <f>"Week "&amp;WEEKNUM(G88)
&amp;CHAR(10)&amp;SUM(_xlfn.IFNA(INDEX(Workouts!$C:$C,MATCH(INDEX('Ride Log'!$C:$C,MATCH(B88,'Ride Log'!$A:$A,0)),Workouts!$A:$A,0)),0),_xlfn.IFNA(INDEX(Workouts!$C:$C,MATCH(INDEX('Ride Log'!$C:$C,MATCH(C88,'Ride Log'!$A:$A,0)),Workouts!$A:$A,0)),0),
_xlfn.IFNA(INDEX(Workouts!$C:$C,MATCH(INDEX('Ride Log'!$C:$C,MATCH(D88,'Ride Log'!$A:$A,0)),Workouts!$A:$A,0)),0),_xlfn.IFNA(INDEX(Workouts!$C:$C,MATCH(INDEX('Ride Log'!$C:$C,MATCH(E88,'Ride Log'!$A:$A,0)),Workouts!$A:$A,0)),0),
_xlfn.IFNA(INDEX(Workouts!$C:$C,MATCH(INDEX('Ride Log'!$C:$C,MATCH(F88,'Ride Log'!$A:$A,0)),Workouts!$A:$A,0)),0),_xlfn.IFNA(INDEX(Workouts!$C:$C,MATCH(INDEX('Ride Log'!$C:$C,MATCH(G88,'Ride Log'!$A:$A,0)),Workouts!$A:$A,0)),0),
_xlfn.IFNA(INDEX(Workouts!$C:$C,MATCH(INDEX('Ride Log'!$C:$C,MATCH(H88,'Ride Log'!$A:$A,0)),Workouts!$A:$A,0)),0))&amp;" TSS"</f>
        <v>Week 44
0 TSS</v>
      </c>
    </row>
    <row r="90" spans="1:9" ht="12.75" customHeight="1" x14ac:dyDescent="0.2">
      <c r="A90" s="105">
        <f>IF(DAY(H90)&lt;8,H90,"")</f>
        <v>44507</v>
      </c>
      <c r="B90" s="103">
        <f>H88+1</f>
        <v>44501</v>
      </c>
      <c r="C90" s="103">
        <f>B90+1</f>
        <v>44502</v>
      </c>
      <c r="D90" s="103">
        <f t="shared" ref="D90:H90" si="44">C90+1</f>
        <v>44503</v>
      </c>
      <c r="E90" s="103">
        <f t="shared" si="44"/>
        <v>44504</v>
      </c>
      <c r="F90" s="103">
        <f t="shared" si="44"/>
        <v>44505</v>
      </c>
      <c r="G90" s="103">
        <f t="shared" si="44"/>
        <v>44506</v>
      </c>
      <c r="H90" s="103">
        <f t="shared" si="44"/>
        <v>44507</v>
      </c>
    </row>
    <row r="91" spans="1:9" ht="65.099999999999994" customHeight="1" x14ac:dyDescent="0.2">
      <c r="A91" s="106"/>
      <c r="B91" s="101" t="str">
        <f>INDEX('Calendar Flat'!$B:$B,MATCH(B90,'Calendar Flat'!$A:$A,0))</f>
        <v/>
      </c>
      <c r="C91" s="101" t="str">
        <f>INDEX('Calendar Flat'!$B:$B,MATCH(C90,'Calendar Flat'!$A:$A,0))</f>
        <v/>
      </c>
      <c r="D91" s="101" t="str">
        <f>INDEX('Calendar Flat'!$B:$B,MATCH(D90,'Calendar Flat'!$A:$A,0))</f>
        <v/>
      </c>
      <c r="E91" s="101" t="str">
        <f>INDEX('Calendar Flat'!$B:$B,MATCH(E90,'Calendar Flat'!$A:$A,0))</f>
        <v/>
      </c>
      <c r="F91" s="101" t="str">
        <f>INDEX('Calendar Flat'!$B:$B,MATCH(F90,'Calendar Flat'!$A:$A,0))</f>
        <v/>
      </c>
      <c r="G91" s="101" t="str">
        <f>INDEX('Calendar Flat'!$B:$B,MATCH(G90,'Calendar Flat'!$A:$A,0))</f>
        <v/>
      </c>
      <c r="H91" s="101" t="str">
        <f>INDEX('Calendar Flat'!$B:$B,MATCH(H90,'Calendar Flat'!$A:$A,0))</f>
        <v/>
      </c>
      <c r="I91" s="97" t="str">
        <f>"Week "&amp;WEEKNUM(G90)
&amp;CHAR(10)&amp;SUM(_xlfn.IFNA(INDEX(Workouts!$C:$C,MATCH(INDEX('Ride Log'!$C:$C,MATCH(B90,'Ride Log'!$A:$A,0)),Workouts!$A:$A,0)),0),_xlfn.IFNA(INDEX(Workouts!$C:$C,MATCH(INDEX('Ride Log'!$C:$C,MATCH(C90,'Ride Log'!$A:$A,0)),Workouts!$A:$A,0)),0),
_xlfn.IFNA(INDEX(Workouts!$C:$C,MATCH(INDEX('Ride Log'!$C:$C,MATCH(D90,'Ride Log'!$A:$A,0)),Workouts!$A:$A,0)),0),_xlfn.IFNA(INDEX(Workouts!$C:$C,MATCH(INDEX('Ride Log'!$C:$C,MATCH(E90,'Ride Log'!$A:$A,0)),Workouts!$A:$A,0)),0),
_xlfn.IFNA(INDEX(Workouts!$C:$C,MATCH(INDEX('Ride Log'!$C:$C,MATCH(F90,'Ride Log'!$A:$A,0)),Workouts!$A:$A,0)),0),_xlfn.IFNA(INDEX(Workouts!$C:$C,MATCH(INDEX('Ride Log'!$C:$C,MATCH(G90,'Ride Log'!$A:$A,0)),Workouts!$A:$A,0)),0),
_xlfn.IFNA(INDEX(Workouts!$C:$C,MATCH(INDEX('Ride Log'!$C:$C,MATCH(H90,'Ride Log'!$A:$A,0)),Workouts!$A:$A,0)),0))&amp;" TSS"</f>
        <v>Week 45
0 TSS</v>
      </c>
    </row>
    <row r="92" spans="1:9" ht="12.75" customHeight="1" x14ac:dyDescent="0.2">
      <c r="A92" s="105" t="str">
        <f>IF(DAY(H92)&lt;8,H92,"")</f>
        <v/>
      </c>
      <c r="B92" s="103">
        <f>H90+1</f>
        <v>44508</v>
      </c>
      <c r="C92" s="103">
        <f>B92+1</f>
        <v>44509</v>
      </c>
      <c r="D92" s="103">
        <f t="shared" ref="D92:H92" si="45">C92+1</f>
        <v>44510</v>
      </c>
      <c r="E92" s="103">
        <f t="shared" si="45"/>
        <v>44511</v>
      </c>
      <c r="F92" s="103">
        <f t="shared" si="45"/>
        <v>44512</v>
      </c>
      <c r="G92" s="103">
        <f t="shared" si="45"/>
        <v>44513</v>
      </c>
      <c r="H92" s="103">
        <f t="shared" si="45"/>
        <v>44514</v>
      </c>
    </row>
    <row r="93" spans="1:9" ht="65.099999999999994" customHeight="1" x14ac:dyDescent="0.2">
      <c r="A93" s="106"/>
      <c r="B93" s="101" t="str">
        <f>INDEX('Calendar Flat'!$B:$B,MATCH(B92,'Calendar Flat'!$A:$A,0))</f>
        <v/>
      </c>
      <c r="C93" s="101" t="str">
        <f>INDEX('Calendar Flat'!$B:$B,MATCH(C92,'Calendar Flat'!$A:$A,0))</f>
        <v/>
      </c>
      <c r="D93" s="101" t="str">
        <f>INDEX('Calendar Flat'!$B:$B,MATCH(D92,'Calendar Flat'!$A:$A,0))</f>
        <v/>
      </c>
      <c r="E93" s="101" t="str">
        <f>INDEX('Calendar Flat'!$B:$B,MATCH(E92,'Calendar Flat'!$A:$A,0))</f>
        <v/>
      </c>
      <c r="F93" s="101" t="str">
        <f>INDEX('Calendar Flat'!$B:$B,MATCH(F92,'Calendar Flat'!$A:$A,0))</f>
        <v/>
      </c>
      <c r="G93" s="101" t="str">
        <f>INDEX('Calendar Flat'!$B:$B,MATCH(G92,'Calendar Flat'!$A:$A,0))</f>
        <v/>
      </c>
      <c r="H93" s="101" t="str">
        <f>INDEX('Calendar Flat'!$B:$B,MATCH(H92,'Calendar Flat'!$A:$A,0))</f>
        <v/>
      </c>
      <c r="I93" s="97" t="str">
        <f>"Week "&amp;WEEKNUM(G92)
&amp;CHAR(10)&amp;SUM(_xlfn.IFNA(INDEX(Workouts!$C:$C,MATCH(INDEX('Ride Log'!$C:$C,MATCH(B92,'Ride Log'!$A:$A,0)),Workouts!$A:$A,0)),0),_xlfn.IFNA(INDEX(Workouts!$C:$C,MATCH(INDEX('Ride Log'!$C:$C,MATCH(C92,'Ride Log'!$A:$A,0)),Workouts!$A:$A,0)),0),
_xlfn.IFNA(INDEX(Workouts!$C:$C,MATCH(INDEX('Ride Log'!$C:$C,MATCH(D92,'Ride Log'!$A:$A,0)),Workouts!$A:$A,0)),0),_xlfn.IFNA(INDEX(Workouts!$C:$C,MATCH(INDEX('Ride Log'!$C:$C,MATCH(E92,'Ride Log'!$A:$A,0)),Workouts!$A:$A,0)),0),
_xlfn.IFNA(INDEX(Workouts!$C:$C,MATCH(INDEX('Ride Log'!$C:$C,MATCH(F92,'Ride Log'!$A:$A,0)),Workouts!$A:$A,0)),0),_xlfn.IFNA(INDEX(Workouts!$C:$C,MATCH(INDEX('Ride Log'!$C:$C,MATCH(G92,'Ride Log'!$A:$A,0)),Workouts!$A:$A,0)),0),
_xlfn.IFNA(INDEX(Workouts!$C:$C,MATCH(INDEX('Ride Log'!$C:$C,MATCH(H92,'Ride Log'!$A:$A,0)),Workouts!$A:$A,0)),0))&amp;" TSS"</f>
        <v>Week 46
0 TSS</v>
      </c>
    </row>
    <row r="94" spans="1:9" ht="12.75" customHeight="1" x14ac:dyDescent="0.2">
      <c r="A94" s="105" t="str">
        <f>IF(DAY(H94)&lt;8,H94,"")</f>
        <v/>
      </c>
      <c r="B94" s="103">
        <f>H92+1</f>
        <v>44515</v>
      </c>
      <c r="C94" s="103">
        <f>B94+1</f>
        <v>44516</v>
      </c>
      <c r="D94" s="103">
        <f t="shared" ref="D94:H94" si="46">C94+1</f>
        <v>44517</v>
      </c>
      <c r="E94" s="103">
        <f t="shared" si="46"/>
        <v>44518</v>
      </c>
      <c r="F94" s="103">
        <f t="shared" si="46"/>
        <v>44519</v>
      </c>
      <c r="G94" s="103">
        <f t="shared" si="46"/>
        <v>44520</v>
      </c>
      <c r="H94" s="103">
        <f t="shared" si="46"/>
        <v>44521</v>
      </c>
    </row>
    <row r="95" spans="1:9" ht="65.099999999999994" customHeight="1" x14ac:dyDescent="0.2">
      <c r="A95" s="106"/>
      <c r="B95" s="101" t="str">
        <f>INDEX('Calendar Flat'!$B:$B,MATCH(B94,'Calendar Flat'!$A:$A,0))</f>
        <v/>
      </c>
      <c r="C95" s="101" t="str">
        <f>INDEX('Calendar Flat'!$B:$B,MATCH(C94,'Calendar Flat'!$A:$A,0))</f>
        <v/>
      </c>
      <c r="D95" s="101" t="str">
        <f>INDEX('Calendar Flat'!$B:$B,MATCH(D94,'Calendar Flat'!$A:$A,0))</f>
        <v/>
      </c>
      <c r="E95" s="101" t="str">
        <f>INDEX('Calendar Flat'!$B:$B,MATCH(E94,'Calendar Flat'!$A:$A,0))</f>
        <v/>
      </c>
      <c r="F95" s="101" t="str">
        <f>INDEX('Calendar Flat'!$B:$B,MATCH(F94,'Calendar Flat'!$A:$A,0))</f>
        <v/>
      </c>
      <c r="G95" s="101" t="str">
        <f>INDEX('Calendar Flat'!$B:$B,MATCH(G94,'Calendar Flat'!$A:$A,0))</f>
        <v/>
      </c>
      <c r="H95" s="101" t="str">
        <f>INDEX('Calendar Flat'!$B:$B,MATCH(H94,'Calendar Flat'!$A:$A,0))</f>
        <v/>
      </c>
      <c r="I95" s="97" t="str">
        <f>"Week "&amp;WEEKNUM(G94)
&amp;CHAR(10)&amp;SUM(_xlfn.IFNA(INDEX(Workouts!$C:$C,MATCH(INDEX('Ride Log'!$C:$C,MATCH(B94,'Ride Log'!$A:$A,0)),Workouts!$A:$A,0)),0),_xlfn.IFNA(INDEX(Workouts!$C:$C,MATCH(INDEX('Ride Log'!$C:$C,MATCH(C94,'Ride Log'!$A:$A,0)),Workouts!$A:$A,0)),0),
_xlfn.IFNA(INDEX(Workouts!$C:$C,MATCH(INDEX('Ride Log'!$C:$C,MATCH(D94,'Ride Log'!$A:$A,0)),Workouts!$A:$A,0)),0),_xlfn.IFNA(INDEX(Workouts!$C:$C,MATCH(INDEX('Ride Log'!$C:$C,MATCH(E94,'Ride Log'!$A:$A,0)),Workouts!$A:$A,0)),0),
_xlfn.IFNA(INDEX(Workouts!$C:$C,MATCH(INDEX('Ride Log'!$C:$C,MATCH(F94,'Ride Log'!$A:$A,0)),Workouts!$A:$A,0)),0),_xlfn.IFNA(INDEX(Workouts!$C:$C,MATCH(INDEX('Ride Log'!$C:$C,MATCH(G94,'Ride Log'!$A:$A,0)),Workouts!$A:$A,0)),0),
_xlfn.IFNA(INDEX(Workouts!$C:$C,MATCH(INDEX('Ride Log'!$C:$C,MATCH(H94,'Ride Log'!$A:$A,0)),Workouts!$A:$A,0)),0))&amp;" TSS"</f>
        <v>Week 47
0 TSS</v>
      </c>
    </row>
    <row r="96" spans="1:9" ht="12.75" customHeight="1" x14ac:dyDescent="0.2">
      <c r="A96" s="105" t="str">
        <f>IF(DAY(H96)&lt;8,H96,"")</f>
        <v/>
      </c>
      <c r="B96" s="103">
        <f>H94+1</f>
        <v>44522</v>
      </c>
      <c r="C96" s="103">
        <f>B96+1</f>
        <v>44523</v>
      </c>
      <c r="D96" s="103">
        <f t="shared" ref="D96:H96" si="47">C96+1</f>
        <v>44524</v>
      </c>
      <c r="E96" s="103">
        <f t="shared" si="47"/>
        <v>44525</v>
      </c>
      <c r="F96" s="103">
        <f t="shared" si="47"/>
        <v>44526</v>
      </c>
      <c r="G96" s="103">
        <f t="shared" si="47"/>
        <v>44527</v>
      </c>
      <c r="H96" s="103">
        <f t="shared" si="47"/>
        <v>44528</v>
      </c>
    </row>
    <row r="97" spans="1:9" ht="65.099999999999994" customHeight="1" x14ac:dyDescent="0.2">
      <c r="A97" s="106"/>
      <c r="B97" s="101" t="str">
        <f>INDEX('Calendar Flat'!$B:$B,MATCH(B96,'Calendar Flat'!$A:$A,0))</f>
        <v/>
      </c>
      <c r="C97" s="101" t="str">
        <f>INDEX('Calendar Flat'!$B:$B,MATCH(C96,'Calendar Flat'!$A:$A,0))</f>
        <v/>
      </c>
      <c r="D97" s="101" t="str">
        <f>INDEX('Calendar Flat'!$B:$B,MATCH(D96,'Calendar Flat'!$A:$A,0))</f>
        <v/>
      </c>
      <c r="E97" s="101" t="str">
        <f>INDEX('Calendar Flat'!$B:$B,MATCH(E96,'Calendar Flat'!$A:$A,0))</f>
        <v/>
      </c>
      <c r="F97" s="101" t="str">
        <f>INDEX('Calendar Flat'!$B:$B,MATCH(F96,'Calendar Flat'!$A:$A,0))</f>
        <v/>
      </c>
      <c r="G97" s="101" t="str">
        <f>INDEX('Calendar Flat'!$B:$B,MATCH(G96,'Calendar Flat'!$A:$A,0))</f>
        <v/>
      </c>
      <c r="H97" s="101" t="str">
        <f>INDEX('Calendar Flat'!$B:$B,MATCH(H96,'Calendar Flat'!$A:$A,0))</f>
        <v/>
      </c>
      <c r="I97" s="97" t="str">
        <f>"Week "&amp;WEEKNUM(G96)
&amp;CHAR(10)&amp;SUM(_xlfn.IFNA(INDEX(Workouts!$C:$C,MATCH(INDEX('Ride Log'!$C:$C,MATCH(B96,'Ride Log'!$A:$A,0)),Workouts!$A:$A,0)),0),_xlfn.IFNA(INDEX(Workouts!$C:$C,MATCH(INDEX('Ride Log'!$C:$C,MATCH(C96,'Ride Log'!$A:$A,0)),Workouts!$A:$A,0)),0),
_xlfn.IFNA(INDEX(Workouts!$C:$C,MATCH(INDEX('Ride Log'!$C:$C,MATCH(D96,'Ride Log'!$A:$A,0)),Workouts!$A:$A,0)),0),_xlfn.IFNA(INDEX(Workouts!$C:$C,MATCH(INDEX('Ride Log'!$C:$C,MATCH(E96,'Ride Log'!$A:$A,0)),Workouts!$A:$A,0)),0),
_xlfn.IFNA(INDEX(Workouts!$C:$C,MATCH(INDEX('Ride Log'!$C:$C,MATCH(F96,'Ride Log'!$A:$A,0)),Workouts!$A:$A,0)),0),_xlfn.IFNA(INDEX(Workouts!$C:$C,MATCH(INDEX('Ride Log'!$C:$C,MATCH(G96,'Ride Log'!$A:$A,0)),Workouts!$A:$A,0)),0),
_xlfn.IFNA(INDEX(Workouts!$C:$C,MATCH(INDEX('Ride Log'!$C:$C,MATCH(H96,'Ride Log'!$A:$A,0)),Workouts!$A:$A,0)),0))&amp;" TSS"</f>
        <v>Week 48
0 TSS</v>
      </c>
    </row>
    <row r="98" spans="1:9" ht="12.75" customHeight="1" x14ac:dyDescent="0.2">
      <c r="A98" s="105">
        <f>IF(DAY(H98)&lt;8,H98,"")</f>
        <v>44535</v>
      </c>
      <c r="B98" s="103">
        <f>H96+1</f>
        <v>44529</v>
      </c>
      <c r="C98" s="103">
        <f>B98+1</f>
        <v>44530</v>
      </c>
      <c r="D98" s="103">
        <f t="shared" ref="D98:H98" si="48">C98+1</f>
        <v>44531</v>
      </c>
      <c r="E98" s="103">
        <f t="shared" si="48"/>
        <v>44532</v>
      </c>
      <c r="F98" s="103">
        <f t="shared" si="48"/>
        <v>44533</v>
      </c>
      <c r="G98" s="103">
        <f t="shared" si="48"/>
        <v>44534</v>
      </c>
      <c r="H98" s="103">
        <f t="shared" si="48"/>
        <v>44535</v>
      </c>
    </row>
    <row r="99" spans="1:9" ht="65.099999999999994" customHeight="1" x14ac:dyDescent="0.2">
      <c r="A99" s="106"/>
      <c r="B99" s="101" t="str">
        <f>INDEX('Calendar Flat'!$B:$B,MATCH(B98,'Calendar Flat'!$A:$A,0))</f>
        <v/>
      </c>
      <c r="C99" s="101" t="str">
        <f>INDEX('Calendar Flat'!$B:$B,MATCH(C98,'Calendar Flat'!$A:$A,0))</f>
        <v/>
      </c>
      <c r="D99" s="101" t="str">
        <f>INDEX('Calendar Flat'!$B:$B,MATCH(D98,'Calendar Flat'!$A:$A,0))</f>
        <v/>
      </c>
      <c r="E99" s="101" t="str">
        <f>INDEX('Calendar Flat'!$B:$B,MATCH(E98,'Calendar Flat'!$A:$A,0))</f>
        <v/>
      </c>
      <c r="F99" s="101" t="str">
        <f>INDEX('Calendar Flat'!$B:$B,MATCH(F98,'Calendar Flat'!$A:$A,0))</f>
        <v/>
      </c>
      <c r="G99" s="101" t="str">
        <f>INDEX('Calendar Flat'!$B:$B,MATCH(G98,'Calendar Flat'!$A:$A,0))</f>
        <v/>
      </c>
      <c r="H99" s="101" t="str">
        <f>INDEX('Calendar Flat'!$B:$B,MATCH(H98,'Calendar Flat'!$A:$A,0))</f>
        <v/>
      </c>
      <c r="I99" s="97" t="str">
        <f>"Week "&amp;WEEKNUM(G98)
&amp;CHAR(10)&amp;SUM(_xlfn.IFNA(INDEX(Workouts!$C:$C,MATCH(INDEX('Ride Log'!$C:$C,MATCH(B98,'Ride Log'!$A:$A,0)),Workouts!$A:$A,0)),0),_xlfn.IFNA(INDEX(Workouts!$C:$C,MATCH(INDEX('Ride Log'!$C:$C,MATCH(C98,'Ride Log'!$A:$A,0)),Workouts!$A:$A,0)),0),
_xlfn.IFNA(INDEX(Workouts!$C:$C,MATCH(INDEX('Ride Log'!$C:$C,MATCH(D98,'Ride Log'!$A:$A,0)),Workouts!$A:$A,0)),0),_xlfn.IFNA(INDEX(Workouts!$C:$C,MATCH(INDEX('Ride Log'!$C:$C,MATCH(E98,'Ride Log'!$A:$A,0)),Workouts!$A:$A,0)),0),
_xlfn.IFNA(INDEX(Workouts!$C:$C,MATCH(INDEX('Ride Log'!$C:$C,MATCH(F98,'Ride Log'!$A:$A,0)),Workouts!$A:$A,0)),0),_xlfn.IFNA(INDEX(Workouts!$C:$C,MATCH(INDEX('Ride Log'!$C:$C,MATCH(G98,'Ride Log'!$A:$A,0)),Workouts!$A:$A,0)),0),
_xlfn.IFNA(INDEX(Workouts!$C:$C,MATCH(INDEX('Ride Log'!$C:$C,MATCH(H98,'Ride Log'!$A:$A,0)),Workouts!$A:$A,0)),0))&amp;" TSS"</f>
        <v>Week 49
0 TSS</v>
      </c>
    </row>
    <row r="100" spans="1:9" ht="12.75" customHeight="1" x14ac:dyDescent="0.2">
      <c r="A100" s="105" t="str">
        <f>IF(DAY(H100)&lt;8,H100,"")</f>
        <v/>
      </c>
      <c r="B100" s="103">
        <f>H98+1</f>
        <v>44536</v>
      </c>
      <c r="C100" s="103">
        <f>B100+1</f>
        <v>44537</v>
      </c>
      <c r="D100" s="103">
        <f t="shared" ref="D100:H100" si="49">C100+1</f>
        <v>44538</v>
      </c>
      <c r="E100" s="103">
        <f t="shared" si="49"/>
        <v>44539</v>
      </c>
      <c r="F100" s="103">
        <f t="shared" si="49"/>
        <v>44540</v>
      </c>
      <c r="G100" s="103">
        <f t="shared" si="49"/>
        <v>44541</v>
      </c>
      <c r="H100" s="103">
        <f t="shared" si="49"/>
        <v>44542</v>
      </c>
    </row>
    <row r="101" spans="1:9" ht="65.099999999999994" customHeight="1" x14ac:dyDescent="0.2">
      <c r="A101" s="106"/>
      <c r="B101" s="101" t="str">
        <f>INDEX('Calendar Flat'!$B:$B,MATCH(B100,'Calendar Flat'!$A:$A,0))</f>
        <v/>
      </c>
      <c r="C101" s="101" t="str">
        <f>INDEX('Calendar Flat'!$B:$B,MATCH(C100,'Calendar Flat'!$A:$A,0))</f>
        <v/>
      </c>
      <c r="D101" s="101" t="str">
        <f>INDEX('Calendar Flat'!$B:$B,MATCH(D100,'Calendar Flat'!$A:$A,0))</f>
        <v/>
      </c>
      <c r="E101" s="101" t="str">
        <f>INDEX('Calendar Flat'!$B:$B,MATCH(E100,'Calendar Flat'!$A:$A,0))</f>
        <v/>
      </c>
      <c r="F101" s="101" t="str">
        <f>INDEX('Calendar Flat'!$B:$B,MATCH(F100,'Calendar Flat'!$A:$A,0))</f>
        <v/>
      </c>
      <c r="G101" s="101" t="str">
        <f>INDEX('Calendar Flat'!$B:$B,MATCH(G100,'Calendar Flat'!$A:$A,0))</f>
        <v/>
      </c>
      <c r="H101" s="101" t="str">
        <f>INDEX('Calendar Flat'!$B:$B,MATCH(H100,'Calendar Flat'!$A:$A,0))</f>
        <v/>
      </c>
      <c r="I101" s="97" t="str">
        <f>"Week "&amp;WEEKNUM(G100)
&amp;CHAR(10)&amp;SUM(_xlfn.IFNA(INDEX(Workouts!$C:$C,MATCH(INDEX('Ride Log'!$C:$C,MATCH(B100,'Ride Log'!$A:$A,0)),Workouts!$A:$A,0)),0),_xlfn.IFNA(INDEX(Workouts!$C:$C,MATCH(INDEX('Ride Log'!$C:$C,MATCH(C100,'Ride Log'!$A:$A,0)),Workouts!$A:$A,0)),0),
_xlfn.IFNA(INDEX(Workouts!$C:$C,MATCH(INDEX('Ride Log'!$C:$C,MATCH(D100,'Ride Log'!$A:$A,0)),Workouts!$A:$A,0)),0),_xlfn.IFNA(INDEX(Workouts!$C:$C,MATCH(INDEX('Ride Log'!$C:$C,MATCH(E100,'Ride Log'!$A:$A,0)),Workouts!$A:$A,0)),0),
_xlfn.IFNA(INDEX(Workouts!$C:$C,MATCH(INDEX('Ride Log'!$C:$C,MATCH(F100,'Ride Log'!$A:$A,0)),Workouts!$A:$A,0)),0),_xlfn.IFNA(INDEX(Workouts!$C:$C,MATCH(INDEX('Ride Log'!$C:$C,MATCH(G100,'Ride Log'!$A:$A,0)),Workouts!$A:$A,0)),0),
_xlfn.IFNA(INDEX(Workouts!$C:$C,MATCH(INDEX('Ride Log'!$C:$C,MATCH(H100,'Ride Log'!$A:$A,0)),Workouts!$A:$A,0)),0))&amp;" TSS"</f>
        <v>Week 50
0 TSS</v>
      </c>
    </row>
    <row r="102" spans="1:9" ht="12.75" customHeight="1" x14ac:dyDescent="0.2">
      <c r="A102" s="105" t="str">
        <f>IF(DAY(H102)&lt;8,H102,"")</f>
        <v/>
      </c>
      <c r="B102" s="103">
        <f>H100+1</f>
        <v>44543</v>
      </c>
      <c r="C102" s="103">
        <f>B102+1</f>
        <v>44544</v>
      </c>
      <c r="D102" s="103">
        <f t="shared" ref="D102:H102" si="50">C102+1</f>
        <v>44545</v>
      </c>
      <c r="E102" s="103">
        <f t="shared" si="50"/>
        <v>44546</v>
      </c>
      <c r="F102" s="103">
        <f t="shared" si="50"/>
        <v>44547</v>
      </c>
      <c r="G102" s="103">
        <f t="shared" si="50"/>
        <v>44548</v>
      </c>
      <c r="H102" s="103">
        <f t="shared" si="50"/>
        <v>44549</v>
      </c>
    </row>
    <row r="103" spans="1:9" ht="65.099999999999994" customHeight="1" x14ac:dyDescent="0.2">
      <c r="A103" s="106"/>
      <c r="B103" s="101" t="str">
        <f>INDEX('Calendar Flat'!$B:$B,MATCH(B102,'Calendar Flat'!$A:$A,0))</f>
        <v/>
      </c>
      <c r="C103" s="101" t="str">
        <f>INDEX('Calendar Flat'!$B:$B,MATCH(C102,'Calendar Flat'!$A:$A,0))</f>
        <v/>
      </c>
      <c r="D103" s="101" t="str">
        <f>INDEX('Calendar Flat'!$B:$B,MATCH(D102,'Calendar Flat'!$A:$A,0))</f>
        <v/>
      </c>
      <c r="E103" s="101" t="str">
        <f>INDEX('Calendar Flat'!$B:$B,MATCH(E102,'Calendar Flat'!$A:$A,0))</f>
        <v/>
      </c>
      <c r="F103" s="101" t="str">
        <f>INDEX('Calendar Flat'!$B:$B,MATCH(F102,'Calendar Flat'!$A:$A,0))</f>
        <v/>
      </c>
      <c r="G103" s="101" t="str">
        <f>INDEX('Calendar Flat'!$B:$B,MATCH(G102,'Calendar Flat'!$A:$A,0))</f>
        <v/>
      </c>
      <c r="H103" s="101" t="str">
        <f>INDEX('Calendar Flat'!$B:$B,MATCH(H102,'Calendar Flat'!$A:$A,0))</f>
        <v/>
      </c>
      <c r="I103" s="97" t="str">
        <f>"Week "&amp;WEEKNUM(G102)
&amp;CHAR(10)&amp;SUM(_xlfn.IFNA(INDEX(Workouts!$C:$C,MATCH(INDEX('Ride Log'!$C:$C,MATCH(B102,'Ride Log'!$A:$A,0)),Workouts!$A:$A,0)),0),_xlfn.IFNA(INDEX(Workouts!$C:$C,MATCH(INDEX('Ride Log'!$C:$C,MATCH(C102,'Ride Log'!$A:$A,0)),Workouts!$A:$A,0)),0),
_xlfn.IFNA(INDEX(Workouts!$C:$C,MATCH(INDEX('Ride Log'!$C:$C,MATCH(D102,'Ride Log'!$A:$A,0)),Workouts!$A:$A,0)),0),_xlfn.IFNA(INDEX(Workouts!$C:$C,MATCH(INDEX('Ride Log'!$C:$C,MATCH(E102,'Ride Log'!$A:$A,0)),Workouts!$A:$A,0)),0),
_xlfn.IFNA(INDEX(Workouts!$C:$C,MATCH(INDEX('Ride Log'!$C:$C,MATCH(F102,'Ride Log'!$A:$A,0)),Workouts!$A:$A,0)),0),_xlfn.IFNA(INDEX(Workouts!$C:$C,MATCH(INDEX('Ride Log'!$C:$C,MATCH(G102,'Ride Log'!$A:$A,0)),Workouts!$A:$A,0)),0),
_xlfn.IFNA(INDEX(Workouts!$C:$C,MATCH(INDEX('Ride Log'!$C:$C,MATCH(H102,'Ride Log'!$A:$A,0)),Workouts!$A:$A,0)),0))&amp;" TSS"</f>
        <v>Week 51
0 TSS</v>
      </c>
    </row>
    <row r="104" spans="1:9" ht="12.75" customHeight="1" x14ac:dyDescent="0.2">
      <c r="A104" s="105" t="str">
        <f>IF(DAY(H104)&lt;8,H104,"")</f>
        <v/>
      </c>
      <c r="B104" s="103">
        <f>H102+1</f>
        <v>44550</v>
      </c>
      <c r="C104" s="103">
        <f>B104+1</f>
        <v>44551</v>
      </c>
      <c r="D104" s="103">
        <f t="shared" ref="D104:H104" si="51">C104+1</f>
        <v>44552</v>
      </c>
      <c r="E104" s="103">
        <f t="shared" si="51"/>
        <v>44553</v>
      </c>
      <c r="F104" s="103">
        <f t="shared" si="51"/>
        <v>44554</v>
      </c>
      <c r="G104" s="103">
        <f t="shared" si="51"/>
        <v>44555</v>
      </c>
      <c r="H104" s="103">
        <f t="shared" si="51"/>
        <v>44556</v>
      </c>
    </row>
    <row r="105" spans="1:9" ht="65.099999999999994" customHeight="1" x14ac:dyDescent="0.2">
      <c r="A105" s="105"/>
      <c r="B105" s="101" t="str">
        <f>INDEX('Calendar Flat'!$B:$B,MATCH(B104,'Calendar Flat'!$A:$A,0))</f>
        <v/>
      </c>
      <c r="C105" s="101" t="str">
        <f>INDEX('Calendar Flat'!$B:$B,MATCH(C104,'Calendar Flat'!$A:$A,0))</f>
        <v/>
      </c>
      <c r="D105" s="101" t="str">
        <f>INDEX('Calendar Flat'!$B:$B,MATCH(D104,'Calendar Flat'!$A:$A,0))</f>
        <v/>
      </c>
      <c r="E105" s="101" t="str">
        <f>INDEX('Calendar Flat'!$B:$B,MATCH(E104,'Calendar Flat'!$A:$A,0))</f>
        <v/>
      </c>
      <c r="F105" s="101" t="str">
        <f>INDEX('Calendar Flat'!$B:$B,MATCH(F104,'Calendar Flat'!$A:$A,0))</f>
        <v/>
      </c>
      <c r="G105" s="101" t="str">
        <f>INDEX('Calendar Flat'!$B:$B,MATCH(G104,'Calendar Flat'!$A:$A,0))</f>
        <v/>
      </c>
      <c r="H105" s="101" t="str">
        <f>INDEX('Calendar Flat'!$B:$B,MATCH(H104,'Calendar Flat'!$A:$A,0))</f>
        <v/>
      </c>
      <c r="I105" s="97" t="str">
        <f>"Week "&amp;WEEKNUM(G104)
&amp;CHAR(10)&amp;SUM(_xlfn.IFNA(INDEX(Workouts!$C:$C,MATCH(INDEX('Ride Log'!$C:$C,MATCH(B104,'Ride Log'!$A:$A,0)),Workouts!$A:$A,0)),0),_xlfn.IFNA(INDEX(Workouts!$C:$C,MATCH(INDEX('Ride Log'!$C:$C,MATCH(C104,'Ride Log'!$A:$A,0)),Workouts!$A:$A,0)),0),
_xlfn.IFNA(INDEX(Workouts!$C:$C,MATCH(INDEX('Ride Log'!$C:$C,MATCH(D104,'Ride Log'!$A:$A,0)),Workouts!$A:$A,0)),0),_xlfn.IFNA(INDEX(Workouts!$C:$C,MATCH(INDEX('Ride Log'!$C:$C,MATCH(E104,'Ride Log'!$A:$A,0)),Workouts!$A:$A,0)),0),
_xlfn.IFNA(INDEX(Workouts!$C:$C,MATCH(INDEX('Ride Log'!$C:$C,MATCH(F104,'Ride Log'!$A:$A,0)),Workouts!$A:$A,0)),0),_xlfn.IFNA(INDEX(Workouts!$C:$C,MATCH(INDEX('Ride Log'!$C:$C,MATCH(G104,'Ride Log'!$A:$A,0)),Workouts!$A:$A,0)),0),
_xlfn.IFNA(INDEX(Workouts!$C:$C,MATCH(INDEX('Ride Log'!$C:$C,MATCH(H104,'Ride Log'!$A:$A,0)),Workouts!$A:$A,0)),0))&amp;" TSS"</f>
        <v>Week 52
0 TSS</v>
      </c>
    </row>
    <row r="106" spans="1:9" ht="12.75" customHeight="1" x14ac:dyDescent="0.2">
      <c r="A106" s="105" t="str">
        <f t="shared" ref="A104:A106" si="52">IF(DAY(B106)&lt;7,B106,"")</f>
        <v/>
      </c>
      <c r="B106" s="103">
        <f>H104+1</f>
        <v>44557</v>
      </c>
      <c r="C106" s="103">
        <f>B106+1</f>
        <v>44558</v>
      </c>
      <c r="D106" s="103">
        <f t="shared" ref="D106:H106" si="53">C106+1</f>
        <v>44559</v>
      </c>
      <c r="E106" s="103">
        <f t="shared" si="53"/>
        <v>44560</v>
      </c>
      <c r="F106" s="103">
        <f t="shared" si="53"/>
        <v>44561</v>
      </c>
      <c r="G106" s="103">
        <f t="shared" si="53"/>
        <v>44562</v>
      </c>
      <c r="H106" s="103">
        <f t="shared" si="53"/>
        <v>44563</v>
      </c>
    </row>
    <row r="107" spans="1:9" ht="25.5" x14ac:dyDescent="0.2">
      <c r="B107" s="101" t="str">
        <f>INDEX('Calendar Flat'!$B:$B,MATCH(B106,'Calendar Flat'!$A:$A,0))</f>
        <v/>
      </c>
      <c r="C107" s="101" t="str">
        <f>INDEX('Calendar Flat'!$B:$B,MATCH(C106,'Calendar Flat'!$A:$A,0))</f>
        <v/>
      </c>
      <c r="D107" s="101" t="str">
        <f>INDEX('Calendar Flat'!$B:$B,MATCH(D106,'Calendar Flat'!$A:$A,0))</f>
        <v/>
      </c>
      <c r="E107" s="101" t="str">
        <f>INDEX('Calendar Flat'!$B:$B,MATCH(E106,'Calendar Flat'!$A:$A,0))</f>
        <v/>
      </c>
      <c r="F107" s="101" t="str">
        <f>INDEX('Calendar Flat'!$B:$B,MATCH(F106,'Calendar Flat'!$A:$A,0))</f>
        <v/>
      </c>
      <c r="G107" s="101"/>
      <c r="H107" s="101"/>
      <c r="I107" s="97" t="str">
        <f>"Week "&amp;WEEKNUM(G106)
&amp;CHAR(10)&amp;SUM(_xlfn.IFNA(INDEX(Workouts!$C:$C,MATCH(INDEX('Ride Log'!$C:$C,MATCH(B106,'Ride Log'!$A:$A,0)),Workouts!$A:$A,0)),0),_xlfn.IFNA(INDEX(Workouts!$C:$C,MATCH(INDEX('Ride Log'!$C:$C,MATCH(C106,'Ride Log'!$A:$A,0)),Workouts!$A:$A,0)),0),
_xlfn.IFNA(INDEX(Workouts!$C:$C,MATCH(INDEX('Ride Log'!$C:$C,MATCH(D106,'Ride Log'!$A:$A,0)),Workouts!$A:$A,0)),0),_xlfn.IFNA(INDEX(Workouts!$C:$C,MATCH(INDEX('Ride Log'!$C:$C,MATCH(E106,'Ride Log'!$A:$A,0)),Workouts!$A:$A,0)),0),
_xlfn.IFNA(INDEX(Workouts!$C:$C,MATCH(INDEX('Ride Log'!$C:$C,MATCH(F106,'Ride Log'!$A:$A,0)),Workouts!$A:$A,0)),0),_xlfn.IFNA(INDEX(Workouts!$C:$C,MATCH(INDEX('Ride Log'!$C:$C,MATCH(G106,'Ride Log'!$A:$A,0)),Workouts!$A:$A,0)),0),
_xlfn.IFNA(INDEX(Workouts!$C:$C,MATCH(INDEX('Ride Log'!$C:$C,MATCH(H106,'Ride Log'!$A:$A,0)),Workouts!$A:$A,0)),0))&amp;" TSS"</f>
        <v>Week 1
0 TSS</v>
      </c>
    </row>
  </sheetData>
  <pageMargins left="0.7" right="0.7" top="0.75" bottom="0.75" header="0.3" footer="0.3"/>
  <pageSetup orientation="portrait" r:id="rId1"/>
  <ignoredErrors>
    <ignoredError sqref="D4 E4:H4 E6:H6 E8:H8 E10:H10 E12:H12 E14:H14 E16:H16 E18:H18 E20:H20 E22:H22 E24:H24 E26:H26 E28:H28 E30:H30 E32:H32 E34:H34 E36:H36 E38:H38 E40:H40 E42:H42 E44:H44 E46:H46 E48:H48 E50:H50 E52:H52 E54:H54 E56:H56 E58:H58 E60:H60 E62:H62 E64:H64 E66:H66 E68:H68 E70:H70 E72:H72 E74:H74 E76:H76 E78:H78 E80:H80 E82:H82 E84:H84 E86:H86 E88:H88 E90:H90 E92:H92 E94:H94 E96:H96 E98:H98 E100:H100 E102:H102 E104:H104 E106:H106 F3:H3 E107 E105:H105 E103:H103 E101:H101 E99:H99 E97:H97 E95:H95 E93:H93 E91:H91 E89:H89 E87:H87 E85:H85 E83:H83 E81:H81 E79:H79 E77:H77 E75:H75 E73:H73 E71:H71 E69:H69 E67:H67 E65:H65 E63:H63 E61:H61 E59:H59 E57:H57 E55:H55 E53:H53 E51:H51 E49:H49 E47:H47 E45:H45 E43:H43 E41:H41 E39:H39 E37:H37 E35:H35 E33:H33 E31:H31 E29:H29 E27:H27 E25:H25 E23:H23 E21:H21 E19:H19 E17:H17 E15:H15 E13:H13 E11:H11 E9:H9 E7:H7 E5:H5 B6:C6 D6 B8:C8 D8 B10:C10 D10 B12:C12 D12 B14:C14 D14 B16:C16 D16 B18:C18 D18 B20:C20 D20 B22:C22 D22 B24:C24 D24 B26:C26 D26 B28:C28 D28 B30:C30 D30 B32:C32 D32 B34:C34 D34 B36:C36 D36 B38:C38 D38 B40:C40 D40 B42:C42 D42 B44:C44 D44 B46:C46 D46 B48:C48 D48 B50:C50 D50 B52:C52 D52 B54:C54 D54 B56:C56 D56 B58:C58 D58 B60:C60 D60 B62:C62 D62 B64:C64 D64 B66:C66 D66 B68:C68 D68 B70:C70 D70 B72:C72 D72 B74:C74 D74 B76:C76 D76 B78:C78 D78 B80:C80 D80 B82:C82 D82 B84:C84 D84 B86:C86 D86 B88:C88 D88 B90:C90 D90 B92:C92 D92 B94:C94 D94 B96:C96 D96 B98:C98 D98 B100:C100 D100 B102:C102 D102 B104:C104 D104 B106:C106 D106 B5:D5 B107:D107 B105:D105 B103:D103 B101:D101 B99:D99 B97:D97 B95:D95 B93:D93 B91:D91 B89:D89 B87:D87 B85:D85 B83:D83 B81:D81 B79:D79 B77:D77 B75:D75 B73:D73 B71:D71 B69:D69 B67:D67 B65:D65 B63:D63 B61:D61 B59:D59 B57:D57 B55:D55 B53:D53 B51:D51 B49:D49 B47:D47 B45:D45 B43:D43 B41:D41 B39:D39 B37:D37 B35:D35 B33:D33 B31:D31 B29:D29 B27:D27 B25:D25 B23:D23 B21:D21 B19:D19 B17:D17 B15:D15 B13:D13 B11:D11 B9:D9 B7:D7 G107:H10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Ride Log</vt:lpstr>
      <vt:lpstr>Charts</vt:lpstr>
      <vt:lpstr>Data</vt:lpstr>
      <vt:lpstr>Plan</vt:lpstr>
      <vt:lpstr>Workouts</vt:lpstr>
      <vt:lpstr>Calendar Flat</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Lungu</dc:creator>
  <cp:lastModifiedBy>Home</cp:lastModifiedBy>
  <dcterms:created xsi:type="dcterms:W3CDTF">2014-12-22T22:48:25Z</dcterms:created>
  <dcterms:modified xsi:type="dcterms:W3CDTF">2020-11-28T15:24:23Z</dcterms:modified>
</cp:coreProperties>
</file>